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/comment3.xml" ContentType="application/vnd.openxmlformats-officedocument.spreadsheetml.comments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0" windowWidth="13152" windowHeight="16656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Cash in bank report" sheetId="2" state="visible" r:id="rId2"/>
    <sheet xmlns:r="http://schemas.openxmlformats.org/officeDocument/2006/relationships" name="Table" sheetId="3" state="visible" r:id="rId3"/>
    <sheet xmlns:r="http://schemas.openxmlformats.org/officeDocument/2006/relationships" name="Daily exchange" sheetId="4" state="visible" r:id="rId4"/>
    <sheet xmlns:r="http://schemas.openxmlformats.org/officeDocument/2006/relationships" name="SUM Loan (Subsidy)" sheetId="5" state="visible" r:id="rId5"/>
    <sheet xmlns:r="http://schemas.openxmlformats.org/officeDocument/2006/relationships" name="Bank loan table" sheetId="6" state="visible" r:id="rId6"/>
    <sheet xmlns:r="http://schemas.openxmlformats.org/officeDocument/2006/relationships" name="Repayment 25" sheetId="7" state="visible" r:id="rId7"/>
    <sheet xmlns:r="http://schemas.openxmlformats.org/officeDocument/2006/relationships" name="Daily Hard currency" sheetId="8" state="hidden" r:id="rId8"/>
    <sheet xmlns:r="http://schemas.openxmlformats.org/officeDocument/2006/relationships" name="Exchange plan" sheetId="9" state="visible" r:id="rId9"/>
    <sheet xmlns:r="http://schemas.openxmlformats.org/officeDocument/2006/relationships" name="Est payment" sheetId="10" state="hidden" r:id="rId10"/>
    <sheet xmlns:r="http://schemas.openxmlformats.org/officeDocument/2006/relationships" name="Cash balance 2023" sheetId="11" state="hidden" r:id="rId11"/>
    <sheet xmlns:r="http://schemas.openxmlformats.org/officeDocument/2006/relationships" name="Intercompany Loan table" sheetId="12" state="visible" r:id="rId12"/>
    <sheet xmlns:r="http://schemas.openxmlformats.org/officeDocument/2006/relationships" name="RUS CF" sheetId="13" state="visible" r:id="rId13"/>
    <sheet xmlns:r="http://schemas.openxmlformats.org/officeDocument/2006/relationships" name="CPFO CF" sheetId="14" state="visible" r:id="rId14"/>
    <sheet xmlns:r="http://schemas.openxmlformats.org/officeDocument/2006/relationships" name="RBPI CF" sheetId="15" state="visible" r:id="rId15"/>
    <sheet xmlns:r="http://schemas.openxmlformats.org/officeDocument/2006/relationships" name="APK CF" sheetId="16" state="visible" r:id="rId16"/>
    <sheet xmlns:r="http://schemas.openxmlformats.org/officeDocument/2006/relationships" name="SW CF" sheetId="17" state="visible" r:id="rId17"/>
    <sheet xmlns:r="http://schemas.openxmlformats.org/officeDocument/2006/relationships" name="S CF" sheetId="18" state="visible" r:id="rId18"/>
    <sheet xmlns:r="http://schemas.openxmlformats.org/officeDocument/2006/relationships" name="W CF" sheetId="19" state="visible" r:id="rId19"/>
    <sheet xmlns:r="http://schemas.openxmlformats.org/officeDocument/2006/relationships" name="Stesha CF" sheetId="20" state="visible" r:id="rId20"/>
    <sheet xmlns:r="http://schemas.openxmlformats.org/officeDocument/2006/relationships" name="PV" sheetId="21" state="hidden" r:id="rId21"/>
    <sheet xmlns:r="http://schemas.openxmlformats.org/officeDocument/2006/relationships" name="Loan CPFI CF" sheetId="22" state="hidden" r:id="rId22"/>
    <sheet xmlns:r="http://schemas.openxmlformats.org/officeDocument/2006/relationships" name="Group IC Loan" sheetId="23" state="hidden" r:id="rId23"/>
    <sheet xmlns:r="http://schemas.openxmlformats.org/officeDocument/2006/relationships" name="Sheet1" sheetId="24" state="hidden" r:id="rId24"/>
    <sheet xmlns:r="http://schemas.openxmlformats.org/officeDocument/2006/relationships" name="Simulation RUSSIA22 " sheetId="25" state="hidden" r:id="rId25"/>
    <sheet xmlns:r="http://schemas.openxmlformats.org/officeDocument/2006/relationships" name="CPFO" sheetId="26" state="hidden" r:id="rId26"/>
    <sheet xmlns:r="http://schemas.openxmlformats.org/officeDocument/2006/relationships" name="RBPI" sheetId="27" state="hidden" r:id="rId27"/>
    <sheet xmlns:r="http://schemas.openxmlformats.org/officeDocument/2006/relationships" name="APK DON" sheetId="28" state="hidden" r:id="rId28"/>
  </sheets>
  <definedNames>
    <definedName name="\0">#REF!</definedName>
    <definedName name="\00">#REF!</definedName>
    <definedName name="\a">#N/A</definedName>
    <definedName name="\b">#N/A</definedName>
    <definedName name="\C">#REF!</definedName>
    <definedName name="\cc">#REF!</definedName>
    <definedName name="\d">#REF!</definedName>
    <definedName name="\e">#REF!</definedName>
    <definedName name="\i">#REF!</definedName>
    <definedName name="\M">#REF!</definedName>
    <definedName name="\s">#REF!</definedName>
    <definedName name="\u">#REF!</definedName>
    <definedName name="_">#REF!</definedName>
    <definedName name="_____________________________________________PL1">#REF!</definedName>
    <definedName name="_____________________________________________PL2">#REF!</definedName>
    <definedName name="____________________________________________PL1">#REF!</definedName>
    <definedName name="____________________________________________PL2">#REF!</definedName>
    <definedName name="__________________________NEW2">#REF!</definedName>
    <definedName name="_________________________NEW2">#REF!</definedName>
    <definedName name="____________________DAT1">#REF!</definedName>
    <definedName name="____________________DAT10">#REF!</definedName>
    <definedName name="____________________DAT11">#REF!</definedName>
    <definedName name="____________________DAT2">#REF!</definedName>
    <definedName name="____________________DAT3">#REF!</definedName>
    <definedName name="____________________DAT4">#REF!</definedName>
    <definedName name="____________________DAT5">#REF!</definedName>
    <definedName name="____________________DAT6">#REF!</definedName>
    <definedName name="____________________DAT7">#REF!</definedName>
    <definedName name="____________________DAT8">#REF!</definedName>
    <definedName name="____________________DAT9">#REF!</definedName>
    <definedName name="____________________PL2">#REF!</definedName>
    <definedName name="____________________PR1">#N/A</definedName>
    <definedName name="____________________PR2">#N/A</definedName>
    <definedName name="___________________DAT1">#REF!</definedName>
    <definedName name="___________________DAT10">#REF!</definedName>
    <definedName name="___________________DAT11">#REF!</definedName>
    <definedName name="___________________DAT2">#REF!</definedName>
    <definedName name="___________________DAT3">#REF!</definedName>
    <definedName name="___________________DAT4">#REF!</definedName>
    <definedName name="___________________DAT5">#REF!</definedName>
    <definedName name="___________________DAT6">#REF!</definedName>
    <definedName name="___________________DAT7">#REF!</definedName>
    <definedName name="___________________DAT8">#REF!</definedName>
    <definedName name="___________________DAT9">#REF!</definedName>
    <definedName name="___________________PR1">#N/A</definedName>
    <definedName name="___________________PR2">#N/A</definedName>
    <definedName name="__________________DAT1">#REF!</definedName>
    <definedName name="__________________DAT10">#REF!</definedName>
    <definedName name="__________________DAT11">#REF!</definedName>
    <definedName name="__________________DAT2">#REF!</definedName>
    <definedName name="__________________DAT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DAT9">#REF!</definedName>
    <definedName name="__________________PR1">#N/A</definedName>
    <definedName name="__________________PR2">#N/A</definedName>
    <definedName name="_________________DAT1">#REF!</definedName>
    <definedName name="_________________DAT10">#REF!</definedName>
    <definedName name="_________________DAT11">#REF!</definedName>
    <definedName name="_________________DAT2">#REF!</definedName>
    <definedName name="_________________DAT3">#REF!</definedName>
    <definedName name="_________________DAT4">#REF!</definedName>
    <definedName name="_________________DAT5">#REF!</definedName>
    <definedName name="_________________DAT6">#REF!</definedName>
    <definedName name="_________________DAT7">#REF!</definedName>
    <definedName name="_________________DAT8">#REF!</definedName>
    <definedName name="_________________DAT9">#REF!</definedName>
    <definedName name="_________________PR1">#N/A</definedName>
    <definedName name="_________________PR2">#N/A</definedName>
    <definedName name="________________DAT1">#REF!</definedName>
    <definedName name="________________DAT10">#REF!</definedName>
    <definedName name="________________DAT11">#REF!</definedName>
    <definedName name="________________DAT2">#REF!</definedName>
    <definedName name="________________DAT3">#REF!</definedName>
    <definedName name="________________DAT4">#REF!</definedName>
    <definedName name="________________DAT5">#REF!</definedName>
    <definedName name="________________DAT6">#REF!</definedName>
    <definedName name="________________DAT7">#REF!</definedName>
    <definedName name="________________DAT8">#REF!</definedName>
    <definedName name="________________DAT9">#REF!</definedName>
    <definedName name="________________PR1">#N/A</definedName>
    <definedName name="________________PR2">#N/A</definedName>
    <definedName name="_______________DAT1">#REF!</definedName>
    <definedName name="_______________DAT10">#REF!</definedName>
    <definedName name="_______________DAT11">#REF!</definedName>
    <definedName name="_______________DAT2">#REF!</definedName>
    <definedName name="_______________DAT3">#REF!</definedName>
    <definedName name="_______________DAT4">#REF!</definedName>
    <definedName name="_______________DAT5">#REF!</definedName>
    <definedName name="_______________DAT6">#REF!</definedName>
    <definedName name="_______________DAT7">#REF!</definedName>
    <definedName name="_______________DAT8">#REF!</definedName>
    <definedName name="_______________DAT9">#REF!</definedName>
    <definedName name="_______________PR1">#N/A</definedName>
    <definedName name="_______________PR2">#N/A</definedName>
    <definedName name="______________DAT1">#REF!</definedName>
    <definedName name="______________DAT10">#REF!</definedName>
    <definedName name="______________DAT11">#REF!</definedName>
    <definedName name="______________DAT2">#REF!</definedName>
    <definedName name="______________DAT3">#REF!</definedName>
    <definedName name="______________DAT4">#REF!</definedName>
    <definedName name="______________DAT5">#REF!</definedName>
    <definedName name="______________DAT6">#REF!</definedName>
    <definedName name="______________DAT7">#REF!</definedName>
    <definedName name="______________DAT8">#REF!</definedName>
    <definedName name="______________DAT9">#REF!</definedName>
    <definedName name="______________PR1">#N/A</definedName>
    <definedName name="______________PR2">#N/A</definedName>
    <definedName name="_____________DAT1">#REF!</definedName>
    <definedName name="_____________DAT10">#REF!</definedName>
    <definedName name="_____________DAT11">#REF!</definedName>
    <definedName name="_____________DAT2">#REF!</definedName>
    <definedName name="_____________DAT3">#REF!</definedName>
    <definedName name="_____________DAT4">#REF!</definedName>
    <definedName name="_____________DAT5">#REF!</definedName>
    <definedName name="_____________DAT6">#REF!</definedName>
    <definedName name="_____________DAT7">#REF!</definedName>
    <definedName name="_____________DAT8">#REF!</definedName>
    <definedName name="_____________DAT9">#REF!</definedName>
    <definedName name="_____________PR1">#N/A</definedName>
    <definedName name="_____________PR2">#N/A</definedName>
    <definedName name="____________DAT1">#REF!</definedName>
    <definedName name="____________DAT10">#REF!</definedName>
    <definedName name="____________DAT11">#REF!</definedName>
    <definedName name="____________DAT2">#REF!</definedName>
    <definedName name="____________DAT3">#REF!</definedName>
    <definedName name="____________DAT4">#REF!</definedName>
    <definedName name="____________DAT5">#REF!</definedName>
    <definedName name="____________DAT6">#REF!</definedName>
    <definedName name="____________DAT7">#REF!</definedName>
    <definedName name="____________DAT8">#REF!</definedName>
    <definedName name="____________DAT9">#REF!</definedName>
    <definedName name="____________PR1">#N/A</definedName>
    <definedName name="____________PR2">#N/A</definedName>
    <definedName name="___________DAT1">#REF!</definedName>
    <definedName name="___________DAT10">#REF!</definedName>
    <definedName name="___________DAT11">#REF!</definedName>
    <definedName name="___________DAT2">#REF!</definedName>
    <definedName name="___________DAT3">#REF!</definedName>
    <definedName name="___________DAT4">#REF!</definedName>
    <definedName name="___________DAT5">#REF!</definedName>
    <definedName name="___________DAT6">#REF!</definedName>
    <definedName name="___________DAT7">#REF!</definedName>
    <definedName name="___________DAT8">#REF!</definedName>
    <definedName name="___________DAT9">#REF!</definedName>
    <definedName name="___________PR1">#N/A</definedName>
    <definedName name="___________PR2">#N/A</definedName>
    <definedName name="__________DAT1">#REF!</definedName>
    <definedName name="__________DAT10">#REF!</definedName>
    <definedName name="__________DAT11">#REF!</definedName>
    <definedName name="__________DAT2">#REF!</definedName>
    <definedName name="__________DAT3">#REF!</definedName>
    <definedName name="__________DAT4">#REF!</definedName>
    <definedName name="__________DAT5">#REF!</definedName>
    <definedName name="__________DAT6">#REF!</definedName>
    <definedName name="__________DAT7">#REF!</definedName>
    <definedName name="__________DAT8">#REF!</definedName>
    <definedName name="__________DAT9">#REF!</definedName>
    <definedName name="__________PR1">#N/A</definedName>
    <definedName name="__________PR2">#N/A</definedName>
    <definedName name="_________DAT1">#REF!</definedName>
    <definedName name="_________DAT10">#REF!</definedName>
    <definedName name="_________DAT11">#REF!</definedName>
    <definedName name="_________DAT2">#REF!</definedName>
    <definedName name="_________DAT3">#REF!</definedName>
    <definedName name="_________DAT4">#REF!</definedName>
    <definedName name="_________DAT5">#REF!</definedName>
    <definedName name="_________DAT6">#REF!</definedName>
    <definedName name="_________DAT7">#REF!</definedName>
    <definedName name="_________DAT8">#REF!</definedName>
    <definedName name="_________DAT9">#REF!</definedName>
    <definedName name="_________PR1">#N/A</definedName>
    <definedName name="_________PR2">#N/A</definedName>
    <definedName name="________DAT1">#REF!</definedName>
    <definedName name="________DAT10">#REF!</definedName>
    <definedName name="________DAT11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PR1">#N/A</definedName>
    <definedName name="________PR2">#N/A</definedName>
    <definedName name="_______DAT1">#REF!</definedName>
    <definedName name="_______DAT10">#REF!</definedName>
    <definedName name="_______DAT11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R1">#N/A</definedName>
    <definedName name="_______PR2">#N/A</definedName>
    <definedName name="______DAT1">#REF!</definedName>
    <definedName name="______DAT10">#REF!</definedName>
    <definedName name="______DAT11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R1">#N/A</definedName>
    <definedName name="______PR2">#N/A</definedName>
    <definedName name="_____DAT1">#REF!</definedName>
    <definedName name="_____DAT10">#REF!</definedName>
    <definedName name="_____DAT11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NEW1">#REF!</definedName>
    <definedName name="_____NEW2">#REF!</definedName>
    <definedName name="_____PL1">#REF!</definedName>
    <definedName name="_____PL2">#REF!</definedName>
    <definedName name="_____PR1">#N/A</definedName>
    <definedName name="_____PR2">#N/A</definedName>
    <definedName name="____DAT1">#REF!</definedName>
    <definedName name="____DAT10">#REF!</definedName>
    <definedName name="____DAT11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R1">#N/A</definedName>
    <definedName name="____PR2">#N/A</definedName>
    <definedName name="___DAT1">#REF!</definedName>
    <definedName name="___DAT10">#REF!</definedName>
    <definedName name="___DAT11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IV70000">#REF!</definedName>
    <definedName name="___IV77777">#REF!</definedName>
    <definedName name="___PR1">#N/A</definedName>
    <definedName name="___PR2">#N/A</definedName>
    <definedName name="___PS1">#REF!</definedName>
    <definedName name="___PS2">#REF!</definedName>
    <definedName name="__DAT1">#REF!</definedName>
    <definedName name="__DAT10">#REF!</definedName>
    <definedName name="__DAT1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ESTATE">#REF!</definedName>
    <definedName name="__IV70000">#REF!</definedName>
    <definedName name="__IV77777">#REF!</definedName>
    <definedName name="__PR1">#N/A</definedName>
    <definedName name="__PR2">#N/A</definedName>
    <definedName name="__PS1">#REF!</definedName>
    <definedName name="__PS2">#REF!</definedName>
    <definedName name="_1">#N/A</definedName>
    <definedName name="_1_____Module1_.Macro1">#REF!</definedName>
    <definedName name="_10">#N/A</definedName>
    <definedName name="_10_____Module1_.Macro1">#REF!</definedName>
    <definedName name="_100___Module1_.Macro1">#REF!</definedName>
    <definedName name="_11">#N/A</definedName>
    <definedName name="_11_____Module1_.Macro1">#REF!</definedName>
    <definedName name="_117____Module1_.Macro1">#REF!</definedName>
    <definedName name="_12______Module1_.Macro1">#REF!</definedName>
    <definedName name="_13______Module1_.Macro1">#REF!</definedName>
    <definedName name="_139____Module1_.Macro1">#REF!</definedName>
    <definedName name="_14_______Module1_.Macro1">#REF!</definedName>
    <definedName name="_15_______Module1_.Macro1">#REF!</definedName>
    <definedName name="_152_____Module1_.Macro1">#REF!</definedName>
    <definedName name="_16________Module1_.Macro1">#REF!</definedName>
    <definedName name="_165______Module1_.Macro1">#REF!</definedName>
    <definedName name="_17________Module1_.Macro1">#REF!</definedName>
    <definedName name="_178_______Module1_.Macro1">#REF!</definedName>
    <definedName name="_18_________Module1_.Macro1">#REF!</definedName>
    <definedName name="_18______Module1_.Macro1">#REF!</definedName>
    <definedName name="_19_________Module1_.Macro1">#REF!</definedName>
    <definedName name="_191________Module1_.Macro1">#REF!</definedName>
    <definedName name="_1Module1_.Macro1">#REF!</definedName>
    <definedName name="_2">#N/A</definedName>
    <definedName name="_2______Module1_.Macro1">#REF!</definedName>
    <definedName name="_20__________Module1_.Macro1">#REF!</definedName>
    <definedName name="_204_________Module1_.Macro1">#REF!</definedName>
    <definedName name="_21__________Module1_.Macro1">#REF!</definedName>
    <definedName name="_217__________Module1_.Macro1">#REF!</definedName>
    <definedName name="_22____________Module1_.Macro1">#REF!</definedName>
    <definedName name="_22Module1_.Macro1">#REF!</definedName>
    <definedName name="_23____________Module1_.Macro1">#REF!</definedName>
    <definedName name="_230____________Module1_.Macro1">#REF!</definedName>
    <definedName name="_24______________Module1_.Macro1">#REF!</definedName>
    <definedName name="_243______________Module1_.Macro1">#REF!</definedName>
    <definedName name="_25______________Module1_.Macro1">#REF!</definedName>
    <definedName name="_256________________Module1_.Macro1">#REF!</definedName>
    <definedName name="_26________________Module1_.Macro1">#REF!</definedName>
    <definedName name="_27________________Module1_.Macro1">#REF!</definedName>
    <definedName name="_27_______Module1_.Macro1">#REF!</definedName>
    <definedName name="_27Module1_.Macro1">#REF!</definedName>
    <definedName name="_2Module1_.Macro1">#REF!</definedName>
    <definedName name="_3">#N/A</definedName>
    <definedName name="_3_______Module1_.Macro1">#REF!</definedName>
    <definedName name="_3__Module1_.Macro1">#REF!</definedName>
    <definedName name="_36________Module1_.Macro1">#REF!</definedName>
    <definedName name="_3Module1_.Macro1">#REF!</definedName>
    <definedName name="_4">#N/A</definedName>
    <definedName name="_4________Module1_.Macro1">#REF!</definedName>
    <definedName name="_4__Module1_.Macro1">#REF!</definedName>
    <definedName name="_45_________Module1_.Macro1">#REF!</definedName>
    <definedName name="_5">#N/A</definedName>
    <definedName name="_5_________Module1_.Macro1">#REF!</definedName>
    <definedName name="_5__Module1_.Macro1">#REF!</definedName>
    <definedName name="_54__________Module1_.Macro1">#REF!</definedName>
    <definedName name="_551">#REF!</definedName>
    <definedName name="_552">#REF!</definedName>
    <definedName name="_553">#REF!</definedName>
    <definedName name="_57__Module1_.Macro1">#REF!</definedName>
    <definedName name="_6">#N/A</definedName>
    <definedName name="_6__________Module1_.Macro1">#REF!</definedName>
    <definedName name="_6___Module1_.Macro1">#REF!</definedName>
    <definedName name="_61__Module1_.Macro1">#REF!</definedName>
    <definedName name="_63____________Module1_.Macro1">#REF!</definedName>
    <definedName name="_7">#N/A</definedName>
    <definedName name="_7____________Module1_.Macro1">#REF!</definedName>
    <definedName name="_7___Module1_.Macro1">#REF!</definedName>
    <definedName name="_72______________Module1_.Macro1">#REF!</definedName>
    <definedName name="_7Module1_.Macro1">#REF!</definedName>
    <definedName name="_8">#N/A</definedName>
    <definedName name="_8______________Module1_.Macro1">#REF!</definedName>
    <definedName name="_8____Module1_.Macro1">#REF!</definedName>
    <definedName name="_81________________Module1_.Macro1">#REF!</definedName>
    <definedName name="_87___Module1_.Macro1">#REF!</definedName>
    <definedName name="_9">#N/A</definedName>
    <definedName name="_9________________Module1_.Macro1">#REF!</definedName>
    <definedName name="_9_____Module1_.Macro1">#REF!</definedName>
    <definedName name="_9____Module1_.Macro1">#REF!</definedName>
    <definedName name="_Bal2">#REF!</definedName>
    <definedName name="_DAT1">#REF!</definedName>
    <definedName name="_DAT10">#REF!</definedName>
    <definedName name="_DAT1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st_Values" hidden="1">#REF!</definedName>
    <definedName name="_Fill" hidden="1">#REF!</definedName>
    <definedName name="_ilg1">#REF!</definedName>
    <definedName name="_imt2">#REF!</definedName>
    <definedName name="_int2">#REF!</definedName>
    <definedName name="_IV70000">#REF!</definedName>
    <definedName name="_IV77777">#REF!</definedName>
    <definedName name="_Key1" hidden="1">#REF!</definedName>
    <definedName name="_LB1">#REF!</definedName>
    <definedName name="_NEW1">#REF!</definedName>
    <definedName name="_NEW2">#REF!</definedName>
    <definedName name="_no1">#REF!</definedName>
    <definedName name="_no2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L1">#REF!</definedName>
    <definedName name="_PL2">#REF!</definedName>
    <definedName name="_PR1">#N/A</definedName>
    <definedName name="_PR2">#N/A</definedName>
    <definedName name="_PRJ_SHEET_">#REF!</definedName>
    <definedName name="_ps3">#REF!</definedName>
    <definedName name="_Regression_Int" hidden="1">1</definedName>
    <definedName name="_Sort" hidden="1">#REF!</definedName>
    <definedName name="A">#N/A</definedName>
    <definedName name="aa" hidden="1">#REF!</definedName>
    <definedName name="aaa">#REF!</definedName>
    <definedName name="aaaa">#REF!</definedName>
    <definedName name="AAAAA">#REF!</definedName>
    <definedName name="Aasta">#REF!</definedName>
    <definedName name="ab">#REF!</definedName>
    <definedName name="About_AI">#REF!</definedName>
    <definedName name="About_AI_Summ">#REF!</definedName>
    <definedName name="ADD">#REF!</definedName>
    <definedName name="adj">#REF!</definedName>
    <definedName name="adj_eqty">#REF!</definedName>
    <definedName name="adsf">#REF!</definedName>
    <definedName name="ADV">#REF!</definedName>
    <definedName name="aewf">#REF!</definedName>
    <definedName name="AI">#REF!</definedName>
    <definedName name="AI_Version">#REF!</definedName>
    <definedName name="akc">#REF!</definedName>
    <definedName name="AkcijuPok">#REF!</definedName>
    <definedName name="akcininku">#REF!</definedName>
    <definedName name="AM">#REF!</definedName>
    <definedName name="APMI">#REF!</definedName>
    <definedName name="APMlik">#REF!</definedName>
    <definedName name="APMS">#REF!</definedName>
    <definedName name="APMT">#REF!</definedName>
    <definedName name="APMTBendr">#REF!</definedName>
    <definedName name="APMTI">#REF!</definedName>
    <definedName name="AR_allowance_2008">#REF!</definedName>
    <definedName name="AREA">#REF!</definedName>
    <definedName name="as">#REF!</definedName>
    <definedName name="AS2DocOpenMode" hidden="1">"AS2DocumentBrowse"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COCP">#REF!</definedName>
    <definedName name="asd">#REF!</definedName>
    <definedName name="asdddvas">#REF!</definedName>
    <definedName name="asdf">#REF!</definedName>
    <definedName name="asdzze4">#REF!</definedName>
    <definedName name="asob">#REF!</definedName>
    <definedName name="asoc">#REF!</definedName>
    <definedName name="asoc2">#REF!</definedName>
    <definedName name="asoc3">#REF!</definedName>
    <definedName name="asoc4">#REF!</definedName>
    <definedName name="AsocB">#REF!</definedName>
    <definedName name="AsocBe">#REF!</definedName>
    <definedName name="AsocGr">#REF!</definedName>
    <definedName name="Asocijuota_įmonė">#REF!</definedName>
    <definedName name="AsocLikBendr">#REF!</definedName>
    <definedName name="AsocLikGr">#REF!</definedName>
    <definedName name="AsocPok">#REF!</definedName>
    <definedName name="AsocPokS">#REF!</definedName>
    <definedName name="ass">#REF!</definedName>
    <definedName name="asset_count_1">#REF!</definedName>
    <definedName name="asset_count_2">#REF!</definedName>
    <definedName name="asset_count_3">#REF!</definedName>
    <definedName name="asso_1">#REF!</definedName>
    <definedName name="asso_2">#REF!</definedName>
    <definedName name="Atsargos_tr">#REF!</definedName>
    <definedName name="atsargos08">#REF!</definedName>
    <definedName name="AtTIGTV">#REF!</definedName>
    <definedName name="awe">#REF!</definedName>
    <definedName name="B">#N/A</definedName>
    <definedName name="balansas1">#REF!</definedName>
    <definedName name="balansas1d">#REF!</definedName>
    <definedName name="balansas2">#REF!</definedName>
    <definedName name="balansus">#REF!</definedName>
    <definedName name="BalSus">#REF!</definedName>
    <definedName name="Bank_Pask_Term">#REF!</definedName>
    <definedName name="bankai">#REF!</definedName>
    <definedName name="BBBBB">#REF!</definedName>
    <definedName name="benilg">#REF!</definedName>
    <definedName name="BG" hidden="1">#REF!</definedName>
    <definedName name="BG_Del" hidden="1">15</definedName>
    <definedName name="BG_Ins" hidden="1">4</definedName>
    <definedName name="BG_Mod" hidden="1">6</definedName>
    <definedName name="BLB">#REF!</definedName>
    <definedName name="bm">#REF!</definedName>
    <definedName name="Bodyweight">#REF!</definedName>
    <definedName name="BS">#REF!</definedName>
    <definedName name="bs_1">#REF!</definedName>
    <definedName name="bs_1eq">#REF!</definedName>
    <definedName name="bs_2">#REF!</definedName>
    <definedName name="bs_2eq">#REF!</definedName>
    <definedName name="bs_3">#REF!</definedName>
    <definedName name="bs_4">#REF!</definedName>
    <definedName name="BS_PL">#REF!</definedName>
    <definedName name="BTI">#REF!</definedName>
    <definedName name="BUSINESS">#REF!</definedName>
    <definedName name="C_">#N/A</definedName>
    <definedName name="CalcMethod">#REF!</definedName>
    <definedName name="Cash_At_End">#REF!</definedName>
    <definedName name="Ccy">#REF!</definedName>
    <definedName name="cdsInput_YYMM" hidden="1">#N/A</definedName>
    <definedName name="cdsTitle_COMPNA" hidden="1">#N/A</definedName>
    <definedName name="cdsTitle_COND" hidden="1">#N/A</definedName>
    <definedName name="cdsTitle_REPID" hidden="1">#N/A</definedName>
    <definedName name="cdsTitle_REPTIME" hidden="1">#N/A</definedName>
    <definedName name="cdsTitle_REPTITLE" hidden="1">#N/A</definedName>
    <definedName name="cf">#REF!</definedName>
    <definedName name="cfgjcfjcfj">#REF!</definedName>
    <definedName name="cfyhv">#REF!</definedName>
    <definedName name="Check">#REF!</definedName>
    <definedName name="CIQWBGuid" hidden="1">"01a9e372-0e97-465a-bcc0-a6998dad97d4"</definedName>
    <definedName name="cjdtxdtfhxzg">#REF!</definedName>
    <definedName name="class">#REF!</definedName>
    <definedName name="code">#REF!</definedName>
    <definedName name="COMP_LAST_COLUMN">#REF!</definedName>
    <definedName name="COMPANY">#REF!</definedName>
    <definedName name="Conv">#REF!</definedName>
    <definedName name="cost">#REF!</definedName>
    <definedName name="Count_Personnel_4">#REF!</definedName>
    <definedName name="CRA">#REF!</definedName>
    <definedName name="CUR_Foreign">#REF!</definedName>
    <definedName name="CUR_I_Foreign">#REF!</definedName>
    <definedName name="CUR_I_Main">#REF!</definedName>
    <definedName name="CUR_I_Report">#REF!</definedName>
    <definedName name="CUR_Main">#REF!</definedName>
    <definedName name="CUR_Report">#REF!</definedName>
    <definedName name="CurrencyRate">#REF!</definedName>
    <definedName name="Custom">#REF!</definedName>
    <definedName name="cv">#REF!</definedName>
    <definedName name="cvh">#REF!</definedName>
    <definedName name="cx">#REF!</definedName>
    <definedName name="cxgh">#REF!</definedName>
    <definedName name="d">#REF!</definedName>
    <definedName name="dads">#REF!</definedName>
    <definedName name="dang">#REF!</definedName>
    <definedName name="data">#REF!</definedName>
    <definedName name="DATA1">#REF!</definedName>
    <definedName name="DataSet_BalticICP">#REF!</definedName>
    <definedName name="DataSet_CloseExDiff">#REF!</definedName>
    <definedName name="DataSet_IC_PL">#REF!</definedName>
    <definedName name="DataSet_ICP">#REF!</definedName>
    <definedName name="date">#REF!</definedName>
    <definedName name="DD" hidden="1">{"'Test'!$B$2:$H$6","'Test'!$B$2:$H$23"}</definedName>
    <definedName name="ddas">#REF!</definedName>
    <definedName name="dddd">#REF!</definedName>
    <definedName name="dddddd">#REF!</definedName>
    <definedName name="ddddddd">#REF!</definedName>
    <definedName name="dekt">#REF!</definedName>
    <definedName name="Delivery">#REF!</definedName>
    <definedName name="Design">#REF!</definedName>
    <definedName name="dfg">#REF!</definedName>
    <definedName name="dfjg">#REF!</definedName>
    <definedName name="dg">#REF!</definedName>
    <definedName name="dircost">#REF!</definedName>
    <definedName name="DKK_AVE">#REF!</definedName>
    <definedName name="DKK_END">#REF!</definedName>
    <definedName name="DKK_OB">#REF!</definedName>
    <definedName name="dngfb">#REF!</definedName>
    <definedName name="DownP20">#REF!</definedName>
    <definedName name="draud2">#REF!</definedName>
    <definedName name="drt">#REF!</definedName>
    <definedName name="dryt">#REF!</definedName>
    <definedName name="ds">#REF!</definedName>
    <definedName name="dssssssss">#REF!</definedName>
    <definedName name="dukt1">#REF!</definedName>
    <definedName name="dxrgh">#REF!</definedName>
    <definedName name="dxtfh">#REF!</definedName>
    <definedName name="dzhfc">#REF!</definedName>
    <definedName name="E">#N/A</definedName>
    <definedName name="EndDate" hidden="1">#REF!</definedName>
    <definedName name="Eng_Survey">#REF!</definedName>
    <definedName name="EPMWorkbookOptions_1" hidden="1">"H1QAAB|LCAAAAAAABADtnG1vokoUgL9vsv/B|F2ZAQVtqBtEbblRMILb2zQNQRm3ZBW8QGv77||Irwh2tZdrHCDZbOycM4fDw5lzZngZ/sf7bFp4Q65nOfZtEZZBsYDssWNa9q/b4qs/KUG2|KPx/Rv/4Li/R47zW5n7WNUr4H62d/PuWbfFF9|f31DUYrEoL5iy4/6iaAAg9Xevq45f0MwoWbbnG/YYFbe9zD/3KuKjFgq86Ng2Gi|PqTniq|s"</definedName>
    <definedName name="EPMWorkbookOptions_2" hidden="1">"i2/9poUUgDIlbhm|sW3G7bMzQ6mjbI/loNn91reBQQw|5fRdNELY3RmXsULGhd/o9vdkX5QcI9Kd1J1iny5CtlSFXL8MquKkBSFOeMadG8zH1rD|J/c7yf0zEmVqmsXQE/z0xph565qmlFzufhPl8ao2NPX4n|7axEbay17w|5UbIkwMHVsB2DAvUUdG9ZZrIblkzZHuBu8dVd656IR2spb44i60N0Zk6bsN3XxFPxQg|6xqcRUzPyNmtO2IIPn"</definedName>
    <definedName name="EPMWorkbookOptions_3" hidden="1">"r3O8ab41o|9iu4HqvOEdkJ/TuW6/l7DsTLDwxtvTwO6FStfb2hbf3zioIzF0RRGcoaT8UJP7OxIo6HdhVApgb3DMRdi6Cv4prIbQCeWv2Ite7Np8ZH33XmyPU/GrDKVidoNClVWbNSqtCTeqlWRagEDERXzBFX4UbM8sjhXjGGu4bnq2iKRzkye2g2wskqRi0clLEKWGXVfw/T0xric/mpLwzasnYP8c|7Qb|p4vEbUT9i9t5CruGOXz52qgWcG"</definedName>
    <definedName name="EPMWorkbookOptions_4" hidden="1">"m9sa3pbXMZN8WAAfX5lT|vLU3864WSJyFJOJEwEAghBDiUMhQF0DuUQiiaQToSnTsnDe6Xk/yt7rZbeamuC1IVfL30AVGoAnF75YAor345jOF6FblfHwkCU3Sp4lE5LlxW5TTqXKxrPstB91CTxy4OZYarVSqVy|mCmUziY1xDDsSoqsqpvRYRHbLJoZCUHEwtGFbod4mcrySLpDwfkI7mihD9sSZrU|nK|ZzkIajXu9HzPnJHvK1ydoScVtjTi"</definedName>
    <definedName name="EPMWorkbookOptions_5" hidden="1">"RhDne8CVRmydKZn1CWfAmmEYyLyGfL9iGJm4Be2kh2qiUFShD0B2F6RxSCRRARleo8cikXGUwBxJaIakpmDgXE/Zaw7xXHzQFv7LTQuWZZgz7lpU0rfQ2VCM3rLAEtKDNVkoTUGnq9lNasehsIDOoUShsDmUKBTih8/1FEBR0Np3yuDxgg|sq|krgBuKBwVQ1IZCN4/VWDe/EquKqinNv9riJV|vYFMYrVuO0QnbWkZ60CaNRmurmb2Dc4yJiBv"</definedName>
    <definedName name="EPMWorkbookOptions_6" hidden="1">"zx26JZjiMVtIuWYu59GW3FcNwqHIM8VPGRHHQOY79R0n68o3hHMguPiCX49jhYOs10nFcT4nrdJWHCxa4WvoK3JJgOEA79Xqd9AhNkEYKnpAkSEOFxMfG9WSvu4Ey7KsXzF/19OWvFcOD17FFDf9sD0iP1ESZpGFtnWyQZHeafoQH8fFxPaldWuYfUblgbofnfLpHyDtwa4rRG8sbAeHxmigXnM9yLjFcJB2SP2lNmEiWJwNHkLAc8eu86yl/g7"</definedName>
    <definedName name="EPMWorkbookOptions_7" hidden="1">"4mDgeYrnjJ5w8whd/w7ZHEYYr/DdUW6XGaGItuZr/siaDQ7ps5izWLzkNLVGTScVxPNtekXvuSafycrzcJWcksEYZnHDSAbDm7b2QeA5LZmfoxIEwOJAREUzTyX4NMlAlThsS/7X49xa7XFtThoH3JxzLwnM9XCVm3bDCuZmSPWmYXLREQuirdyS0h3zDoPKWQN/FKPBW3dWKodaOOrUX3ldxvjO5FyQ/QxEXei2Irc2RvdhwMNwZ64hQZ7tKoY"</definedName>
    <definedName name="EPMWorkbookOptions_8" hidden="1">"qvGG9poHjYHuptNN/FA9QOMG|2oIKy/MNdXjZe8n4ZrGaMp6iH3185CpP37t53Z9SafjX8Bp3ziTR9UAAA="</definedName>
    <definedName name="eqty_total">#REF!</definedName>
    <definedName name="EST_BALANCE">#REF!</definedName>
    <definedName name="EST_DATA">#REF!</definedName>
    <definedName name="EST_FROM">#REF!</definedName>
    <definedName name="EST_NumStages">#REF!</definedName>
    <definedName name="EST_Obj_1">#REF!</definedName>
    <definedName name="EST_Obj_10">#REF!</definedName>
    <definedName name="EST_Obj_2">#REF!</definedName>
    <definedName name="EST_Obj_3">#REF!</definedName>
    <definedName name="EST_Obj_4">#REF!</definedName>
    <definedName name="EST_Obj_5">#REF!</definedName>
    <definedName name="EST_Obj_6">#REF!</definedName>
    <definedName name="EST_Obj_7">#REF!</definedName>
    <definedName name="EST_Obj_8">#REF!</definedName>
    <definedName name="EST_Obj_9">#REF!</definedName>
    <definedName name="EST_ProdNum">#REF!</definedName>
    <definedName name="EST_SQUARE">#REF!</definedName>
    <definedName name="EUR_AVE">#REF!</definedName>
    <definedName name="EUR_END">#REF!</definedName>
    <definedName name="EUR_OB">#REF!</definedName>
    <definedName name="Euro">#REF!</definedName>
    <definedName name="Euro_EX_rate">#REF!</definedName>
    <definedName name="Excel_BuiltIn_Print_Titles_2">#REF!</definedName>
    <definedName name="expectus">#REF!</definedName>
    <definedName name="Expertize">#REF!</definedName>
    <definedName name="Export">#REF!</definedName>
    <definedName name="F">#N/A</definedName>
    <definedName name="F.D.">#REF!</definedName>
    <definedName name="FeedList">#REF!</definedName>
    <definedName name="Fence">#REF!</definedName>
    <definedName name="ff">#REF!</definedName>
    <definedName name="ffffff">#REF!</definedName>
    <definedName name="ffghg">#REF!</definedName>
    <definedName name="fg">#REF!</definedName>
    <definedName name="fgnjh">#REF!</definedName>
    <definedName name="fgy">#REF!</definedName>
    <definedName name="Fil">#REF!</definedName>
    <definedName name="finansine">#REF!</definedName>
    <definedName name="FinVeiklSan">#REF!</definedName>
    <definedName name="Fire_tank_100">#REF!</definedName>
    <definedName name="FL">#REF!</definedName>
    <definedName name="fskol">#REF!</definedName>
    <definedName name="ftyk">#REF!</definedName>
    <definedName name="fyh">#REF!</definedName>
    <definedName name="fyku">#REF!</definedName>
    <definedName name="fytj">#REF!</definedName>
    <definedName name="G">#N/A</definedName>
    <definedName name="gadi">#REF!</definedName>
    <definedName name="Gautos_Paskolos">#REF!</definedName>
    <definedName name="gexp_count_1">#REF!</definedName>
    <definedName name="gexp_count_2">#REF!</definedName>
    <definedName name="gexp_count_3">#REF!</definedName>
    <definedName name="gexp_count_4">#REF!</definedName>
    <definedName name="gg">#REF!</definedName>
    <definedName name="gggggg">#REF!</definedName>
    <definedName name="ght">#REF!</definedName>
    <definedName name="gig">#REF!</definedName>
    <definedName name="grisip">#REF!</definedName>
    <definedName name="grup">#REF!</definedName>
    <definedName name="grupe">#REF!</definedName>
    <definedName name="grverte">#REF!</definedName>
    <definedName name="GS_ConPrice_t">#REF!</definedName>
    <definedName name="GS_EqPrice_fixed">#REF!</definedName>
    <definedName name="GS_EqPrice_t">#REF!</definedName>
    <definedName name="gvggggg">#REF!</definedName>
    <definedName name="h" hidden="1">#REF!</definedName>
    <definedName name="Height_Loans">#REF!</definedName>
    <definedName name="hh">#REF!</definedName>
    <definedName name="hhh">#REF!</definedName>
    <definedName name="hkj" hidden="1">#REF!</definedName>
    <definedName name="HTML_CodePage" hidden="1">874</definedName>
    <definedName name="HTML_Control" hidden="1">{"'Test'!$B$2:$H$6","'Test'!$B$2:$H$23"}</definedName>
    <definedName name="HTML_Description" hidden="1">""</definedName>
    <definedName name="HTML_Email" hidden="1">""</definedName>
    <definedName name="HTML_Header" hidden="1">"Test"</definedName>
    <definedName name="HTML_LastUpdate" hidden="1">"6/7/00"</definedName>
    <definedName name="HTML_LineAfter" hidden="1">FALSE</definedName>
    <definedName name="HTML_LineBefore" hidden="1">FALSE</definedName>
    <definedName name="HTML_Name" hidden="1">"CP-GROUP"</definedName>
    <definedName name="HTML_OBDlg2" hidden="1">TRUE</definedName>
    <definedName name="HTML_OBDlg4" hidden="1">TRUE</definedName>
    <definedName name="HTML_OS" hidden="1">0</definedName>
    <definedName name="HTML_PathFile" hidden="1">"C:\SummO\MyHTML.htm"</definedName>
    <definedName name="HTML_PathFileMac" hidden="1">"Macintosh HD:HomePageStuff:New_Home_Page:datafile:ctryprem.html"</definedName>
    <definedName name="HTML_Title" hidden="1">"Agrot"</definedName>
    <definedName name="hxf">#REF!</definedName>
    <definedName name="ifrs71">#REF!</definedName>
    <definedName name="iiii">#REF!</definedName>
    <definedName name="ilgalaik">#REF!</definedName>
    <definedName name="ilgas1">#REF!</definedName>
    <definedName name="ilgp">#REF!</definedName>
    <definedName name="IlgPVal">#REF!</definedName>
    <definedName name="imt">#REF!</definedName>
    <definedName name="IMTats">#REF!</definedName>
    <definedName name="IMTBe">#REF!</definedName>
    <definedName name="IMTGr">#REF!</definedName>
    <definedName name="in">#REF!</definedName>
    <definedName name="int">#REF!</definedName>
    <definedName name="INTats">#REF!</definedName>
    <definedName name="INTatsk">#REF!</definedName>
    <definedName name="INTGr">#REF!</definedName>
    <definedName name="inv">#REF!</definedName>
    <definedName name="invcost">#REF!</definedName>
    <definedName name="InvD">#REF!</definedName>
    <definedName name="invdout">#REF!</definedName>
    <definedName name="invest">#REF!</definedName>
    <definedName name="InvestBe">#REF!</definedName>
    <definedName name="InvestPok">#REF!</definedName>
    <definedName name="InvIsig">#REF!</definedName>
    <definedName name="InvKitosGr">#REF!</definedName>
    <definedName name="InvNeties">#REF!</definedName>
    <definedName name="InvPokPal">#REF!</definedName>
    <definedName name="INX">#REF!</definedName>
    <definedName name="ioo">#REF!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42208.4884143519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rr">#REF!</definedName>
    <definedName name="irrout">#REF!</definedName>
    <definedName name="irrout2">#REF!</definedName>
    <definedName name="IS_DEMO">#REF!</definedName>
    <definedName name="IS_ESTATE">#REF!</definedName>
    <definedName name="IS_NULL">#REF!</definedName>
    <definedName name="IS_PRIM">#REF!</definedName>
    <definedName name="IS_SUMM">#REF!</definedName>
    <definedName name="IS_TRIAL">#REF!</definedName>
    <definedName name="ISAND">#REF!</definedName>
    <definedName name="IsTPGTV">#REF!</definedName>
    <definedName name="j">#REF!</definedName>
    <definedName name="JanToJun">#REF!,#REF!</definedName>
    <definedName name="jdjdjd">#REF!</definedName>
    <definedName name="jhwfjff">#REF!</definedName>
    <definedName name="jjjjjj">#REF!</definedName>
    <definedName name="jkh">#REF!</definedName>
    <definedName name="jukmg">#REF!</definedName>
    <definedName name="JulToDec">#REF!,#REF!</definedName>
    <definedName name="jxfyuh">#REF!</definedName>
    <definedName name="k">#REF!</definedName>
    <definedName name="KEY">#REF!</definedName>
    <definedName name="KFT">#REF!</definedName>
    <definedName name="KGS">#REF!</definedName>
    <definedName name="Kids">#REF!</definedName>
    <definedName name="kkkkk">#REF!</definedName>
    <definedName name="kR">#REF!</definedName>
    <definedName name="kRub">#REF!</definedName>
    <definedName name="Kuu">#REF!</definedName>
    <definedName name="L">#REF!</definedName>
    <definedName name="lack">#REF!</definedName>
    <definedName name="lackin">#REF!</definedName>
    <definedName name="LANGUAGE">#REF!</definedName>
    <definedName name="LanguageID">#REF!</definedName>
    <definedName name="LAST_COLUMN">#REF!</definedName>
    <definedName name="lb">#REF!</definedName>
    <definedName name="LD">#REF!</definedName>
    <definedName name="LE">#REF!</definedName>
    <definedName name="lease_count">#REF!</definedName>
    <definedName name="likv">#REF!</definedName>
    <definedName name="ListForSensAnal">#REF!</definedName>
    <definedName name="lizingai">#REF!</definedName>
    <definedName name="Lizingas">#REF!</definedName>
    <definedName name="loan_count">#REF!</definedName>
    <definedName name="Local">#REF!</definedName>
    <definedName name="lugis">#REF!</definedName>
    <definedName name="m">#REF!</definedName>
    <definedName name="m_2">#REF!</definedName>
    <definedName name="M_CC">#REF!</definedName>
    <definedName name="Macro001">#REF!</definedName>
    <definedName name="Macro002">#REF!</definedName>
    <definedName name="Macro003">#REF!</definedName>
    <definedName name="Macro004">#REF!</definedName>
    <definedName name="Macro005">#REF!</definedName>
    <definedName name="Macro1">#REF!</definedName>
    <definedName name="Macro10">#REF!</definedName>
    <definedName name="Macro11">#REF!</definedName>
    <definedName name="Macro111">#REF!</definedName>
    <definedName name="Macro12">#REF!</definedName>
    <definedName name="Macro15">#REF!</definedName>
    <definedName name="Macro2">#REF!</definedName>
    <definedName name="Macro4">#REF!</definedName>
    <definedName name="Macro6">#REF!</definedName>
    <definedName name="MacroS01">#REF!</definedName>
    <definedName name="MacroUP">#REF!</definedName>
    <definedName name="MacroUP01">#REF!</definedName>
    <definedName name="man">#REF!</definedName>
    <definedName name="mann">#REF!</definedName>
    <definedName name="mar">#REF!</definedName>
    <definedName name="market">#REF!</definedName>
    <definedName name="marketshare">#REF!</definedName>
    <definedName name="mat">#REF!</definedName>
    <definedName name="mEnist">#REF!</definedName>
    <definedName name="MENU">#REF!</definedName>
    <definedName name="minliz">#REF!</definedName>
    <definedName name="MM">#REF!</definedName>
    <definedName name="Module1.Macro1">#REF!</definedName>
    <definedName name="Module1.Macro111">#REF!</definedName>
    <definedName name="moketinos">#REF!</definedName>
    <definedName name="mon">#REF!</definedName>
    <definedName name="MONTH">#REF!</definedName>
    <definedName name="Month_name">#REF!</definedName>
    <definedName name="Msort.Msort">#REF!</definedName>
    <definedName name="muk">#REF!</definedName>
    <definedName name="mungkorn">#REF!</definedName>
    <definedName name="n">#REF!</definedName>
    <definedName name="ncffx">#REF!</definedName>
    <definedName name="nematb">#REF!</definedName>
    <definedName name="nematg">#REF!</definedName>
    <definedName name="Nepanaudotos_Pask">#REF!</definedName>
    <definedName name="New">#REF!</definedName>
    <definedName name="nhgcccgh">#REF!</definedName>
    <definedName name="nkp">#REF!</definedName>
    <definedName name="NKPA">#REF!</definedName>
    <definedName name="nkpa1">#REF!</definedName>
    <definedName name="nkpa2">#REF!</definedName>
    <definedName name="NKPAG1">#REF!</definedName>
    <definedName name="nnnn">#REF!</definedName>
    <definedName name="NNPP2PigProduction2">#REF!</definedName>
    <definedName name="NOK_AVE">#REF!</definedName>
    <definedName name="NOK_END">#REF!</definedName>
    <definedName name="NOK_OB">#REF!</definedName>
    <definedName name="npv">#REF!</definedName>
    <definedName name="npvd">#REF!</definedName>
    <definedName name="npvdout">#REF!</definedName>
    <definedName name="npvdout2">#REF!</definedName>
    <definedName name="npvout">#REF!</definedName>
    <definedName name="Nuostoliai">#REF!</definedName>
    <definedName name="NWC_T_Cr_AdvK">#REF!</definedName>
    <definedName name="NWC_T_Cr_AdvT">#REF!</definedName>
    <definedName name="NWC_T_Cr_CrdK">#REF!</definedName>
    <definedName name="NWC_T_Cr_CrdT">#REF!</definedName>
    <definedName name="NWC_T_Cycle">#REF!</definedName>
    <definedName name="NWC_T_Db_AdvK">#REF!</definedName>
    <definedName name="NWC_T_Db_AdvT">#REF!</definedName>
    <definedName name="NWC_T_Db_CrdK">#REF!</definedName>
    <definedName name="NWC_T_Db_CrdT">#REF!</definedName>
    <definedName name="NWC_T_Goods">#REF!</definedName>
    <definedName name="NWC_T_Mat">#REF!</definedName>
    <definedName name="optimus">#REF!</definedName>
    <definedName name="Other_Exp">#REF!</definedName>
    <definedName name="p">#REF!</definedName>
    <definedName name="pajam">#REF!</definedName>
    <definedName name="PalNR">#REF!</definedName>
    <definedName name="palriz">#REF!</definedName>
    <definedName name="pard">#REF!</definedName>
    <definedName name="PardPaj">#REF!</definedName>
    <definedName name="pask1">#REF!</definedName>
    <definedName name="PaskSutIlg">#REF!</definedName>
    <definedName name="paskVal">#REF!</definedName>
    <definedName name="Pay_70">#REF!</definedName>
    <definedName name="pb">#REF!</definedName>
    <definedName name="pelnas1">#REF!</definedName>
    <definedName name="pelnasnuost">#REF!</definedName>
    <definedName name="PerejimasB">#REF!</definedName>
    <definedName name="PerejimasB1">#REF!</definedName>
    <definedName name="PerejimasB2">#REF!</definedName>
    <definedName name="PerejimasG">#REF!</definedName>
    <definedName name="PerejimasG1">#REF!</definedName>
    <definedName name="PerejimasG2">#REF!</definedName>
    <definedName name="Perf10">#REF!</definedName>
    <definedName name="Perf20">#REF!</definedName>
    <definedName name="Perf25">#REF!</definedName>
    <definedName name="perf5">#REF!</definedName>
    <definedName name="Perf50">#REF!</definedName>
    <definedName name="PeriodTitle">#REF!</definedName>
    <definedName name="pers_count_1">#REF!</definedName>
    <definedName name="pers_count_2">#REF!</definedName>
    <definedName name="pers_count_3">#REF!</definedName>
    <definedName name="pers_count_4">#REF!</definedName>
    <definedName name="pessimus">#REF!</definedName>
    <definedName name="PI">#REF!</definedName>
    <definedName name="PirkSus">#REF!</definedName>
    <definedName name="pl">#REF!</definedName>
    <definedName name="pl_eq">#REF!</definedName>
    <definedName name="PL_LOC">#REF!</definedName>
    <definedName name="PL_PACK">#REF!</definedName>
    <definedName name="PL_TOT">#REF!</definedName>
    <definedName name="PL_XPO">#REF!</definedName>
    <definedName name="PMApsk">#REF!</definedName>
    <definedName name="PMsan">#REF!</definedName>
    <definedName name="PMsanK">#REF!</definedName>
    <definedName name="poo">#REF!</definedName>
    <definedName name="pop">#REF!</definedName>
    <definedName name="PORT_Consolidated_1">#REF!</definedName>
    <definedName name="PORT_PrjPeriods">#REF!</definedName>
    <definedName name="prekyb2">#REF!</definedName>
    <definedName name="Present">#REF!</definedName>
    <definedName name="Prestizas">#REF!</definedName>
    <definedName name="PrestJud7">#REF!</definedName>
    <definedName name="PrestPM">#REF!</definedName>
    <definedName name="PrestSkaic">#REF!</definedName>
    <definedName name="price">#REF!</definedName>
    <definedName name="pricein">#REF!</definedName>
    <definedName name="Print_Area_MI">#REF!</definedName>
    <definedName name="printsad">#REF!</definedName>
    <definedName name="PRJ_COUNT">#REF!</definedName>
    <definedName name="PRJ_Len">#REF!</definedName>
    <definedName name="PRJ_Name">#REF!</definedName>
    <definedName name="PRJ_Protected">#REF!</definedName>
    <definedName name="PRJ_StartDate">#REF!</definedName>
    <definedName name="PRJ_StartMon">#REF!</definedName>
    <definedName name="PRJ_StartYear">#REF!</definedName>
    <definedName name="PRJ_Step">#REF!</definedName>
    <definedName name="PRJ_Step_SName">#REF!</definedName>
    <definedName name="PRJ_StepType">#REF!</definedName>
    <definedName name="process">#REF!</definedName>
    <definedName name="prod">#REF!</definedName>
    <definedName name="prod_tbl_1">#REF!</definedName>
    <definedName name="prod_tbl_2">#REF!</definedName>
    <definedName name="prod_tbl_3">#REF!</definedName>
    <definedName name="prod_tbl_4">#REF!</definedName>
    <definedName name="ProdNum">#REF!</definedName>
    <definedName name="ProfitTax">#REF!</definedName>
    <definedName name="ProfitTax_Period">#REF!</definedName>
    <definedName name="psa">#REF!</definedName>
    <definedName name="q">#REF!</definedName>
    <definedName name="qqq" hidden="1">#REF!</definedName>
    <definedName name="Query1">#REF!</definedName>
    <definedName name="query2">#REF!</definedName>
    <definedName name="range">#REF!,#REF!,#REF!,#REF!,#REF!,#REF!,#REF!,#REF!,#REF!,#REF!</definedName>
    <definedName name="range_VPM">#REF!,#REF!,#REF!,#REF!,#REF!,#REF!,#REF!,#REF!,#REF!,#REF!</definedName>
    <definedName name="rate">#REF!</definedName>
    <definedName name="ratein">#REF!</definedName>
    <definedName name="regnbcvxdf">#REF!</definedName>
    <definedName name="RegNum">#REF!</definedName>
    <definedName name="Reorg">#REF!</definedName>
    <definedName name="res">#REF!</definedName>
    <definedName name="Reserve_10">#REF!</definedName>
    <definedName name="Reserve_5">#REF!</definedName>
    <definedName name="RestP10">#REF!</definedName>
    <definedName name="rfds">#REF!</definedName>
    <definedName name="Roads">#REF!</definedName>
    <definedName name="rsg">#REF!</definedName>
    <definedName name="RUB_AVE">#REF!</definedName>
    <definedName name="RUB_END">#REF!</definedName>
    <definedName name="RUB_OB">#REF!</definedName>
    <definedName name="Ruble">#REF!</definedName>
    <definedName name="SAL_LOC">#REF!</definedName>
    <definedName name="SAL_TOT">#REF!</definedName>
    <definedName name="SAL_XPO">#REF!</definedName>
    <definedName name="sale">#REF!</definedName>
    <definedName name="sales">#REF!</definedName>
    <definedName name="salesin">#REF!</definedName>
    <definedName name="sandoriaisus">#REF!</definedName>
    <definedName name="SAPBEXdnldView" hidden="1">"44DZMVUOR2LQP7MI1ZNK154DY"</definedName>
    <definedName name="SAPBEXrevision" hidden="1">1</definedName>
    <definedName name="SAPBEXsysID" hidden="1">"PW1"</definedName>
    <definedName name="SAPBEXwbID" hidden="1">"AP2863RVQ3K4VMA0V0ICWDRU0"</definedName>
    <definedName name="scens">#REF!</definedName>
    <definedName name="Score">#REF!</definedName>
    <definedName name="sdaf">#REF!</definedName>
    <definedName name="sdf">#REF!</definedName>
    <definedName name="SE">#REF!</definedName>
    <definedName name="Segm1">#REF!</definedName>
    <definedName name="SegmAM">#REF!</definedName>
    <definedName name="Segmentai08">#REF!</definedName>
    <definedName name="SegmPM">#REF!</definedName>
    <definedName name="SENS_Parameter">#REF!</definedName>
    <definedName name="SENS_Project">#REF!</definedName>
    <definedName name="SENS_Res1">#REF!</definedName>
    <definedName name="SENS_Res2">#REF!</definedName>
    <definedName name="SensForSumm">#REF!</definedName>
    <definedName name="sf">#REF!</definedName>
    <definedName name="sger">#REF!</definedName>
    <definedName name="ShowAbout">#REF!</definedName>
    <definedName name="ShowRealDates">#REF!</definedName>
    <definedName name="SIP">#REF!</definedName>
    <definedName name="SkolAkc">#REF!</definedName>
    <definedName name="Skolos_akcininkams">#REF!</definedName>
    <definedName name="SkolSus">#REF!</definedName>
    <definedName name="SMM_LOC">#REF!</definedName>
    <definedName name="SMM_TOT">#REF!</definedName>
    <definedName name="SMM_XPO">#REF!</definedName>
    <definedName name="ss">#REF!</definedName>
    <definedName name="ssfrffhg">#REF!</definedName>
    <definedName name="sss">#REF!</definedName>
    <definedName name="SsS_Bs">#REF!</definedName>
    <definedName name="SsS_pp">#REF!</definedName>
    <definedName name="ssss">#REF!</definedName>
    <definedName name="ssssss">#REF!</definedName>
    <definedName name="ssssssss">#REF!</definedName>
    <definedName name="statuss">#REF!</definedName>
    <definedName name="STD">#REF!</definedName>
    <definedName name="strategy">#REF!</definedName>
    <definedName name="SUM">#REF!</definedName>
    <definedName name="sumaz">#REF!</definedName>
    <definedName name="sumazej">#REF!</definedName>
    <definedName name="SUMM_LAST_COLUMN">#REF!</definedName>
    <definedName name="SUMM_PrjList">#REF!</definedName>
    <definedName name="susij">#REF!</definedName>
    <definedName name="susijbal">#REF!</definedName>
    <definedName name="susijesk">#REF!</definedName>
    <definedName name="T">#REF!</definedName>
    <definedName name="table">#REF!</definedName>
    <definedName name="Tbl_FIFO_STATUSS">#REF!</definedName>
    <definedName name="Tech_Sup">#REF!</definedName>
    <definedName name="TEST0">#REF!</definedName>
    <definedName name="TEST1">#REF!</definedName>
    <definedName name="TEST2">#REF!</definedName>
    <definedName name="TEST3">#REF!</definedName>
    <definedName name="TESTHKEY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RangeCount" hidden="1">8</definedName>
    <definedName name="TIT">#REF!</definedName>
    <definedName name="to">#REF!</definedName>
    <definedName name="TOT">#REF!</definedName>
    <definedName name="TOTAL">#REF!</definedName>
    <definedName name="TPGTV">#REF!</definedName>
    <definedName name="TRIAL_DATE">#REF!</definedName>
    <definedName name="TrMokSumos">#REF!</definedName>
    <definedName name="txdfhxfht">#REF!</definedName>
    <definedName name="Uniformity">#REF!</definedName>
    <definedName name="UserName">#REF!</definedName>
    <definedName name="uuuuuuu">#REF!</definedName>
    <definedName name="UVKR">#REF!</definedName>
    <definedName name="uyk">#REF!</definedName>
    <definedName name="vadov">#REF!</definedName>
    <definedName name="vadovai">#REF!</definedName>
    <definedName name="Val">#REF!</definedName>
    <definedName name="valiut">#REF!</definedName>
    <definedName name="valiutos">#REF!</definedName>
    <definedName name="VAT">#REF!</definedName>
    <definedName name="VAT_20">#REF!</definedName>
    <definedName name="VAT_OnAssets">#REF!</definedName>
    <definedName name="VAT_Period">#REF!</definedName>
    <definedName name="VAT_Repay">#REF!</definedName>
    <definedName name="vbhn" hidden="1">#REF!</definedName>
    <definedName name="vbhng">#REF!</definedName>
    <definedName name="vbmn">#REF!</definedName>
    <definedName name="veikla">#REF!</definedName>
    <definedName name="veiklos">#REF!</definedName>
    <definedName name="VeiklosNuoma">#REF!</definedName>
    <definedName name="VeiklosSan">#REF!</definedName>
    <definedName name="Ver_BuildDate">#REF!</definedName>
    <definedName name="Ver_ChangeDate">#REF!</definedName>
    <definedName name="VertSum">#REF!</definedName>
    <definedName name="VET">#REF!</definedName>
    <definedName name="vhjhfhj">#REF!</definedName>
    <definedName name="vj">#REF!</definedName>
    <definedName name="vnuom">#REF!</definedName>
    <definedName name="wa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ae">#REF!</definedName>
    <definedName name="we" hidden="1">#REF!</definedName>
    <definedName name="weafg">#REF!</definedName>
    <definedName name="werasw">#REF!</definedName>
    <definedName name="wrn.Financial._.Report.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hidden="1">{"Input_Fin",#N/A,FALSE,"By Code";"Input_Opt",#N/A,FALSE,"By Code"}</definedName>
    <definedName name="wrn.Operation._.Report.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www" hidden="1">#REF!</definedName>
    <definedName name="x">#N/A</definedName>
    <definedName name="xcv">#REF!</definedName>
    <definedName name="xdf">#REF!</definedName>
    <definedName name="xdfgxcygh">#REF!</definedName>
    <definedName name="xdfth">#REF!</definedName>
    <definedName name="xdh">#REF!</definedName>
    <definedName name="xdhf">#REF!</definedName>
    <definedName name="xfht">#REF!</definedName>
    <definedName name="xg">#REF!</definedName>
    <definedName name="xgh">#REF!</definedName>
    <definedName name="xhttxf">#REF!</definedName>
    <definedName name="xls">#REF!</definedName>
    <definedName name="XREF_COLUMN_10" hidden="1">#REF!</definedName>
    <definedName name="XREF_COLUMN_14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ColumnsCount" hidden="1">1</definedName>
    <definedName name="XRefCopy1" hidden="1">#REF!</definedName>
    <definedName name="XRefCopy2" hidden="1">#REF!</definedName>
    <definedName name="XRefCopy3" hidden="1">#REF!</definedName>
    <definedName name="XRefCopy4" hidden="1">#REF!</definedName>
    <definedName name="XRefCopy5" hidden="1">#REF!</definedName>
    <definedName name="XRefCopy6" hidden="1">#REF!</definedName>
    <definedName name="XRefCopy6Row" hidden="1">#REF!</definedName>
    <definedName name="XRefCopy7" hidden="1">#REF!</definedName>
    <definedName name="XRefCopy8" hidden="1">#REF!</definedName>
    <definedName name="XRefCopy9" hidden="1">#REF!</definedName>
    <definedName name="XRefCopy9Row" hidden="1">#REF!</definedName>
    <definedName name="XRefCopyRangeCount" hidden="1">1</definedName>
    <definedName name="XRefPaste10" hidden="1">#REF!</definedName>
    <definedName name="XRefPaste11" hidden="1">#REF!</definedName>
    <definedName name="XRefPaste12" hidden="1">#REF!</definedName>
    <definedName name="XRefPaste13" hidden="1">#REF!</definedName>
    <definedName name="XRefPaste16" hidden="1">#REF!</definedName>
    <definedName name="XRefPaste17" hidden="1">#REF!</definedName>
    <definedName name="XRefPaste18" hidden="1">#REF!</definedName>
    <definedName name="XRefPaste2" hidden="1">#REF!</definedName>
    <definedName name="XRefPaste5" hidden="1">#REF!</definedName>
    <definedName name="XRefPaste6" hidden="1">#REF!</definedName>
    <definedName name="XRefPaste7" hidden="1">#REF!</definedName>
    <definedName name="XRefPaste8" hidden="1">#REF!</definedName>
    <definedName name="XRefPaste9" hidden="1">#REF!</definedName>
    <definedName name="XRefPasteRangeCount" hidden="1">27</definedName>
    <definedName name="xtdddddd">#REF!</definedName>
    <definedName name="xzc">#REF!</definedName>
    <definedName name="xzcb">#REF!</definedName>
    <definedName name="xzf">#REF!</definedName>
    <definedName name="xzrjnyvgh">#REF!</definedName>
    <definedName name="y">#REF!</definedName>
    <definedName name="yjcf">#REF!</definedName>
    <definedName name="yjcougv">#REF!</definedName>
    <definedName name="ytdj">#REF!</definedName>
    <definedName name="yug">#REF!</definedName>
    <definedName name="YYYY">#REF!</definedName>
    <definedName name="z">#REF!</definedName>
    <definedName name="zgffxdhxtghj">#REF!</definedName>
    <definedName name="zsrg">#REF!</definedName>
    <definedName name="zxfg">#REF!</definedName>
    <definedName name="а">#REF!</definedName>
    <definedName name="ааа">#REF!</definedName>
    <definedName name="аааааааа">#REF!</definedName>
    <definedName name="ббббб">#REF!</definedName>
    <definedName name="ббббббб">#REF!</definedName>
    <definedName name="бббббббббб">#REF!</definedName>
    <definedName name="в">#REF!</definedName>
    <definedName name="вввв">#REF!</definedName>
    <definedName name="ввввввввввв">#REF!</definedName>
    <definedName name="ггггг">#REF!</definedName>
    <definedName name="еее">#REF!</definedName>
    <definedName name="ееееее">#REF!</definedName>
    <definedName name="еееееееее">#REF!</definedName>
    <definedName name="жжжжжж">#REF!</definedName>
    <definedName name="зззззз">#REF!</definedName>
    <definedName name="и">#REF!</definedName>
    <definedName name="иии">#REF!</definedName>
    <definedName name="ййй">#REF!</definedName>
    <definedName name="ййййййййй">#REF!</definedName>
    <definedName name="ииииииииииииии">#REF!</definedName>
    <definedName name="кккк">#REF!</definedName>
    <definedName name="ккккккккккк">#REF!</definedName>
    <definedName name="лллл">#REF!</definedName>
    <definedName name="м">#REF!</definedName>
    <definedName name="ммм">#REF!</definedName>
    <definedName name="ммммммммм">#REF!</definedName>
    <definedName name="ммммммммммм">#REF!</definedName>
    <definedName name="нннннн">#REF!</definedName>
    <definedName name="ннннннннннн">#REF!</definedName>
    <definedName name="о">#REF!</definedName>
    <definedName name="ооо">#REF!</definedName>
    <definedName name="оооооо">#REF!</definedName>
    <definedName name="п">#REF!</definedName>
    <definedName name="пппппппппп">#REF!</definedName>
    <definedName name="р">#REF!</definedName>
    <definedName name="ррр">#REF!</definedName>
    <definedName name="рррррр">#REF!</definedName>
    <definedName name="рррррррррр">#REF!</definedName>
    <definedName name="ррррррррррр">#REF!</definedName>
    <definedName name="с">#REF!</definedName>
    <definedName name="ссс">#REF!</definedName>
    <definedName name="ссссс">#REF!</definedName>
    <definedName name="СуммTable_10">#REF!</definedName>
    <definedName name="т">#REF!</definedName>
    <definedName name="ттт">#REF!</definedName>
    <definedName name="ттттттттттттт">#REF!</definedName>
    <definedName name="ууу">#REF!</definedName>
    <definedName name="уууууу">#REF!</definedName>
    <definedName name="уууууууууу">#REF!</definedName>
    <definedName name="ффф">#REF!</definedName>
    <definedName name="ффффффффф">#REF!</definedName>
    <definedName name="ххххххх">#REF!</definedName>
    <definedName name="ццц">#REF!</definedName>
    <definedName name="ццццццццц">#REF!</definedName>
    <definedName name="ч">#REF!</definedName>
    <definedName name="ччч">#REF!</definedName>
    <definedName name="шшшшшшшшш">#REF!</definedName>
    <definedName name="ы">#REF!</definedName>
    <definedName name="ыыыыыыыыы">#REF!</definedName>
    <definedName name="ь">#REF!</definedName>
    <definedName name="ььь">#REF!</definedName>
    <definedName name="ьььььььььььь">#REF!</definedName>
    <definedName name="эээээ">#REF!</definedName>
    <definedName name="ююююю">#REF!</definedName>
    <definedName name="юююююююююю">#REF!</definedName>
    <definedName name="я">#REF!</definedName>
    <definedName name="яяя">#REF!</definedName>
    <definedName name="กหเหเ">#REF!</definedName>
    <definedName name="กำไรขาดทุน">#REF!</definedName>
    <definedName name="คัดทิ้ง">#REF!</definedName>
    <definedName name="ค่ายา">#REF!</definedName>
    <definedName name="ทรัพย์สิน">#REF!</definedName>
    <definedName name="นน.เข้า">#REF!</definedName>
    <definedName name="นน.ออก">#REF!</definedName>
    <definedName name="พพพพ">#REF!</definedName>
    <definedName name="ฟ">#REF!</definedName>
    <definedName name="ฟฟ">#REF!</definedName>
    <definedName name="ร่วมT">#REF!</definedName>
    <definedName name="วววว">#REF!</definedName>
    <definedName name="ส่วนแบ่งตลาด">#REF!</definedName>
    <definedName name="สสสสส">#REF!</definedName>
    <definedName name="หนี้สินและทุน">#REF!</definedName>
    <definedName name="หมูเข้า">#REF!</definedName>
    <definedName name="หมูออก">#REF!</definedName>
    <definedName name="หหก">#REF!</definedName>
    <definedName name="อายุ">#REF!</definedName>
    <definedName name="อายุลูกหนี้">#REF!</definedName>
    <definedName name="_xlnm.Print_Area" localSheetId="0">'Daily'!$A$1:$I$47</definedName>
    <definedName name="_xlnm._FilterDatabase" localSheetId="5" hidden="1">'Bank loan table'!$A$2:$N$41</definedName>
    <definedName name="_Dist_Values" localSheetId="6" hidden="1">#REF!</definedName>
    <definedName name="_Fill" localSheetId="6" hidden="1">#REF!</definedName>
    <definedName name="_Key1" localSheetId="6" hidden="1">#REF!</definedName>
    <definedName name="_Parse_In" localSheetId="6" hidden="1">#REF!</definedName>
    <definedName name="_Parse_Out" localSheetId="6" hidden="1">#REF!</definedName>
    <definedName name="_Sort" localSheetId="6" hidden="1">#REF!</definedName>
    <definedName name="aa" localSheetId="6" hidden="1">#REF!</definedName>
    <definedName name="AS2TickmarkLS" localSheetId="6" hidden="1">#REF!</definedName>
    <definedName name="BG" localSheetId="6" hidden="1">#REF!</definedName>
    <definedName name="DD" localSheetId="6" hidden="1">{"'Test'!$B$2:$H$6","'Test'!$B$2:$H$23"}</definedName>
    <definedName name="EndDate" localSheetId="6" hidden="1">#REF!</definedName>
    <definedName name="h" localSheetId="6" hidden="1">#REF!</definedName>
    <definedName name="hkj" localSheetId="6" hidden="1">#REF!</definedName>
    <definedName name="HTML_Control" localSheetId="6" hidden="1">{"'Test'!$B$2:$H$6","'Test'!$B$2:$H$23"}</definedName>
    <definedName name="qqq" localSheetId="6" hidden="1">#REF!</definedName>
    <definedName name="vbhn" localSheetId="6" hidden="1">#REF!</definedName>
    <definedName name="wa" localSheetId="6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e" localSheetId="6" hidden="1">#REF!</definedName>
    <definedName name="wrn.Financial._.Report." localSheetId="6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localSheetId="6" hidden="1">{"Input_Fin",#N/A,FALSE,"By Code";"Input_Opt",#N/A,FALSE,"By Code"}</definedName>
    <definedName name="wrn.Operation._.Report." localSheetId="6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www" localSheetId="6" hidden="1">#REF!</definedName>
    <definedName name="XREF_COLUMN_10" localSheetId="6" hidden="1">#REF!</definedName>
    <definedName name="XREF_COLUMN_14" localSheetId="6" hidden="1">#REF!</definedName>
    <definedName name="XREF_COLUMN_3" localSheetId="6" hidden="1">#REF!</definedName>
    <definedName name="XREF_COLUMN_4" localSheetId="6" hidden="1">#REF!</definedName>
    <definedName name="XREF_COLUMN_5" localSheetId="6" hidden="1">#REF!</definedName>
    <definedName name="XREF_COLUMN_6" localSheetId="6" hidden="1">#REF!</definedName>
    <definedName name="XREF_COLUMN_7" localSheetId="6" hidden="1">#REF!</definedName>
    <definedName name="XRefCopy1" localSheetId="6" hidden="1">#REF!</definedName>
    <definedName name="XRefCopy2" localSheetId="6" hidden="1">#REF!</definedName>
    <definedName name="XRefCopy3" localSheetId="6" hidden="1">#REF!</definedName>
    <definedName name="XRefCopy4" localSheetId="6" hidden="1">#REF!</definedName>
    <definedName name="XRefCopy5" localSheetId="6" hidden="1">#REF!</definedName>
    <definedName name="XRefCopy6" localSheetId="6" hidden="1">#REF!</definedName>
    <definedName name="XRefCopy6Row" localSheetId="6" hidden="1">#REF!</definedName>
    <definedName name="XRefCopy7" localSheetId="6" hidden="1">#REF!</definedName>
    <definedName name="XRefCopy8" localSheetId="6" hidden="1">#REF!</definedName>
    <definedName name="XRefCopy9" localSheetId="6" hidden="1">#REF!</definedName>
    <definedName name="XRefCopy9Row" localSheetId="6" hidden="1">#REF!</definedName>
    <definedName name="XRefPaste10" localSheetId="6" hidden="1">#REF!</definedName>
    <definedName name="XRefPaste11" localSheetId="6" hidden="1">#REF!</definedName>
    <definedName name="XRefPaste12" localSheetId="6" hidden="1">#REF!</definedName>
    <definedName name="XRefPaste13" localSheetId="6" hidden="1">#REF!</definedName>
    <definedName name="XRefPaste16" localSheetId="6" hidden="1">#REF!</definedName>
    <definedName name="XRefPaste17" localSheetId="6" hidden="1">#REF!</definedName>
    <definedName name="XRefPaste18" localSheetId="6" hidden="1">#REF!</definedName>
    <definedName name="XRefPaste2" localSheetId="6" hidden="1">#REF!</definedName>
    <definedName name="XRefPaste5" localSheetId="6" hidden="1">#REF!</definedName>
    <definedName name="XRefPaste6" localSheetId="6" hidden="1">#REF!</definedName>
    <definedName name="XRefPaste7" localSheetId="6" hidden="1">#REF!</definedName>
    <definedName name="XRefPaste8" localSheetId="6" hidden="1">#REF!</definedName>
    <definedName name="XRefPaste9" localSheetId="6" hidden="1">#REF!</definedName>
    <definedName name="\0" localSheetId="9">#REF!</definedName>
    <definedName name="\00" localSheetId="9">#REF!</definedName>
    <definedName name="\C" localSheetId="9">#REF!</definedName>
    <definedName name="\cc" localSheetId="9">#REF!</definedName>
    <definedName name="\d" localSheetId="9">#REF!</definedName>
    <definedName name="\e" localSheetId="9">#REF!</definedName>
    <definedName name="\i" localSheetId="9">#REF!</definedName>
    <definedName name="\M" localSheetId="9">#REF!</definedName>
    <definedName name="\s" localSheetId="9">#REF!</definedName>
    <definedName name="\u" localSheetId="9">#REF!</definedName>
    <definedName name="_" localSheetId="9">#REF!</definedName>
    <definedName name="_____________________________________________PL1" localSheetId="9">#REF!</definedName>
    <definedName name="_____________________________________________PL2" localSheetId="9">#REF!</definedName>
    <definedName name="____________________________________________PL1" localSheetId="9">#REF!</definedName>
    <definedName name="____________________________________________PL2" localSheetId="9">#REF!</definedName>
    <definedName name="__________________________NEW2" localSheetId="9">#REF!</definedName>
    <definedName name="_________________________NEW2" localSheetId="9">#REF!</definedName>
    <definedName name="____________________DAT1" localSheetId="9">#REF!</definedName>
    <definedName name="____________________DAT10" localSheetId="9">#REF!</definedName>
    <definedName name="____________________DAT11" localSheetId="9">#REF!</definedName>
    <definedName name="____________________DAT2" localSheetId="9">#REF!</definedName>
    <definedName name="____________________DAT3" localSheetId="9">#REF!</definedName>
    <definedName name="____________________DAT4" localSheetId="9">#REF!</definedName>
    <definedName name="____________________DAT5" localSheetId="9">#REF!</definedName>
    <definedName name="____________________DAT6" localSheetId="9">#REF!</definedName>
    <definedName name="____________________DAT7" localSheetId="9">#REF!</definedName>
    <definedName name="____________________DAT8" localSheetId="9">#REF!</definedName>
    <definedName name="____________________DAT9" localSheetId="9">#REF!</definedName>
    <definedName name="____________________PL2" localSheetId="9">#REF!</definedName>
    <definedName name="___________________DAT1" localSheetId="9">#REF!</definedName>
    <definedName name="___________________DAT10" localSheetId="9">#REF!</definedName>
    <definedName name="___________________DAT11" localSheetId="9">#REF!</definedName>
    <definedName name="___________________DAT2" localSheetId="9">#REF!</definedName>
    <definedName name="___________________DAT3" localSheetId="9">#REF!</definedName>
    <definedName name="___________________DAT4" localSheetId="9">#REF!</definedName>
    <definedName name="___________________DAT5" localSheetId="9">#REF!</definedName>
    <definedName name="___________________DAT6" localSheetId="9">#REF!</definedName>
    <definedName name="___________________DAT7" localSheetId="9">#REF!</definedName>
    <definedName name="___________________DAT8" localSheetId="9">#REF!</definedName>
    <definedName name="___________________DAT9" localSheetId="9">#REF!</definedName>
    <definedName name="__________________DAT1" localSheetId="9">#REF!</definedName>
    <definedName name="__________________DAT10" localSheetId="9">#REF!</definedName>
    <definedName name="__________________DAT11" localSheetId="9">#REF!</definedName>
    <definedName name="__________________DAT2" localSheetId="9">#REF!</definedName>
    <definedName name="__________________DAT3" localSheetId="9">#REF!</definedName>
    <definedName name="__________________DAT4" localSheetId="9">#REF!</definedName>
    <definedName name="__________________DAT5" localSheetId="9">#REF!</definedName>
    <definedName name="__________________DAT6" localSheetId="9">#REF!</definedName>
    <definedName name="__________________DAT7" localSheetId="9">#REF!</definedName>
    <definedName name="__________________DAT8" localSheetId="9">#REF!</definedName>
    <definedName name="__________________DAT9" localSheetId="9">#REF!</definedName>
    <definedName name="_________________DAT1" localSheetId="9">#REF!</definedName>
    <definedName name="_________________DAT10" localSheetId="9">#REF!</definedName>
    <definedName name="_________________DAT11" localSheetId="9">#REF!</definedName>
    <definedName name="_________________DAT2" localSheetId="9">#REF!</definedName>
    <definedName name="_________________DAT3" localSheetId="9">#REF!</definedName>
    <definedName name="_________________DAT4" localSheetId="9">#REF!</definedName>
    <definedName name="_________________DAT5" localSheetId="9">#REF!</definedName>
    <definedName name="_________________DAT6" localSheetId="9">#REF!</definedName>
    <definedName name="_________________DAT7" localSheetId="9">#REF!</definedName>
    <definedName name="_________________DAT8" localSheetId="9">#REF!</definedName>
    <definedName name="_________________DAT9" localSheetId="9">#REF!</definedName>
    <definedName name="________________DAT1" localSheetId="9">#REF!</definedName>
    <definedName name="________________DAT10" localSheetId="9">#REF!</definedName>
    <definedName name="________________DAT11" localSheetId="9">#REF!</definedName>
    <definedName name="________________DAT2" localSheetId="9">#REF!</definedName>
    <definedName name="________________DAT3" localSheetId="9">#REF!</definedName>
    <definedName name="________________DAT4" localSheetId="9">#REF!</definedName>
    <definedName name="________________DAT5" localSheetId="9">#REF!</definedName>
    <definedName name="________________DAT6" localSheetId="9">#REF!</definedName>
    <definedName name="________________DAT7" localSheetId="9">#REF!</definedName>
    <definedName name="________________DAT8" localSheetId="9">#REF!</definedName>
    <definedName name="________________DAT9" localSheetId="9">#REF!</definedName>
    <definedName name="_______________DAT1" localSheetId="9">#REF!</definedName>
    <definedName name="_______________DAT10" localSheetId="9">#REF!</definedName>
    <definedName name="_______________DAT11" localSheetId="9">#REF!</definedName>
    <definedName name="_______________DAT2" localSheetId="9">#REF!</definedName>
    <definedName name="_______________DAT3" localSheetId="9">#REF!</definedName>
    <definedName name="_______________DAT4" localSheetId="9">#REF!</definedName>
    <definedName name="_______________DAT5" localSheetId="9">#REF!</definedName>
    <definedName name="_______________DAT6" localSheetId="9">#REF!</definedName>
    <definedName name="_______________DAT7" localSheetId="9">#REF!</definedName>
    <definedName name="_______________DAT8" localSheetId="9">#REF!</definedName>
    <definedName name="_______________DAT9" localSheetId="9">#REF!</definedName>
    <definedName name="______________DAT1" localSheetId="9">#REF!</definedName>
    <definedName name="______________DAT10" localSheetId="9">#REF!</definedName>
    <definedName name="______________DAT11" localSheetId="9">#REF!</definedName>
    <definedName name="______________DAT2" localSheetId="9">#REF!</definedName>
    <definedName name="______________DAT3" localSheetId="9">#REF!</definedName>
    <definedName name="______________DAT4" localSheetId="9">#REF!</definedName>
    <definedName name="______________DAT5" localSheetId="9">#REF!</definedName>
    <definedName name="______________DAT6" localSheetId="9">#REF!</definedName>
    <definedName name="______________DAT7" localSheetId="9">#REF!</definedName>
    <definedName name="______________DAT8" localSheetId="9">#REF!</definedName>
    <definedName name="______________DAT9" localSheetId="9">#REF!</definedName>
    <definedName name="_____________DAT1" localSheetId="9">#REF!</definedName>
    <definedName name="_____________DAT10" localSheetId="9">#REF!</definedName>
    <definedName name="_____________DAT11" localSheetId="9">#REF!</definedName>
    <definedName name="_____________DAT2" localSheetId="9">#REF!</definedName>
    <definedName name="_____________DAT3" localSheetId="9">#REF!</definedName>
    <definedName name="_____________DAT4" localSheetId="9">#REF!</definedName>
    <definedName name="_____________DAT5" localSheetId="9">#REF!</definedName>
    <definedName name="_____________DAT6" localSheetId="9">#REF!</definedName>
    <definedName name="_____________DAT7" localSheetId="9">#REF!</definedName>
    <definedName name="_____________DAT8" localSheetId="9">#REF!</definedName>
    <definedName name="_____________DAT9" localSheetId="9">#REF!</definedName>
    <definedName name="____________DAT1" localSheetId="9">#REF!</definedName>
    <definedName name="____________DAT10" localSheetId="9">#REF!</definedName>
    <definedName name="____________DAT11" localSheetId="9">#REF!</definedName>
    <definedName name="____________DAT2" localSheetId="9">#REF!</definedName>
    <definedName name="____________DAT3" localSheetId="9">#REF!</definedName>
    <definedName name="____________DAT4" localSheetId="9">#REF!</definedName>
    <definedName name="____________DAT5" localSheetId="9">#REF!</definedName>
    <definedName name="____________DAT6" localSheetId="9">#REF!</definedName>
    <definedName name="____________DAT7" localSheetId="9">#REF!</definedName>
    <definedName name="____________DAT8" localSheetId="9">#REF!</definedName>
    <definedName name="____________DAT9" localSheetId="9">#REF!</definedName>
    <definedName name="___________DAT1" localSheetId="9">#REF!</definedName>
    <definedName name="___________DAT10" localSheetId="9">#REF!</definedName>
    <definedName name="___________DAT11" localSheetId="9">#REF!</definedName>
    <definedName name="___________DAT2" localSheetId="9">#REF!</definedName>
    <definedName name="___________DAT3" localSheetId="9">#REF!</definedName>
    <definedName name="___________DAT4" localSheetId="9">#REF!</definedName>
    <definedName name="___________DAT5" localSheetId="9">#REF!</definedName>
    <definedName name="___________DAT6" localSheetId="9">#REF!</definedName>
    <definedName name="___________DAT7" localSheetId="9">#REF!</definedName>
    <definedName name="___________DAT8" localSheetId="9">#REF!</definedName>
    <definedName name="___________DAT9" localSheetId="9">#REF!</definedName>
    <definedName name="__________DAT1" localSheetId="9">#REF!</definedName>
    <definedName name="__________DAT10" localSheetId="9">#REF!</definedName>
    <definedName name="__________DAT11" localSheetId="9">#REF!</definedName>
    <definedName name="__________DAT2" localSheetId="9">#REF!</definedName>
    <definedName name="__________DAT3" localSheetId="9">#REF!</definedName>
    <definedName name="__________DAT4" localSheetId="9">#REF!</definedName>
    <definedName name="__________DAT5" localSheetId="9">#REF!</definedName>
    <definedName name="__________DAT6" localSheetId="9">#REF!</definedName>
    <definedName name="__________DAT7" localSheetId="9">#REF!</definedName>
    <definedName name="__________DAT8" localSheetId="9">#REF!</definedName>
    <definedName name="__________DAT9" localSheetId="9">#REF!</definedName>
    <definedName name="_________DAT1" localSheetId="9">#REF!</definedName>
    <definedName name="_________DAT10" localSheetId="9">#REF!</definedName>
    <definedName name="_________DAT11" localSheetId="9">#REF!</definedName>
    <definedName name="_________DAT2" localSheetId="9">#REF!</definedName>
    <definedName name="_________DAT3" localSheetId="9">#REF!</definedName>
    <definedName name="_________DAT4" localSheetId="9">#REF!</definedName>
    <definedName name="_________DAT5" localSheetId="9">#REF!</definedName>
    <definedName name="_________DAT6" localSheetId="9">#REF!</definedName>
    <definedName name="_________DAT7" localSheetId="9">#REF!</definedName>
    <definedName name="_________DAT8" localSheetId="9">#REF!</definedName>
    <definedName name="_________DAT9" localSheetId="9">#REF!</definedName>
    <definedName name="________DAT1" localSheetId="9">#REF!</definedName>
    <definedName name="________DAT10" localSheetId="9">#REF!</definedName>
    <definedName name="________DAT11" localSheetId="9">#REF!</definedName>
    <definedName name="________DAT2" localSheetId="9">#REF!</definedName>
    <definedName name="________DAT3" localSheetId="9">#REF!</definedName>
    <definedName name="________DAT4" localSheetId="9">#REF!</definedName>
    <definedName name="________DAT5" localSheetId="9">#REF!</definedName>
    <definedName name="________DAT6" localSheetId="9">#REF!</definedName>
    <definedName name="________DAT7" localSheetId="9">#REF!</definedName>
    <definedName name="________DAT8" localSheetId="9">#REF!</definedName>
    <definedName name="________DAT9" localSheetId="9">#REF!</definedName>
    <definedName name="_______DAT1" localSheetId="9">#REF!</definedName>
    <definedName name="_______DAT10" localSheetId="9">#REF!</definedName>
    <definedName name="_______DAT11" localSheetId="9">#REF!</definedName>
    <definedName name="_______DAT2" localSheetId="9">#REF!</definedName>
    <definedName name="_______DAT3" localSheetId="9">#REF!</definedName>
    <definedName name="_______DAT4" localSheetId="9">#REF!</definedName>
    <definedName name="_______DAT5" localSheetId="9">#REF!</definedName>
    <definedName name="_______DAT6" localSheetId="9">#REF!</definedName>
    <definedName name="_______DAT7" localSheetId="9">#REF!</definedName>
    <definedName name="_______DAT8" localSheetId="9">#REF!</definedName>
    <definedName name="_______DAT9" localSheetId="9">#REF!</definedName>
    <definedName name="______DAT1" localSheetId="9">#REF!</definedName>
    <definedName name="______DAT10" localSheetId="9">#REF!</definedName>
    <definedName name="______DAT11" localSheetId="9">#REF!</definedName>
    <definedName name="______DAT2" localSheetId="9">#REF!</definedName>
    <definedName name="______DAT3" localSheetId="9">#REF!</definedName>
    <definedName name="______DAT4" localSheetId="9">#REF!</definedName>
    <definedName name="______DAT5" localSheetId="9">#REF!</definedName>
    <definedName name="______DAT6" localSheetId="9">#REF!</definedName>
    <definedName name="______DAT7" localSheetId="9">#REF!</definedName>
    <definedName name="______DAT8" localSheetId="9">#REF!</definedName>
    <definedName name="______DAT9" localSheetId="9">#REF!</definedName>
    <definedName name="_____DAT1" localSheetId="9">#REF!</definedName>
    <definedName name="_____DAT10" localSheetId="9">#REF!</definedName>
    <definedName name="_____DAT11" localSheetId="9">#REF!</definedName>
    <definedName name="_____DAT2" localSheetId="9">#REF!</definedName>
    <definedName name="_____DAT3" localSheetId="9">#REF!</definedName>
    <definedName name="_____DAT4" localSheetId="9">#REF!</definedName>
    <definedName name="_____DAT5" localSheetId="9">#REF!</definedName>
    <definedName name="_____DAT6" localSheetId="9">#REF!</definedName>
    <definedName name="_____DAT7" localSheetId="9">#REF!</definedName>
    <definedName name="_____DAT8" localSheetId="9">#REF!</definedName>
    <definedName name="_____DAT9" localSheetId="9">#REF!</definedName>
    <definedName name="_____NEW1" localSheetId="9">#REF!</definedName>
    <definedName name="_____NEW2" localSheetId="9">#REF!</definedName>
    <definedName name="_____PL1" localSheetId="9">#REF!</definedName>
    <definedName name="_____PL2" localSheetId="9">#REF!</definedName>
    <definedName name="____DAT1" localSheetId="9">#REF!</definedName>
    <definedName name="____DAT10" localSheetId="9">#REF!</definedName>
    <definedName name="____DAT11" localSheetId="9">#REF!</definedName>
    <definedName name="____DAT2" localSheetId="9">#REF!</definedName>
    <definedName name="____DAT3" localSheetId="9">#REF!</definedName>
    <definedName name="____DAT4" localSheetId="9">#REF!</definedName>
    <definedName name="____DAT5" localSheetId="9">#REF!</definedName>
    <definedName name="____DAT6" localSheetId="9">#REF!</definedName>
    <definedName name="____DAT7" localSheetId="9">#REF!</definedName>
    <definedName name="____DAT8" localSheetId="9">#REF!</definedName>
    <definedName name="____DAT9" localSheetId="9">#REF!</definedName>
    <definedName name="___DAT1" localSheetId="9">#REF!</definedName>
    <definedName name="___DAT10" localSheetId="9">#REF!</definedName>
    <definedName name="___DAT11" localSheetId="9">#REF!</definedName>
    <definedName name="___DAT2" localSheetId="9">#REF!</definedName>
    <definedName name="___DAT3" localSheetId="9">#REF!</definedName>
    <definedName name="___DAT4" localSheetId="9">#REF!</definedName>
    <definedName name="___DAT5" localSheetId="9">#REF!</definedName>
    <definedName name="___DAT6" localSheetId="9">#REF!</definedName>
    <definedName name="___DAT7" localSheetId="9">#REF!</definedName>
    <definedName name="___DAT8" localSheetId="9">#REF!</definedName>
    <definedName name="___DAT9" localSheetId="9">#REF!</definedName>
    <definedName name="___IV70000" localSheetId="9">#REF!</definedName>
    <definedName name="___IV77777" localSheetId="9">#REF!</definedName>
    <definedName name="___PS1" localSheetId="9">#REF!</definedName>
    <definedName name="___PS2" localSheetId="9">#REF!</definedName>
    <definedName name="__DAT1" localSheetId="9">#REF!</definedName>
    <definedName name="__DAT10" localSheetId="9">#REF!</definedName>
    <definedName name="__DAT11" localSheetId="9">#REF!</definedName>
    <definedName name="__DAT2" localSheetId="9">#REF!</definedName>
    <definedName name="__DAT3" localSheetId="9">#REF!</definedName>
    <definedName name="__DAT4" localSheetId="9">#REF!</definedName>
    <definedName name="__DAT5" localSheetId="9">#REF!</definedName>
    <definedName name="__DAT6" localSheetId="9">#REF!</definedName>
    <definedName name="__DAT7" localSheetId="9">#REF!</definedName>
    <definedName name="__DAT8" localSheetId="9">#REF!</definedName>
    <definedName name="__DAT9" localSheetId="9">#REF!</definedName>
    <definedName name="__IV70000" localSheetId="9">#REF!</definedName>
    <definedName name="__IV77777" localSheetId="9">#REF!</definedName>
    <definedName name="__PS1" localSheetId="9">#REF!</definedName>
    <definedName name="__PS2" localSheetId="9">#REF!</definedName>
    <definedName name="_Bal2" localSheetId="9">#REF!</definedName>
    <definedName name="_DAT1" localSheetId="9">#REF!</definedName>
    <definedName name="_DAT10" localSheetId="9">#REF!</definedName>
    <definedName name="_DAT11" localSheetId="9">#REF!</definedName>
    <definedName name="_DAT2" localSheetId="9">#REF!</definedName>
    <definedName name="_DAT3" localSheetId="9">#REF!</definedName>
    <definedName name="_DAT4" localSheetId="9">#REF!</definedName>
    <definedName name="_DAT5" localSheetId="9">#REF!</definedName>
    <definedName name="_DAT6" localSheetId="9">#REF!</definedName>
    <definedName name="_DAT7" localSheetId="9">#REF!</definedName>
    <definedName name="_DAT8" localSheetId="9">#REF!</definedName>
    <definedName name="_DAT9" localSheetId="9">#REF!</definedName>
    <definedName name="_Dist_Values" localSheetId="9" hidden="1">#REF!</definedName>
    <definedName name="_Fill" localSheetId="9" hidden="1">#REF!</definedName>
    <definedName name="_ilg1" localSheetId="9">#REF!</definedName>
    <definedName name="_imt2" localSheetId="9">#REF!</definedName>
    <definedName name="_int2" localSheetId="9">#REF!</definedName>
    <definedName name="_IV70000" localSheetId="9">#REF!</definedName>
    <definedName name="_IV77777" localSheetId="9">#REF!</definedName>
    <definedName name="_Key1" localSheetId="9" hidden="1">#REF!</definedName>
    <definedName name="_NEW1" localSheetId="9">#REF!</definedName>
    <definedName name="_NEW2" localSheetId="9">#REF!</definedName>
    <definedName name="_Parse_In" localSheetId="9" hidden="1">#REF!</definedName>
    <definedName name="_Parse_Out" localSheetId="9" hidden="1">#REF!</definedName>
    <definedName name="_PL1" localSheetId="9">#REF!</definedName>
    <definedName name="_PL2" localSheetId="9">#REF!</definedName>
    <definedName name="_ps3" localSheetId="9">#REF!</definedName>
    <definedName name="_Sort" localSheetId="9" hidden="1">#REF!</definedName>
    <definedName name="aa" localSheetId="9" hidden="1">#REF!</definedName>
    <definedName name="aaaa" localSheetId="9">#REF!</definedName>
    <definedName name="AAAAA" localSheetId="9">#REF!</definedName>
    <definedName name="Aasta" localSheetId="9">#REF!</definedName>
    <definedName name="ab" localSheetId="9">#REF!</definedName>
    <definedName name="About_AI" localSheetId="9">#REF!</definedName>
    <definedName name="About_AI_Summ" localSheetId="9">#REF!</definedName>
    <definedName name="ADD" localSheetId="9">#REF!</definedName>
    <definedName name="adj" localSheetId="9">#REF!</definedName>
    <definedName name="adj_eqty" localSheetId="9">#REF!</definedName>
    <definedName name="adsf" localSheetId="9">#REF!</definedName>
    <definedName name="ADV" localSheetId="9">#REF!</definedName>
    <definedName name="aewf" localSheetId="9">#REF!</definedName>
    <definedName name="AI" localSheetId="9">#REF!</definedName>
    <definedName name="akc" localSheetId="9">#REF!</definedName>
    <definedName name="AkcijuPok" localSheetId="9">#REF!</definedName>
    <definedName name="akcininku" localSheetId="9">#REF!</definedName>
    <definedName name="AM" localSheetId="9">#REF!</definedName>
    <definedName name="APMI" localSheetId="9">#REF!</definedName>
    <definedName name="APMlik" localSheetId="9">#REF!</definedName>
    <definedName name="APMS" localSheetId="9">#REF!</definedName>
    <definedName name="APMT" localSheetId="9">#REF!</definedName>
    <definedName name="APMTBendr" localSheetId="9">#REF!</definedName>
    <definedName name="APMTI" localSheetId="9">#REF!</definedName>
    <definedName name="AR_allowance_2008" localSheetId="9">#REF!</definedName>
    <definedName name="AREA" localSheetId="9">#REF!</definedName>
    <definedName name="as" localSheetId="9">#REF!</definedName>
    <definedName name="AS2TickmarkLS" localSheetId="9" hidden="1">#REF!</definedName>
    <definedName name="ASCOCP" localSheetId="9">#REF!</definedName>
    <definedName name="asd" localSheetId="9">#REF!</definedName>
    <definedName name="asdf" localSheetId="9">#REF!</definedName>
    <definedName name="asob" localSheetId="9">#REF!</definedName>
    <definedName name="asoc" localSheetId="9">#REF!</definedName>
    <definedName name="asoc2" localSheetId="9">#REF!</definedName>
    <definedName name="asoc3" localSheetId="9">#REF!</definedName>
    <definedName name="asoc4" localSheetId="9">#REF!</definedName>
    <definedName name="AsocB" localSheetId="9">#REF!</definedName>
    <definedName name="AsocBe" localSheetId="9">#REF!</definedName>
    <definedName name="AsocGr" localSheetId="9">#REF!</definedName>
    <definedName name="Asocijuota_įmonė" localSheetId="9">#REF!</definedName>
    <definedName name="AsocLikBendr" localSheetId="9">#REF!</definedName>
    <definedName name="AsocLikGr" localSheetId="9">#REF!</definedName>
    <definedName name="AsocPok" localSheetId="9">#REF!</definedName>
    <definedName name="AsocPokS" localSheetId="9">#REF!</definedName>
    <definedName name="ass" localSheetId="9">#REF!</definedName>
    <definedName name="Atsargos_tr" localSheetId="9">#REF!</definedName>
    <definedName name="atsargos08" localSheetId="9">#REF!</definedName>
    <definedName name="AtTIGTV" localSheetId="9">#REF!</definedName>
    <definedName name="awe" localSheetId="9">#REF!</definedName>
    <definedName name="balansas1" localSheetId="9">#REF!</definedName>
    <definedName name="balansas1d" localSheetId="9">#REF!</definedName>
    <definedName name="balansas2" localSheetId="9">#REF!</definedName>
    <definedName name="balansus" localSheetId="9">#REF!</definedName>
    <definedName name="BalSus" localSheetId="9">#REF!</definedName>
    <definedName name="Bank_Pask_Term" localSheetId="9">#REF!</definedName>
    <definedName name="bankai" localSheetId="9">#REF!</definedName>
    <definedName name="BBBBB" localSheetId="9">#REF!</definedName>
    <definedName name="benilg" localSheetId="9">#REF!</definedName>
    <definedName name="BG" localSheetId="9" hidden="1">#REF!</definedName>
    <definedName name="BLB" localSheetId="9">#REF!</definedName>
    <definedName name="bm" localSheetId="9">#REF!</definedName>
    <definedName name="Bodyweight" localSheetId="9">#REF!</definedName>
    <definedName name="BS" localSheetId="9">#REF!</definedName>
    <definedName name="bs_1" localSheetId="9">#REF!</definedName>
    <definedName name="bs_1eq" localSheetId="9">#REF!</definedName>
    <definedName name="bs_2" localSheetId="9">#REF!</definedName>
    <definedName name="bs_2eq" localSheetId="9">#REF!</definedName>
    <definedName name="bs_3" localSheetId="9">#REF!</definedName>
    <definedName name="bs_4" localSheetId="9">#REF!</definedName>
    <definedName name="BS_PL" localSheetId="9">#REF!</definedName>
    <definedName name="BUSINESS" localSheetId="9">#REF!</definedName>
    <definedName name="Ccy" localSheetId="9">#REF!</definedName>
    <definedName name="cf" localSheetId="9">#REF!</definedName>
    <definedName name="class" localSheetId="9">#REF!</definedName>
    <definedName name="COMPANY" localSheetId="9">#REF!</definedName>
    <definedName name="Conv" localSheetId="9">#REF!</definedName>
    <definedName name="cost" localSheetId="9">#REF!</definedName>
    <definedName name="Count_Personnel_4" localSheetId="9">#REF!</definedName>
    <definedName name="CRA" localSheetId="9">#REF!</definedName>
    <definedName name="cvh" localSheetId="9">#REF!</definedName>
    <definedName name="cx" localSheetId="9">#REF!</definedName>
    <definedName name="d" localSheetId="9">#REF!</definedName>
    <definedName name="dads" localSheetId="9">#REF!</definedName>
    <definedName name="dang" localSheetId="9">#REF!</definedName>
    <definedName name="data" localSheetId="9">#REF!</definedName>
    <definedName name="DataSet_IC_PL" localSheetId="9">#REF!</definedName>
    <definedName name="DD" localSheetId="9" hidden="1">{"'Test'!$B$2:$H$6","'Test'!$B$2:$H$23"}</definedName>
    <definedName name="dddd" localSheetId="9">#REF!</definedName>
    <definedName name="dddddd" localSheetId="9">#REF!</definedName>
    <definedName name="dekt" localSheetId="9">#REF!</definedName>
    <definedName name="dfjg" localSheetId="9">#REF!</definedName>
    <definedName name="dg" localSheetId="9">#REF!</definedName>
    <definedName name="dircost" localSheetId="9">#REF!</definedName>
    <definedName name="DKK_AVE" localSheetId="9">#REF!</definedName>
    <definedName name="DKK_END" localSheetId="9">#REF!</definedName>
    <definedName name="DKK_OB" localSheetId="9">#REF!</definedName>
    <definedName name="draud2" localSheetId="9">#REF!</definedName>
    <definedName name="ds" localSheetId="9">#REF!</definedName>
    <definedName name="dssssssss" localSheetId="9">#REF!</definedName>
    <definedName name="dukt1" localSheetId="9">#REF!</definedName>
    <definedName name="dxtfh" localSheetId="9">#REF!</definedName>
    <definedName name="EndDate" localSheetId="9" hidden="1">#REF!</definedName>
    <definedName name="eqty_total" localSheetId="9">#REF!</definedName>
    <definedName name="EST_BALANCE" localSheetId="9">#REF!</definedName>
    <definedName name="EST_DATA" localSheetId="9">#REF!</definedName>
    <definedName name="EST_FROM" localSheetId="9">#REF!</definedName>
    <definedName name="EST_NumStages" localSheetId="9">#REF!</definedName>
    <definedName name="EST_Obj_1" localSheetId="9">#REF!</definedName>
    <definedName name="EST_Obj_10" localSheetId="9">#REF!</definedName>
    <definedName name="EST_Obj_2" localSheetId="9">#REF!</definedName>
    <definedName name="EST_Obj_3" localSheetId="9">#REF!</definedName>
    <definedName name="EST_Obj_4" localSheetId="9">#REF!</definedName>
    <definedName name="EST_Obj_5" localSheetId="9">#REF!</definedName>
    <definedName name="EST_Obj_6" localSheetId="9">#REF!</definedName>
    <definedName name="EST_Obj_7" localSheetId="9">#REF!</definedName>
    <definedName name="EST_Obj_8" localSheetId="9">#REF!</definedName>
    <definedName name="EST_Obj_9" localSheetId="9">#REF!</definedName>
    <definedName name="EST_ProdNum" localSheetId="9">#REF!</definedName>
    <definedName name="EST_SQUARE" localSheetId="9">#REF!</definedName>
    <definedName name="EUR_AVE" localSheetId="9">#REF!</definedName>
    <definedName name="EUR_END" localSheetId="9">#REF!</definedName>
    <definedName name="EUR_OB" localSheetId="9">#REF!</definedName>
    <definedName name="expectus" localSheetId="9">#REF!</definedName>
    <definedName name="Export" localSheetId="9">#REF!</definedName>
    <definedName name="F.D." localSheetId="9">#REF!</definedName>
    <definedName name="ff" localSheetId="9">#REF!</definedName>
    <definedName name="fgnjh" localSheetId="9">#REF!</definedName>
    <definedName name="fgy" localSheetId="9">#REF!</definedName>
    <definedName name="Fil" localSheetId="9">#REF!</definedName>
    <definedName name="finansine" localSheetId="9">#REF!</definedName>
    <definedName name="FinVeiklSan" localSheetId="9">#REF!</definedName>
    <definedName name="FL" localSheetId="9">#REF!</definedName>
    <definedName name="fskol" localSheetId="9">#REF!</definedName>
    <definedName name="ftyk" localSheetId="9">#REF!</definedName>
    <definedName name="fyh" localSheetId="9">#REF!</definedName>
    <definedName name="fyku" localSheetId="9">#REF!</definedName>
    <definedName name="Gautos_Paskolos" localSheetId="9">#REF!</definedName>
    <definedName name="gggggg" localSheetId="9">#REF!</definedName>
    <definedName name="grisip" localSheetId="9">#REF!</definedName>
    <definedName name="grup" localSheetId="9">#REF!</definedName>
    <definedName name="grupe" localSheetId="9">#REF!</definedName>
    <definedName name="grverte" localSheetId="9">#REF!</definedName>
    <definedName name="gvggggg" localSheetId="9">#REF!</definedName>
    <definedName name="h" localSheetId="9" hidden="1">#REF!</definedName>
    <definedName name="Height_Loans" localSheetId="9">#REF!</definedName>
    <definedName name="hhh" localSheetId="9">#REF!</definedName>
    <definedName name="hkj" localSheetId="9" hidden="1">#REF!</definedName>
    <definedName name="HTML_Control" localSheetId="9" hidden="1">{"'Test'!$B$2:$H$6","'Test'!$B$2:$H$23"}</definedName>
    <definedName name="ifrs71" localSheetId="9">#REF!</definedName>
    <definedName name="iiii" localSheetId="9">#REF!</definedName>
    <definedName name="ilgalaik" localSheetId="9">#REF!</definedName>
    <definedName name="ilgas1" localSheetId="9">#REF!</definedName>
    <definedName name="ilgp" localSheetId="9">#REF!</definedName>
    <definedName name="IlgPVal" localSheetId="9">#REF!</definedName>
    <definedName name="imt" localSheetId="9">#REF!</definedName>
    <definedName name="IMTats" localSheetId="9">#REF!</definedName>
    <definedName name="IMTBe" localSheetId="9">#REF!</definedName>
    <definedName name="IMTGr" localSheetId="9">#REF!</definedName>
    <definedName name="int" localSheetId="9">#REF!</definedName>
    <definedName name="INTats" localSheetId="9">#REF!</definedName>
    <definedName name="INTatsk" localSheetId="9">#REF!</definedName>
    <definedName name="INTGr" localSheetId="9">#REF!</definedName>
    <definedName name="inv" localSheetId="9">#REF!</definedName>
    <definedName name="invcost" localSheetId="9">#REF!</definedName>
    <definedName name="InvD" localSheetId="9">#REF!</definedName>
    <definedName name="invdout" localSheetId="9">#REF!</definedName>
    <definedName name="invest" localSheetId="9">#REF!</definedName>
    <definedName name="InvestBe" localSheetId="9">#REF!</definedName>
    <definedName name="InvestPok" localSheetId="9">#REF!</definedName>
    <definedName name="InvIsig" localSheetId="9">#REF!</definedName>
    <definedName name="InvKitosGr" localSheetId="9">#REF!</definedName>
    <definedName name="InvNeties" localSheetId="9">#REF!</definedName>
    <definedName name="InvPokPal" localSheetId="9">#REF!</definedName>
    <definedName name="INX" localSheetId="9">#REF!</definedName>
    <definedName name="ioo" localSheetId="9">#REF!</definedName>
    <definedName name="irr" localSheetId="9">#REF!</definedName>
    <definedName name="irrout" localSheetId="9">#REF!</definedName>
    <definedName name="irrout2" localSheetId="9">#REF!</definedName>
    <definedName name="ISAND" localSheetId="9">#REF!</definedName>
    <definedName name="IsTPGTV" localSheetId="9">#REF!</definedName>
    <definedName name="j" localSheetId="9">#REF!</definedName>
    <definedName name="jdjdjd" localSheetId="9">#REF!</definedName>
    <definedName name="jjjjjj" localSheetId="9">#REF!</definedName>
    <definedName name="jkh" localSheetId="9">#REF!</definedName>
    <definedName name="k" localSheetId="9">#REF!</definedName>
    <definedName name="KFT" localSheetId="9">#REF!</definedName>
    <definedName name="KGS" localSheetId="9">#REF!</definedName>
    <definedName name="Kuu" localSheetId="9">#REF!</definedName>
    <definedName name="L" localSheetId="9">#REF!</definedName>
    <definedName name="lack" localSheetId="9">#REF!</definedName>
    <definedName name="lackin" localSheetId="9">#REF!</definedName>
    <definedName name="lb" localSheetId="9">#REF!</definedName>
    <definedName name="likv" localSheetId="9">#REF!</definedName>
    <definedName name="lizingai" localSheetId="9">#REF!</definedName>
    <definedName name="Lizingas" localSheetId="9">#REF!</definedName>
    <definedName name="Local" localSheetId="9">#REF!</definedName>
    <definedName name="lugis" localSheetId="9">#REF!</definedName>
    <definedName name="m" localSheetId="9">#REF!</definedName>
    <definedName name="M_CC" localSheetId="9">#REF!</definedName>
    <definedName name="man" localSheetId="9">#REF!</definedName>
    <definedName name="mann" localSheetId="9">#REF!</definedName>
    <definedName name="mar" localSheetId="9">#REF!</definedName>
    <definedName name="market" localSheetId="9">#REF!</definedName>
    <definedName name="marketshare" localSheetId="9">#REF!</definedName>
    <definedName name="mEnist" localSheetId="9">#REF!</definedName>
    <definedName name="MENU" localSheetId="9">#REF!</definedName>
    <definedName name="minliz" localSheetId="9">#REF!</definedName>
    <definedName name="moketinos" localSheetId="9">#REF!</definedName>
    <definedName name="mon" localSheetId="9">#REF!</definedName>
    <definedName name="MONTH" localSheetId="9">#REF!</definedName>
    <definedName name="Month_name" localSheetId="9">#REF!</definedName>
    <definedName name="mungkorn" localSheetId="9">#REF!</definedName>
    <definedName name="n" localSheetId="9">#REF!</definedName>
    <definedName name="ncffx" localSheetId="9">#REF!</definedName>
    <definedName name="nematb" localSheetId="9">#REF!</definedName>
    <definedName name="nematg" localSheetId="9">#REF!</definedName>
    <definedName name="Nepanaudotos_Pask" localSheetId="9">#REF!</definedName>
    <definedName name="New" localSheetId="9">#REF!</definedName>
    <definedName name="nhgcccgh" localSheetId="9">#REF!</definedName>
    <definedName name="nkp" localSheetId="9">#REF!</definedName>
    <definedName name="NKPA" localSheetId="9">#REF!</definedName>
    <definedName name="nkpa1" localSheetId="9">#REF!</definedName>
    <definedName name="nkpa2" localSheetId="9">#REF!</definedName>
    <definedName name="NKPAG1" localSheetId="9">#REF!</definedName>
    <definedName name="NNPP2PigProduction2" localSheetId="9">#REF!</definedName>
    <definedName name="NOK_AVE" localSheetId="9">#REF!</definedName>
    <definedName name="NOK_END" localSheetId="9">#REF!</definedName>
    <definedName name="NOK_OB" localSheetId="9">#REF!</definedName>
    <definedName name="npv" localSheetId="9">#REF!</definedName>
    <definedName name="npvd" localSheetId="9">#REF!</definedName>
    <definedName name="npvdout" localSheetId="9">#REF!</definedName>
    <definedName name="npvdout2" localSheetId="9">#REF!</definedName>
    <definedName name="npvout" localSheetId="9">#REF!</definedName>
    <definedName name="Nuostoliai" localSheetId="9">#REF!</definedName>
    <definedName name="optimus" localSheetId="9">#REF!</definedName>
    <definedName name="pajam" localSheetId="9">#REF!</definedName>
    <definedName name="PalNR" localSheetId="9">#REF!</definedName>
    <definedName name="palriz" localSheetId="9">#REF!</definedName>
    <definedName name="pard" localSheetId="9">#REF!</definedName>
    <definedName name="PardPaj" localSheetId="9">#REF!</definedName>
    <definedName name="pask1" localSheetId="9">#REF!</definedName>
    <definedName name="PaskSutIlg" localSheetId="9">#REF!</definedName>
    <definedName name="paskVal" localSheetId="9">#REF!</definedName>
    <definedName name="pelnas1" localSheetId="9">#REF!</definedName>
    <definedName name="pelnasnuost" localSheetId="9">#REF!</definedName>
    <definedName name="PerejimasB" localSheetId="9">#REF!</definedName>
    <definedName name="PerejimasB1" localSheetId="9">#REF!</definedName>
    <definedName name="PerejimasB2" localSheetId="9">#REF!</definedName>
    <definedName name="PerejimasG" localSheetId="9">#REF!</definedName>
    <definedName name="PerejimasG1" localSheetId="9">#REF!</definedName>
    <definedName name="PerejimasG2" localSheetId="9">#REF!</definedName>
    <definedName name="pessimus" localSheetId="9">#REF!</definedName>
    <definedName name="PI" localSheetId="9">#REF!</definedName>
    <definedName name="PirkSus" localSheetId="9">#REF!</definedName>
    <definedName name="pl" localSheetId="9">#REF!</definedName>
    <definedName name="pl_eq" localSheetId="9">#REF!</definedName>
    <definedName name="PL_LOC" localSheetId="9">#REF!</definedName>
    <definedName name="PL_PACK" localSheetId="9">#REF!</definedName>
    <definedName name="PL_TOT" localSheetId="9">#REF!</definedName>
    <definedName name="PL_XPO" localSheetId="9">#REF!</definedName>
    <definedName name="PMApsk" localSheetId="9">#REF!</definedName>
    <definedName name="PMsan" localSheetId="9">#REF!</definedName>
    <definedName name="PMsanK" localSheetId="9">#REF!</definedName>
    <definedName name="poo" localSheetId="9">#REF!</definedName>
    <definedName name="PORT_Consolidated_1" localSheetId="9">#REF!</definedName>
    <definedName name="PORT_PrjPeriods" localSheetId="9">#REF!</definedName>
    <definedName name="prekyb2" localSheetId="9">#REF!</definedName>
    <definedName name="Present" localSheetId="9">#REF!</definedName>
    <definedName name="Prestizas" localSheetId="9">#REF!</definedName>
    <definedName name="PrestJud7" localSheetId="9">#REF!</definedName>
    <definedName name="PrestPM" localSheetId="9">#REF!</definedName>
    <definedName name="PrestSkaic" localSheetId="9">#REF!</definedName>
    <definedName name="price" localSheetId="9">#REF!</definedName>
    <definedName name="pricein" localSheetId="9">#REF!</definedName>
    <definedName name="PRJ_Name" localSheetId="9">#REF!</definedName>
    <definedName name="process" localSheetId="9">#REF!</definedName>
    <definedName name="psa" localSheetId="9">#REF!</definedName>
    <definedName name="q" localSheetId="9">#REF!</definedName>
    <definedName name="qqq" localSheetId="9" hidden="1">#REF!</definedName>
    <definedName name="Query1" localSheetId="9">#REF!</definedName>
    <definedName name="query2" localSheetId="9">#REF!</definedName>
    <definedName name="range" localSheetId="9">#REF!,#REF!,#REF!,#REF!,#REF!,#REF!,#REF!,#REF!,#REF!,#REF!</definedName>
    <definedName name="rate" localSheetId="9">#REF!</definedName>
    <definedName name="ratein" localSheetId="9">#REF!</definedName>
    <definedName name="Reorg" localSheetId="9">#REF!</definedName>
    <definedName name="res" localSheetId="9">#REF!</definedName>
    <definedName name="rfds" localSheetId="9">#REF!</definedName>
    <definedName name="rsg" localSheetId="9">#REF!</definedName>
    <definedName name="RUB_AVE" localSheetId="9">#REF!</definedName>
    <definedName name="RUB_END" localSheetId="9">#REF!</definedName>
    <definedName name="RUB_OB" localSheetId="9">#REF!</definedName>
    <definedName name="SAL_LOC" localSheetId="9">#REF!</definedName>
    <definedName name="SAL_TOT" localSheetId="9">#REF!</definedName>
    <definedName name="SAL_XPO" localSheetId="9">#REF!</definedName>
    <definedName name="sale" localSheetId="9">#REF!</definedName>
    <definedName name="sales" localSheetId="9">#REF!</definedName>
    <definedName name="salesin" localSheetId="9">#REF!</definedName>
    <definedName name="sandoriaisus" localSheetId="9">#REF!</definedName>
    <definedName name="scens" localSheetId="9">#REF!</definedName>
    <definedName name="Score" localSheetId="9">#REF!</definedName>
    <definedName name="sdaf" localSheetId="9">#REF!</definedName>
    <definedName name="sdf" localSheetId="9">#REF!</definedName>
    <definedName name="SE" localSheetId="9">#REF!</definedName>
    <definedName name="Segm1" localSheetId="9">#REF!</definedName>
    <definedName name="SegmAM" localSheetId="9">#REF!</definedName>
    <definedName name="Segmentai08" localSheetId="9">#REF!</definedName>
    <definedName name="SegmPM" localSheetId="9">#REF!</definedName>
    <definedName name="sf" localSheetId="9">#REF!</definedName>
    <definedName name="SIP" localSheetId="9">#REF!</definedName>
    <definedName name="SkolAkc" localSheetId="9">#REF!</definedName>
    <definedName name="Skolos_akcininkams" localSheetId="9">#REF!</definedName>
    <definedName name="SkolSus" localSheetId="9">#REF!</definedName>
    <definedName name="SMM_LOC" localSheetId="9">#REF!</definedName>
    <definedName name="SMM_TOT" localSheetId="9">#REF!</definedName>
    <definedName name="SMM_XPO" localSheetId="9">#REF!</definedName>
    <definedName name="ssfrffhg" localSheetId="9">#REF!</definedName>
    <definedName name="SsS_Bs" localSheetId="9">#REF!</definedName>
    <definedName name="SsS_pp" localSheetId="9">#REF!</definedName>
    <definedName name="ssss" localSheetId="9">#REF!</definedName>
    <definedName name="ssssss" localSheetId="9">#REF!</definedName>
    <definedName name="ssssssss" localSheetId="9">#REF!</definedName>
    <definedName name="STD" localSheetId="9">#REF!</definedName>
    <definedName name="SUM" localSheetId="9">#REF!</definedName>
    <definedName name="sumaz" localSheetId="9">#REF!</definedName>
    <definedName name="sumazej" localSheetId="9">#REF!</definedName>
    <definedName name="susij" localSheetId="9">#REF!</definedName>
    <definedName name="susijbal" localSheetId="9">#REF!</definedName>
    <definedName name="susijesk" localSheetId="9">#REF!</definedName>
    <definedName name="T" localSheetId="9">#REF!</definedName>
    <definedName name="table" localSheetId="9">#REF!</definedName>
    <definedName name="Tbl_FIFO_STATUSS" localSheetId="9">#REF!</definedName>
    <definedName name="TEST0" localSheetId="9">#REF!</definedName>
    <definedName name="TEST1" localSheetId="9">#REF!</definedName>
    <definedName name="TEST2" localSheetId="9">#REF!</definedName>
    <definedName name="TEST3" localSheetId="9">#REF!</definedName>
    <definedName name="TESTHKEY" localSheetId="9">#REF!</definedName>
    <definedName name="TESTKEYS" localSheetId="9">#REF!</definedName>
    <definedName name="TESTVKEY" localSheetId="9">#REF!</definedName>
    <definedName name="TextRefCopy1" localSheetId="9">#REF!</definedName>
    <definedName name="TextRefCopy2" localSheetId="9">#REF!</definedName>
    <definedName name="TextRefCopy3" localSheetId="9">#REF!</definedName>
    <definedName name="TextRefCopy4" localSheetId="9">#REF!</definedName>
    <definedName name="TextRefCopy5" localSheetId="9">#REF!</definedName>
    <definedName name="TextRefCopy6" localSheetId="9">#REF!</definedName>
    <definedName name="TextRefCopy7" localSheetId="9">#REF!</definedName>
    <definedName name="TextRefCopy8" localSheetId="9">#REF!</definedName>
    <definedName name="TIT" localSheetId="9">#REF!</definedName>
    <definedName name="to" localSheetId="9">#REF!</definedName>
    <definedName name="TOT" localSheetId="9">#REF!</definedName>
    <definedName name="TOTAL" localSheetId="9">#REF!</definedName>
    <definedName name="TPGTV" localSheetId="9">#REF!</definedName>
    <definedName name="TrMokSumos" localSheetId="9">#REF!</definedName>
    <definedName name="Uniformity" localSheetId="9">#REF!</definedName>
    <definedName name="uuuuuuu" localSheetId="9">#REF!</definedName>
    <definedName name="UVKR" localSheetId="9">#REF!</definedName>
    <definedName name="uyk" localSheetId="9">#REF!</definedName>
    <definedName name="vadov" localSheetId="9">#REF!</definedName>
    <definedName name="vadovai" localSheetId="9">#REF!</definedName>
    <definedName name="Val" localSheetId="9">#REF!</definedName>
    <definedName name="valiut" localSheetId="9">#REF!</definedName>
    <definedName name="valiutos" localSheetId="9">#REF!</definedName>
    <definedName name="VAT_OnAssets" localSheetId="9">#REF!</definedName>
    <definedName name="vbhn" localSheetId="9" hidden="1">#REF!</definedName>
    <definedName name="vbhng" localSheetId="9">#REF!</definedName>
    <definedName name="vbmn" localSheetId="9">#REF!</definedName>
    <definedName name="veikla" localSheetId="9">#REF!</definedName>
    <definedName name="veiklos" localSheetId="9">#REF!</definedName>
    <definedName name="VeiklosNuoma" localSheetId="9">#REF!</definedName>
    <definedName name="VeiklosSan" localSheetId="9">#REF!</definedName>
    <definedName name="VertSum" localSheetId="9">#REF!</definedName>
    <definedName name="VET" localSheetId="9">#REF!</definedName>
    <definedName name="vhjhfhj" localSheetId="9">#REF!</definedName>
    <definedName name="vj" localSheetId="9">#REF!</definedName>
    <definedName name="vnuom" localSheetId="9">#REF!</definedName>
    <definedName name="wa" localSheetId="9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ae" localSheetId="9">#REF!</definedName>
    <definedName name="we" localSheetId="9" hidden="1">#REF!</definedName>
    <definedName name="weafg" localSheetId="9">#REF!</definedName>
    <definedName name="werasw" localSheetId="9">#REF!</definedName>
    <definedName name="wrn.Financial._.Report." localSheetId="9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localSheetId="9" hidden="1">{"Input_Fin",#N/A,FALSE,"By Code";"Input_Opt",#N/A,FALSE,"By Code"}</definedName>
    <definedName name="wrn.Operation._.Report." localSheetId="9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www" localSheetId="9" hidden="1">#REF!</definedName>
    <definedName name="xcv" localSheetId="9">#REF!</definedName>
    <definedName name="xdf" localSheetId="9">#REF!</definedName>
    <definedName name="xdfth" localSheetId="9">#REF!</definedName>
    <definedName name="xdh" localSheetId="9">#REF!</definedName>
    <definedName name="xfht" localSheetId="9">#REF!</definedName>
    <definedName name="xgh" localSheetId="9">#REF!</definedName>
    <definedName name="xls" localSheetId="9">#REF!</definedName>
    <definedName name="XREF_COLUMN_10" localSheetId="9" hidden="1">#REF!</definedName>
    <definedName name="XREF_COLUMN_14" localSheetId="9" hidden="1">#REF!</definedName>
    <definedName name="XREF_COLUMN_3" localSheetId="9" hidden="1">#REF!</definedName>
    <definedName name="XREF_COLUMN_4" localSheetId="9" hidden="1">#REF!</definedName>
    <definedName name="XREF_COLUMN_5" localSheetId="9" hidden="1">#REF!</definedName>
    <definedName name="XREF_COLUMN_6" localSheetId="9" hidden="1">#REF!</definedName>
    <definedName name="XREF_COLUMN_7" localSheetId="9" hidden="1">#REF!</definedName>
    <definedName name="XRefCopy1" localSheetId="9" hidden="1">#REF!</definedName>
    <definedName name="XRefCopy2" localSheetId="9" hidden="1">#REF!</definedName>
    <definedName name="XRefCopy3" localSheetId="9" hidden="1">#REF!</definedName>
    <definedName name="XRefCopy4" localSheetId="9" hidden="1">#REF!</definedName>
    <definedName name="XRefCopy5" localSheetId="9" hidden="1">#REF!</definedName>
    <definedName name="XRefCopy6" localSheetId="9" hidden="1">#REF!</definedName>
    <definedName name="XRefCopy6Row" localSheetId="9" hidden="1">#REF!</definedName>
    <definedName name="XRefCopy7" localSheetId="9" hidden="1">#REF!</definedName>
    <definedName name="XRefCopy8" localSheetId="9" hidden="1">#REF!</definedName>
    <definedName name="XRefCopy9" localSheetId="9" hidden="1">#REF!</definedName>
    <definedName name="XRefCopy9Row" localSheetId="9" hidden="1">#REF!</definedName>
    <definedName name="XRefPaste10" localSheetId="9" hidden="1">#REF!</definedName>
    <definedName name="XRefPaste11" localSheetId="9" hidden="1">#REF!</definedName>
    <definedName name="XRefPaste12" localSheetId="9" hidden="1">#REF!</definedName>
    <definedName name="XRefPaste13" localSheetId="9" hidden="1">#REF!</definedName>
    <definedName name="XRefPaste16" localSheetId="9" hidden="1">#REF!</definedName>
    <definedName name="XRefPaste17" localSheetId="9" hidden="1">#REF!</definedName>
    <definedName name="XRefPaste18" localSheetId="9" hidden="1">#REF!</definedName>
    <definedName name="XRefPaste2" localSheetId="9" hidden="1">#REF!</definedName>
    <definedName name="XRefPaste5" localSheetId="9" hidden="1">#REF!</definedName>
    <definedName name="XRefPaste6" localSheetId="9" hidden="1">#REF!</definedName>
    <definedName name="XRefPaste7" localSheetId="9" hidden="1">#REF!</definedName>
    <definedName name="XRefPaste8" localSheetId="9" hidden="1">#REF!</definedName>
    <definedName name="XRefPaste9" localSheetId="9" hidden="1">#REF!</definedName>
    <definedName name="xzc" localSheetId="9">#REF!</definedName>
    <definedName name="xzcb" localSheetId="9">#REF!</definedName>
    <definedName name="yjcf" localSheetId="9">#REF!</definedName>
    <definedName name="yjcougv" localSheetId="9">#REF!</definedName>
    <definedName name="yug" localSheetId="9">#REF!</definedName>
    <definedName name="z" localSheetId="9">#REF!</definedName>
    <definedName name="zgffxdhxtghj" localSheetId="9">#REF!</definedName>
    <definedName name="zsrg" localSheetId="9">#REF!</definedName>
    <definedName name="zxfg" localSheetId="9">#REF!</definedName>
    <definedName name="а" localSheetId="9">#REF!</definedName>
    <definedName name="ааа" localSheetId="9">#REF!</definedName>
    <definedName name="аааааааа" localSheetId="9">#REF!</definedName>
    <definedName name="ббббб" localSheetId="9">#REF!</definedName>
    <definedName name="ббббббб" localSheetId="9">#REF!</definedName>
    <definedName name="бббббббббб" localSheetId="9">#REF!</definedName>
    <definedName name="в" localSheetId="9">#REF!</definedName>
    <definedName name="вввв" localSheetId="9">#REF!</definedName>
    <definedName name="ввввввввввв" localSheetId="9">#REF!</definedName>
    <definedName name="ггггг" localSheetId="9">#REF!</definedName>
    <definedName name="еее" localSheetId="9">#REF!</definedName>
    <definedName name="ееееее" localSheetId="9">#REF!</definedName>
    <definedName name="еееееееее" localSheetId="9">#REF!</definedName>
    <definedName name="жжжжжж" localSheetId="9">#REF!</definedName>
    <definedName name="зззззз" localSheetId="9">#REF!</definedName>
    <definedName name="и" localSheetId="9">#REF!</definedName>
    <definedName name="иии" localSheetId="9">#REF!</definedName>
    <definedName name="ййй" localSheetId="9">#REF!</definedName>
    <definedName name="ййййййййй" localSheetId="9">#REF!</definedName>
    <definedName name="ииииииииииииии" localSheetId="9">#REF!</definedName>
    <definedName name="кккк" localSheetId="9">#REF!</definedName>
    <definedName name="ккккккккккк" localSheetId="9">#REF!</definedName>
    <definedName name="лллл" localSheetId="9">#REF!</definedName>
    <definedName name="м" localSheetId="9">#REF!</definedName>
    <definedName name="ммм" localSheetId="9">#REF!</definedName>
    <definedName name="ммммммммм" localSheetId="9">#REF!</definedName>
    <definedName name="ммммммммммм" localSheetId="9">#REF!</definedName>
    <definedName name="нннннн" localSheetId="9">#REF!</definedName>
    <definedName name="ннннннннннн" localSheetId="9">#REF!</definedName>
    <definedName name="о" localSheetId="9">#REF!</definedName>
    <definedName name="ооо" localSheetId="9">#REF!</definedName>
    <definedName name="оооооо" localSheetId="9">#REF!</definedName>
    <definedName name="п" localSheetId="9">#REF!</definedName>
    <definedName name="пппппппппп" localSheetId="9">#REF!</definedName>
    <definedName name="р" localSheetId="9">#REF!</definedName>
    <definedName name="ррр" localSheetId="9">#REF!</definedName>
    <definedName name="рррррр" localSheetId="9">#REF!</definedName>
    <definedName name="рррррррррр" localSheetId="9">#REF!</definedName>
    <definedName name="ррррррррррр" localSheetId="9">#REF!</definedName>
    <definedName name="с" localSheetId="9">#REF!</definedName>
    <definedName name="ссс" localSheetId="9">#REF!</definedName>
    <definedName name="ссссс" localSheetId="9">#REF!</definedName>
    <definedName name="т" localSheetId="9">#REF!</definedName>
    <definedName name="ттт" localSheetId="9">#REF!</definedName>
    <definedName name="ттттттттттттт" localSheetId="9">#REF!</definedName>
    <definedName name="ууу" localSheetId="9">#REF!</definedName>
    <definedName name="уууууу" localSheetId="9">#REF!</definedName>
    <definedName name="уууууууууу" localSheetId="9">#REF!</definedName>
    <definedName name="ффф" localSheetId="9">#REF!</definedName>
    <definedName name="ффффффффф" localSheetId="9">#REF!</definedName>
    <definedName name="ххххххх" localSheetId="9">#REF!</definedName>
    <definedName name="ццц" localSheetId="9">#REF!</definedName>
    <definedName name="ццццццццц" localSheetId="9">#REF!</definedName>
    <definedName name="ч" localSheetId="9">#REF!</definedName>
    <definedName name="ччч" localSheetId="9">#REF!</definedName>
    <definedName name="шшшшшшшшш" localSheetId="9">#REF!</definedName>
    <definedName name="ы" localSheetId="9">#REF!</definedName>
    <definedName name="ыыыыыыыыы" localSheetId="9">#REF!</definedName>
    <definedName name="ь" localSheetId="9">#REF!</definedName>
    <definedName name="ььь" localSheetId="9">#REF!</definedName>
    <definedName name="ьььььььььььь" localSheetId="9">#REF!</definedName>
    <definedName name="эээээ" localSheetId="9">#REF!</definedName>
    <definedName name="ююююю" localSheetId="9">#REF!</definedName>
    <definedName name="юююююююююю" localSheetId="9">#REF!</definedName>
    <definedName name="я" localSheetId="9">#REF!</definedName>
    <definedName name="яяя" localSheetId="9">#REF!</definedName>
    <definedName name="กหเหเ" localSheetId="9">#REF!</definedName>
    <definedName name="กำไรขาดทุน" localSheetId="9">#REF!</definedName>
    <definedName name="ทรัพย์สิน" localSheetId="9">#REF!</definedName>
    <definedName name="ฟ" localSheetId="9">#REF!</definedName>
    <definedName name="ฟฟ" localSheetId="9">#REF!</definedName>
    <definedName name="ส่วนแบ่งตลาด" localSheetId="9">#REF!</definedName>
    <definedName name="หนี้สินและทุน" localSheetId="9">#REF!</definedName>
    <definedName name="หหก" localSheetId="9">#REF!</definedName>
    <definedName name="\0" localSheetId="10">#REF!</definedName>
    <definedName name="\00" localSheetId="10">#REF!</definedName>
    <definedName name="\C" localSheetId="10">#REF!</definedName>
    <definedName name="\cc" localSheetId="10">#REF!</definedName>
    <definedName name="\d" localSheetId="10">#REF!</definedName>
    <definedName name="\e" localSheetId="10">#REF!</definedName>
    <definedName name="\i" localSheetId="10">#REF!</definedName>
    <definedName name="\M" localSheetId="10">#REF!</definedName>
    <definedName name="\s" localSheetId="10">#REF!</definedName>
    <definedName name="\u" localSheetId="10">#REF!</definedName>
    <definedName name="_" localSheetId="10">#REF!</definedName>
    <definedName name="_____________________________________________PL1" localSheetId="10">#REF!</definedName>
    <definedName name="_____________________________________________PL2" localSheetId="10">#REF!</definedName>
    <definedName name="____________________________________________PL1" localSheetId="10">#REF!</definedName>
    <definedName name="____________________________________________PL2" localSheetId="10">#REF!</definedName>
    <definedName name="__________________________NEW2" localSheetId="10">#REF!</definedName>
    <definedName name="_________________________NEW2" localSheetId="10">#REF!</definedName>
    <definedName name="____________________DAT1" localSheetId="10">#REF!</definedName>
    <definedName name="____________________DAT10" localSheetId="10">#REF!</definedName>
    <definedName name="____________________DAT11" localSheetId="10">#REF!</definedName>
    <definedName name="____________________DAT2" localSheetId="10">#REF!</definedName>
    <definedName name="____________________DAT3" localSheetId="10">#REF!</definedName>
    <definedName name="____________________DAT4" localSheetId="10">#REF!</definedName>
    <definedName name="____________________DAT5" localSheetId="10">#REF!</definedName>
    <definedName name="____________________DAT6" localSheetId="10">#REF!</definedName>
    <definedName name="____________________DAT7" localSheetId="10">#REF!</definedName>
    <definedName name="____________________DAT8" localSheetId="10">#REF!</definedName>
    <definedName name="____________________DAT9" localSheetId="10">#REF!</definedName>
    <definedName name="____________________PL2" localSheetId="10">#REF!</definedName>
    <definedName name="___________________DAT1" localSheetId="10">#REF!</definedName>
    <definedName name="___________________DAT10" localSheetId="10">#REF!</definedName>
    <definedName name="___________________DAT11" localSheetId="10">#REF!</definedName>
    <definedName name="___________________DAT2" localSheetId="10">#REF!</definedName>
    <definedName name="___________________DAT3" localSheetId="10">#REF!</definedName>
    <definedName name="___________________DAT4" localSheetId="10">#REF!</definedName>
    <definedName name="___________________DAT5" localSheetId="10">#REF!</definedName>
    <definedName name="___________________DAT6" localSheetId="10">#REF!</definedName>
    <definedName name="___________________DAT7" localSheetId="10">#REF!</definedName>
    <definedName name="___________________DAT8" localSheetId="10">#REF!</definedName>
    <definedName name="___________________DAT9" localSheetId="10">#REF!</definedName>
    <definedName name="__________________DAT1" localSheetId="10">#REF!</definedName>
    <definedName name="__________________DAT10" localSheetId="10">#REF!</definedName>
    <definedName name="__________________DAT11" localSheetId="10">#REF!</definedName>
    <definedName name="__________________DAT2" localSheetId="10">#REF!</definedName>
    <definedName name="__________________DAT3" localSheetId="10">#REF!</definedName>
    <definedName name="__________________DAT4" localSheetId="10">#REF!</definedName>
    <definedName name="__________________DAT5" localSheetId="10">#REF!</definedName>
    <definedName name="__________________DAT6" localSheetId="10">#REF!</definedName>
    <definedName name="__________________DAT7" localSheetId="10">#REF!</definedName>
    <definedName name="__________________DAT8" localSheetId="10">#REF!</definedName>
    <definedName name="__________________DAT9" localSheetId="10">#REF!</definedName>
    <definedName name="_________________DAT1" localSheetId="10">#REF!</definedName>
    <definedName name="_________________DAT10" localSheetId="10">#REF!</definedName>
    <definedName name="_________________DAT11" localSheetId="10">#REF!</definedName>
    <definedName name="_________________DAT2" localSheetId="10">#REF!</definedName>
    <definedName name="_________________DAT3" localSheetId="10">#REF!</definedName>
    <definedName name="_________________DAT4" localSheetId="10">#REF!</definedName>
    <definedName name="_________________DAT5" localSheetId="10">#REF!</definedName>
    <definedName name="_________________DAT6" localSheetId="10">#REF!</definedName>
    <definedName name="_________________DAT7" localSheetId="10">#REF!</definedName>
    <definedName name="_________________DAT8" localSheetId="10">#REF!</definedName>
    <definedName name="_________________DAT9" localSheetId="10">#REF!</definedName>
    <definedName name="________________DAT1" localSheetId="10">#REF!</definedName>
    <definedName name="________________DAT10" localSheetId="10">#REF!</definedName>
    <definedName name="________________DAT11" localSheetId="10">#REF!</definedName>
    <definedName name="________________DAT2" localSheetId="10">#REF!</definedName>
    <definedName name="________________DAT3" localSheetId="10">#REF!</definedName>
    <definedName name="________________DAT4" localSheetId="10">#REF!</definedName>
    <definedName name="________________DAT5" localSheetId="10">#REF!</definedName>
    <definedName name="________________DAT6" localSheetId="10">#REF!</definedName>
    <definedName name="________________DAT7" localSheetId="10">#REF!</definedName>
    <definedName name="________________DAT8" localSheetId="10">#REF!</definedName>
    <definedName name="________________DAT9" localSheetId="10">#REF!</definedName>
    <definedName name="_______________DAT1" localSheetId="10">#REF!</definedName>
    <definedName name="_______________DAT10" localSheetId="10">#REF!</definedName>
    <definedName name="_______________DAT11" localSheetId="10">#REF!</definedName>
    <definedName name="_______________DAT2" localSheetId="10">#REF!</definedName>
    <definedName name="_______________DAT3" localSheetId="10">#REF!</definedName>
    <definedName name="_______________DAT4" localSheetId="10">#REF!</definedName>
    <definedName name="_______________DAT5" localSheetId="10">#REF!</definedName>
    <definedName name="_______________DAT6" localSheetId="10">#REF!</definedName>
    <definedName name="_______________DAT7" localSheetId="10">#REF!</definedName>
    <definedName name="_______________DAT8" localSheetId="10">#REF!</definedName>
    <definedName name="_______________DAT9" localSheetId="10">#REF!</definedName>
    <definedName name="______________DAT1" localSheetId="10">#REF!</definedName>
    <definedName name="______________DAT10" localSheetId="10">#REF!</definedName>
    <definedName name="______________DAT11" localSheetId="10">#REF!</definedName>
    <definedName name="______________DAT2" localSheetId="10">#REF!</definedName>
    <definedName name="______________DAT3" localSheetId="10">#REF!</definedName>
    <definedName name="______________DAT4" localSheetId="10">#REF!</definedName>
    <definedName name="______________DAT5" localSheetId="10">#REF!</definedName>
    <definedName name="______________DAT6" localSheetId="10">#REF!</definedName>
    <definedName name="______________DAT7" localSheetId="10">#REF!</definedName>
    <definedName name="______________DAT8" localSheetId="10">#REF!</definedName>
    <definedName name="______________DAT9" localSheetId="10">#REF!</definedName>
    <definedName name="_____________DAT1" localSheetId="10">#REF!</definedName>
    <definedName name="_____________DAT10" localSheetId="10">#REF!</definedName>
    <definedName name="_____________DAT11" localSheetId="10">#REF!</definedName>
    <definedName name="_____________DAT2" localSheetId="10">#REF!</definedName>
    <definedName name="_____________DAT3" localSheetId="10">#REF!</definedName>
    <definedName name="_____________DAT4" localSheetId="10">#REF!</definedName>
    <definedName name="_____________DAT5" localSheetId="10">#REF!</definedName>
    <definedName name="_____________DAT6" localSheetId="10">#REF!</definedName>
    <definedName name="_____________DAT7" localSheetId="10">#REF!</definedName>
    <definedName name="_____________DAT8" localSheetId="10">#REF!</definedName>
    <definedName name="_____________DAT9" localSheetId="10">#REF!</definedName>
    <definedName name="____________DAT1" localSheetId="10">#REF!</definedName>
    <definedName name="____________DAT10" localSheetId="10">#REF!</definedName>
    <definedName name="____________DAT11" localSheetId="10">#REF!</definedName>
    <definedName name="____________DAT2" localSheetId="10">#REF!</definedName>
    <definedName name="____________DAT3" localSheetId="10">#REF!</definedName>
    <definedName name="____________DAT4" localSheetId="10">#REF!</definedName>
    <definedName name="____________DAT5" localSheetId="10">#REF!</definedName>
    <definedName name="____________DAT6" localSheetId="10">#REF!</definedName>
    <definedName name="____________DAT7" localSheetId="10">#REF!</definedName>
    <definedName name="____________DAT8" localSheetId="10">#REF!</definedName>
    <definedName name="____________DAT9" localSheetId="10">#REF!</definedName>
    <definedName name="___________DAT1" localSheetId="10">#REF!</definedName>
    <definedName name="___________DAT10" localSheetId="10">#REF!</definedName>
    <definedName name="___________DAT11" localSheetId="10">#REF!</definedName>
    <definedName name="___________DAT2" localSheetId="10">#REF!</definedName>
    <definedName name="___________DAT3" localSheetId="10">#REF!</definedName>
    <definedName name="___________DAT4" localSheetId="10">#REF!</definedName>
    <definedName name="___________DAT5" localSheetId="10">#REF!</definedName>
    <definedName name="___________DAT6" localSheetId="10">#REF!</definedName>
    <definedName name="___________DAT7" localSheetId="10">#REF!</definedName>
    <definedName name="___________DAT8" localSheetId="10">#REF!</definedName>
    <definedName name="___________DAT9" localSheetId="10">#REF!</definedName>
    <definedName name="__________DAT1" localSheetId="10">#REF!</definedName>
    <definedName name="__________DAT10" localSheetId="10">#REF!</definedName>
    <definedName name="__________DAT11" localSheetId="10">#REF!</definedName>
    <definedName name="__________DAT2" localSheetId="10">#REF!</definedName>
    <definedName name="__________DAT3" localSheetId="10">#REF!</definedName>
    <definedName name="__________DAT4" localSheetId="10">#REF!</definedName>
    <definedName name="__________DAT5" localSheetId="10">#REF!</definedName>
    <definedName name="__________DAT6" localSheetId="10">#REF!</definedName>
    <definedName name="__________DAT7" localSheetId="10">#REF!</definedName>
    <definedName name="__________DAT8" localSheetId="10">#REF!</definedName>
    <definedName name="__________DAT9" localSheetId="10">#REF!</definedName>
    <definedName name="_________DAT1" localSheetId="10">#REF!</definedName>
    <definedName name="_________DAT10" localSheetId="10">#REF!</definedName>
    <definedName name="_________DAT11" localSheetId="10">#REF!</definedName>
    <definedName name="_________DAT2" localSheetId="10">#REF!</definedName>
    <definedName name="_________DAT3" localSheetId="10">#REF!</definedName>
    <definedName name="_________DAT4" localSheetId="10">#REF!</definedName>
    <definedName name="_________DAT5" localSheetId="10">#REF!</definedName>
    <definedName name="_________DAT6" localSheetId="10">#REF!</definedName>
    <definedName name="_________DAT7" localSheetId="10">#REF!</definedName>
    <definedName name="_________DAT8" localSheetId="10">#REF!</definedName>
    <definedName name="_________DAT9" localSheetId="10">#REF!</definedName>
    <definedName name="________DAT1" localSheetId="10">#REF!</definedName>
    <definedName name="________DAT10" localSheetId="10">#REF!</definedName>
    <definedName name="________DAT11" localSheetId="10">#REF!</definedName>
    <definedName name="________DAT2" localSheetId="10">#REF!</definedName>
    <definedName name="________DAT3" localSheetId="10">#REF!</definedName>
    <definedName name="________DAT4" localSheetId="10">#REF!</definedName>
    <definedName name="________DAT5" localSheetId="10">#REF!</definedName>
    <definedName name="________DAT6" localSheetId="10">#REF!</definedName>
    <definedName name="________DAT7" localSheetId="10">#REF!</definedName>
    <definedName name="________DAT8" localSheetId="10">#REF!</definedName>
    <definedName name="________DAT9" localSheetId="10">#REF!</definedName>
    <definedName name="_______DAT1" localSheetId="10">#REF!</definedName>
    <definedName name="_______DAT10" localSheetId="10">#REF!</definedName>
    <definedName name="_______DAT11" localSheetId="10">#REF!</definedName>
    <definedName name="_______DAT2" localSheetId="10">#REF!</definedName>
    <definedName name="_______DAT3" localSheetId="10">#REF!</definedName>
    <definedName name="_______DAT4" localSheetId="10">#REF!</definedName>
    <definedName name="_______DAT5" localSheetId="10">#REF!</definedName>
    <definedName name="_______DAT6" localSheetId="10">#REF!</definedName>
    <definedName name="_______DAT7" localSheetId="10">#REF!</definedName>
    <definedName name="_______DAT8" localSheetId="10">#REF!</definedName>
    <definedName name="_______DAT9" localSheetId="10">#REF!</definedName>
    <definedName name="______DAT1" localSheetId="10">#REF!</definedName>
    <definedName name="______DAT10" localSheetId="10">#REF!</definedName>
    <definedName name="______DAT11" localSheetId="10">#REF!</definedName>
    <definedName name="______DAT2" localSheetId="10">#REF!</definedName>
    <definedName name="______DAT3" localSheetId="10">#REF!</definedName>
    <definedName name="______DAT4" localSheetId="10">#REF!</definedName>
    <definedName name="______DAT5" localSheetId="10">#REF!</definedName>
    <definedName name="______DAT6" localSheetId="10">#REF!</definedName>
    <definedName name="______DAT7" localSheetId="10">#REF!</definedName>
    <definedName name="______DAT8" localSheetId="10">#REF!</definedName>
    <definedName name="______DAT9" localSheetId="10">#REF!</definedName>
    <definedName name="_____DAT1" localSheetId="10">#REF!</definedName>
    <definedName name="_____DAT10" localSheetId="10">#REF!</definedName>
    <definedName name="_____DAT11" localSheetId="10">#REF!</definedName>
    <definedName name="_____DAT2" localSheetId="10">#REF!</definedName>
    <definedName name="_____DAT3" localSheetId="10">#REF!</definedName>
    <definedName name="_____DAT4" localSheetId="10">#REF!</definedName>
    <definedName name="_____DAT5" localSheetId="10">#REF!</definedName>
    <definedName name="_____DAT6" localSheetId="10">#REF!</definedName>
    <definedName name="_____DAT7" localSheetId="10">#REF!</definedName>
    <definedName name="_____DAT8" localSheetId="10">#REF!</definedName>
    <definedName name="_____DAT9" localSheetId="10">#REF!</definedName>
    <definedName name="_____NEW1" localSheetId="10">#REF!</definedName>
    <definedName name="_____NEW2" localSheetId="10">#REF!</definedName>
    <definedName name="_____PL1" localSheetId="10">#REF!</definedName>
    <definedName name="_____PL2" localSheetId="10">#REF!</definedName>
    <definedName name="____DAT1" localSheetId="10">#REF!</definedName>
    <definedName name="____DAT10" localSheetId="10">#REF!</definedName>
    <definedName name="____DAT11" localSheetId="10">#REF!</definedName>
    <definedName name="____DAT2" localSheetId="10">#REF!</definedName>
    <definedName name="____DAT3" localSheetId="10">#REF!</definedName>
    <definedName name="____DAT4" localSheetId="10">#REF!</definedName>
    <definedName name="____DAT5" localSheetId="10">#REF!</definedName>
    <definedName name="____DAT6" localSheetId="10">#REF!</definedName>
    <definedName name="____DAT7" localSheetId="10">#REF!</definedName>
    <definedName name="____DAT8" localSheetId="10">#REF!</definedName>
    <definedName name="____DAT9" localSheetId="10">#REF!</definedName>
    <definedName name="___DAT1" localSheetId="10">#REF!</definedName>
    <definedName name="___DAT10" localSheetId="10">#REF!</definedName>
    <definedName name="___DAT11" localSheetId="10">#REF!</definedName>
    <definedName name="___DAT2" localSheetId="10">#REF!</definedName>
    <definedName name="___DAT3" localSheetId="10">#REF!</definedName>
    <definedName name="___DAT4" localSheetId="10">#REF!</definedName>
    <definedName name="___DAT5" localSheetId="10">#REF!</definedName>
    <definedName name="___DAT6" localSheetId="10">#REF!</definedName>
    <definedName name="___DAT7" localSheetId="10">#REF!</definedName>
    <definedName name="___DAT8" localSheetId="10">#REF!</definedName>
    <definedName name="___DAT9" localSheetId="10">#REF!</definedName>
    <definedName name="___IV70000" localSheetId="10">#REF!</definedName>
    <definedName name="___IV77777" localSheetId="10">#REF!</definedName>
    <definedName name="___PS1" localSheetId="10">#REF!</definedName>
    <definedName name="___PS2" localSheetId="10">#REF!</definedName>
    <definedName name="__DAT1" localSheetId="10">#REF!</definedName>
    <definedName name="__DAT10" localSheetId="10">#REF!</definedName>
    <definedName name="__DAT11" localSheetId="10">#REF!</definedName>
    <definedName name="__DAT2" localSheetId="10">#REF!</definedName>
    <definedName name="__DAT3" localSheetId="10">#REF!</definedName>
    <definedName name="__DAT4" localSheetId="10">#REF!</definedName>
    <definedName name="__DAT5" localSheetId="10">#REF!</definedName>
    <definedName name="__DAT6" localSheetId="10">#REF!</definedName>
    <definedName name="__DAT7" localSheetId="10">#REF!</definedName>
    <definedName name="__DAT8" localSheetId="10">#REF!</definedName>
    <definedName name="__DAT9" localSheetId="10">#REF!</definedName>
    <definedName name="__IV70000" localSheetId="10">#REF!</definedName>
    <definedName name="__IV77777" localSheetId="10">#REF!</definedName>
    <definedName name="__PS1" localSheetId="10">#REF!</definedName>
    <definedName name="__PS2" localSheetId="10">#REF!</definedName>
    <definedName name="_Bal2" localSheetId="10">#REF!</definedName>
    <definedName name="_DAT1" localSheetId="10">#REF!</definedName>
    <definedName name="_DAT10" localSheetId="10">#REF!</definedName>
    <definedName name="_DAT11" localSheetId="10">#REF!</definedName>
    <definedName name="_DAT2" localSheetId="10">#REF!</definedName>
    <definedName name="_DAT3" localSheetId="10">#REF!</definedName>
    <definedName name="_DAT4" localSheetId="10">#REF!</definedName>
    <definedName name="_DAT5" localSheetId="10">#REF!</definedName>
    <definedName name="_DAT6" localSheetId="10">#REF!</definedName>
    <definedName name="_DAT7" localSheetId="10">#REF!</definedName>
    <definedName name="_DAT8" localSheetId="10">#REF!</definedName>
    <definedName name="_DAT9" localSheetId="10">#REF!</definedName>
    <definedName name="_Dist_Values" localSheetId="10" hidden="1">#REF!</definedName>
    <definedName name="_Fill" localSheetId="10" hidden="1">#REF!</definedName>
    <definedName name="_ilg1" localSheetId="10">#REF!</definedName>
    <definedName name="_imt2" localSheetId="10">#REF!</definedName>
    <definedName name="_int2" localSheetId="10">#REF!</definedName>
    <definedName name="_IV70000" localSheetId="10">#REF!</definedName>
    <definedName name="_IV77777" localSheetId="10">#REF!</definedName>
    <definedName name="_Key1" localSheetId="10" hidden="1">#REF!</definedName>
    <definedName name="_NEW1" localSheetId="10">#REF!</definedName>
    <definedName name="_NEW2" localSheetId="10">#REF!</definedName>
    <definedName name="_Parse_In" localSheetId="10" hidden="1">#REF!</definedName>
    <definedName name="_Parse_Out" localSheetId="10" hidden="1">#REF!</definedName>
    <definedName name="_PL1" localSheetId="10">#REF!</definedName>
    <definedName name="_PL2" localSheetId="10">#REF!</definedName>
    <definedName name="_ps3" localSheetId="10">#REF!</definedName>
    <definedName name="_Sort" localSheetId="10" hidden="1">#REF!</definedName>
    <definedName name="aa" localSheetId="10" hidden="1">#REF!</definedName>
    <definedName name="aaaa" localSheetId="10">#REF!</definedName>
    <definedName name="AAAAA" localSheetId="10">#REF!</definedName>
    <definedName name="Aasta" localSheetId="10">#REF!</definedName>
    <definedName name="ab" localSheetId="10">#REF!</definedName>
    <definedName name="About_AI" localSheetId="10">#REF!</definedName>
    <definedName name="About_AI_Summ" localSheetId="10">#REF!</definedName>
    <definedName name="ADD" localSheetId="10">#REF!</definedName>
    <definedName name="adj" localSheetId="10">#REF!</definedName>
    <definedName name="adj_eqty" localSheetId="10">#REF!</definedName>
    <definedName name="adsf" localSheetId="10">#REF!</definedName>
    <definedName name="ADV" localSheetId="10">#REF!</definedName>
    <definedName name="aewf" localSheetId="10">#REF!</definedName>
    <definedName name="AI" localSheetId="10">#REF!</definedName>
    <definedName name="akc" localSheetId="10">#REF!</definedName>
    <definedName name="AkcijuPok" localSheetId="10">#REF!</definedName>
    <definedName name="akcininku" localSheetId="10">#REF!</definedName>
    <definedName name="AM" localSheetId="10">#REF!</definedName>
    <definedName name="APMI" localSheetId="10">#REF!</definedName>
    <definedName name="APMlik" localSheetId="10">#REF!</definedName>
    <definedName name="APMS" localSheetId="10">#REF!</definedName>
    <definedName name="APMT" localSheetId="10">#REF!</definedName>
    <definedName name="APMTBendr" localSheetId="10">#REF!</definedName>
    <definedName name="APMTI" localSheetId="10">#REF!</definedName>
    <definedName name="AR_allowance_2008" localSheetId="10">#REF!</definedName>
    <definedName name="AREA" localSheetId="10">#REF!</definedName>
    <definedName name="as" localSheetId="10">#REF!</definedName>
    <definedName name="AS2TickmarkLS" localSheetId="10" hidden="1">#REF!</definedName>
    <definedName name="ASCOCP" localSheetId="10">#REF!</definedName>
    <definedName name="asd" localSheetId="10">#REF!</definedName>
    <definedName name="asdf" localSheetId="10">#REF!</definedName>
    <definedName name="asob" localSheetId="10">#REF!</definedName>
    <definedName name="asoc" localSheetId="10">#REF!</definedName>
    <definedName name="asoc2" localSheetId="10">#REF!</definedName>
    <definedName name="asoc3" localSheetId="10">#REF!</definedName>
    <definedName name="asoc4" localSheetId="10">#REF!</definedName>
    <definedName name="AsocB" localSheetId="10">#REF!</definedName>
    <definedName name="AsocBe" localSheetId="10">#REF!</definedName>
    <definedName name="AsocGr" localSheetId="10">#REF!</definedName>
    <definedName name="Asocijuota_įmonė" localSheetId="10">#REF!</definedName>
    <definedName name="AsocLikBendr" localSheetId="10">#REF!</definedName>
    <definedName name="AsocLikGr" localSheetId="10">#REF!</definedName>
    <definedName name="AsocPok" localSheetId="10">#REF!</definedName>
    <definedName name="AsocPokS" localSheetId="10">#REF!</definedName>
    <definedName name="ass" localSheetId="10">#REF!</definedName>
    <definedName name="Atsargos_tr" localSheetId="10">#REF!</definedName>
    <definedName name="atsargos08" localSheetId="10">#REF!</definedName>
    <definedName name="AtTIGTV" localSheetId="10">#REF!</definedName>
    <definedName name="awe" localSheetId="10">#REF!</definedName>
    <definedName name="balansas1" localSheetId="10">#REF!</definedName>
    <definedName name="balansas1d" localSheetId="10">#REF!</definedName>
    <definedName name="balansas2" localSheetId="10">#REF!</definedName>
    <definedName name="balansus" localSheetId="10">#REF!</definedName>
    <definedName name="BalSus" localSheetId="10">#REF!</definedName>
    <definedName name="Bank_Pask_Term" localSheetId="10">#REF!</definedName>
    <definedName name="bankai" localSheetId="10">#REF!</definedName>
    <definedName name="BBBBB" localSheetId="10">#REF!</definedName>
    <definedName name="benilg" localSheetId="10">#REF!</definedName>
    <definedName name="BG" localSheetId="10" hidden="1">#REF!</definedName>
    <definedName name="BLB" localSheetId="10">#REF!</definedName>
    <definedName name="bm" localSheetId="10">#REF!</definedName>
    <definedName name="Bodyweight" localSheetId="10">#REF!</definedName>
    <definedName name="BS" localSheetId="10">#REF!</definedName>
    <definedName name="bs_1" localSheetId="10">#REF!</definedName>
    <definedName name="bs_1eq" localSheetId="10">#REF!</definedName>
    <definedName name="bs_2" localSheetId="10">#REF!</definedName>
    <definedName name="bs_2eq" localSheetId="10">#REF!</definedName>
    <definedName name="bs_3" localSheetId="10">#REF!</definedName>
    <definedName name="bs_4" localSheetId="10">#REF!</definedName>
    <definedName name="BS_PL" localSheetId="10">#REF!</definedName>
    <definedName name="BUSINESS" localSheetId="10">#REF!</definedName>
    <definedName name="Ccy" localSheetId="10">#REF!</definedName>
    <definedName name="cf" localSheetId="10">#REF!</definedName>
    <definedName name="class" localSheetId="10">#REF!</definedName>
    <definedName name="COMPANY" localSheetId="10">#REF!</definedName>
    <definedName name="Conv" localSheetId="10">#REF!</definedName>
    <definedName name="cost" localSheetId="10">#REF!</definedName>
    <definedName name="Count_Personnel_4" localSheetId="10">#REF!</definedName>
    <definedName name="CRA" localSheetId="10">#REF!</definedName>
    <definedName name="cvh" localSheetId="10">#REF!</definedName>
    <definedName name="cx" localSheetId="10">#REF!</definedName>
    <definedName name="d" localSheetId="10">#REF!</definedName>
    <definedName name="dads" localSheetId="10">#REF!</definedName>
    <definedName name="dang" localSheetId="10">#REF!</definedName>
    <definedName name="data" localSheetId="10">#REF!</definedName>
    <definedName name="DataSet_IC_PL" localSheetId="10">#REF!</definedName>
    <definedName name="DD" localSheetId="10" hidden="1">{"'Test'!$B$2:$H$6","'Test'!$B$2:$H$23"}</definedName>
    <definedName name="dddd" localSheetId="10">#REF!</definedName>
    <definedName name="dddddd" localSheetId="10">#REF!</definedName>
    <definedName name="dekt" localSheetId="10">#REF!</definedName>
    <definedName name="dfjg" localSheetId="10">#REF!</definedName>
    <definedName name="dg" localSheetId="10">#REF!</definedName>
    <definedName name="dircost" localSheetId="10">#REF!</definedName>
    <definedName name="DKK_AVE" localSheetId="10">#REF!</definedName>
    <definedName name="DKK_END" localSheetId="10">#REF!</definedName>
    <definedName name="DKK_OB" localSheetId="10">#REF!</definedName>
    <definedName name="draud2" localSheetId="10">#REF!</definedName>
    <definedName name="ds" localSheetId="10">#REF!</definedName>
    <definedName name="dssssssss" localSheetId="10">#REF!</definedName>
    <definedName name="dukt1" localSheetId="10">#REF!</definedName>
    <definedName name="dxtfh" localSheetId="10">#REF!</definedName>
    <definedName name="EndDate" localSheetId="10" hidden="1">#REF!</definedName>
    <definedName name="eqty_total" localSheetId="10">#REF!</definedName>
    <definedName name="EST_BALANCE" localSheetId="10">#REF!</definedName>
    <definedName name="EST_DATA" localSheetId="10">#REF!</definedName>
    <definedName name="EST_FROM" localSheetId="10">#REF!</definedName>
    <definedName name="EST_NumStages" localSheetId="10">#REF!</definedName>
    <definedName name="EST_Obj_1" localSheetId="10">#REF!</definedName>
    <definedName name="EST_Obj_10" localSheetId="10">#REF!</definedName>
    <definedName name="EST_Obj_2" localSheetId="10">#REF!</definedName>
    <definedName name="EST_Obj_3" localSheetId="10">#REF!</definedName>
    <definedName name="EST_Obj_4" localSheetId="10">#REF!</definedName>
    <definedName name="EST_Obj_5" localSheetId="10">#REF!</definedName>
    <definedName name="EST_Obj_6" localSheetId="10">#REF!</definedName>
    <definedName name="EST_Obj_7" localSheetId="10">#REF!</definedName>
    <definedName name="EST_Obj_8" localSheetId="10">#REF!</definedName>
    <definedName name="EST_Obj_9" localSheetId="10">#REF!</definedName>
    <definedName name="EST_ProdNum" localSheetId="10">#REF!</definedName>
    <definedName name="EST_SQUARE" localSheetId="10">#REF!</definedName>
    <definedName name="EUR_AVE" localSheetId="10">#REF!</definedName>
    <definedName name="EUR_END" localSheetId="10">#REF!</definedName>
    <definedName name="EUR_OB" localSheetId="10">#REF!</definedName>
    <definedName name="expectus" localSheetId="10">#REF!</definedName>
    <definedName name="Export" localSheetId="10">#REF!</definedName>
    <definedName name="F.D." localSheetId="10">#REF!</definedName>
    <definedName name="ff" localSheetId="10">#REF!</definedName>
    <definedName name="fgnjh" localSheetId="10">#REF!</definedName>
    <definedName name="fgy" localSheetId="10">#REF!</definedName>
    <definedName name="Fil" localSheetId="10">#REF!</definedName>
    <definedName name="finansine" localSheetId="10">#REF!</definedName>
    <definedName name="FinVeiklSan" localSheetId="10">#REF!</definedName>
    <definedName name="FL" localSheetId="10">#REF!</definedName>
    <definedName name="fskol" localSheetId="10">#REF!</definedName>
    <definedName name="ftyk" localSheetId="10">#REF!</definedName>
    <definedName name="fyh" localSheetId="10">#REF!</definedName>
    <definedName name="fyku" localSheetId="10">#REF!</definedName>
    <definedName name="Gautos_Paskolos" localSheetId="10">#REF!</definedName>
    <definedName name="gggggg" localSheetId="10">#REF!</definedName>
    <definedName name="grisip" localSheetId="10">#REF!</definedName>
    <definedName name="grup" localSheetId="10">#REF!</definedName>
    <definedName name="grupe" localSheetId="10">#REF!</definedName>
    <definedName name="grverte" localSheetId="10">#REF!</definedName>
    <definedName name="gvggggg" localSheetId="10">#REF!</definedName>
    <definedName name="h" localSheetId="10" hidden="1">#REF!</definedName>
    <definedName name="Height_Loans" localSheetId="10">#REF!</definedName>
    <definedName name="hhh" localSheetId="10">#REF!</definedName>
    <definedName name="hkj" localSheetId="10" hidden="1">#REF!</definedName>
    <definedName name="HTML_Control" localSheetId="10" hidden="1">{"'Test'!$B$2:$H$6","'Test'!$B$2:$H$23"}</definedName>
    <definedName name="ifrs71" localSheetId="10">#REF!</definedName>
    <definedName name="iiii" localSheetId="10">#REF!</definedName>
    <definedName name="ilgalaik" localSheetId="10">#REF!</definedName>
    <definedName name="ilgas1" localSheetId="10">#REF!</definedName>
    <definedName name="ilgp" localSheetId="10">#REF!</definedName>
    <definedName name="IlgPVal" localSheetId="10">#REF!</definedName>
    <definedName name="imt" localSheetId="10">#REF!</definedName>
    <definedName name="IMTats" localSheetId="10">#REF!</definedName>
    <definedName name="IMTBe" localSheetId="10">#REF!</definedName>
    <definedName name="IMTGr" localSheetId="10">#REF!</definedName>
    <definedName name="int" localSheetId="10">#REF!</definedName>
    <definedName name="INTats" localSheetId="10">#REF!</definedName>
    <definedName name="INTatsk" localSheetId="10">#REF!</definedName>
    <definedName name="INTGr" localSheetId="10">#REF!</definedName>
    <definedName name="inv" localSheetId="10">#REF!</definedName>
    <definedName name="invcost" localSheetId="10">#REF!</definedName>
    <definedName name="InvD" localSheetId="10">#REF!</definedName>
    <definedName name="invdout" localSheetId="10">#REF!</definedName>
    <definedName name="invest" localSheetId="10">#REF!</definedName>
    <definedName name="InvestBe" localSheetId="10">#REF!</definedName>
    <definedName name="InvestPok" localSheetId="10">#REF!</definedName>
    <definedName name="InvIsig" localSheetId="10">#REF!</definedName>
    <definedName name="InvKitosGr" localSheetId="10">#REF!</definedName>
    <definedName name="InvNeties" localSheetId="10">#REF!</definedName>
    <definedName name="InvPokPal" localSheetId="10">#REF!</definedName>
    <definedName name="INX" localSheetId="10">#REF!</definedName>
    <definedName name="ioo" localSheetId="10">#REF!</definedName>
    <definedName name="irr" localSheetId="10">#REF!</definedName>
    <definedName name="irrout" localSheetId="10">#REF!</definedName>
    <definedName name="irrout2" localSheetId="10">#REF!</definedName>
    <definedName name="ISAND" localSheetId="10">#REF!</definedName>
    <definedName name="IsTPGTV" localSheetId="10">#REF!</definedName>
    <definedName name="j" localSheetId="10">#REF!</definedName>
    <definedName name="jdjdjd" localSheetId="10">#REF!</definedName>
    <definedName name="jjjjjj" localSheetId="10">#REF!</definedName>
    <definedName name="jkh" localSheetId="10">#REF!</definedName>
    <definedName name="k" localSheetId="10">#REF!</definedName>
    <definedName name="KFT" localSheetId="10">#REF!</definedName>
    <definedName name="KGS" localSheetId="10">#REF!</definedName>
    <definedName name="Kuu" localSheetId="10">#REF!</definedName>
    <definedName name="L" localSheetId="10">#REF!</definedName>
    <definedName name="lack" localSheetId="10">#REF!</definedName>
    <definedName name="lackin" localSheetId="10">#REF!</definedName>
    <definedName name="lb" localSheetId="10">#REF!</definedName>
    <definedName name="likv" localSheetId="10">#REF!</definedName>
    <definedName name="lizingai" localSheetId="10">#REF!</definedName>
    <definedName name="Lizingas" localSheetId="10">#REF!</definedName>
    <definedName name="Local" localSheetId="10">#REF!</definedName>
    <definedName name="lugis" localSheetId="10">#REF!</definedName>
    <definedName name="m" localSheetId="10">#REF!</definedName>
    <definedName name="M_CC" localSheetId="10">#REF!</definedName>
    <definedName name="man" localSheetId="10">#REF!</definedName>
    <definedName name="mann" localSheetId="10">#REF!</definedName>
    <definedName name="mar" localSheetId="10">#REF!</definedName>
    <definedName name="market" localSheetId="10">#REF!</definedName>
    <definedName name="marketshare" localSheetId="10">#REF!</definedName>
    <definedName name="mEnist" localSheetId="10">#REF!</definedName>
    <definedName name="MENU" localSheetId="10">#REF!</definedName>
    <definedName name="minliz" localSheetId="10">#REF!</definedName>
    <definedName name="moketinos" localSheetId="10">#REF!</definedName>
    <definedName name="mon" localSheetId="10">#REF!</definedName>
    <definedName name="MONTH" localSheetId="10">#REF!</definedName>
    <definedName name="Month_name" localSheetId="10">#REF!</definedName>
    <definedName name="mungkorn" localSheetId="10">#REF!</definedName>
    <definedName name="n" localSheetId="10">#REF!</definedName>
    <definedName name="ncffx" localSheetId="10">#REF!</definedName>
    <definedName name="nematb" localSheetId="10">#REF!</definedName>
    <definedName name="nematg" localSheetId="10">#REF!</definedName>
    <definedName name="Nepanaudotos_Pask" localSheetId="10">#REF!</definedName>
    <definedName name="New" localSheetId="10">#REF!</definedName>
    <definedName name="nhgcccgh" localSheetId="10">#REF!</definedName>
    <definedName name="nkp" localSheetId="10">#REF!</definedName>
    <definedName name="NKPA" localSheetId="10">#REF!</definedName>
    <definedName name="nkpa1" localSheetId="10">#REF!</definedName>
    <definedName name="nkpa2" localSheetId="10">#REF!</definedName>
    <definedName name="NKPAG1" localSheetId="10">#REF!</definedName>
    <definedName name="NNPP2PigProduction2" localSheetId="10">#REF!</definedName>
    <definedName name="NOK_AVE" localSheetId="10">#REF!</definedName>
    <definedName name="NOK_END" localSheetId="10">#REF!</definedName>
    <definedName name="NOK_OB" localSheetId="10">#REF!</definedName>
    <definedName name="npv" localSheetId="10">#REF!</definedName>
    <definedName name="npvd" localSheetId="10">#REF!</definedName>
    <definedName name="npvdout" localSheetId="10">#REF!</definedName>
    <definedName name="npvdout2" localSheetId="10">#REF!</definedName>
    <definedName name="npvout" localSheetId="10">#REF!</definedName>
    <definedName name="Nuostoliai" localSheetId="10">#REF!</definedName>
    <definedName name="optimus" localSheetId="10">#REF!</definedName>
    <definedName name="pajam" localSheetId="10">#REF!</definedName>
    <definedName name="PalNR" localSheetId="10">#REF!</definedName>
    <definedName name="palriz" localSheetId="10">#REF!</definedName>
    <definedName name="pard" localSheetId="10">#REF!</definedName>
    <definedName name="PardPaj" localSheetId="10">#REF!</definedName>
    <definedName name="pask1" localSheetId="10">#REF!</definedName>
    <definedName name="PaskSutIlg" localSheetId="10">#REF!</definedName>
    <definedName name="paskVal" localSheetId="10">#REF!</definedName>
    <definedName name="pelnas1" localSheetId="10">#REF!</definedName>
    <definedName name="pelnasnuost" localSheetId="10">#REF!</definedName>
    <definedName name="PerejimasB" localSheetId="10">#REF!</definedName>
    <definedName name="PerejimasB1" localSheetId="10">#REF!</definedName>
    <definedName name="PerejimasB2" localSheetId="10">#REF!</definedName>
    <definedName name="PerejimasG" localSheetId="10">#REF!</definedName>
    <definedName name="PerejimasG1" localSheetId="10">#REF!</definedName>
    <definedName name="PerejimasG2" localSheetId="10">#REF!</definedName>
    <definedName name="pessimus" localSheetId="10">#REF!</definedName>
    <definedName name="PI" localSheetId="10">#REF!</definedName>
    <definedName name="PirkSus" localSheetId="10">#REF!</definedName>
    <definedName name="pl" localSheetId="10">#REF!</definedName>
    <definedName name="pl_eq" localSheetId="10">#REF!</definedName>
    <definedName name="PL_LOC" localSheetId="10">#REF!</definedName>
    <definedName name="PL_PACK" localSheetId="10">#REF!</definedName>
    <definedName name="PL_TOT" localSheetId="10">#REF!</definedName>
    <definedName name="PL_XPO" localSheetId="10">#REF!</definedName>
    <definedName name="PMApsk" localSheetId="10">#REF!</definedName>
    <definedName name="PMsan" localSheetId="10">#REF!</definedName>
    <definedName name="PMsanK" localSheetId="10">#REF!</definedName>
    <definedName name="poo" localSheetId="10">#REF!</definedName>
    <definedName name="PORT_Consolidated_1" localSheetId="10">#REF!</definedName>
    <definedName name="PORT_PrjPeriods" localSheetId="10">#REF!</definedName>
    <definedName name="prekyb2" localSheetId="10">#REF!</definedName>
    <definedName name="Present" localSheetId="10">#REF!</definedName>
    <definedName name="Prestizas" localSheetId="10">#REF!</definedName>
    <definedName name="PrestJud7" localSheetId="10">#REF!</definedName>
    <definedName name="PrestPM" localSheetId="10">#REF!</definedName>
    <definedName name="PrestSkaic" localSheetId="10">#REF!</definedName>
    <definedName name="price" localSheetId="10">#REF!</definedName>
    <definedName name="pricein" localSheetId="10">#REF!</definedName>
    <definedName name="PRJ_Name" localSheetId="10">#REF!</definedName>
    <definedName name="process" localSheetId="10">#REF!</definedName>
    <definedName name="psa" localSheetId="10">#REF!</definedName>
    <definedName name="q" localSheetId="10">#REF!</definedName>
    <definedName name="qqq" localSheetId="10" hidden="1">#REF!</definedName>
    <definedName name="Query1" localSheetId="10">#REF!</definedName>
    <definedName name="query2" localSheetId="10">#REF!</definedName>
    <definedName name="range" localSheetId="10">#REF!,#REF!,#REF!,#REF!,#REF!,#REF!,#REF!,#REF!,#REF!,#REF!</definedName>
    <definedName name="rate" localSheetId="10">#REF!</definedName>
    <definedName name="ratein" localSheetId="10">#REF!</definedName>
    <definedName name="Reorg" localSheetId="10">#REF!</definedName>
    <definedName name="res" localSheetId="10">#REF!</definedName>
    <definedName name="rfds" localSheetId="10">#REF!</definedName>
    <definedName name="rsg" localSheetId="10">#REF!</definedName>
    <definedName name="RUB_AVE" localSheetId="10">#REF!</definedName>
    <definedName name="RUB_END" localSheetId="10">#REF!</definedName>
    <definedName name="RUB_OB" localSheetId="10">#REF!</definedName>
    <definedName name="SAL_LOC" localSheetId="10">#REF!</definedName>
    <definedName name="SAL_TOT" localSheetId="10">#REF!</definedName>
    <definedName name="SAL_XPO" localSheetId="10">#REF!</definedName>
    <definedName name="sale" localSheetId="10">#REF!</definedName>
    <definedName name="sales" localSheetId="10">#REF!</definedName>
    <definedName name="salesin" localSheetId="10">#REF!</definedName>
    <definedName name="sandoriaisus" localSheetId="10">#REF!</definedName>
    <definedName name="scens" localSheetId="10">#REF!</definedName>
    <definedName name="Score" localSheetId="10">#REF!</definedName>
    <definedName name="sdaf" localSheetId="10">#REF!</definedName>
    <definedName name="sdf" localSheetId="10">#REF!</definedName>
    <definedName name="SE" localSheetId="10">#REF!</definedName>
    <definedName name="Segm1" localSheetId="10">#REF!</definedName>
    <definedName name="SegmAM" localSheetId="10">#REF!</definedName>
    <definedName name="Segmentai08" localSheetId="10">#REF!</definedName>
    <definedName name="SegmPM" localSheetId="10">#REF!</definedName>
    <definedName name="sf" localSheetId="10">#REF!</definedName>
    <definedName name="SIP" localSheetId="10">#REF!</definedName>
    <definedName name="SkolAkc" localSheetId="10">#REF!</definedName>
    <definedName name="Skolos_akcininkams" localSheetId="10">#REF!</definedName>
    <definedName name="SkolSus" localSheetId="10">#REF!</definedName>
    <definedName name="SMM_LOC" localSheetId="10">#REF!</definedName>
    <definedName name="SMM_TOT" localSheetId="10">#REF!</definedName>
    <definedName name="SMM_XPO" localSheetId="10">#REF!</definedName>
    <definedName name="ssfrffhg" localSheetId="10">#REF!</definedName>
    <definedName name="SsS_Bs" localSheetId="10">#REF!</definedName>
    <definedName name="SsS_pp" localSheetId="10">#REF!</definedName>
    <definedName name="ssss" localSheetId="10">#REF!</definedName>
    <definedName name="ssssss" localSheetId="10">#REF!</definedName>
    <definedName name="ssssssss" localSheetId="10">#REF!</definedName>
    <definedName name="STD" localSheetId="10">#REF!</definedName>
    <definedName name="SUM" localSheetId="10">#REF!</definedName>
    <definedName name="sumaz" localSheetId="10">#REF!</definedName>
    <definedName name="sumazej" localSheetId="10">#REF!</definedName>
    <definedName name="susij" localSheetId="10">#REF!</definedName>
    <definedName name="susijbal" localSheetId="10">#REF!</definedName>
    <definedName name="susijesk" localSheetId="10">#REF!</definedName>
    <definedName name="T" localSheetId="10">#REF!</definedName>
    <definedName name="table" localSheetId="10">#REF!</definedName>
    <definedName name="Tbl_FIFO_STATUSS" localSheetId="10">#REF!</definedName>
    <definedName name="TEST0" localSheetId="10">#REF!</definedName>
    <definedName name="TEST1" localSheetId="10">#REF!</definedName>
    <definedName name="TEST2" localSheetId="10">#REF!</definedName>
    <definedName name="TEST3" localSheetId="10">#REF!</definedName>
    <definedName name="TESTHKEY" localSheetId="10">#REF!</definedName>
    <definedName name="TESTKEYS" localSheetId="10">#REF!</definedName>
    <definedName name="TESTVKEY" localSheetId="10">#REF!</definedName>
    <definedName name="TextRefCopy1" localSheetId="10">#REF!</definedName>
    <definedName name="TextRefCopy2" localSheetId="10">#REF!</definedName>
    <definedName name="TextRefCopy3" localSheetId="10">#REF!</definedName>
    <definedName name="TextRefCopy4" localSheetId="10">#REF!</definedName>
    <definedName name="TextRefCopy5" localSheetId="10">#REF!</definedName>
    <definedName name="TextRefCopy6" localSheetId="10">#REF!</definedName>
    <definedName name="TextRefCopy7" localSheetId="10">#REF!</definedName>
    <definedName name="TextRefCopy8" localSheetId="10">#REF!</definedName>
    <definedName name="TIT" localSheetId="10">#REF!</definedName>
    <definedName name="to" localSheetId="10">#REF!</definedName>
    <definedName name="TOT" localSheetId="10">#REF!</definedName>
    <definedName name="TOTAL" localSheetId="10">#REF!</definedName>
    <definedName name="TPGTV" localSheetId="10">#REF!</definedName>
    <definedName name="TrMokSumos" localSheetId="10">#REF!</definedName>
    <definedName name="Uniformity" localSheetId="10">#REF!</definedName>
    <definedName name="uuuuuuu" localSheetId="10">#REF!</definedName>
    <definedName name="UVKR" localSheetId="10">#REF!</definedName>
    <definedName name="uyk" localSheetId="10">#REF!</definedName>
    <definedName name="vadov" localSheetId="10">#REF!</definedName>
    <definedName name="vadovai" localSheetId="10">#REF!</definedName>
    <definedName name="Val" localSheetId="10">#REF!</definedName>
    <definedName name="valiut" localSheetId="10">#REF!</definedName>
    <definedName name="valiutos" localSheetId="10">#REF!</definedName>
    <definedName name="VAT_OnAssets" localSheetId="10">#REF!</definedName>
    <definedName name="vbhn" localSheetId="10" hidden="1">#REF!</definedName>
    <definedName name="vbhng" localSheetId="10">#REF!</definedName>
    <definedName name="vbmn" localSheetId="10">#REF!</definedName>
    <definedName name="veikla" localSheetId="10">#REF!</definedName>
    <definedName name="veiklos" localSheetId="10">#REF!</definedName>
    <definedName name="VeiklosNuoma" localSheetId="10">#REF!</definedName>
    <definedName name="VeiklosSan" localSheetId="10">#REF!</definedName>
    <definedName name="VertSum" localSheetId="10">#REF!</definedName>
    <definedName name="VET" localSheetId="10">#REF!</definedName>
    <definedName name="vhjhfhj" localSheetId="10">#REF!</definedName>
    <definedName name="vj" localSheetId="10">#REF!</definedName>
    <definedName name="vnuom" localSheetId="10">#REF!</definedName>
    <definedName name="wa" localSheetId="10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ae" localSheetId="10">#REF!</definedName>
    <definedName name="we" localSheetId="10" hidden="1">#REF!</definedName>
    <definedName name="weafg" localSheetId="10">#REF!</definedName>
    <definedName name="werasw" localSheetId="10">#REF!</definedName>
    <definedName name="wrn.Financial._.Report." localSheetId="10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localSheetId="10" hidden="1">{"Input_Fin",#N/A,FALSE,"By Code";"Input_Opt",#N/A,FALSE,"By Code"}</definedName>
    <definedName name="wrn.Operation._.Report." localSheetId="10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www" localSheetId="10" hidden="1">#REF!</definedName>
    <definedName name="xcv" localSheetId="10">#REF!</definedName>
    <definedName name="xdf" localSheetId="10">#REF!</definedName>
    <definedName name="xdfth" localSheetId="10">#REF!</definedName>
    <definedName name="xdh" localSheetId="10">#REF!</definedName>
    <definedName name="xfht" localSheetId="10">#REF!</definedName>
    <definedName name="xgh" localSheetId="10">#REF!</definedName>
    <definedName name="xls" localSheetId="10">#REF!</definedName>
    <definedName name="XREF_COLUMN_10" localSheetId="10" hidden="1">#REF!</definedName>
    <definedName name="XREF_COLUMN_14" localSheetId="10" hidden="1">#REF!</definedName>
    <definedName name="XREF_COLUMN_3" localSheetId="10" hidden="1">#REF!</definedName>
    <definedName name="XREF_COLUMN_4" localSheetId="10" hidden="1">#REF!</definedName>
    <definedName name="XREF_COLUMN_5" localSheetId="10" hidden="1">#REF!</definedName>
    <definedName name="XREF_COLUMN_6" localSheetId="10" hidden="1">#REF!</definedName>
    <definedName name="XREF_COLUMN_7" localSheetId="10" hidden="1">#REF!</definedName>
    <definedName name="XRefCopy1" localSheetId="10" hidden="1">#REF!</definedName>
    <definedName name="XRefCopy2" localSheetId="10" hidden="1">#REF!</definedName>
    <definedName name="XRefCopy3" localSheetId="10" hidden="1">#REF!</definedName>
    <definedName name="XRefCopy4" localSheetId="10" hidden="1">#REF!</definedName>
    <definedName name="XRefCopy5" localSheetId="10" hidden="1">#REF!</definedName>
    <definedName name="XRefCopy6" localSheetId="10" hidden="1">#REF!</definedName>
    <definedName name="XRefCopy6Row" localSheetId="10" hidden="1">#REF!</definedName>
    <definedName name="XRefCopy7" localSheetId="10" hidden="1">#REF!</definedName>
    <definedName name="XRefCopy8" localSheetId="10" hidden="1">#REF!</definedName>
    <definedName name="XRefCopy9" localSheetId="10" hidden="1">#REF!</definedName>
    <definedName name="XRefCopy9Row" localSheetId="10" hidden="1">#REF!</definedName>
    <definedName name="XRefPaste10" localSheetId="10" hidden="1">#REF!</definedName>
    <definedName name="XRefPaste11" localSheetId="10" hidden="1">#REF!</definedName>
    <definedName name="XRefPaste12" localSheetId="10" hidden="1">#REF!</definedName>
    <definedName name="XRefPaste13" localSheetId="10" hidden="1">#REF!</definedName>
    <definedName name="XRefPaste16" localSheetId="10" hidden="1">#REF!</definedName>
    <definedName name="XRefPaste17" localSheetId="10" hidden="1">#REF!</definedName>
    <definedName name="XRefPaste18" localSheetId="10" hidden="1">#REF!</definedName>
    <definedName name="XRefPaste2" localSheetId="10" hidden="1">#REF!</definedName>
    <definedName name="XRefPaste5" localSheetId="10" hidden="1">#REF!</definedName>
    <definedName name="XRefPaste6" localSheetId="10" hidden="1">#REF!</definedName>
    <definedName name="XRefPaste7" localSheetId="10" hidden="1">#REF!</definedName>
    <definedName name="XRefPaste8" localSheetId="10" hidden="1">#REF!</definedName>
    <definedName name="XRefPaste9" localSheetId="10" hidden="1">#REF!</definedName>
    <definedName name="xzc" localSheetId="10">#REF!</definedName>
    <definedName name="xzcb" localSheetId="10">#REF!</definedName>
    <definedName name="yjcf" localSheetId="10">#REF!</definedName>
    <definedName name="yjcougv" localSheetId="10">#REF!</definedName>
    <definedName name="yug" localSheetId="10">#REF!</definedName>
    <definedName name="z" localSheetId="10">#REF!</definedName>
    <definedName name="zgffxdhxtghj" localSheetId="10">#REF!</definedName>
    <definedName name="zsrg" localSheetId="10">#REF!</definedName>
    <definedName name="zxfg" localSheetId="10">#REF!</definedName>
    <definedName name="а" localSheetId="10">#REF!</definedName>
    <definedName name="ааа" localSheetId="10">#REF!</definedName>
    <definedName name="аааааааа" localSheetId="10">#REF!</definedName>
    <definedName name="ббббб" localSheetId="10">#REF!</definedName>
    <definedName name="ббббббб" localSheetId="10">#REF!</definedName>
    <definedName name="бббббббббб" localSheetId="10">#REF!</definedName>
    <definedName name="в" localSheetId="10">#REF!</definedName>
    <definedName name="вввв" localSheetId="10">#REF!</definedName>
    <definedName name="ввввввввввв" localSheetId="10">#REF!</definedName>
    <definedName name="ггггг" localSheetId="10">#REF!</definedName>
    <definedName name="еее" localSheetId="10">#REF!</definedName>
    <definedName name="ееееее" localSheetId="10">#REF!</definedName>
    <definedName name="еееееееее" localSheetId="10">#REF!</definedName>
    <definedName name="жжжжжж" localSheetId="10">#REF!</definedName>
    <definedName name="зззззз" localSheetId="10">#REF!</definedName>
    <definedName name="и" localSheetId="10">#REF!</definedName>
    <definedName name="иии" localSheetId="10">#REF!</definedName>
    <definedName name="ййй" localSheetId="10">#REF!</definedName>
    <definedName name="ййййййййй" localSheetId="10">#REF!</definedName>
    <definedName name="ииииииииииииии" localSheetId="10">#REF!</definedName>
    <definedName name="кккк" localSheetId="10">#REF!</definedName>
    <definedName name="ккккккккккк" localSheetId="10">#REF!</definedName>
    <definedName name="лллл" localSheetId="10">#REF!</definedName>
    <definedName name="м" localSheetId="10">#REF!</definedName>
    <definedName name="ммм" localSheetId="10">#REF!</definedName>
    <definedName name="ммммммммм" localSheetId="10">#REF!</definedName>
    <definedName name="ммммммммммм" localSheetId="10">#REF!</definedName>
    <definedName name="нннннн" localSheetId="10">#REF!</definedName>
    <definedName name="ннннннннннн" localSheetId="10">#REF!</definedName>
    <definedName name="о" localSheetId="10">#REF!</definedName>
    <definedName name="ооо" localSheetId="10">#REF!</definedName>
    <definedName name="оооооо" localSheetId="10">#REF!</definedName>
    <definedName name="п" localSheetId="10">#REF!</definedName>
    <definedName name="пппппппппп" localSheetId="10">#REF!</definedName>
    <definedName name="р" localSheetId="10">#REF!</definedName>
    <definedName name="ррр" localSheetId="10">#REF!</definedName>
    <definedName name="рррррр" localSheetId="10">#REF!</definedName>
    <definedName name="рррррррррр" localSheetId="10">#REF!</definedName>
    <definedName name="ррррррррррр" localSheetId="10">#REF!</definedName>
    <definedName name="с" localSheetId="10">#REF!</definedName>
    <definedName name="ссс" localSheetId="10">#REF!</definedName>
    <definedName name="ссссс" localSheetId="10">#REF!</definedName>
    <definedName name="т" localSheetId="10">#REF!</definedName>
    <definedName name="ттт" localSheetId="10">#REF!</definedName>
    <definedName name="ттттттттттттт" localSheetId="10">#REF!</definedName>
    <definedName name="ууу" localSheetId="10">#REF!</definedName>
    <definedName name="уууууу" localSheetId="10">#REF!</definedName>
    <definedName name="уууууууууу" localSheetId="10">#REF!</definedName>
    <definedName name="ффф" localSheetId="10">#REF!</definedName>
    <definedName name="ффффффффф" localSheetId="10">#REF!</definedName>
    <definedName name="ххххххх" localSheetId="10">#REF!</definedName>
    <definedName name="ццц" localSheetId="10">#REF!</definedName>
    <definedName name="ццццццццц" localSheetId="10">#REF!</definedName>
    <definedName name="ч" localSheetId="10">#REF!</definedName>
    <definedName name="ччч" localSheetId="10">#REF!</definedName>
    <definedName name="шшшшшшшшш" localSheetId="10">#REF!</definedName>
    <definedName name="ы" localSheetId="10">#REF!</definedName>
    <definedName name="ыыыыыыыыы" localSheetId="10">#REF!</definedName>
    <definedName name="ь" localSheetId="10">#REF!</definedName>
    <definedName name="ььь" localSheetId="10">#REF!</definedName>
    <definedName name="ьььььььььььь" localSheetId="10">#REF!</definedName>
    <definedName name="эээээ" localSheetId="10">#REF!</definedName>
    <definedName name="ююююю" localSheetId="10">#REF!</definedName>
    <definedName name="юююююююююю" localSheetId="10">#REF!</definedName>
    <definedName name="я" localSheetId="10">#REF!</definedName>
    <definedName name="яяя" localSheetId="10">#REF!</definedName>
    <definedName name="กหเหเ" localSheetId="10">#REF!</definedName>
    <definedName name="กำไรขาดทุน" localSheetId="10">#REF!</definedName>
    <definedName name="ทรัพย์สิน" localSheetId="10">#REF!</definedName>
    <definedName name="ฟ" localSheetId="10">#REF!</definedName>
    <definedName name="ฟฟ" localSheetId="10">#REF!</definedName>
    <definedName name="ส่วนแบ่งตลาด" localSheetId="10">#REF!</definedName>
    <definedName name="หนี้สินและทุน" localSheetId="10">#REF!</definedName>
    <definedName name="หหก" localSheetId="10">#REF!</definedName>
    <definedName name="\0" localSheetId="11">#REF!</definedName>
    <definedName name="\00" localSheetId="11">#REF!</definedName>
    <definedName name="\C" localSheetId="11">#REF!</definedName>
    <definedName name="\cc" localSheetId="11">#REF!</definedName>
    <definedName name="\d" localSheetId="11">#REF!</definedName>
    <definedName name="\e" localSheetId="11">#REF!</definedName>
    <definedName name="\i" localSheetId="11">#REF!</definedName>
    <definedName name="\M" localSheetId="11">#REF!</definedName>
    <definedName name="\s" localSheetId="11">#REF!</definedName>
    <definedName name="\u" localSheetId="11">#REF!</definedName>
    <definedName name="_" localSheetId="11">#REF!</definedName>
    <definedName name="_____________________________________________PL1" localSheetId="11">#REF!</definedName>
    <definedName name="_____________________________________________PL2" localSheetId="11">#REF!</definedName>
    <definedName name="____________________________________________PL1" localSheetId="11">#REF!</definedName>
    <definedName name="____________________________________________PL2" localSheetId="11">#REF!</definedName>
    <definedName name="__________________________NEW2" localSheetId="11">#REF!</definedName>
    <definedName name="_________________________NEW2" localSheetId="11">#REF!</definedName>
    <definedName name="____________________DAT1" localSheetId="11">#REF!</definedName>
    <definedName name="____________________DAT10" localSheetId="11">#REF!</definedName>
    <definedName name="____________________DAT11" localSheetId="11">#REF!</definedName>
    <definedName name="____________________DAT2" localSheetId="11">#REF!</definedName>
    <definedName name="____________________DAT3" localSheetId="11">#REF!</definedName>
    <definedName name="____________________DAT4" localSheetId="11">#REF!</definedName>
    <definedName name="____________________DAT5" localSheetId="11">#REF!</definedName>
    <definedName name="____________________DAT6" localSheetId="11">#REF!</definedName>
    <definedName name="____________________DAT7" localSheetId="11">#REF!</definedName>
    <definedName name="____________________DAT8" localSheetId="11">#REF!</definedName>
    <definedName name="____________________DAT9" localSheetId="11">#REF!</definedName>
    <definedName name="____________________PL2" localSheetId="11">#REF!</definedName>
    <definedName name="___________________DAT1" localSheetId="11">#REF!</definedName>
    <definedName name="___________________DAT10" localSheetId="11">#REF!</definedName>
    <definedName name="___________________DAT11" localSheetId="11">#REF!</definedName>
    <definedName name="___________________DAT2" localSheetId="11">#REF!</definedName>
    <definedName name="___________________DAT3" localSheetId="11">#REF!</definedName>
    <definedName name="___________________DAT4" localSheetId="11">#REF!</definedName>
    <definedName name="___________________DAT5" localSheetId="11">#REF!</definedName>
    <definedName name="___________________DAT6" localSheetId="11">#REF!</definedName>
    <definedName name="___________________DAT7" localSheetId="11">#REF!</definedName>
    <definedName name="___________________DAT8" localSheetId="11">#REF!</definedName>
    <definedName name="___________________DAT9" localSheetId="11">#REF!</definedName>
    <definedName name="__________________DAT1" localSheetId="11">#REF!</definedName>
    <definedName name="__________________DAT10" localSheetId="11">#REF!</definedName>
    <definedName name="__________________DAT11" localSheetId="11">#REF!</definedName>
    <definedName name="__________________DAT2" localSheetId="11">#REF!</definedName>
    <definedName name="__________________DAT3" localSheetId="11">#REF!</definedName>
    <definedName name="__________________DAT4" localSheetId="11">#REF!</definedName>
    <definedName name="__________________DAT5" localSheetId="11">#REF!</definedName>
    <definedName name="__________________DAT6" localSheetId="11">#REF!</definedName>
    <definedName name="__________________DAT7" localSheetId="11">#REF!</definedName>
    <definedName name="__________________DAT8" localSheetId="11">#REF!</definedName>
    <definedName name="__________________DAT9" localSheetId="11">#REF!</definedName>
    <definedName name="_________________DAT1" localSheetId="11">#REF!</definedName>
    <definedName name="_________________DAT10" localSheetId="11">#REF!</definedName>
    <definedName name="_________________DAT11" localSheetId="11">#REF!</definedName>
    <definedName name="_________________DAT2" localSheetId="11">#REF!</definedName>
    <definedName name="_________________DAT3" localSheetId="11">#REF!</definedName>
    <definedName name="_________________DAT4" localSheetId="11">#REF!</definedName>
    <definedName name="_________________DAT5" localSheetId="11">#REF!</definedName>
    <definedName name="_________________DAT6" localSheetId="11">#REF!</definedName>
    <definedName name="_________________DAT7" localSheetId="11">#REF!</definedName>
    <definedName name="_________________DAT8" localSheetId="11">#REF!</definedName>
    <definedName name="_________________DAT9" localSheetId="11">#REF!</definedName>
    <definedName name="________________DAT1" localSheetId="11">#REF!</definedName>
    <definedName name="________________DAT10" localSheetId="11">#REF!</definedName>
    <definedName name="________________DAT11" localSheetId="11">#REF!</definedName>
    <definedName name="________________DAT2" localSheetId="11">#REF!</definedName>
    <definedName name="________________DAT3" localSheetId="11">#REF!</definedName>
    <definedName name="________________DAT4" localSheetId="11">#REF!</definedName>
    <definedName name="________________DAT5" localSheetId="11">#REF!</definedName>
    <definedName name="________________DAT6" localSheetId="11">#REF!</definedName>
    <definedName name="________________DAT7" localSheetId="11">#REF!</definedName>
    <definedName name="________________DAT8" localSheetId="11">#REF!</definedName>
    <definedName name="________________DAT9" localSheetId="11">#REF!</definedName>
    <definedName name="_______________DAT1" localSheetId="11">#REF!</definedName>
    <definedName name="_______________DAT10" localSheetId="11">#REF!</definedName>
    <definedName name="_______________DAT11" localSheetId="11">#REF!</definedName>
    <definedName name="_______________DAT2" localSheetId="11">#REF!</definedName>
    <definedName name="_______________DAT3" localSheetId="11">#REF!</definedName>
    <definedName name="_______________DAT4" localSheetId="11">#REF!</definedName>
    <definedName name="_______________DAT5" localSheetId="11">#REF!</definedName>
    <definedName name="_______________DAT6" localSheetId="11">#REF!</definedName>
    <definedName name="_______________DAT7" localSheetId="11">#REF!</definedName>
    <definedName name="_______________DAT8" localSheetId="11">#REF!</definedName>
    <definedName name="_______________DAT9" localSheetId="11">#REF!</definedName>
    <definedName name="______________DAT1" localSheetId="11">#REF!</definedName>
    <definedName name="______________DAT10" localSheetId="11">#REF!</definedName>
    <definedName name="______________DAT11" localSheetId="11">#REF!</definedName>
    <definedName name="______________DAT2" localSheetId="11">#REF!</definedName>
    <definedName name="______________DAT3" localSheetId="11">#REF!</definedName>
    <definedName name="______________DAT4" localSheetId="11">#REF!</definedName>
    <definedName name="______________DAT5" localSheetId="11">#REF!</definedName>
    <definedName name="______________DAT6" localSheetId="11">#REF!</definedName>
    <definedName name="______________DAT7" localSheetId="11">#REF!</definedName>
    <definedName name="______________DAT8" localSheetId="11">#REF!</definedName>
    <definedName name="______________DAT9" localSheetId="11">#REF!</definedName>
    <definedName name="_____________DAT1" localSheetId="11">#REF!</definedName>
    <definedName name="_____________DAT10" localSheetId="11">#REF!</definedName>
    <definedName name="_____________DAT11" localSheetId="11">#REF!</definedName>
    <definedName name="_____________DAT2" localSheetId="11">#REF!</definedName>
    <definedName name="_____________DAT3" localSheetId="11">#REF!</definedName>
    <definedName name="_____________DAT4" localSheetId="11">#REF!</definedName>
    <definedName name="_____________DAT5" localSheetId="11">#REF!</definedName>
    <definedName name="_____________DAT6" localSheetId="11">#REF!</definedName>
    <definedName name="_____________DAT7" localSheetId="11">#REF!</definedName>
    <definedName name="_____________DAT8" localSheetId="11">#REF!</definedName>
    <definedName name="_____________DAT9" localSheetId="11">#REF!</definedName>
    <definedName name="____________DAT1" localSheetId="11">#REF!</definedName>
    <definedName name="____________DAT10" localSheetId="11">#REF!</definedName>
    <definedName name="____________DAT11" localSheetId="11">#REF!</definedName>
    <definedName name="____________DAT2" localSheetId="11">#REF!</definedName>
    <definedName name="____________DAT3" localSheetId="11">#REF!</definedName>
    <definedName name="____________DAT4" localSheetId="11">#REF!</definedName>
    <definedName name="____________DAT5" localSheetId="11">#REF!</definedName>
    <definedName name="____________DAT6" localSheetId="11">#REF!</definedName>
    <definedName name="____________DAT7" localSheetId="11">#REF!</definedName>
    <definedName name="____________DAT8" localSheetId="11">#REF!</definedName>
    <definedName name="____________DAT9" localSheetId="11">#REF!</definedName>
    <definedName name="___________DAT1" localSheetId="11">#REF!</definedName>
    <definedName name="___________DAT10" localSheetId="11">#REF!</definedName>
    <definedName name="___________DAT11" localSheetId="11">#REF!</definedName>
    <definedName name="___________DAT2" localSheetId="11">#REF!</definedName>
    <definedName name="___________DAT3" localSheetId="11">#REF!</definedName>
    <definedName name="___________DAT4" localSheetId="11">#REF!</definedName>
    <definedName name="___________DAT5" localSheetId="11">#REF!</definedName>
    <definedName name="___________DAT6" localSheetId="11">#REF!</definedName>
    <definedName name="___________DAT7" localSheetId="11">#REF!</definedName>
    <definedName name="___________DAT8" localSheetId="11">#REF!</definedName>
    <definedName name="___________DAT9" localSheetId="11">#REF!</definedName>
    <definedName name="__________DAT1" localSheetId="11">#REF!</definedName>
    <definedName name="__________DAT10" localSheetId="11">#REF!</definedName>
    <definedName name="__________DAT11" localSheetId="11">#REF!</definedName>
    <definedName name="__________DAT2" localSheetId="11">#REF!</definedName>
    <definedName name="__________DAT3" localSheetId="11">#REF!</definedName>
    <definedName name="__________DAT4" localSheetId="11">#REF!</definedName>
    <definedName name="__________DAT5" localSheetId="11">#REF!</definedName>
    <definedName name="__________DAT6" localSheetId="11">#REF!</definedName>
    <definedName name="__________DAT7" localSheetId="11">#REF!</definedName>
    <definedName name="__________DAT8" localSheetId="11">#REF!</definedName>
    <definedName name="__________DAT9" localSheetId="11">#REF!</definedName>
    <definedName name="_________DAT1" localSheetId="11">#REF!</definedName>
    <definedName name="_________DAT10" localSheetId="11">#REF!</definedName>
    <definedName name="_________DAT11" localSheetId="11">#REF!</definedName>
    <definedName name="_________DAT2" localSheetId="11">#REF!</definedName>
    <definedName name="_________DAT3" localSheetId="11">#REF!</definedName>
    <definedName name="_________DAT4" localSheetId="11">#REF!</definedName>
    <definedName name="_________DAT5" localSheetId="11">#REF!</definedName>
    <definedName name="_________DAT6" localSheetId="11">#REF!</definedName>
    <definedName name="_________DAT7" localSheetId="11">#REF!</definedName>
    <definedName name="_________DAT8" localSheetId="11">#REF!</definedName>
    <definedName name="_________DAT9" localSheetId="11">#REF!</definedName>
    <definedName name="________DAT1" localSheetId="11">#REF!</definedName>
    <definedName name="________DAT10" localSheetId="11">#REF!</definedName>
    <definedName name="________DAT11" localSheetId="11">#REF!</definedName>
    <definedName name="________DAT2" localSheetId="11">#REF!</definedName>
    <definedName name="________DAT3" localSheetId="11">#REF!</definedName>
    <definedName name="________DAT4" localSheetId="11">#REF!</definedName>
    <definedName name="________DAT5" localSheetId="11">#REF!</definedName>
    <definedName name="________DAT6" localSheetId="11">#REF!</definedName>
    <definedName name="________DAT7" localSheetId="11">#REF!</definedName>
    <definedName name="________DAT8" localSheetId="11">#REF!</definedName>
    <definedName name="________DAT9" localSheetId="11">#REF!</definedName>
    <definedName name="_______DAT1" localSheetId="11">#REF!</definedName>
    <definedName name="_______DAT10" localSheetId="11">#REF!</definedName>
    <definedName name="_______DAT11" localSheetId="11">#REF!</definedName>
    <definedName name="_______DAT2" localSheetId="11">#REF!</definedName>
    <definedName name="_______DAT3" localSheetId="11">#REF!</definedName>
    <definedName name="_______DAT4" localSheetId="11">#REF!</definedName>
    <definedName name="_______DAT5" localSheetId="11">#REF!</definedName>
    <definedName name="_______DAT6" localSheetId="11">#REF!</definedName>
    <definedName name="_______DAT7" localSheetId="11">#REF!</definedName>
    <definedName name="_______DAT8" localSheetId="11">#REF!</definedName>
    <definedName name="_______DAT9" localSheetId="11">#REF!</definedName>
    <definedName name="______DAT1" localSheetId="11">#REF!</definedName>
    <definedName name="______DAT10" localSheetId="11">#REF!</definedName>
    <definedName name="______DAT11" localSheetId="11">#REF!</definedName>
    <definedName name="______DAT2" localSheetId="11">#REF!</definedName>
    <definedName name="______DAT3" localSheetId="11">#REF!</definedName>
    <definedName name="______DAT4" localSheetId="11">#REF!</definedName>
    <definedName name="______DAT5" localSheetId="11">#REF!</definedName>
    <definedName name="______DAT6" localSheetId="11">#REF!</definedName>
    <definedName name="______DAT7" localSheetId="11">#REF!</definedName>
    <definedName name="______DAT8" localSheetId="11">#REF!</definedName>
    <definedName name="______DAT9" localSheetId="11">#REF!</definedName>
    <definedName name="_____DAT1" localSheetId="11">#REF!</definedName>
    <definedName name="_____DAT10" localSheetId="11">#REF!</definedName>
    <definedName name="_____DAT11" localSheetId="11">#REF!</definedName>
    <definedName name="_____DAT2" localSheetId="11">#REF!</definedName>
    <definedName name="_____DAT3" localSheetId="11">#REF!</definedName>
    <definedName name="_____DAT4" localSheetId="11">#REF!</definedName>
    <definedName name="_____DAT5" localSheetId="11">#REF!</definedName>
    <definedName name="_____DAT6" localSheetId="11">#REF!</definedName>
    <definedName name="_____DAT7" localSheetId="11">#REF!</definedName>
    <definedName name="_____DAT8" localSheetId="11">#REF!</definedName>
    <definedName name="_____DAT9" localSheetId="11">#REF!</definedName>
    <definedName name="_____NEW1" localSheetId="11">#REF!</definedName>
    <definedName name="_____NEW2" localSheetId="11">#REF!</definedName>
    <definedName name="_____PL1" localSheetId="11">#REF!</definedName>
    <definedName name="_____PL2" localSheetId="11">#REF!</definedName>
    <definedName name="____DAT1" localSheetId="11">#REF!</definedName>
    <definedName name="____DAT10" localSheetId="11">#REF!</definedName>
    <definedName name="____DAT11" localSheetId="11">#REF!</definedName>
    <definedName name="____DAT2" localSheetId="11">#REF!</definedName>
    <definedName name="____DAT3" localSheetId="11">#REF!</definedName>
    <definedName name="____DAT4" localSheetId="11">#REF!</definedName>
    <definedName name="____DAT5" localSheetId="11">#REF!</definedName>
    <definedName name="____DAT6" localSheetId="11">#REF!</definedName>
    <definedName name="____DAT7" localSheetId="11">#REF!</definedName>
    <definedName name="____DAT8" localSheetId="11">#REF!</definedName>
    <definedName name="____DAT9" localSheetId="11">#REF!</definedName>
    <definedName name="___DAT1" localSheetId="11">#REF!</definedName>
    <definedName name="___DAT10" localSheetId="11">#REF!</definedName>
    <definedName name="___DAT11" localSheetId="11">#REF!</definedName>
    <definedName name="___DAT2" localSheetId="11">#REF!</definedName>
    <definedName name="___DAT3" localSheetId="11">#REF!</definedName>
    <definedName name="___DAT4" localSheetId="11">#REF!</definedName>
    <definedName name="___DAT5" localSheetId="11">#REF!</definedName>
    <definedName name="___DAT6" localSheetId="11">#REF!</definedName>
    <definedName name="___DAT7" localSheetId="11">#REF!</definedName>
    <definedName name="___DAT8" localSheetId="11">#REF!</definedName>
    <definedName name="___DAT9" localSheetId="11">#REF!</definedName>
    <definedName name="___IV70000" localSheetId="11">#REF!</definedName>
    <definedName name="___IV77777" localSheetId="11">#REF!</definedName>
    <definedName name="___PS1" localSheetId="11">#REF!</definedName>
    <definedName name="___PS2" localSheetId="11">#REF!</definedName>
    <definedName name="__DAT1" localSheetId="11">#REF!</definedName>
    <definedName name="__DAT10" localSheetId="11">#REF!</definedName>
    <definedName name="__DAT11" localSheetId="11">#REF!</definedName>
    <definedName name="__DAT2" localSheetId="11">#REF!</definedName>
    <definedName name="__DAT3" localSheetId="11">#REF!</definedName>
    <definedName name="__DAT4" localSheetId="11">#REF!</definedName>
    <definedName name="__DAT5" localSheetId="11">#REF!</definedName>
    <definedName name="__DAT6" localSheetId="11">#REF!</definedName>
    <definedName name="__DAT7" localSheetId="11">#REF!</definedName>
    <definedName name="__DAT8" localSheetId="11">#REF!</definedName>
    <definedName name="__DAT9" localSheetId="11">#REF!</definedName>
    <definedName name="__IV70000" localSheetId="11">#REF!</definedName>
    <definedName name="__IV77777" localSheetId="11">#REF!</definedName>
    <definedName name="__PS1" localSheetId="11">#REF!</definedName>
    <definedName name="__PS2" localSheetId="11">#REF!</definedName>
    <definedName name="_1_____Module1_.Macro1" localSheetId="11">#REF!</definedName>
    <definedName name="_10_____Module1_.Macro1" localSheetId="11">#REF!</definedName>
    <definedName name="_100___Module1_.Macro1" localSheetId="11">#REF!</definedName>
    <definedName name="_11_____Module1_.Macro1" localSheetId="11">#REF!</definedName>
    <definedName name="_117____Module1_.Macro1" localSheetId="11">#REF!</definedName>
    <definedName name="_12______Module1_.Macro1" localSheetId="11">#REF!</definedName>
    <definedName name="_13______Module1_.Macro1" localSheetId="11">#REF!</definedName>
    <definedName name="_139____Module1_.Macro1" localSheetId="11">#REF!</definedName>
    <definedName name="_14_______Module1_.Macro1" localSheetId="11">#REF!</definedName>
    <definedName name="_15_______Module1_.Macro1" localSheetId="11">#REF!</definedName>
    <definedName name="_152_____Module1_.Macro1" localSheetId="11">#REF!</definedName>
    <definedName name="_16________Module1_.Macro1" localSheetId="11">#REF!</definedName>
    <definedName name="_165______Module1_.Macro1" localSheetId="11">#REF!</definedName>
    <definedName name="_17________Module1_.Macro1" localSheetId="11">#REF!</definedName>
    <definedName name="_178_______Module1_.Macro1" localSheetId="11">#REF!</definedName>
    <definedName name="_18_________Module1_.Macro1" localSheetId="11">#REF!</definedName>
    <definedName name="_18______Module1_.Macro1" localSheetId="11">#REF!</definedName>
    <definedName name="_19_________Module1_.Macro1" localSheetId="11">#REF!</definedName>
    <definedName name="_191________Module1_.Macro1" localSheetId="11">#REF!</definedName>
    <definedName name="_1Module1_.Macro1" localSheetId="11">#REF!</definedName>
    <definedName name="_2______Module1_.Macro1" localSheetId="11">#REF!</definedName>
    <definedName name="_20__________Module1_.Macro1" localSheetId="11">#REF!</definedName>
    <definedName name="_204_________Module1_.Macro1" localSheetId="11">#REF!</definedName>
    <definedName name="_21__________Module1_.Macro1" localSheetId="11">#REF!</definedName>
    <definedName name="_217__________Module1_.Macro1" localSheetId="11">#REF!</definedName>
    <definedName name="_22____________Module1_.Macro1" localSheetId="11">#REF!</definedName>
    <definedName name="_22Module1_.Macro1" localSheetId="11">#REF!</definedName>
    <definedName name="_23____________Module1_.Macro1" localSheetId="11">#REF!</definedName>
    <definedName name="_230____________Module1_.Macro1" localSheetId="11">#REF!</definedName>
    <definedName name="_24______________Module1_.Macro1" localSheetId="11">#REF!</definedName>
    <definedName name="_243______________Module1_.Macro1" localSheetId="11">#REF!</definedName>
    <definedName name="_25______________Module1_.Macro1" localSheetId="11">#REF!</definedName>
    <definedName name="_256________________Module1_.Macro1" localSheetId="11">#REF!</definedName>
    <definedName name="_26________________Module1_.Macro1" localSheetId="11">#REF!</definedName>
    <definedName name="_27________________Module1_.Macro1" localSheetId="11">#REF!</definedName>
    <definedName name="_27_______Module1_.Macro1" localSheetId="11">#REF!</definedName>
    <definedName name="_27Module1_.Macro1" localSheetId="11">#REF!</definedName>
    <definedName name="_2Module1_.Macro1" localSheetId="11">#REF!</definedName>
    <definedName name="_3_______Module1_.Macro1" localSheetId="11">#REF!</definedName>
    <definedName name="_3__Module1_.Macro1" localSheetId="11">#REF!</definedName>
    <definedName name="_36________Module1_.Macro1" localSheetId="11">#REF!</definedName>
    <definedName name="_3Module1_.Macro1" localSheetId="11">#REF!</definedName>
    <definedName name="_4________Module1_.Macro1" localSheetId="11">#REF!</definedName>
    <definedName name="_4__Module1_.Macro1" localSheetId="11">#REF!</definedName>
    <definedName name="_45_________Module1_.Macro1" localSheetId="11">#REF!</definedName>
    <definedName name="_5_________Module1_.Macro1" localSheetId="11">#REF!</definedName>
    <definedName name="_5__Module1_.Macro1" localSheetId="11">#REF!</definedName>
    <definedName name="_54__________Module1_.Macro1" localSheetId="11">#REF!</definedName>
    <definedName name="_57__Module1_.Macro1" localSheetId="11">#REF!</definedName>
    <definedName name="_6__________Module1_.Macro1" localSheetId="11">#REF!</definedName>
    <definedName name="_6___Module1_.Macro1" localSheetId="11">#REF!</definedName>
    <definedName name="_61__Module1_.Macro1" localSheetId="11">#REF!</definedName>
    <definedName name="_63____________Module1_.Macro1" localSheetId="11">#REF!</definedName>
    <definedName name="_7____________Module1_.Macro1" localSheetId="11">#REF!</definedName>
    <definedName name="_7___Module1_.Macro1" localSheetId="11">#REF!</definedName>
    <definedName name="_72______________Module1_.Macro1" localSheetId="11">#REF!</definedName>
    <definedName name="_7Module1_.Macro1" localSheetId="11">#REF!</definedName>
    <definedName name="_8______________Module1_.Macro1" localSheetId="11">#REF!</definedName>
    <definedName name="_8____Module1_.Macro1" localSheetId="11">#REF!</definedName>
    <definedName name="_81________________Module1_.Macro1" localSheetId="11">#REF!</definedName>
    <definedName name="_87___Module1_.Macro1" localSheetId="11">#REF!</definedName>
    <definedName name="_9________________Module1_.Macro1" localSheetId="11">#REF!</definedName>
    <definedName name="_9_____Module1_.Macro1" localSheetId="11">#REF!</definedName>
    <definedName name="_9____Module1_.Macro1" localSheetId="11">#REF!</definedName>
    <definedName name="_Bal2" localSheetId="11">#REF!</definedName>
    <definedName name="_DAT1" localSheetId="11">#REF!</definedName>
    <definedName name="_DAT10" localSheetId="11">#REF!</definedName>
    <definedName name="_DAT11" localSheetId="11">#REF!</definedName>
    <definedName name="_DAT2" localSheetId="11">#REF!</definedName>
    <definedName name="_DAT3" localSheetId="11">#REF!</definedName>
    <definedName name="_DAT4" localSheetId="11">#REF!</definedName>
    <definedName name="_DAT5" localSheetId="11">#REF!</definedName>
    <definedName name="_DAT6" localSheetId="11">#REF!</definedName>
    <definedName name="_DAT7" localSheetId="11">#REF!</definedName>
    <definedName name="_DAT8" localSheetId="11">#REF!</definedName>
    <definedName name="_DAT9" localSheetId="11">#REF!</definedName>
    <definedName name="_Dist_Values" localSheetId="11" hidden="1">#REF!</definedName>
    <definedName name="_Fill" localSheetId="11" hidden="1">#REF!</definedName>
    <definedName name="_ilg1" localSheetId="11">#REF!</definedName>
    <definedName name="_imt2" localSheetId="11">#REF!</definedName>
    <definedName name="_int2" localSheetId="11">#REF!</definedName>
    <definedName name="_IV70000" localSheetId="11">#REF!</definedName>
    <definedName name="_IV77777" localSheetId="11">#REF!</definedName>
    <definedName name="_Key1" localSheetId="11" hidden="1">#REF!</definedName>
    <definedName name="_NEW1" localSheetId="11">#REF!</definedName>
    <definedName name="_NEW2" localSheetId="11">#REF!</definedName>
    <definedName name="_Parse_In" localSheetId="11" hidden="1">#REF!</definedName>
    <definedName name="_Parse_Out" localSheetId="11" hidden="1">#REF!</definedName>
    <definedName name="_PL1" localSheetId="11">#REF!</definedName>
    <definedName name="_PL2" localSheetId="11">#REF!</definedName>
    <definedName name="_ps3" localSheetId="11">#REF!</definedName>
    <definedName name="_Sort" localSheetId="11" hidden="1">#REF!</definedName>
    <definedName name="aa" localSheetId="11" hidden="1">#REF!</definedName>
    <definedName name="aaa" localSheetId="11">#REF!</definedName>
    <definedName name="aaaa" localSheetId="11">#REF!</definedName>
    <definedName name="AAAAA" localSheetId="11">#REF!</definedName>
    <definedName name="Aasta" localSheetId="11">#REF!</definedName>
    <definedName name="ab" localSheetId="11">#REF!</definedName>
    <definedName name="About_AI" localSheetId="11">#REF!</definedName>
    <definedName name="About_AI_Summ" localSheetId="11">#REF!</definedName>
    <definedName name="ADD" localSheetId="11">#REF!</definedName>
    <definedName name="adj" localSheetId="11">#REF!</definedName>
    <definedName name="adj_eqty" localSheetId="11">#REF!</definedName>
    <definedName name="adsf" localSheetId="11">#REF!</definedName>
    <definedName name="ADV" localSheetId="11">#REF!</definedName>
    <definedName name="aewf" localSheetId="11">#REF!</definedName>
    <definedName name="AI" localSheetId="11">#REF!</definedName>
    <definedName name="akc" localSheetId="11">#REF!</definedName>
    <definedName name="AkcijuPok" localSheetId="11">#REF!</definedName>
    <definedName name="akcininku" localSheetId="11">#REF!</definedName>
    <definedName name="AM" localSheetId="11">#REF!</definedName>
    <definedName name="APMI" localSheetId="11">#REF!</definedName>
    <definedName name="APMlik" localSheetId="11">#REF!</definedName>
    <definedName name="APMS" localSheetId="11">#REF!</definedName>
    <definedName name="APMT" localSheetId="11">#REF!</definedName>
    <definedName name="APMTBendr" localSheetId="11">#REF!</definedName>
    <definedName name="APMTI" localSheetId="11">#REF!</definedName>
    <definedName name="AR_allowance_2008" localSheetId="11">#REF!</definedName>
    <definedName name="AREA" localSheetId="11">#REF!</definedName>
    <definedName name="as" localSheetId="11">#REF!</definedName>
    <definedName name="AS2TickmarkLS" localSheetId="11" hidden="1">#REF!</definedName>
    <definedName name="ASCOCP" localSheetId="11">#REF!</definedName>
    <definedName name="asd" localSheetId="11">#REF!</definedName>
    <definedName name="asdddvas" localSheetId="11">#REF!</definedName>
    <definedName name="asdf" localSheetId="11">#REF!</definedName>
    <definedName name="asdzze4" localSheetId="11">#REF!</definedName>
    <definedName name="asob" localSheetId="11">#REF!</definedName>
    <definedName name="asoc" localSheetId="11">#REF!</definedName>
    <definedName name="asoc2" localSheetId="11">#REF!</definedName>
    <definedName name="asoc3" localSheetId="11">#REF!</definedName>
    <definedName name="asoc4" localSheetId="11">#REF!</definedName>
    <definedName name="AsocB" localSheetId="11">#REF!</definedName>
    <definedName name="AsocBe" localSheetId="11">#REF!</definedName>
    <definedName name="AsocGr" localSheetId="11">#REF!</definedName>
    <definedName name="Asocijuota_įmonė" localSheetId="11">#REF!</definedName>
    <definedName name="AsocLikBendr" localSheetId="11">#REF!</definedName>
    <definedName name="AsocLikGr" localSheetId="11">#REF!</definedName>
    <definedName name="AsocPok" localSheetId="11">#REF!</definedName>
    <definedName name="AsocPokS" localSheetId="11">#REF!</definedName>
    <definedName name="ass" localSheetId="11">#REF!</definedName>
    <definedName name="Atsargos_tr" localSheetId="11">#REF!</definedName>
    <definedName name="atsargos08" localSheetId="11">#REF!</definedName>
    <definedName name="AtTIGTV" localSheetId="11">#REF!</definedName>
    <definedName name="awe" localSheetId="11">#REF!</definedName>
    <definedName name="balansas1" localSheetId="11">#REF!</definedName>
    <definedName name="balansas1d" localSheetId="11">#REF!</definedName>
    <definedName name="balansas2" localSheetId="11">#REF!</definedName>
    <definedName name="balansus" localSheetId="11">#REF!</definedName>
    <definedName name="BalSus" localSheetId="11">#REF!</definedName>
    <definedName name="Bank_Pask_Term" localSheetId="11">#REF!</definedName>
    <definedName name="bankai" localSheetId="11">#REF!</definedName>
    <definedName name="BBBBB" localSheetId="11">#REF!</definedName>
    <definedName name="benilg" localSheetId="11">#REF!</definedName>
    <definedName name="BG" localSheetId="11" hidden="1">#REF!</definedName>
    <definedName name="BLB" localSheetId="11">#REF!</definedName>
    <definedName name="bm" localSheetId="11">#REF!</definedName>
    <definedName name="Bodyweight" localSheetId="11">#REF!</definedName>
    <definedName name="BS" localSheetId="11">#REF!</definedName>
    <definedName name="bs_1" localSheetId="11">#REF!</definedName>
    <definedName name="bs_1eq" localSheetId="11">#REF!</definedName>
    <definedName name="bs_2" localSheetId="11">#REF!</definedName>
    <definedName name="bs_2eq" localSheetId="11">#REF!</definedName>
    <definedName name="bs_3" localSheetId="11">#REF!</definedName>
    <definedName name="bs_4" localSheetId="11">#REF!</definedName>
    <definedName name="BS_PL" localSheetId="11">#REF!</definedName>
    <definedName name="BUSINESS" localSheetId="11">#REF!</definedName>
    <definedName name="Ccy" localSheetId="11">#REF!</definedName>
    <definedName name="cf" localSheetId="11">#REF!</definedName>
    <definedName name="cfgjcfjcfj" localSheetId="11">#REF!</definedName>
    <definedName name="cfyhv" localSheetId="11">#REF!</definedName>
    <definedName name="cjdtxdtfhxzg" localSheetId="11">#REF!</definedName>
    <definedName name="class" localSheetId="11">#REF!</definedName>
    <definedName name="COMPANY" localSheetId="11">#REF!</definedName>
    <definedName name="Conv" localSheetId="11">#REF!</definedName>
    <definedName name="cost" localSheetId="11">#REF!</definedName>
    <definedName name="Count_Personnel_4" localSheetId="11">#REF!</definedName>
    <definedName name="CRA" localSheetId="11">#REF!</definedName>
    <definedName name="cv" localSheetId="11">#REF!</definedName>
    <definedName name="cvh" localSheetId="11">#REF!</definedName>
    <definedName name="cx" localSheetId="11">#REF!</definedName>
    <definedName name="cxgh" localSheetId="11">#REF!</definedName>
    <definedName name="d" localSheetId="11">#REF!</definedName>
    <definedName name="dads" localSheetId="11">#REF!</definedName>
    <definedName name="dang" localSheetId="11">#REF!</definedName>
    <definedName name="data" localSheetId="11">#REF!</definedName>
    <definedName name="DataSet_IC_PL" localSheetId="11">#REF!</definedName>
    <definedName name="ddas" localSheetId="11">#REF!</definedName>
    <definedName name="dddd" localSheetId="11">#REF!</definedName>
    <definedName name="dddddd" localSheetId="11">#REF!</definedName>
    <definedName name="ddddddd" localSheetId="11">#REF!</definedName>
    <definedName name="dekt" localSheetId="11">#REF!</definedName>
    <definedName name="dfg" localSheetId="11">#REF!</definedName>
    <definedName name="dfjg" localSheetId="11">#REF!</definedName>
    <definedName name="dg" localSheetId="11">#REF!</definedName>
    <definedName name="dircost" localSheetId="11">#REF!</definedName>
    <definedName name="DKK_AVE" localSheetId="11">#REF!</definedName>
    <definedName name="DKK_END" localSheetId="11">#REF!</definedName>
    <definedName name="DKK_OB" localSheetId="11">#REF!</definedName>
    <definedName name="dngfb" localSheetId="11">#REF!</definedName>
    <definedName name="draud2" localSheetId="11">#REF!</definedName>
    <definedName name="drt" localSheetId="11">#REF!</definedName>
    <definedName name="dryt" localSheetId="11">#REF!</definedName>
    <definedName name="ds" localSheetId="11">#REF!</definedName>
    <definedName name="dssssssss" localSheetId="11">#REF!</definedName>
    <definedName name="dukt1" localSheetId="11">#REF!</definedName>
    <definedName name="dxrgh" localSheetId="11">#REF!</definedName>
    <definedName name="dxtfh" localSheetId="11">#REF!</definedName>
    <definedName name="dzhfc" localSheetId="11">#REF!</definedName>
    <definedName name="EndDate" localSheetId="11" hidden="1">#REF!</definedName>
    <definedName name="eqty_total" localSheetId="11">#REF!</definedName>
    <definedName name="EST_BALANCE" localSheetId="11">#REF!</definedName>
    <definedName name="EST_DATA" localSheetId="11">#REF!</definedName>
    <definedName name="EST_FROM" localSheetId="11">#REF!</definedName>
    <definedName name="EST_NumStages" localSheetId="11">#REF!</definedName>
    <definedName name="EST_Obj_1" localSheetId="11">#REF!</definedName>
    <definedName name="EST_Obj_10" localSheetId="11">#REF!</definedName>
    <definedName name="EST_Obj_2" localSheetId="11">#REF!</definedName>
    <definedName name="EST_Obj_3" localSheetId="11">#REF!</definedName>
    <definedName name="EST_Obj_4" localSheetId="11">#REF!</definedName>
    <definedName name="EST_Obj_5" localSheetId="11">#REF!</definedName>
    <definedName name="EST_Obj_6" localSheetId="11">#REF!</definedName>
    <definedName name="EST_Obj_7" localSheetId="11">#REF!</definedName>
    <definedName name="EST_Obj_8" localSheetId="11">#REF!</definedName>
    <definedName name="EST_Obj_9" localSheetId="11">#REF!</definedName>
    <definedName name="EST_ProdNum" localSheetId="11">#REF!</definedName>
    <definedName name="EST_SQUARE" localSheetId="11">#REF!</definedName>
    <definedName name="EUR_AVE" localSheetId="11">#REF!</definedName>
    <definedName name="EUR_END" localSheetId="11">#REF!</definedName>
    <definedName name="EUR_OB" localSheetId="11">#REF!</definedName>
    <definedName name="expectus" localSheetId="11">#REF!</definedName>
    <definedName name="Export" localSheetId="11">#REF!</definedName>
    <definedName name="F.D." localSheetId="11">#REF!</definedName>
    <definedName name="ff" localSheetId="11">#REF!</definedName>
    <definedName name="ffffff" localSheetId="11">#REF!</definedName>
    <definedName name="ffghg" localSheetId="11">#REF!</definedName>
    <definedName name="fg" localSheetId="11">#REF!</definedName>
    <definedName name="fgnjh" localSheetId="11">#REF!</definedName>
    <definedName name="fgy" localSheetId="11">#REF!</definedName>
    <definedName name="Fil" localSheetId="11">#REF!</definedName>
    <definedName name="finansine" localSheetId="11">#REF!</definedName>
    <definedName name="FinVeiklSan" localSheetId="11">#REF!</definedName>
    <definedName name="FL" localSheetId="11">#REF!</definedName>
    <definedName name="fskol" localSheetId="11">#REF!</definedName>
    <definedName name="ftyk" localSheetId="11">#REF!</definedName>
    <definedName name="fyh" localSheetId="11">#REF!</definedName>
    <definedName name="fyku" localSheetId="11">#REF!</definedName>
    <definedName name="fytj" localSheetId="11">#REF!</definedName>
    <definedName name="Gautos_Paskolos" localSheetId="11">#REF!</definedName>
    <definedName name="gggggg" localSheetId="11">#REF!</definedName>
    <definedName name="ght" localSheetId="11">#REF!</definedName>
    <definedName name="grisip" localSheetId="11">#REF!</definedName>
    <definedName name="grup" localSheetId="11">#REF!</definedName>
    <definedName name="grupe" localSheetId="11">#REF!</definedName>
    <definedName name="grverte" localSheetId="11">#REF!</definedName>
    <definedName name="gvggggg" localSheetId="11">#REF!</definedName>
    <definedName name="h" localSheetId="11" hidden="1">#REF!</definedName>
    <definedName name="Height_Loans" localSheetId="11">#REF!</definedName>
    <definedName name="hhh" localSheetId="11">#REF!</definedName>
    <definedName name="hkj" localSheetId="11" hidden="1">#REF!</definedName>
    <definedName name="hxf" localSheetId="11">#REF!</definedName>
    <definedName name="ifrs71" localSheetId="11">#REF!</definedName>
    <definedName name="iiii" localSheetId="11">#REF!</definedName>
    <definedName name="ilgalaik" localSheetId="11">#REF!</definedName>
    <definedName name="ilgas1" localSheetId="11">#REF!</definedName>
    <definedName name="ilgp" localSheetId="11">#REF!</definedName>
    <definedName name="IlgPVal" localSheetId="11">#REF!</definedName>
    <definedName name="imt" localSheetId="11">#REF!</definedName>
    <definedName name="IMTats" localSheetId="11">#REF!</definedName>
    <definedName name="IMTBe" localSheetId="11">#REF!</definedName>
    <definedName name="IMTGr" localSheetId="11">#REF!</definedName>
    <definedName name="int" localSheetId="11">#REF!</definedName>
    <definedName name="INTats" localSheetId="11">#REF!</definedName>
    <definedName name="INTatsk" localSheetId="11">#REF!</definedName>
    <definedName name="INTGr" localSheetId="11">#REF!</definedName>
    <definedName name="inv" localSheetId="11">#REF!</definedName>
    <definedName name="invcost" localSheetId="11">#REF!</definedName>
    <definedName name="InvD" localSheetId="11">#REF!</definedName>
    <definedName name="invdout" localSheetId="11">#REF!</definedName>
    <definedName name="invest" localSheetId="11">#REF!</definedName>
    <definedName name="InvestBe" localSheetId="11">#REF!</definedName>
    <definedName name="InvestPok" localSheetId="11">#REF!</definedName>
    <definedName name="InvIsig" localSheetId="11">#REF!</definedName>
    <definedName name="InvKitosGr" localSheetId="11">#REF!</definedName>
    <definedName name="InvNeties" localSheetId="11">#REF!</definedName>
    <definedName name="InvPokPal" localSheetId="11">#REF!</definedName>
    <definedName name="INX" localSheetId="11">#REF!</definedName>
    <definedName name="ioo" localSheetId="11">#REF!</definedName>
    <definedName name="irr" localSheetId="11">#REF!</definedName>
    <definedName name="irrout" localSheetId="11">#REF!</definedName>
    <definedName name="irrout2" localSheetId="11">#REF!</definedName>
    <definedName name="ISAND" localSheetId="11">#REF!</definedName>
    <definedName name="IsTPGTV" localSheetId="11">#REF!</definedName>
    <definedName name="j" localSheetId="11">#REF!</definedName>
    <definedName name="jdjdjd" localSheetId="11">#REF!</definedName>
    <definedName name="jhwfjff" localSheetId="11">#REF!</definedName>
    <definedName name="jjjjjj" localSheetId="11">#REF!</definedName>
    <definedName name="jkh" localSheetId="11">#REF!</definedName>
    <definedName name="jukmg" localSheetId="11">#REF!</definedName>
    <definedName name="jxfyuh" localSheetId="11">#REF!</definedName>
    <definedName name="k" localSheetId="11">#REF!</definedName>
    <definedName name="KFT" localSheetId="11">#REF!</definedName>
    <definedName name="KGS" localSheetId="11">#REF!</definedName>
    <definedName name="Kuu" localSheetId="11">#REF!</definedName>
    <definedName name="L" localSheetId="11">#REF!</definedName>
    <definedName name="lack" localSheetId="11">#REF!</definedName>
    <definedName name="lackin" localSheetId="11">#REF!</definedName>
    <definedName name="lb" localSheetId="11">#REF!</definedName>
    <definedName name="likv" localSheetId="11">#REF!</definedName>
    <definedName name="lizingai" localSheetId="11">#REF!</definedName>
    <definedName name="Lizingas" localSheetId="11">#REF!</definedName>
    <definedName name="Local" localSheetId="11">#REF!</definedName>
    <definedName name="lugis" localSheetId="11">#REF!</definedName>
    <definedName name="m" localSheetId="11">#REF!</definedName>
    <definedName name="M_CC" localSheetId="11">#REF!</definedName>
    <definedName name="Macro001" localSheetId="11">#REF!</definedName>
    <definedName name="Macro002" localSheetId="11">#REF!</definedName>
    <definedName name="Macro003" localSheetId="11">#REF!</definedName>
    <definedName name="Macro004" localSheetId="11">#REF!</definedName>
    <definedName name="Macro005" localSheetId="11">#REF!</definedName>
    <definedName name="Macro1" localSheetId="11">#REF!</definedName>
    <definedName name="Macro10" localSheetId="11">#REF!</definedName>
    <definedName name="Macro11" localSheetId="11">#REF!</definedName>
    <definedName name="Macro111" localSheetId="11">#REF!</definedName>
    <definedName name="Macro12" localSheetId="11">#REF!</definedName>
    <definedName name="Macro15" localSheetId="11">#REF!</definedName>
    <definedName name="Macro2" localSheetId="11">#REF!</definedName>
    <definedName name="Macro4" localSheetId="11">#REF!</definedName>
    <definedName name="Macro6" localSheetId="11">#REF!</definedName>
    <definedName name="MacroS01" localSheetId="11">#REF!</definedName>
    <definedName name="MacroUP" localSheetId="11">#REF!</definedName>
    <definedName name="MacroUP01" localSheetId="11">#REF!</definedName>
    <definedName name="man" localSheetId="11">#REF!</definedName>
    <definedName name="mann" localSheetId="11">#REF!</definedName>
    <definedName name="mar" localSheetId="11">#REF!</definedName>
    <definedName name="market" localSheetId="11">#REF!</definedName>
    <definedName name="marketshare" localSheetId="11">#REF!</definedName>
    <definedName name="mEnist" localSheetId="11">#REF!</definedName>
    <definedName name="MENU" localSheetId="11">#REF!</definedName>
    <definedName name="minliz" localSheetId="11">#REF!</definedName>
    <definedName name="Module1.Macro1" localSheetId="11">#REF!</definedName>
    <definedName name="Module1.Macro111" localSheetId="11">#REF!</definedName>
    <definedName name="moketinos" localSheetId="11">#REF!</definedName>
    <definedName name="mon" localSheetId="11">#REF!</definedName>
    <definedName name="MONTH" localSheetId="11">#REF!</definedName>
    <definedName name="Month_name" localSheetId="11">#REF!</definedName>
    <definedName name="Msort.Msort" localSheetId="11">#REF!</definedName>
    <definedName name="muk" localSheetId="11">#REF!</definedName>
    <definedName name="mungkorn" localSheetId="11">#REF!</definedName>
    <definedName name="n" localSheetId="11">#REF!</definedName>
    <definedName name="ncffx" localSheetId="11">#REF!</definedName>
    <definedName name="nematb" localSheetId="11">#REF!</definedName>
    <definedName name="nematg" localSheetId="11">#REF!</definedName>
    <definedName name="Nepanaudotos_Pask" localSheetId="11">#REF!</definedName>
    <definedName name="New" localSheetId="11">#REF!</definedName>
    <definedName name="nhgcccgh" localSheetId="11">#REF!</definedName>
    <definedName name="nkp" localSheetId="11">#REF!</definedName>
    <definedName name="NKPA" localSheetId="11">#REF!</definedName>
    <definedName name="nkpa1" localSheetId="11">#REF!</definedName>
    <definedName name="nkpa2" localSheetId="11">#REF!</definedName>
    <definedName name="NKPAG1" localSheetId="11">#REF!</definedName>
    <definedName name="NNPP2PigProduction2" localSheetId="11">#REF!</definedName>
    <definedName name="NOK_AVE" localSheetId="11">#REF!</definedName>
    <definedName name="NOK_END" localSheetId="11">#REF!</definedName>
    <definedName name="NOK_OB" localSheetId="11">#REF!</definedName>
    <definedName name="npv" localSheetId="11">#REF!</definedName>
    <definedName name="npvd" localSheetId="11">#REF!</definedName>
    <definedName name="npvdout" localSheetId="11">#REF!</definedName>
    <definedName name="npvdout2" localSheetId="11">#REF!</definedName>
    <definedName name="npvout" localSheetId="11">#REF!</definedName>
    <definedName name="Nuostoliai" localSheetId="11">#REF!</definedName>
    <definedName name="optimus" localSheetId="11">#REF!</definedName>
    <definedName name="pajam" localSheetId="11">#REF!</definedName>
    <definedName name="PalNR" localSheetId="11">#REF!</definedName>
    <definedName name="palriz" localSheetId="11">#REF!</definedName>
    <definedName name="pard" localSheetId="11">#REF!</definedName>
    <definedName name="PardPaj" localSheetId="11">#REF!</definedName>
    <definedName name="pask1" localSheetId="11">#REF!</definedName>
    <definedName name="PaskSutIlg" localSheetId="11">#REF!</definedName>
    <definedName name="paskVal" localSheetId="11">#REF!</definedName>
    <definedName name="pelnas1" localSheetId="11">#REF!</definedName>
    <definedName name="pelnasnuost" localSheetId="11">#REF!</definedName>
    <definedName name="PerejimasB" localSheetId="11">#REF!</definedName>
    <definedName name="PerejimasB1" localSheetId="11">#REF!</definedName>
    <definedName name="PerejimasB2" localSheetId="11">#REF!</definedName>
    <definedName name="PerejimasG" localSheetId="11">#REF!</definedName>
    <definedName name="PerejimasG1" localSheetId="11">#REF!</definedName>
    <definedName name="PerejimasG2" localSheetId="11">#REF!</definedName>
    <definedName name="pessimus" localSheetId="11">#REF!</definedName>
    <definedName name="PI" localSheetId="11">#REF!</definedName>
    <definedName name="PirkSus" localSheetId="11">#REF!</definedName>
    <definedName name="pl" localSheetId="11">#REF!</definedName>
    <definedName name="pl_eq" localSheetId="11">#REF!</definedName>
    <definedName name="PL_LOC" localSheetId="11">#REF!</definedName>
    <definedName name="PL_PACK" localSheetId="11">#REF!</definedName>
    <definedName name="PL_TOT" localSheetId="11">#REF!</definedName>
    <definedName name="PL_XPO" localSheetId="11">#REF!</definedName>
    <definedName name="PMApsk" localSheetId="11">#REF!</definedName>
    <definedName name="PMsan" localSheetId="11">#REF!</definedName>
    <definedName name="PMsanK" localSheetId="11">#REF!</definedName>
    <definedName name="poo" localSheetId="11">#REF!</definedName>
    <definedName name="PORT_Consolidated_1" localSheetId="11">#REF!</definedName>
    <definedName name="PORT_PrjPeriods" localSheetId="11">#REF!</definedName>
    <definedName name="prekyb2" localSheetId="11">#REF!</definedName>
    <definedName name="Present" localSheetId="11">#REF!</definedName>
    <definedName name="Prestizas" localSheetId="11">#REF!</definedName>
    <definedName name="PrestJud7" localSheetId="11">#REF!</definedName>
    <definedName name="PrestPM" localSheetId="11">#REF!</definedName>
    <definedName name="PrestSkaic" localSheetId="11">#REF!</definedName>
    <definedName name="price" localSheetId="11">#REF!</definedName>
    <definedName name="pricein" localSheetId="11">#REF!</definedName>
    <definedName name="printsad" localSheetId="11">#REF!</definedName>
    <definedName name="PRJ_Name" localSheetId="11">#REF!</definedName>
    <definedName name="process" localSheetId="11">#REF!</definedName>
    <definedName name="psa" localSheetId="11">#REF!</definedName>
    <definedName name="q" localSheetId="11">#REF!</definedName>
    <definedName name="qqq" localSheetId="11" hidden="1">#REF!</definedName>
    <definedName name="Query1" localSheetId="11">#REF!</definedName>
    <definedName name="query2" localSheetId="11">#REF!</definedName>
    <definedName name="range" localSheetId="11">#REF!,#REF!,#REF!,#REF!,#REF!,#REF!,#REF!,#REF!,#REF!,#REF!</definedName>
    <definedName name="rate" localSheetId="11">#REF!</definedName>
    <definedName name="ratein" localSheetId="11">#REF!</definedName>
    <definedName name="regnbcvxdf" localSheetId="11">#REF!</definedName>
    <definedName name="Reorg" localSheetId="11">#REF!</definedName>
    <definedName name="res" localSheetId="11">#REF!</definedName>
    <definedName name="rfds" localSheetId="11">#REF!</definedName>
    <definedName name="rsg" localSheetId="11">#REF!</definedName>
    <definedName name="RUB_AVE" localSheetId="11">#REF!</definedName>
    <definedName name="RUB_END" localSheetId="11">#REF!</definedName>
    <definedName name="RUB_OB" localSheetId="11">#REF!</definedName>
    <definedName name="SAL_LOC" localSheetId="11">#REF!</definedName>
    <definedName name="SAL_TOT" localSheetId="11">#REF!</definedName>
    <definedName name="SAL_XPO" localSheetId="11">#REF!</definedName>
    <definedName name="sale" localSheetId="11">#REF!</definedName>
    <definedName name="sales" localSheetId="11">#REF!</definedName>
    <definedName name="salesin" localSheetId="11">#REF!</definedName>
    <definedName name="sandoriaisus" localSheetId="11">#REF!</definedName>
    <definedName name="scens" localSheetId="11">#REF!</definedName>
    <definedName name="Score" localSheetId="11">#REF!</definedName>
    <definedName name="sdaf" localSheetId="11">#REF!</definedName>
    <definedName name="sdf" localSheetId="11">#REF!</definedName>
    <definedName name="SE" localSheetId="11">#REF!</definedName>
    <definedName name="Segm1" localSheetId="11">#REF!</definedName>
    <definedName name="SegmAM" localSheetId="11">#REF!</definedName>
    <definedName name="Segmentai08" localSheetId="11">#REF!</definedName>
    <definedName name="SegmPM" localSheetId="11">#REF!</definedName>
    <definedName name="sf" localSheetId="11">#REF!</definedName>
    <definedName name="sger" localSheetId="11">#REF!</definedName>
    <definedName name="SIP" localSheetId="11">#REF!</definedName>
    <definedName name="SkolAkc" localSheetId="11">#REF!</definedName>
    <definedName name="Skolos_akcininkams" localSheetId="11">#REF!</definedName>
    <definedName name="SkolSus" localSheetId="11">#REF!</definedName>
    <definedName name="SMM_LOC" localSheetId="11">#REF!</definedName>
    <definedName name="SMM_TOT" localSheetId="11">#REF!</definedName>
    <definedName name="SMM_XPO" localSheetId="11">#REF!</definedName>
    <definedName name="ssfrffhg" localSheetId="11">#REF!</definedName>
    <definedName name="SsS_Bs" localSheetId="11">#REF!</definedName>
    <definedName name="SsS_pp" localSheetId="11">#REF!</definedName>
    <definedName name="ssss" localSheetId="11">#REF!</definedName>
    <definedName name="ssssss" localSheetId="11">#REF!</definedName>
    <definedName name="ssssssss" localSheetId="11">#REF!</definedName>
    <definedName name="STD" localSheetId="11">#REF!</definedName>
    <definedName name="SUM" localSheetId="11">#REF!</definedName>
    <definedName name="sumaz" localSheetId="11">#REF!</definedName>
    <definedName name="sumazej" localSheetId="11">#REF!</definedName>
    <definedName name="susij" localSheetId="11">#REF!</definedName>
    <definedName name="susijbal" localSheetId="11">#REF!</definedName>
    <definedName name="susijesk" localSheetId="11">#REF!</definedName>
    <definedName name="T" localSheetId="11">#REF!</definedName>
    <definedName name="table" localSheetId="11">#REF!</definedName>
    <definedName name="Tbl_FIFO_STATUSS" localSheetId="11">#REF!</definedName>
    <definedName name="TEST0" localSheetId="11">#REF!</definedName>
    <definedName name="TEST1" localSheetId="11">#REF!</definedName>
    <definedName name="TEST2" localSheetId="11">#REF!</definedName>
    <definedName name="TEST3" localSheetId="11">#REF!</definedName>
    <definedName name="TESTHKEY" localSheetId="11">#REF!</definedName>
    <definedName name="TESTKEYS" localSheetId="11">#REF!</definedName>
    <definedName name="TESTVKEY" localSheetId="11">#REF!</definedName>
    <definedName name="TextRefCopy1" localSheetId="11">#REF!</definedName>
    <definedName name="TextRefCopy2" localSheetId="11">#REF!</definedName>
    <definedName name="TextRefCopy3" localSheetId="11">#REF!</definedName>
    <definedName name="TextRefCopy4" localSheetId="11">#REF!</definedName>
    <definedName name="TextRefCopy5" localSheetId="11">#REF!</definedName>
    <definedName name="TextRefCopy6" localSheetId="11">#REF!</definedName>
    <definedName name="TextRefCopy7" localSheetId="11">#REF!</definedName>
    <definedName name="TextRefCopy8" localSheetId="11">#REF!</definedName>
    <definedName name="TIT" localSheetId="11">#REF!</definedName>
    <definedName name="to" localSheetId="11">#REF!</definedName>
    <definedName name="TOT" localSheetId="11">#REF!</definedName>
    <definedName name="TOTAL" localSheetId="11">#REF!</definedName>
    <definedName name="TPGTV" localSheetId="11">#REF!</definedName>
    <definedName name="TrMokSumos" localSheetId="11">#REF!</definedName>
    <definedName name="txdfhxfht" localSheetId="11">#REF!</definedName>
    <definedName name="Uniformity" localSheetId="11">#REF!</definedName>
    <definedName name="uuuuuuu" localSheetId="11">#REF!</definedName>
    <definedName name="UVKR" localSheetId="11">#REF!</definedName>
    <definedName name="uyk" localSheetId="11">#REF!</definedName>
    <definedName name="vadov" localSheetId="11">#REF!</definedName>
    <definedName name="vadovai" localSheetId="11">#REF!</definedName>
    <definedName name="Val" localSheetId="11">#REF!</definedName>
    <definedName name="valiut" localSheetId="11">#REF!</definedName>
    <definedName name="valiutos" localSheetId="11">#REF!</definedName>
    <definedName name="VAT_OnAssets" localSheetId="11">#REF!</definedName>
    <definedName name="vbhn" localSheetId="11" hidden="1">#REF!</definedName>
    <definedName name="vbhng" localSheetId="11">#REF!</definedName>
    <definedName name="vbmn" localSheetId="11">#REF!</definedName>
    <definedName name="veikla" localSheetId="11">#REF!</definedName>
    <definedName name="veiklos" localSheetId="11">#REF!</definedName>
    <definedName name="VeiklosNuoma" localSheetId="11">#REF!</definedName>
    <definedName name="VeiklosSan" localSheetId="11">#REF!</definedName>
    <definedName name="VertSum" localSheetId="11">#REF!</definedName>
    <definedName name="VET" localSheetId="11">#REF!</definedName>
    <definedName name="vhjhfhj" localSheetId="11">#REF!</definedName>
    <definedName name="vj" localSheetId="11">#REF!</definedName>
    <definedName name="vnuom" localSheetId="11">#REF!</definedName>
    <definedName name="wae" localSheetId="11">#REF!</definedName>
    <definedName name="we" localSheetId="11" hidden="1">#REF!</definedName>
    <definedName name="weafg" localSheetId="11">#REF!</definedName>
    <definedName name="werasw" localSheetId="11">#REF!</definedName>
    <definedName name="wwwwww" localSheetId="11" hidden="1">#REF!</definedName>
    <definedName name="xcv" localSheetId="11">#REF!</definedName>
    <definedName name="xdf" localSheetId="11">#REF!</definedName>
    <definedName name="xdfgxcygh" localSheetId="11">#REF!</definedName>
    <definedName name="xdfth" localSheetId="11">#REF!</definedName>
    <definedName name="xdh" localSheetId="11">#REF!</definedName>
    <definedName name="xdhf" localSheetId="11">#REF!</definedName>
    <definedName name="xfht" localSheetId="11">#REF!</definedName>
    <definedName name="xg" localSheetId="11">#REF!</definedName>
    <definedName name="xgh" localSheetId="11">#REF!</definedName>
    <definedName name="xhttxf" localSheetId="11">#REF!</definedName>
    <definedName name="xls" localSheetId="11">#REF!</definedName>
    <definedName name="XREF_COLUMN_10" localSheetId="11" hidden="1">#REF!</definedName>
    <definedName name="XREF_COLUMN_14" localSheetId="11" hidden="1">#REF!</definedName>
    <definedName name="XREF_COLUMN_3" localSheetId="11" hidden="1">#REF!</definedName>
    <definedName name="XREF_COLUMN_4" localSheetId="11" hidden="1">#REF!</definedName>
    <definedName name="XREF_COLUMN_5" localSheetId="11" hidden="1">#REF!</definedName>
    <definedName name="XREF_COLUMN_6" localSheetId="11" hidden="1">#REF!</definedName>
    <definedName name="XREF_COLUMN_7" localSheetId="11" hidden="1">#REF!</definedName>
    <definedName name="XRefCopy1" localSheetId="11" hidden="1">#REF!</definedName>
    <definedName name="XRefCopy2" localSheetId="11" hidden="1">#REF!</definedName>
    <definedName name="XRefCopy3" localSheetId="11" hidden="1">#REF!</definedName>
    <definedName name="XRefCopy4" localSheetId="11" hidden="1">#REF!</definedName>
    <definedName name="XRefCopy5" localSheetId="11" hidden="1">#REF!</definedName>
    <definedName name="XRefCopy6" localSheetId="11" hidden="1">#REF!</definedName>
    <definedName name="XRefCopy6Row" localSheetId="11" hidden="1">#REF!</definedName>
    <definedName name="XRefCopy7" localSheetId="11" hidden="1">#REF!</definedName>
    <definedName name="XRefCopy8" localSheetId="11" hidden="1">#REF!</definedName>
    <definedName name="XRefCopy9" localSheetId="11" hidden="1">#REF!</definedName>
    <definedName name="XRefCopy9Row" localSheetId="11" hidden="1">#REF!</definedName>
    <definedName name="XRefPaste10" localSheetId="11" hidden="1">#REF!</definedName>
    <definedName name="XRefPaste11" localSheetId="11" hidden="1">#REF!</definedName>
    <definedName name="XRefPaste12" localSheetId="11" hidden="1">#REF!</definedName>
    <definedName name="XRefPaste13" localSheetId="11" hidden="1">#REF!</definedName>
    <definedName name="XRefPaste16" localSheetId="11" hidden="1">#REF!</definedName>
    <definedName name="XRefPaste17" localSheetId="11" hidden="1">#REF!</definedName>
    <definedName name="XRefPaste18" localSheetId="11" hidden="1">#REF!</definedName>
    <definedName name="XRefPaste2" localSheetId="11" hidden="1">#REF!</definedName>
    <definedName name="XRefPaste5" localSheetId="11" hidden="1">#REF!</definedName>
    <definedName name="XRefPaste6" localSheetId="11" hidden="1">#REF!</definedName>
    <definedName name="XRefPaste7" localSheetId="11" hidden="1">#REF!</definedName>
    <definedName name="XRefPaste8" localSheetId="11" hidden="1">#REF!</definedName>
    <definedName name="XRefPaste9" localSheetId="11" hidden="1">#REF!</definedName>
    <definedName name="xtdddddd" localSheetId="11">#REF!</definedName>
    <definedName name="xzc" localSheetId="11">#REF!</definedName>
    <definedName name="xzcb" localSheetId="11">#REF!</definedName>
    <definedName name="xzf" localSheetId="11">#REF!</definedName>
    <definedName name="xzrjnyvgh" localSheetId="11">#REF!</definedName>
    <definedName name="yjcf" localSheetId="11">#REF!</definedName>
    <definedName name="yjcougv" localSheetId="11">#REF!</definedName>
    <definedName name="ytdj" localSheetId="11">#REF!</definedName>
    <definedName name="yug" localSheetId="11">#REF!</definedName>
    <definedName name="z" localSheetId="11">#REF!</definedName>
    <definedName name="zgffxdhxtghj" localSheetId="11">#REF!</definedName>
    <definedName name="zsrg" localSheetId="11">#REF!</definedName>
    <definedName name="zxfg" localSheetId="11">#REF!</definedName>
    <definedName name="а" localSheetId="11">#REF!</definedName>
    <definedName name="ааа" localSheetId="11">#REF!</definedName>
    <definedName name="аааааааа" localSheetId="11">#REF!</definedName>
    <definedName name="ббббб" localSheetId="11">#REF!</definedName>
    <definedName name="ббббббб" localSheetId="11">#REF!</definedName>
    <definedName name="бббббббббб" localSheetId="11">#REF!</definedName>
    <definedName name="в" localSheetId="11">#REF!</definedName>
    <definedName name="вввв" localSheetId="11">#REF!</definedName>
    <definedName name="ввввввввввв" localSheetId="11">#REF!</definedName>
    <definedName name="ггггг" localSheetId="11">#REF!</definedName>
    <definedName name="еее" localSheetId="11">#REF!</definedName>
    <definedName name="ееееее" localSheetId="11">#REF!</definedName>
    <definedName name="еееееееее" localSheetId="11">#REF!</definedName>
    <definedName name="жжжжжж" localSheetId="11">#REF!</definedName>
    <definedName name="зззззз" localSheetId="11">#REF!</definedName>
    <definedName name="и" localSheetId="11">#REF!</definedName>
    <definedName name="иии" localSheetId="11">#REF!</definedName>
    <definedName name="ййй" localSheetId="11">#REF!</definedName>
    <definedName name="ййййййййй" localSheetId="11">#REF!</definedName>
    <definedName name="ииииииииииииии" localSheetId="11">#REF!</definedName>
    <definedName name="кккк" localSheetId="11">#REF!</definedName>
    <definedName name="ккккккккккк" localSheetId="11">#REF!</definedName>
    <definedName name="лллл" localSheetId="11">#REF!</definedName>
    <definedName name="м" localSheetId="11">#REF!</definedName>
    <definedName name="ммм" localSheetId="11">#REF!</definedName>
    <definedName name="ммммммммм" localSheetId="11">#REF!</definedName>
    <definedName name="ммммммммммм" localSheetId="11">#REF!</definedName>
    <definedName name="нннннн" localSheetId="11">#REF!</definedName>
    <definedName name="ннннннннннн" localSheetId="11">#REF!</definedName>
    <definedName name="о" localSheetId="11">#REF!</definedName>
    <definedName name="ооо" localSheetId="11">#REF!</definedName>
    <definedName name="оооооо" localSheetId="11">#REF!</definedName>
    <definedName name="п" localSheetId="11">#REF!</definedName>
    <definedName name="пппппппппп" localSheetId="11">#REF!</definedName>
    <definedName name="р" localSheetId="11">#REF!</definedName>
    <definedName name="ррр" localSheetId="11">#REF!</definedName>
    <definedName name="рррррр" localSheetId="11">#REF!</definedName>
    <definedName name="рррррррррр" localSheetId="11">#REF!</definedName>
    <definedName name="ррррррррррр" localSheetId="11">#REF!</definedName>
    <definedName name="с" localSheetId="11">#REF!</definedName>
    <definedName name="ссс" localSheetId="11">#REF!</definedName>
    <definedName name="ссссс" localSheetId="11">#REF!</definedName>
    <definedName name="т" localSheetId="11">#REF!</definedName>
    <definedName name="ттт" localSheetId="11">#REF!</definedName>
    <definedName name="ттттттттттттт" localSheetId="11">#REF!</definedName>
    <definedName name="ууу" localSheetId="11">#REF!</definedName>
    <definedName name="уууууу" localSheetId="11">#REF!</definedName>
    <definedName name="уууууууууу" localSheetId="11">#REF!</definedName>
    <definedName name="ффф" localSheetId="11">#REF!</definedName>
    <definedName name="ффффффффф" localSheetId="11">#REF!</definedName>
    <definedName name="ххххххх" localSheetId="11">#REF!</definedName>
    <definedName name="ццц" localSheetId="11">#REF!</definedName>
    <definedName name="ццццццццц" localSheetId="11">#REF!</definedName>
    <definedName name="ч" localSheetId="11">#REF!</definedName>
    <definedName name="ччч" localSheetId="11">#REF!</definedName>
    <definedName name="шшшшшшшшш" localSheetId="11">#REF!</definedName>
    <definedName name="ы" localSheetId="11">#REF!</definedName>
    <definedName name="ыыыыыыыыы" localSheetId="11">#REF!</definedName>
    <definedName name="ь" localSheetId="11">#REF!</definedName>
    <definedName name="ььь" localSheetId="11">#REF!</definedName>
    <definedName name="ьььььььььььь" localSheetId="11">#REF!</definedName>
    <definedName name="эээээ" localSheetId="11">#REF!</definedName>
    <definedName name="ююююю" localSheetId="11">#REF!</definedName>
    <definedName name="юююююююююю" localSheetId="11">#REF!</definedName>
    <definedName name="я" localSheetId="11">#REF!</definedName>
    <definedName name="яяя" localSheetId="11">#REF!</definedName>
    <definedName name="กหเหเ" localSheetId="11">#REF!</definedName>
    <definedName name="กำไรขาดทุน" localSheetId="11">#REF!</definedName>
    <definedName name="ทรัพย์สิน" localSheetId="11">#REF!</definedName>
    <definedName name="ฟ" localSheetId="11">#REF!</definedName>
    <definedName name="ฟฟ" localSheetId="11">#REF!</definedName>
    <definedName name="วววว" localSheetId="11">#REF!</definedName>
    <definedName name="ส่วนแบ่งตลาด" localSheetId="11">#REF!</definedName>
    <definedName name="หนี้สินและทุน" localSheetId="11">#REF!</definedName>
    <definedName name="หหก" localSheetId="11">#REF!</definedName>
    <definedName name="อายุลูกหนี้" localSheetId="11">#REF!</definedName>
    <definedName name="\0" localSheetId="12">#REF!</definedName>
    <definedName name="\00" localSheetId="12">#REF!</definedName>
    <definedName name="\a" localSheetId="12">#REF!</definedName>
    <definedName name="\b" localSheetId="12">#REF!</definedName>
    <definedName name="\c" localSheetId="12">#REF!</definedName>
    <definedName name="\cc" localSheetId="12">#REF!</definedName>
    <definedName name="\d" localSheetId="12">#REF!</definedName>
    <definedName name="\e" localSheetId="12">#REF!</definedName>
    <definedName name="\i" localSheetId="12">#REF!</definedName>
    <definedName name="\M" localSheetId="12">#REF!</definedName>
    <definedName name="\s" localSheetId="12">#REF!</definedName>
    <definedName name="\u" localSheetId="12">#REF!</definedName>
    <definedName name="_" localSheetId="12">#REF!</definedName>
    <definedName name="_____________________________________________PL1" localSheetId="12">#REF!</definedName>
    <definedName name="_____________________________________________PL2" localSheetId="12">#REF!</definedName>
    <definedName name="____________________________________________PL1" localSheetId="12">#REF!</definedName>
    <definedName name="____________________________________________PL2" localSheetId="12">#REF!</definedName>
    <definedName name="__________________________NEW2" localSheetId="12">#REF!</definedName>
    <definedName name="_________________________NEW2" localSheetId="12">#REF!</definedName>
    <definedName name="____________________DAT1" localSheetId="12">#REF!</definedName>
    <definedName name="____________________DAT10" localSheetId="12">#REF!</definedName>
    <definedName name="____________________DAT11" localSheetId="12">#REF!</definedName>
    <definedName name="____________________DAT2" localSheetId="12">#REF!</definedName>
    <definedName name="____________________DAT3" localSheetId="12">#REF!</definedName>
    <definedName name="____________________DAT4" localSheetId="12">#REF!</definedName>
    <definedName name="____________________DAT5" localSheetId="12">#REF!</definedName>
    <definedName name="____________________DAT6" localSheetId="12">#REF!</definedName>
    <definedName name="____________________DAT7" localSheetId="12">#REF!</definedName>
    <definedName name="____________________DAT8" localSheetId="12">#REF!</definedName>
    <definedName name="____________________DAT9" localSheetId="12">#REF!</definedName>
    <definedName name="____________________PL2" localSheetId="12">#REF!</definedName>
    <definedName name="___________________DAT1" localSheetId="12">#REF!</definedName>
    <definedName name="___________________DAT10" localSheetId="12">#REF!</definedName>
    <definedName name="___________________DAT11" localSheetId="12">#REF!</definedName>
    <definedName name="___________________DAT2" localSheetId="12">#REF!</definedName>
    <definedName name="___________________DAT3" localSheetId="12">#REF!</definedName>
    <definedName name="___________________DAT4" localSheetId="12">#REF!</definedName>
    <definedName name="___________________DAT5" localSheetId="12">#REF!</definedName>
    <definedName name="___________________DAT6" localSheetId="12">#REF!</definedName>
    <definedName name="___________________DAT7" localSheetId="12">#REF!</definedName>
    <definedName name="___________________DAT8" localSheetId="12">#REF!</definedName>
    <definedName name="___________________DAT9" localSheetId="12">#REF!</definedName>
    <definedName name="__________________DAT1" localSheetId="12">#REF!</definedName>
    <definedName name="__________________DAT10" localSheetId="12">#REF!</definedName>
    <definedName name="__________________DAT11" localSheetId="12">#REF!</definedName>
    <definedName name="__________________DAT2" localSheetId="12">#REF!</definedName>
    <definedName name="__________________DAT3" localSheetId="12">#REF!</definedName>
    <definedName name="__________________DAT4" localSheetId="12">#REF!</definedName>
    <definedName name="__________________DAT5" localSheetId="12">#REF!</definedName>
    <definedName name="__________________DAT6" localSheetId="12">#REF!</definedName>
    <definedName name="__________________DAT7" localSheetId="12">#REF!</definedName>
    <definedName name="__________________DAT8" localSheetId="12">#REF!</definedName>
    <definedName name="__________________DAT9" localSheetId="12">#REF!</definedName>
    <definedName name="_________________DAT1" localSheetId="12">#REF!</definedName>
    <definedName name="_________________DAT10" localSheetId="12">#REF!</definedName>
    <definedName name="_________________DAT11" localSheetId="12">#REF!</definedName>
    <definedName name="_________________DAT2" localSheetId="12">#REF!</definedName>
    <definedName name="_________________DAT3" localSheetId="12">#REF!</definedName>
    <definedName name="_________________DAT4" localSheetId="12">#REF!</definedName>
    <definedName name="_________________DAT5" localSheetId="12">#REF!</definedName>
    <definedName name="_________________DAT6" localSheetId="12">#REF!</definedName>
    <definedName name="_________________DAT7" localSheetId="12">#REF!</definedName>
    <definedName name="_________________DAT8" localSheetId="12">#REF!</definedName>
    <definedName name="_________________DAT9" localSheetId="12">#REF!</definedName>
    <definedName name="________________DAT1" localSheetId="12">#REF!</definedName>
    <definedName name="________________DAT10" localSheetId="12">#REF!</definedName>
    <definedName name="________________DAT11" localSheetId="12">#REF!</definedName>
    <definedName name="________________DAT2" localSheetId="12">#REF!</definedName>
    <definedName name="________________DAT3" localSheetId="12">#REF!</definedName>
    <definedName name="________________DAT4" localSheetId="12">#REF!</definedName>
    <definedName name="________________DAT5" localSheetId="12">#REF!</definedName>
    <definedName name="________________DAT6" localSheetId="12">#REF!</definedName>
    <definedName name="________________DAT7" localSheetId="12">#REF!</definedName>
    <definedName name="________________DAT8" localSheetId="12">#REF!</definedName>
    <definedName name="________________DAT9" localSheetId="12">#REF!</definedName>
    <definedName name="_______________DAT1" localSheetId="12">#REF!</definedName>
    <definedName name="_______________DAT10" localSheetId="12">#REF!</definedName>
    <definedName name="_______________DAT11" localSheetId="12">#REF!</definedName>
    <definedName name="_______________DAT2" localSheetId="12">#REF!</definedName>
    <definedName name="_______________DAT3" localSheetId="12">#REF!</definedName>
    <definedName name="_______________DAT4" localSheetId="12">#REF!</definedName>
    <definedName name="_______________DAT5" localSheetId="12">#REF!</definedName>
    <definedName name="_______________DAT6" localSheetId="12">#REF!</definedName>
    <definedName name="_______________DAT7" localSheetId="12">#REF!</definedName>
    <definedName name="_______________DAT8" localSheetId="12">#REF!</definedName>
    <definedName name="_______________DAT9" localSheetId="12">#REF!</definedName>
    <definedName name="______________DAT1" localSheetId="12">#REF!</definedName>
    <definedName name="______________DAT10" localSheetId="12">#REF!</definedName>
    <definedName name="______________DAT11" localSheetId="12">#REF!</definedName>
    <definedName name="______________DAT2" localSheetId="12">#REF!</definedName>
    <definedName name="______________DAT3" localSheetId="12">#REF!</definedName>
    <definedName name="______________DAT4" localSheetId="12">#REF!</definedName>
    <definedName name="______________DAT5" localSheetId="12">#REF!</definedName>
    <definedName name="______________DAT6" localSheetId="12">#REF!</definedName>
    <definedName name="______________DAT7" localSheetId="12">#REF!</definedName>
    <definedName name="______________DAT8" localSheetId="12">#REF!</definedName>
    <definedName name="______________DAT9" localSheetId="12">#REF!</definedName>
    <definedName name="_____________DAT1" localSheetId="12">#REF!</definedName>
    <definedName name="_____________DAT10" localSheetId="12">#REF!</definedName>
    <definedName name="_____________DAT11" localSheetId="12">#REF!</definedName>
    <definedName name="_____________DAT2" localSheetId="12">#REF!</definedName>
    <definedName name="_____________DAT3" localSheetId="12">#REF!</definedName>
    <definedName name="_____________DAT4" localSheetId="12">#REF!</definedName>
    <definedName name="_____________DAT5" localSheetId="12">#REF!</definedName>
    <definedName name="_____________DAT6" localSheetId="12">#REF!</definedName>
    <definedName name="_____________DAT7" localSheetId="12">#REF!</definedName>
    <definedName name="_____________DAT8" localSheetId="12">#REF!</definedName>
    <definedName name="_____________DAT9" localSheetId="12">#REF!</definedName>
    <definedName name="____________DAT1" localSheetId="12">#REF!</definedName>
    <definedName name="____________DAT10" localSheetId="12">#REF!</definedName>
    <definedName name="____________DAT11" localSheetId="12">#REF!</definedName>
    <definedName name="____________DAT2" localSheetId="12">#REF!</definedName>
    <definedName name="____________DAT3" localSheetId="12">#REF!</definedName>
    <definedName name="____________DAT4" localSheetId="12">#REF!</definedName>
    <definedName name="____________DAT5" localSheetId="12">#REF!</definedName>
    <definedName name="____________DAT6" localSheetId="12">#REF!</definedName>
    <definedName name="____________DAT7" localSheetId="12">#REF!</definedName>
    <definedName name="____________DAT8" localSheetId="12">#REF!</definedName>
    <definedName name="____________DAT9" localSheetId="12">#REF!</definedName>
    <definedName name="___________DAT1" localSheetId="12">#REF!</definedName>
    <definedName name="___________DAT10" localSheetId="12">#REF!</definedName>
    <definedName name="___________DAT11" localSheetId="12">#REF!</definedName>
    <definedName name="___________DAT2" localSheetId="12">#REF!</definedName>
    <definedName name="___________DAT3" localSheetId="12">#REF!</definedName>
    <definedName name="___________DAT4" localSheetId="12">#REF!</definedName>
    <definedName name="___________DAT5" localSheetId="12">#REF!</definedName>
    <definedName name="___________DAT6" localSheetId="12">#REF!</definedName>
    <definedName name="___________DAT7" localSheetId="12">#REF!</definedName>
    <definedName name="___________DAT8" localSheetId="12">#REF!</definedName>
    <definedName name="___________DAT9" localSheetId="12">#REF!</definedName>
    <definedName name="__________DAT1" localSheetId="12">#REF!</definedName>
    <definedName name="__________DAT10" localSheetId="12">#REF!</definedName>
    <definedName name="__________DAT11" localSheetId="12">#REF!</definedName>
    <definedName name="__________DAT2" localSheetId="12">#REF!</definedName>
    <definedName name="__________DAT3" localSheetId="12">#REF!</definedName>
    <definedName name="__________DAT4" localSheetId="12">#REF!</definedName>
    <definedName name="__________DAT5" localSheetId="12">#REF!</definedName>
    <definedName name="__________DAT6" localSheetId="12">#REF!</definedName>
    <definedName name="__________DAT7" localSheetId="12">#REF!</definedName>
    <definedName name="__________DAT8" localSheetId="12">#REF!</definedName>
    <definedName name="__________DAT9" localSheetId="12">#REF!</definedName>
    <definedName name="_________DAT1" localSheetId="12">#REF!</definedName>
    <definedName name="_________DAT10" localSheetId="12">#REF!</definedName>
    <definedName name="_________DAT11" localSheetId="12">#REF!</definedName>
    <definedName name="_________DAT2" localSheetId="12">#REF!</definedName>
    <definedName name="_________DAT3" localSheetId="12">#REF!</definedName>
    <definedName name="_________DAT4" localSheetId="12">#REF!</definedName>
    <definedName name="_________DAT5" localSheetId="12">#REF!</definedName>
    <definedName name="_________DAT6" localSheetId="12">#REF!</definedName>
    <definedName name="_________DAT7" localSheetId="12">#REF!</definedName>
    <definedName name="_________DAT8" localSheetId="12">#REF!</definedName>
    <definedName name="_________DAT9" localSheetId="12">#REF!</definedName>
    <definedName name="________DAT1" localSheetId="12">#REF!</definedName>
    <definedName name="________DAT10" localSheetId="12">#REF!</definedName>
    <definedName name="________DAT11" localSheetId="12">#REF!</definedName>
    <definedName name="________DAT2" localSheetId="12">#REF!</definedName>
    <definedName name="________DAT3" localSheetId="12">#REF!</definedName>
    <definedName name="________DAT4" localSheetId="12">#REF!</definedName>
    <definedName name="________DAT5" localSheetId="12">#REF!</definedName>
    <definedName name="________DAT6" localSheetId="12">#REF!</definedName>
    <definedName name="________DAT7" localSheetId="12">#REF!</definedName>
    <definedName name="________DAT8" localSheetId="12">#REF!</definedName>
    <definedName name="________DAT9" localSheetId="12">#REF!</definedName>
    <definedName name="_______DAT1" localSheetId="12">#REF!</definedName>
    <definedName name="_______DAT10" localSheetId="12">#REF!</definedName>
    <definedName name="_______DAT11" localSheetId="12">#REF!</definedName>
    <definedName name="_______DAT2" localSheetId="12">#REF!</definedName>
    <definedName name="_______DAT3" localSheetId="12">#REF!</definedName>
    <definedName name="_______DAT4" localSheetId="12">#REF!</definedName>
    <definedName name="_______DAT5" localSheetId="12">#REF!</definedName>
    <definedName name="_______DAT6" localSheetId="12">#REF!</definedName>
    <definedName name="_______DAT7" localSheetId="12">#REF!</definedName>
    <definedName name="_______DAT8" localSheetId="12">#REF!</definedName>
    <definedName name="_______DAT9" localSheetId="12">#REF!</definedName>
    <definedName name="______DAT1" localSheetId="12">#REF!</definedName>
    <definedName name="______DAT10" localSheetId="12">#REF!</definedName>
    <definedName name="______DAT11" localSheetId="12">#REF!</definedName>
    <definedName name="______DAT2" localSheetId="12">#REF!</definedName>
    <definedName name="______DAT3" localSheetId="12">#REF!</definedName>
    <definedName name="______DAT4" localSheetId="12">#REF!</definedName>
    <definedName name="______DAT5" localSheetId="12">#REF!</definedName>
    <definedName name="______DAT6" localSheetId="12">#REF!</definedName>
    <definedName name="______DAT7" localSheetId="12">#REF!</definedName>
    <definedName name="______DAT8" localSheetId="12">#REF!</definedName>
    <definedName name="______DAT9" localSheetId="12">#REF!</definedName>
    <definedName name="_____DAT1" localSheetId="12">#REF!</definedName>
    <definedName name="_____DAT10" localSheetId="12">#REF!</definedName>
    <definedName name="_____DAT11" localSheetId="12">#REF!</definedName>
    <definedName name="_____DAT2" localSheetId="12">#REF!</definedName>
    <definedName name="_____DAT3" localSheetId="12">#REF!</definedName>
    <definedName name="_____DAT4" localSheetId="12">#REF!</definedName>
    <definedName name="_____DAT5" localSheetId="12">#REF!</definedName>
    <definedName name="_____DAT6" localSheetId="12">#REF!</definedName>
    <definedName name="_____DAT7" localSheetId="12">#REF!</definedName>
    <definedName name="_____DAT8" localSheetId="12">#REF!</definedName>
    <definedName name="_____DAT9" localSheetId="12">#REF!</definedName>
    <definedName name="_____NEW1" localSheetId="12">#REF!</definedName>
    <definedName name="_____NEW2" localSheetId="12">#REF!</definedName>
    <definedName name="_____PL1" localSheetId="12">#REF!</definedName>
    <definedName name="_____PL2" localSheetId="12">#REF!</definedName>
    <definedName name="____DAT1" localSheetId="12">#REF!</definedName>
    <definedName name="____DAT10" localSheetId="12">#REF!</definedName>
    <definedName name="____DAT11" localSheetId="12">#REF!</definedName>
    <definedName name="____DAT2" localSheetId="12">#REF!</definedName>
    <definedName name="____DAT3" localSheetId="12">#REF!</definedName>
    <definedName name="____DAT4" localSheetId="12">#REF!</definedName>
    <definedName name="____DAT5" localSheetId="12">#REF!</definedName>
    <definedName name="____DAT6" localSheetId="12">#REF!</definedName>
    <definedName name="____DAT7" localSheetId="12">#REF!</definedName>
    <definedName name="____DAT8" localSheetId="12">#REF!</definedName>
    <definedName name="____DAT9" localSheetId="12">#REF!</definedName>
    <definedName name="___DAT1" localSheetId="12">#REF!</definedName>
    <definedName name="___DAT10" localSheetId="12">#REF!</definedName>
    <definedName name="___DAT11" localSheetId="12">#REF!</definedName>
    <definedName name="___DAT2" localSheetId="12">#REF!</definedName>
    <definedName name="___DAT3" localSheetId="12">#REF!</definedName>
    <definedName name="___DAT4" localSheetId="12">#REF!</definedName>
    <definedName name="___DAT5" localSheetId="12">#REF!</definedName>
    <definedName name="___DAT6" localSheetId="12">#REF!</definedName>
    <definedName name="___DAT7" localSheetId="12">#REF!</definedName>
    <definedName name="___DAT8" localSheetId="12">#REF!</definedName>
    <definedName name="___DAT9" localSheetId="12">#REF!</definedName>
    <definedName name="___IV70000" localSheetId="12">#REF!</definedName>
    <definedName name="___IV77777" localSheetId="12">#REF!</definedName>
    <definedName name="___PS1" localSheetId="12">#REF!</definedName>
    <definedName name="___PS2" localSheetId="12">#REF!</definedName>
    <definedName name="__DAT1" localSheetId="12">#REF!</definedName>
    <definedName name="__DAT10" localSheetId="12">#REF!</definedName>
    <definedName name="__DAT11" localSheetId="12">#REF!</definedName>
    <definedName name="__DAT2" localSheetId="12">#REF!</definedName>
    <definedName name="__DAT3" localSheetId="12">#REF!</definedName>
    <definedName name="__DAT4" localSheetId="12">#REF!</definedName>
    <definedName name="__DAT5" localSheetId="12">#REF!</definedName>
    <definedName name="__DAT6" localSheetId="12">#REF!</definedName>
    <definedName name="__DAT7" localSheetId="12">#REF!</definedName>
    <definedName name="__DAT8" localSheetId="12">#REF!</definedName>
    <definedName name="__DAT9" localSheetId="12">#REF!</definedName>
    <definedName name="__IV70000" localSheetId="12">#REF!</definedName>
    <definedName name="__IV77777" localSheetId="12">#REF!</definedName>
    <definedName name="__PS1" localSheetId="12">#REF!</definedName>
    <definedName name="__PS2" localSheetId="12">#REF!</definedName>
    <definedName name="_1" localSheetId="12">#REF!</definedName>
    <definedName name="_1_____Module1_.Macro1" localSheetId="12">#REF!</definedName>
    <definedName name="_10_____Module1_.Macro1" localSheetId="12">#REF!</definedName>
    <definedName name="_100___Module1_.Macro1" localSheetId="12">#REF!</definedName>
    <definedName name="_11" localSheetId="12">#REF!</definedName>
    <definedName name="_11_____Module1_.Macro1" localSheetId="12">#REF!</definedName>
    <definedName name="_117____Module1_.Macro1" localSheetId="12">#REF!</definedName>
    <definedName name="_12______Module1_.Macro1" localSheetId="12">#REF!</definedName>
    <definedName name="_13______Module1_.Macro1" localSheetId="12">#REF!</definedName>
    <definedName name="_139____Module1_.Macro1" localSheetId="12">#REF!</definedName>
    <definedName name="_14_______Module1_.Macro1" localSheetId="12">#REF!</definedName>
    <definedName name="_15_______Module1_.Macro1" localSheetId="12">#REF!</definedName>
    <definedName name="_152_____Module1_.Macro1" localSheetId="12">#REF!</definedName>
    <definedName name="_16________Module1_.Macro1" localSheetId="12">#REF!</definedName>
    <definedName name="_165______Module1_.Macro1" localSheetId="12">#REF!</definedName>
    <definedName name="_17________Module1_.Macro1" localSheetId="12">#REF!</definedName>
    <definedName name="_178_______Module1_.Macro1" localSheetId="12">#REF!</definedName>
    <definedName name="_18_________Module1_.Macro1" localSheetId="12">#REF!</definedName>
    <definedName name="_18______Module1_.Macro1" localSheetId="12">#REF!</definedName>
    <definedName name="_19_________Module1_.Macro1" localSheetId="12">#REF!</definedName>
    <definedName name="_191________Module1_.Macro1" localSheetId="12">#REF!</definedName>
    <definedName name="_1Module1_.Macro1" localSheetId="12">#REF!</definedName>
    <definedName name="_2" localSheetId="12">#REF!</definedName>
    <definedName name="_2______Module1_.Macro1" localSheetId="12">#REF!</definedName>
    <definedName name="_20__________Module1_.Macro1" localSheetId="12">#REF!</definedName>
    <definedName name="_204_________Module1_.Macro1" localSheetId="12">#REF!</definedName>
    <definedName name="_21__________Module1_.Macro1" localSheetId="12">#REF!</definedName>
    <definedName name="_217__________Module1_.Macro1" localSheetId="12">#REF!</definedName>
    <definedName name="_22____________Module1_.Macro1" localSheetId="12">#REF!</definedName>
    <definedName name="_22Module1_.Macro1" localSheetId="12">#REF!</definedName>
    <definedName name="_23____________Module1_.Macro1" localSheetId="12">#REF!</definedName>
    <definedName name="_230____________Module1_.Macro1" localSheetId="12">#REF!</definedName>
    <definedName name="_24______________Module1_.Macro1" localSheetId="12">#REF!</definedName>
    <definedName name="_243______________Module1_.Macro1" localSheetId="12">#REF!</definedName>
    <definedName name="_25______________Module1_.Macro1" localSheetId="12">#REF!</definedName>
    <definedName name="_256________________Module1_.Macro1" localSheetId="12">#REF!</definedName>
    <definedName name="_26________________Module1_.Macro1" localSheetId="12">#REF!</definedName>
    <definedName name="_27________________Module1_.Macro1" localSheetId="12">#REF!</definedName>
    <definedName name="_27_______Module1_.Macro1" localSheetId="12">#REF!</definedName>
    <definedName name="_27Module1_.Macro1" localSheetId="12">#REF!</definedName>
    <definedName name="_2Module1_.Macro1" localSheetId="12">#REF!</definedName>
    <definedName name="_3" localSheetId="12">#REF!</definedName>
    <definedName name="_3_______Module1_.Macro1" localSheetId="12">#REF!</definedName>
    <definedName name="_3__Module1_.Macro1" localSheetId="12">#REF!</definedName>
    <definedName name="_36________Module1_.Macro1" localSheetId="12">#REF!</definedName>
    <definedName name="_3Module1_.Macro1" localSheetId="12">#REF!</definedName>
    <definedName name="_4" localSheetId="12">#REF!</definedName>
    <definedName name="_4________Module1_.Macro1" localSheetId="12">#REF!</definedName>
    <definedName name="_4__Module1_.Macro1" localSheetId="12">#REF!</definedName>
    <definedName name="_45_________Module1_.Macro1" localSheetId="12">#REF!</definedName>
    <definedName name="_5" localSheetId="12">#REF!</definedName>
    <definedName name="_5_________Module1_.Macro1" localSheetId="12">#REF!</definedName>
    <definedName name="_5__Module1_.Macro1" localSheetId="12">#REF!</definedName>
    <definedName name="_54__________Module1_.Macro1" localSheetId="12">#REF!</definedName>
    <definedName name="_57__Module1_.Macro1" localSheetId="12">#REF!</definedName>
    <definedName name="_6" localSheetId="12">#REF!</definedName>
    <definedName name="_6__________Module1_.Macro1" localSheetId="12">#REF!</definedName>
    <definedName name="_6___Module1_.Macro1" localSheetId="12">#REF!</definedName>
    <definedName name="_61__Module1_.Macro1" localSheetId="12">#REF!</definedName>
    <definedName name="_63____________Module1_.Macro1" localSheetId="12">#REF!</definedName>
    <definedName name="_7" localSheetId="12">#REF!</definedName>
    <definedName name="_7____________Module1_.Macro1" localSheetId="12">#REF!</definedName>
    <definedName name="_7___Module1_.Macro1" localSheetId="12">#REF!</definedName>
    <definedName name="_72______________Module1_.Macro1" localSheetId="12">#REF!</definedName>
    <definedName name="_7Module1_.Macro1" localSheetId="12">#REF!</definedName>
    <definedName name="_8______________Module1_.Macro1" localSheetId="12">#REF!</definedName>
    <definedName name="_8____Module1_.Macro1" localSheetId="12">#REF!</definedName>
    <definedName name="_81________________Module1_.Macro1" localSheetId="12">#REF!</definedName>
    <definedName name="_87___Module1_.Macro1" localSheetId="12">#REF!</definedName>
    <definedName name="_9________________Module1_.Macro1" localSheetId="12">#REF!</definedName>
    <definedName name="_9_____Module1_.Macro1" localSheetId="12">#REF!</definedName>
    <definedName name="_9____Module1_.Macro1" localSheetId="12">#REF!</definedName>
    <definedName name="_Bal2" localSheetId="12">#REF!</definedName>
    <definedName name="_DAT1" localSheetId="12">#REF!</definedName>
    <definedName name="_DAT10" localSheetId="12">#REF!</definedName>
    <definedName name="_DAT11" localSheetId="12">#REF!</definedName>
    <definedName name="_DAT2" localSheetId="12">#REF!</definedName>
    <definedName name="_DAT3" localSheetId="12">#REF!</definedName>
    <definedName name="_DAT4" localSheetId="12">#REF!</definedName>
    <definedName name="_DAT5" localSheetId="12">#REF!</definedName>
    <definedName name="_DAT6" localSheetId="12">#REF!</definedName>
    <definedName name="_DAT7" localSheetId="12">#REF!</definedName>
    <definedName name="_DAT8" localSheetId="12">#REF!</definedName>
    <definedName name="_DAT9" localSheetId="12">#REF!</definedName>
    <definedName name="_Dist_Values" localSheetId="12" hidden="1">#REF!</definedName>
    <definedName name="_Fill" localSheetId="12" hidden="1">#REF!</definedName>
    <definedName name="_ilg1" localSheetId="12">#REF!</definedName>
    <definedName name="_imt2" localSheetId="12">#REF!</definedName>
    <definedName name="_int2" localSheetId="12">#REF!</definedName>
    <definedName name="_IV70000" localSheetId="12">#REF!</definedName>
    <definedName name="_IV77777" localSheetId="12">#REF!</definedName>
    <definedName name="_Key1" localSheetId="12" hidden="1">#REF!</definedName>
    <definedName name="_NEW1" localSheetId="12">#REF!</definedName>
    <definedName name="_NEW2" localSheetId="12">#REF!</definedName>
    <definedName name="_Parse_In" localSheetId="12" hidden="1">#REF!</definedName>
    <definedName name="_Parse_Out" localSheetId="12" hidden="1">#REF!</definedName>
    <definedName name="_PL1" localSheetId="12">#REF!</definedName>
    <definedName name="_PL2" localSheetId="12">#REF!</definedName>
    <definedName name="_ps3" localSheetId="12">#REF!</definedName>
    <definedName name="_Sort" localSheetId="12" hidden="1">#REF!</definedName>
    <definedName name="aa" localSheetId="12" hidden="1">#REF!</definedName>
    <definedName name="aaa" localSheetId="12">#REF!</definedName>
    <definedName name="aaaa" localSheetId="12">#REF!</definedName>
    <definedName name="AAAAA" localSheetId="12">#REF!</definedName>
    <definedName name="Aasta" localSheetId="12">#REF!</definedName>
    <definedName name="ab" localSheetId="12">#REF!</definedName>
    <definedName name="About_AI" localSheetId="12">#REF!</definedName>
    <definedName name="About_AI_Summ" localSheetId="12">#REF!</definedName>
    <definedName name="ADD" localSheetId="12">#REF!</definedName>
    <definedName name="adj" localSheetId="12">#REF!</definedName>
    <definedName name="adj_eqty" localSheetId="12">#REF!</definedName>
    <definedName name="adsf" localSheetId="12">#REF!</definedName>
    <definedName name="ADV" localSheetId="12">#REF!</definedName>
    <definedName name="aewf" localSheetId="12">#REF!</definedName>
    <definedName name="AI" localSheetId="12">#REF!</definedName>
    <definedName name="akc" localSheetId="12">#REF!</definedName>
    <definedName name="AkcijuPok" localSheetId="12">#REF!</definedName>
    <definedName name="akcininku" localSheetId="12">#REF!</definedName>
    <definedName name="AM" localSheetId="12">#REF!</definedName>
    <definedName name="APMI" localSheetId="12">#REF!</definedName>
    <definedName name="APMlik" localSheetId="12">#REF!</definedName>
    <definedName name="APMS" localSheetId="12">#REF!</definedName>
    <definedName name="APMT" localSheetId="12">#REF!</definedName>
    <definedName name="APMTBendr" localSheetId="12">#REF!</definedName>
    <definedName name="APMTI" localSheetId="12">#REF!</definedName>
    <definedName name="AR_allowance_2008" localSheetId="12">#REF!</definedName>
    <definedName name="AREA" localSheetId="12">#REF!</definedName>
    <definedName name="as" localSheetId="12">#REF!</definedName>
    <definedName name="AS2TickmarkLS" localSheetId="12" hidden="1">#REF!</definedName>
    <definedName name="ASCOCP" localSheetId="12">#REF!</definedName>
    <definedName name="asd" localSheetId="12">#REF!</definedName>
    <definedName name="asdddvas" localSheetId="12">#REF!</definedName>
    <definedName name="asdf" localSheetId="12">#REF!</definedName>
    <definedName name="asdzze4" localSheetId="12">#REF!</definedName>
    <definedName name="asob" localSheetId="12">#REF!</definedName>
    <definedName name="asoc" localSheetId="12">#REF!</definedName>
    <definedName name="asoc2" localSheetId="12">#REF!</definedName>
    <definedName name="asoc3" localSheetId="12">#REF!</definedName>
    <definedName name="asoc4" localSheetId="12">#REF!</definedName>
    <definedName name="AsocB" localSheetId="12">#REF!</definedName>
    <definedName name="AsocBe" localSheetId="12">#REF!</definedName>
    <definedName name="AsocGr" localSheetId="12">#REF!</definedName>
    <definedName name="Asocijuota_įmonė" localSheetId="12">#REF!</definedName>
    <definedName name="AsocLikBendr" localSheetId="12">#REF!</definedName>
    <definedName name="AsocLikGr" localSheetId="12">#REF!</definedName>
    <definedName name="AsocPok" localSheetId="12">#REF!</definedName>
    <definedName name="AsocPokS" localSheetId="12">#REF!</definedName>
    <definedName name="ass" localSheetId="12">#REF!</definedName>
    <definedName name="Atsargos_tr" localSheetId="12">#REF!</definedName>
    <definedName name="atsargos08" localSheetId="12">#REF!</definedName>
    <definedName name="AtTIGTV" localSheetId="12">#REF!</definedName>
    <definedName name="awe" localSheetId="12">#REF!</definedName>
    <definedName name="B" localSheetId="12">#REF!</definedName>
    <definedName name="balansas1" localSheetId="12">#REF!</definedName>
    <definedName name="balansas1d" localSheetId="12">#REF!</definedName>
    <definedName name="balansas2" localSheetId="12">#REF!</definedName>
    <definedName name="balansus" localSheetId="12">#REF!</definedName>
    <definedName name="BalSus" localSheetId="12">#REF!</definedName>
    <definedName name="Bank_Pask_Term" localSheetId="12">#REF!</definedName>
    <definedName name="bankai" localSheetId="12">#REF!</definedName>
    <definedName name="BBBBB" localSheetId="12">#REF!</definedName>
    <definedName name="benilg" localSheetId="12">#REF!</definedName>
    <definedName name="BG" localSheetId="12" hidden="1">#REF!</definedName>
    <definedName name="BLB" localSheetId="12">#REF!</definedName>
    <definedName name="bm" localSheetId="12">#REF!</definedName>
    <definedName name="Bodyweight" localSheetId="12">#REF!</definedName>
    <definedName name="BS" localSheetId="12">#REF!</definedName>
    <definedName name="bs_1" localSheetId="12">#REF!</definedName>
    <definedName name="bs_1eq" localSheetId="12">#REF!</definedName>
    <definedName name="bs_2" localSheetId="12">#REF!</definedName>
    <definedName name="bs_2eq" localSheetId="12">#REF!</definedName>
    <definedName name="bs_3" localSheetId="12">#REF!</definedName>
    <definedName name="bs_4" localSheetId="12">#REF!</definedName>
    <definedName name="BS_PL" localSheetId="12">#REF!</definedName>
    <definedName name="BUSINESS" localSheetId="12">#REF!</definedName>
    <definedName name="Ccy" localSheetId="12">#REF!</definedName>
    <definedName name="cf" localSheetId="12">#REF!</definedName>
    <definedName name="cfgjcfjcfj" localSheetId="12">#REF!</definedName>
    <definedName name="cfyhv" localSheetId="12">#REF!</definedName>
    <definedName name="cjdtxdtfhxzg" localSheetId="12">#REF!</definedName>
    <definedName name="class" localSheetId="12">#REF!</definedName>
    <definedName name="COMPANY" localSheetId="12">#REF!</definedName>
    <definedName name="Conv" localSheetId="12">#REF!</definedName>
    <definedName name="cost" localSheetId="12">#REF!</definedName>
    <definedName name="Count_Personnel_4" localSheetId="12">#REF!</definedName>
    <definedName name="CRA" localSheetId="12">#REF!</definedName>
    <definedName name="cv" localSheetId="12">#REF!</definedName>
    <definedName name="cvh" localSheetId="12">#REF!</definedName>
    <definedName name="cx" localSheetId="12">#REF!</definedName>
    <definedName name="cxgh" localSheetId="12">#REF!</definedName>
    <definedName name="d" localSheetId="12">#REF!</definedName>
    <definedName name="dads" localSheetId="12">#REF!</definedName>
    <definedName name="dang" localSheetId="12">#REF!</definedName>
    <definedName name="DATA" localSheetId="12">#REF!</definedName>
    <definedName name="DataSet_IC_PL" localSheetId="12">#REF!</definedName>
    <definedName name="DD" localSheetId="12" hidden="1">{"'Test'!$B$2:$H$6","'Test'!$B$2:$H$23"}</definedName>
    <definedName name="ddas" localSheetId="12">#REF!</definedName>
    <definedName name="dddd" localSheetId="12">#REF!</definedName>
    <definedName name="dddddd" localSheetId="12">#REF!</definedName>
    <definedName name="ddddddd" localSheetId="12">#REF!</definedName>
    <definedName name="dekt" localSheetId="12">#REF!</definedName>
    <definedName name="dfg" localSheetId="12">#REF!</definedName>
    <definedName name="dfjg" localSheetId="12">#REF!</definedName>
    <definedName name="dg" localSheetId="12">#REF!</definedName>
    <definedName name="dircost" localSheetId="12">#REF!</definedName>
    <definedName name="DKK_AVE" localSheetId="12">#REF!</definedName>
    <definedName name="DKK_END" localSheetId="12">#REF!</definedName>
    <definedName name="DKK_OB" localSheetId="12">#REF!</definedName>
    <definedName name="dngfb" localSheetId="12">#REF!</definedName>
    <definedName name="draud2" localSheetId="12">#REF!</definedName>
    <definedName name="drt" localSheetId="12">#REF!</definedName>
    <definedName name="dryt" localSheetId="12">#REF!</definedName>
    <definedName name="ds" localSheetId="12">#REF!</definedName>
    <definedName name="dssssssss" localSheetId="12">#REF!</definedName>
    <definedName name="dukt1" localSheetId="12">#REF!</definedName>
    <definedName name="dxrgh" localSheetId="12">#REF!</definedName>
    <definedName name="dxtfh" localSheetId="12">#REF!</definedName>
    <definedName name="dzhfc" localSheetId="12">#REF!</definedName>
    <definedName name="EndDate" localSheetId="12" hidden="1">#REF!</definedName>
    <definedName name="eqty_total" localSheetId="12">#REF!</definedName>
    <definedName name="EST_BALANCE" localSheetId="12">#REF!</definedName>
    <definedName name="EST_DATA" localSheetId="12">#REF!</definedName>
    <definedName name="EST_FROM" localSheetId="12">#REF!</definedName>
    <definedName name="EST_NumStages" localSheetId="12">#REF!</definedName>
    <definedName name="EST_Obj_1" localSheetId="12">#REF!</definedName>
    <definedName name="EST_Obj_10" localSheetId="12">#REF!</definedName>
    <definedName name="EST_Obj_2" localSheetId="12">#REF!</definedName>
    <definedName name="EST_Obj_3" localSheetId="12">#REF!</definedName>
    <definedName name="EST_Obj_4" localSheetId="12">#REF!</definedName>
    <definedName name="EST_Obj_5" localSheetId="12">#REF!</definedName>
    <definedName name="EST_Obj_6" localSheetId="12">#REF!</definedName>
    <definedName name="EST_Obj_7" localSheetId="12">#REF!</definedName>
    <definedName name="EST_Obj_8" localSheetId="12">#REF!</definedName>
    <definedName name="EST_Obj_9" localSheetId="12">#REF!</definedName>
    <definedName name="EST_ProdNum" localSheetId="12">#REF!</definedName>
    <definedName name="EST_SQUARE" localSheetId="12">#REF!</definedName>
    <definedName name="EUR_AVE" localSheetId="12">#REF!</definedName>
    <definedName name="EUR_END" localSheetId="12">#REF!</definedName>
    <definedName name="EUR_OB" localSheetId="12">#REF!</definedName>
    <definedName name="expectus" localSheetId="12">#REF!</definedName>
    <definedName name="Export" localSheetId="12">#REF!</definedName>
    <definedName name="F.D." localSheetId="12">#REF!</definedName>
    <definedName name="FeedList" localSheetId="12">#REF!</definedName>
    <definedName name="ff" localSheetId="12">#REF!</definedName>
    <definedName name="ffffff" localSheetId="12">#REF!</definedName>
    <definedName name="ffghg" localSheetId="12">#REF!</definedName>
    <definedName name="fg" localSheetId="12">#REF!</definedName>
    <definedName name="fgnjh" localSheetId="12">#REF!</definedName>
    <definedName name="fgy" localSheetId="12">#REF!</definedName>
    <definedName name="Fil" localSheetId="12">#REF!</definedName>
    <definedName name="finansine" localSheetId="12">#REF!</definedName>
    <definedName name="FinVeiklSan" localSheetId="12">#REF!</definedName>
    <definedName name="FL" localSheetId="12">#REF!</definedName>
    <definedName name="fskol" localSheetId="12">#REF!</definedName>
    <definedName name="ftyk" localSheetId="12">#REF!</definedName>
    <definedName name="fyh" localSheetId="12">#REF!</definedName>
    <definedName name="fyku" localSheetId="12">#REF!</definedName>
    <definedName name="fytj" localSheetId="12">#REF!</definedName>
    <definedName name="Gautos_Paskolos" localSheetId="12">#REF!</definedName>
    <definedName name="gggggg" localSheetId="12">#REF!</definedName>
    <definedName name="ght" localSheetId="12">#REF!</definedName>
    <definedName name="grisip" localSheetId="12">#REF!</definedName>
    <definedName name="grup" localSheetId="12">#REF!</definedName>
    <definedName name="grupe" localSheetId="12">#REF!</definedName>
    <definedName name="grverte" localSheetId="12">#REF!</definedName>
    <definedName name="gvggggg" localSheetId="12">#REF!</definedName>
    <definedName name="h" localSheetId="12" hidden="1">#REF!</definedName>
    <definedName name="Height_Loans" localSheetId="12">#REF!</definedName>
    <definedName name="hhh" localSheetId="12">#REF!</definedName>
    <definedName name="hkj" localSheetId="12" hidden="1">#REF!</definedName>
    <definedName name="HTML_Control" localSheetId="12" hidden="1">{"'Test'!$B$2:$H$6","'Test'!$B$2:$H$23"}</definedName>
    <definedName name="hxf" localSheetId="12">#REF!</definedName>
    <definedName name="ifrs71" localSheetId="12">#REF!</definedName>
    <definedName name="iiii" localSheetId="12">#REF!</definedName>
    <definedName name="ilgalaik" localSheetId="12">#REF!</definedName>
    <definedName name="ilgas1" localSheetId="12">#REF!</definedName>
    <definedName name="ilgp" localSheetId="12">#REF!</definedName>
    <definedName name="IlgPVal" localSheetId="12">#REF!</definedName>
    <definedName name="imt" localSheetId="12">#REF!</definedName>
    <definedName name="IMTats" localSheetId="12">#REF!</definedName>
    <definedName name="IMTBe" localSheetId="12">#REF!</definedName>
    <definedName name="IMTGr" localSheetId="12">#REF!</definedName>
    <definedName name="int" localSheetId="12">#REF!</definedName>
    <definedName name="INTats" localSheetId="12">#REF!</definedName>
    <definedName name="INTatsk" localSheetId="12">#REF!</definedName>
    <definedName name="INTGr" localSheetId="12">#REF!</definedName>
    <definedName name="inv" localSheetId="12">#REF!</definedName>
    <definedName name="invcost" localSheetId="12">#REF!</definedName>
    <definedName name="InvD" localSheetId="12">#REF!</definedName>
    <definedName name="invdout" localSheetId="12">#REF!</definedName>
    <definedName name="invest" localSheetId="12">#REF!</definedName>
    <definedName name="InvestBe" localSheetId="12">#REF!</definedName>
    <definedName name="InvestPok" localSheetId="12">#REF!</definedName>
    <definedName name="InvIsig" localSheetId="12">#REF!</definedName>
    <definedName name="InvKitosGr" localSheetId="12">#REF!</definedName>
    <definedName name="InvNeties" localSheetId="12">#REF!</definedName>
    <definedName name="InvPokPal" localSheetId="12">#REF!</definedName>
    <definedName name="INX" localSheetId="12">#REF!</definedName>
    <definedName name="ioo" localSheetId="12">#REF!</definedName>
    <definedName name="irr" localSheetId="12">#REF!</definedName>
    <definedName name="irrout" localSheetId="12">#REF!</definedName>
    <definedName name="irrout2" localSheetId="12">#REF!</definedName>
    <definedName name="ISAND" localSheetId="12">#REF!</definedName>
    <definedName name="IsTPGTV" localSheetId="12">#REF!</definedName>
    <definedName name="j" localSheetId="12">#REF!</definedName>
    <definedName name="jdjdjd" localSheetId="12">#REF!</definedName>
    <definedName name="jhwfjff" localSheetId="12">#REF!</definedName>
    <definedName name="jjjjjj" localSheetId="12">#REF!</definedName>
    <definedName name="jkh" localSheetId="12">#REF!</definedName>
    <definedName name="jukmg" localSheetId="12">#REF!</definedName>
    <definedName name="jxfyuh" localSheetId="12">#REF!</definedName>
    <definedName name="k" localSheetId="12">#REF!</definedName>
    <definedName name="KFT" localSheetId="12">#REF!</definedName>
    <definedName name="KGS" localSheetId="12">#REF!</definedName>
    <definedName name="Kuu" localSheetId="12">#REF!</definedName>
    <definedName name="L" localSheetId="12">#REF!</definedName>
    <definedName name="lack" localSheetId="12">#REF!</definedName>
    <definedName name="lackin" localSheetId="12">#REF!</definedName>
    <definedName name="lb" localSheetId="12">#REF!</definedName>
    <definedName name="likv" localSheetId="12">#REF!</definedName>
    <definedName name="lizingai" localSheetId="12">#REF!</definedName>
    <definedName name="Lizingas" localSheetId="12">#REF!</definedName>
    <definedName name="Local" localSheetId="12">#REF!</definedName>
    <definedName name="lugis" localSheetId="12">#REF!</definedName>
    <definedName name="m" localSheetId="12">#REF!</definedName>
    <definedName name="M_CC" localSheetId="12">#REF!</definedName>
    <definedName name="Macro001" localSheetId="12">#REF!</definedName>
    <definedName name="Macro002" localSheetId="12">#REF!</definedName>
    <definedName name="Macro003" localSheetId="12">#REF!</definedName>
    <definedName name="Macro004" localSheetId="12">#REF!</definedName>
    <definedName name="Macro005" localSheetId="12">#REF!</definedName>
    <definedName name="Macro1" localSheetId="12">#REF!</definedName>
    <definedName name="Macro2" localSheetId="12">#REF!</definedName>
    <definedName name="Macro4" localSheetId="12">#REF!</definedName>
    <definedName name="Macro6" localSheetId="12">#REF!</definedName>
    <definedName name="MacroS01" localSheetId="12">#REF!</definedName>
    <definedName name="MacroUP" localSheetId="12">#REF!</definedName>
    <definedName name="MacroUP01" localSheetId="12">#REF!</definedName>
    <definedName name="man" localSheetId="12">#REF!</definedName>
    <definedName name="mann" localSheetId="12">#REF!</definedName>
    <definedName name="mar" localSheetId="12">#REF!</definedName>
    <definedName name="market" localSheetId="12">#REF!</definedName>
    <definedName name="marketshare" localSheetId="12">#REF!</definedName>
    <definedName name="mEnist" localSheetId="12">#REF!</definedName>
    <definedName name="MENU" localSheetId="12">#REF!</definedName>
    <definedName name="minliz" localSheetId="12">#REF!</definedName>
    <definedName name="moketinos" localSheetId="12">#REF!</definedName>
    <definedName name="mon" localSheetId="12">#REF!</definedName>
    <definedName name="MONTH" localSheetId="12">#REF!</definedName>
    <definedName name="Month_name" localSheetId="12">#REF!</definedName>
    <definedName name="Msort.Msort" localSheetId="12">#REF!</definedName>
    <definedName name="muk" localSheetId="12">#REF!</definedName>
    <definedName name="mungkorn" localSheetId="12">#REF!</definedName>
    <definedName name="n" localSheetId="12">#REF!</definedName>
    <definedName name="ncffx" localSheetId="12">#REF!</definedName>
    <definedName name="nematb" localSheetId="12">#REF!</definedName>
    <definedName name="nematg" localSheetId="12">#REF!</definedName>
    <definedName name="Nepanaudotos_Pask" localSheetId="12">#REF!</definedName>
    <definedName name="New" localSheetId="12">#REF!</definedName>
    <definedName name="nhgcccgh" localSheetId="12">#REF!</definedName>
    <definedName name="nkp" localSheetId="12">#REF!</definedName>
    <definedName name="NKPA" localSheetId="12">#REF!</definedName>
    <definedName name="nkpa1" localSheetId="12">#REF!</definedName>
    <definedName name="nkpa2" localSheetId="12">#REF!</definedName>
    <definedName name="NKPAG1" localSheetId="12">#REF!</definedName>
    <definedName name="NNPP2PigProduction2" localSheetId="12">#REF!</definedName>
    <definedName name="NOK_AVE" localSheetId="12">#REF!</definedName>
    <definedName name="NOK_END" localSheetId="12">#REF!</definedName>
    <definedName name="NOK_OB" localSheetId="12">#REF!</definedName>
    <definedName name="npv" localSheetId="12">#REF!</definedName>
    <definedName name="npvd" localSheetId="12">#REF!</definedName>
    <definedName name="npvdout" localSheetId="12">#REF!</definedName>
    <definedName name="npvdout2" localSheetId="12">#REF!</definedName>
    <definedName name="npvout" localSheetId="12">#REF!</definedName>
    <definedName name="Nuostoliai" localSheetId="12">#REF!</definedName>
    <definedName name="optimus" localSheetId="12">#REF!</definedName>
    <definedName name="pajam" localSheetId="12">#REF!</definedName>
    <definedName name="PalNR" localSheetId="12">#REF!</definedName>
    <definedName name="palriz" localSheetId="12">#REF!</definedName>
    <definedName name="pard" localSheetId="12">#REF!</definedName>
    <definedName name="PardPaj" localSheetId="12">#REF!</definedName>
    <definedName name="pask1" localSheetId="12">#REF!</definedName>
    <definedName name="PaskSutIlg" localSheetId="12">#REF!</definedName>
    <definedName name="paskVal" localSheetId="12">#REF!</definedName>
    <definedName name="pelnas1" localSheetId="12">#REF!</definedName>
    <definedName name="pelnasnuost" localSheetId="12">#REF!</definedName>
    <definedName name="PerejimasB" localSheetId="12">#REF!</definedName>
    <definedName name="PerejimasB1" localSheetId="12">#REF!</definedName>
    <definedName name="PerejimasB2" localSheetId="12">#REF!</definedName>
    <definedName name="PerejimasG" localSheetId="12">#REF!</definedName>
    <definedName name="PerejimasG1" localSheetId="12">#REF!</definedName>
    <definedName name="PerejimasG2" localSheetId="12">#REF!</definedName>
    <definedName name="pessimus" localSheetId="12">#REF!</definedName>
    <definedName name="PI" localSheetId="12">#REF!</definedName>
    <definedName name="PirkSus" localSheetId="12">#REF!</definedName>
    <definedName name="pl" localSheetId="12">#REF!</definedName>
    <definedName name="pl_eq" localSheetId="12">#REF!</definedName>
    <definedName name="PL_LOC" localSheetId="12">#REF!</definedName>
    <definedName name="PL_PACK" localSheetId="12">#REF!</definedName>
    <definedName name="PL_TOT" localSheetId="12">#REF!</definedName>
    <definedName name="PL_XPO" localSheetId="12">#REF!</definedName>
    <definedName name="PMApsk" localSheetId="12">#REF!</definedName>
    <definedName name="PMsan" localSheetId="12">#REF!</definedName>
    <definedName name="PMsanK" localSheetId="12">#REF!</definedName>
    <definedName name="poo" localSheetId="12">#REF!</definedName>
    <definedName name="PORT_Consolidated_1" localSheetId="12">#REF!</definedName>
    <definedName name="PORT_PrjPeriods" localSheetId="12">#REF!</definedName>
    <definedName name="prekyb2" localSheetId="12">#REF!</definedName>
    <definedName name="Present" localSheetId="12">#REF!</definedName>
    <definedName name="Prestizas" localSheetId="12">#REF!</definedName>
    <definedName name="PrestJud7" localSheetId="12">#REF!</definedName>
    <definedName name="PrestPM" localSheetId="12">#REF!</definedName>
    <definedName name="PrestSkaic" localSheetId="12">#REF!</definedName>
    <definedName name="price" localSheetId="12">#REF!</definedName>
    <definedName name="pricein" localSheetId="12">#REF!</definedName>
    <definedName name="Print_Area_MI" localSheetId="12">#REF!</definedName>
    <definedName name="printsad" localSheetId="12">#REF!</definedName>
    <definedName name="PRJ_Name" localSheetId="12">#REF!</definedName>
    <definedName name="process" localSheetId="12">#REF!</definedName>
    <definedName name="psa" localSheetId="12">#REF!</definedName>
    <definedName name="q" localSheetId="12">#REF!</definedName>
    <definedName name="qqq" localSheetId="12" hidden="1">#REF!</definedName>
    <definedName name="Query1" localSheetId="12">#REF!</definedName>
    <definedName name="query2" localSheetId="12">#REF!</definedName>
    <definedName name="range" localSheetId="12">#REF!,#REF!,#REF!,#REF!,#REF!,#REF!,#REF!,#REF!,#REF!,#REF!</definedName>
    <definedName name="rate" localSheetId="12">#REF!</definedName>
    <definedName name="ratein" localSheetId="12">#REF!</definedName>
    <definedName name="regnbcvxdf" localSheetId="12">#REF!</definedName>
    <definedName name="Reorg" localSheetId="12">#REF!</definedName>
    <definedName name="res" localSheetId="12">#REF!</definedName>
    <definedName name="rfds" localSheetId="12">#REF!</definedName>
    <definedName name="rsg" localSheetId="12">#REF!</definedName>
    <definedName name="RUB_AVE" localSheetId="12">#REF!</definedName>
    <definedName name="RUB_END" localSheetId="12">#REF!</definedName>
    <definedName name="RUB_OB" localSheetId="12">#REF!</definedName>
    <definedName name="SAL_LOC" localSheetId="12">#REF!</definedName>
    <definedName name="SAL_TOT" localSheetId="12">#REF!</definedName>
    <definedName name="SAL_XPO" localSheetId="12">#REF!</definedName>
    <definedName name="sale" localSheetId="12">#REF!</definedName>
    <definedName name="sales" localSheetId="12">#REF!</definedName>
    <definedName name="salesin" localSheetId="12">#REF!</definedName>
    <definedName name="sandoriaisus" localSheetId="12">#REF!</definedName>
    <definedName name="scens" localSheetId="12">#REF!</definedName>
    <definedName name="Score" localSheetId="12">#REF!</definedName>
    <definedName name="sdaf" localSheetId="12">#REF!</definedName>
    <definedName name="sdf" localSheetId="12">#REF!</definedName>
    <definedName name="SE" localSheetId="12">#REF!</definedName>
    <definedName name="Segm1" localSheetId="12">#REF!</definedName>
    <definedName name="SegmAM" localSheetId="12">#REF!</definedName>
    <definedName name="Segmentai08" localSheetId="12">#REF!</definedName>
    <definedName name="SegmPM" localSheetId="12">#REF!</definedName>
    <definedName name="sf" localSheetId="12">#REF!</definedName>
    <definedName name="sger" localSheetId="12">#REF!</definedName>
    <definedName name="SIP" localSheetId="12">#REF!</definedName>
    <definedName name="SkolAkc" localSheetId="12">#REF!</definedName>
    <definedName name="Skolos_akcininkams" localSheetId="12">#REF!</definedName>
    <definedName name="SkolSus" localSheetId="12">#REF!</definedName>
    <definedName name="SMM_LOC" localSheetId="12">#REF!</definedName>
    <definedName name="SMM_TOT" localSheetId="12">#REF!</definedName>
    <definedName name="SMM_XPO" localSheetId="12">#REF!</definedName>
    <definedName name="ssfrffhg" localSheetId="12">#REF!</definedName>
    <definedName name="sss" localSheetId="12">#REF!</definedName>
    <definedName name="SsS_Bs" localSheetId="12">#REF!</definedName>
    <definedName name="SsS_pp" localSheetId="12">#REF!</definedName>
    <definedName name="ssss" localSheetId="12">#REF!</definedName>
    <definedName name="ssssss" localSheetId="12">#REF!</definedName>
    <definedName name="ssssssss" localSheetId="12">#REF!</definedName>
    <definedName name="STD" localSheetId="12">#REF!</definedName>
    <definedName name="SUM" localSheetId="12">#REF!</definedName>
    <definedName name="sumaz" localSheetId="12">#REF!</definedName>
    <definedName name="sumazej" localSheetId="12">#REF!</definedName>
    <definedName name="susij" localSheetId="12">#REF!</definedName>
    <definedName name="susijbal" localSheetId="12">#REF!</definedName>
    <definedName name="susijesk" localSheetId="12">#REF!</definedName>
    <definedName name="T" localSheetId="12">#REF!</definedName>
    <definedName name="table" localSheetId="12">#REF!</definedName>
    <definedName name="Tbl_FIFO_STATUSS" localSheetId="12">#REF!</definedName>
    <definedName name="TEST0" localSheetId="12">#REF!</definedName>
    <definedName name="TEST1" localSheetId="12">#REF!</definedName>
    <definedName name="TEST2" localSheetId="12">#REF!</definedName>
    <definedName name="TEST3" localSheetId="12">#REF!</definedName>
    <definedName name="TESTHKEY" localSheetId="12">#REF!</definedName>
    <definedName name="TESTKEYS" localSheetId="12">#REF!</definedName>
    <definedName name="TESTVKEY" localSheetId="12">#REF!</definedName>
    <definedName name="TextRefCopy1" localSheetId="12">#REF!</definedName>
    <definedName name="TextRefCopy2" localSheetId="12">#REF!</definedName>
    <definedName name="TextRefCopy3" localSheetId="12">#REF!</definedName>
    <definedName name="TextRefCopy4" localSheetId="12">#REF!</definedName>
    <definedName name="TextRefCopy5" localSheetId="12">#REF!</definedName>
    <definedName name="TextRefCopy6" localSheetId="12">#REF!</definedName>
    <definedName name="TextRefCopy7" localSheetId="12">#REF!</definedName>
    <definedName name="TextRefCopy8" localSheetId="12">#REF!</definedName>
    <definedName name="TIT" localSheetId="12">#REF!</definedName>
    <definedName name="to" localSheetId="12">#REF!</definedName>
    <definedName name="TOT" localSheetId="12">#REF!</definedName>
    <definedName name="Total" localSheetId="12">#REF!</definedName>
    <definedName name="TPGTV" localSheetId="12">#REF!</definedName>
    <definedName name="TrMokSumos" localSheetId="12">#REF!</definedName>
    <definedName name="txdfhxfht" localSheetId="12">#REF!</definedName>
    <definedName name="Uniformity" localSheetId="12">#REF!</definedName>
    <definedName name="uuuuuuu" localSheetId="12">#REF!</definedName>
    <definedName name="UVKR" localSheetId="12">#REF!</definedName>
    <definedName name="uyk" localSheetId="12">#REF!</definedName>
    <definedName name="vadov" localSheetId="12">#REF!</definedName>
    <definedName name="vadovai" localSheetId="12">#REF!</definedName>
    <definedName name="Val" localSheetId="12">#REF!</definedName>
    <definedName name="valiut" localSheetId="12">#REF!</definedName>
    <definedName name="valiutos" localSheetId="12">#REF!</definedName>
    <definedName name="VAT_OnAssets" localSheetId="12">#REF!</definedName>
    <definedName name="vbhn" localSheetId="12" hidden="1">#REF!</definedName>
    <definedName name="vbhng" localSheetId="12">#REF!</definedName>
    <definedName name="vbmn" localSheetId="12">#REF!</definedName>
    <definedName name="veikla" localSheetId="12">#REF!</definedName>
    <definedName name="veiklos" localSheetId="12">#REF!</definedName>
    <definedName name="VeiklosNuoma" localSheetId="12">#REF!</definedName>
    <definedName name="VeiklosSan" localSheetId="12">#REF!</definedName>
    <definedName name="VertSum" localSheetId="12">#REF!</definedName>
    <definedName name="VET" localSheetId="12">#REF!</definedName>
    <definedName name="vhjhfhj" localSheetId="12">#REF!</definedName>
    <definedName name="vj" localSheetId="12">#REF!</definedName>
    <definedName name="vnuom" localSheetId="12">#REF!</definedName>
    <definedName name="wae" localSheetId="12">#REF!</definedName>
    <definedName name="we" localSheetId="12" hidden="1">#REF!</definedName>
    <definedName name="weafg" localSheetId="12">#REF!</definedName>
    <definedName name="werasw" localSheetId="12">#REF!</definedName>
    <definedName name="wwwwww" localSheetId="12" hidden="1">#REF!</definedName>
    <definedName name="xcv" localSheetId="12">#REF!</definedName>
    <definedName name="xdf" localSheetId="12">#REF!</definedName>
    <definedName name="xdfgxcygh" localSheetId="12">#REF!</definedName>
    <definedName name="xdfth" localSheetId="12">#REF!</definedName>
    <definedName name="xdh" localSheetId="12">#REF!</definedName>
    <definedName name="xdhf" localSheetId="12">#REF!</definedName>
    <definedName name="xfht" localSheetId="12">#REF!</definedName>
    <definedName name="xg" localSheetId="12">#REF!</definedName>
    <definedName name="xgh" localSheetId="12">#REF!</definedName>
    <definedName name="xhttxf" localSheetId="12">#REF!</definedName>
    <definedName name="xls" localSheetId="12">#REF!</definedName>
    <definedName name="XREF_COLUMN_10" localSheetId="12" hidden="1">#REF!</definedName>
    <definedName name="XREF_COLUMN_14" localSheetId="12" hidden="1">#REF!</definedName>
    <definedName name="XREF_COLUMN_3" localSheetId="12" hidden="1">#REF!</definedName>
    <definedName name="XREF_COLUMN_4" localSheetId="12" hidden="1">#REF!</definedName>
    <definedName name="XREF_COLUMN_5" localSheetId="12" hidden="1">#REF!</definedName>
    <definedName name="XREF_COLUMN_6" localSheetId="12" hidden="1">#REF!</definedName>
    <definedName name="XREF_COLUMN_7" localSheetId="12" hidden="1">#REF!</definedName>
    <definedName name="XRefCopy1" localSheetId="12" hidden="1">#REF!</definedName>
    <definedName name="XRefCopy2" localSheetId="12" hidden="1">#REF!</definedName>
    <definedName name="XRefCopy3" localSheetId="12" hidden="1">#REF!</definedName>
    <definedName name="XRefCopy4" localSheetId="12" hidden="1">#REF!</definedName>
    <definedName name="XRefCopy5" localSheetId="12" hidden="1">#REF!</definedName>
    <definedName name="XRefCopy6" localSheetId="12" hidden="1">#REF!</definedName>
    <definedName name="XRefCopy6Row" localSheetId="12" hidden="1">#REF!</definedName>
    <definedName name="XRefCopy7" localSheetId="12" hidden="1">#REF!</definedName>
    <definedName name="XRefCopy8" localSheetId="12" hidden="1">#REF!</definedName>
    <definedName name="XRefCopy9" localSheetId="12" hidden="1">#REF!</definedName>
    <definedName name="XRefCopy9Row" localSheetId="12" hidden="1">#REF!</definedName>
    <definedName name="XRefPaste10" localSheetId="12" hidden="1">#REF!</definedName>
    <definedName name="XRefPaste11" localSheetId="12" hidden="1">#REF!</definedName>
    <definedName name="XRefPaste12" localSheetId="12" hidden="1">#REF!</definedName>
    <definedName name="XRefPaste13" localSheetId="12" hidden="1">#REF!</definedName>
    <definedName name="XRefPaste16" localSheetId="12" hidden="1">#REF!</definedName>
    <definedName name="XRefPaste17" localSheetId="12" hidden="1">#REF!</definedName>
    <definedName name="XRefPaste18" localSheetId="12" hidden="1">#REF!</definedName>
    <definedName name="XRefPaste2" localSheetId="12" hidden="1">#REF!</definedName>
    <definedName name="XRefPaste5" localSheetId="12" hidden="1">#REF!</definedName>
    <definedName name="XRefPaste6" localSheetId="12" hidden="1">#REF!</definedName>
    <definedName name="XRefPaste7" localSheetId="12" hidden="1">#REF!</definedName>
    <definedName name="XRefPaste8" localSheetId="12" hidden="1">#REF!</definedName>
    <definedName name="XRefPaste9" localSheetId="12" hidden="1">#REF!</definedName>
    <definedName name="xtdddddd" localSheetId="12">#REF!</definedName>
    <definedName name="xzc" localSheetId="12">#REF!</definedName>
    <definedName name="xzcb" localSheetId="12">#REF!</definedName>
    <definedName name="xzf" localSheetId="12">#REF!</definedName>
    <definedName name="xzrjnyvgh" localSheetId="12">#REF!</definedName>
    <definedName name="yjcf" localSheetId="12">#REF!</definedName>
    <definedName name="yjcougv" localSheetId="12">#REF!</definedName>
    <definedName name="ytdj" localSheetId="12">#REF!</definedName>
    <definedName name="yug" localSheetId="12">#REF!</definedName>
    <definedName name="z" localSheetId="12">#REF!</definedName>
    <definedName name="zgffxdhxtghj" localSheetId="12">#REF!</definedName>
    <definedName name="zsrg" localSheetId="12">#REF!</definedName>
    <definedName name="zxfg" localSheetId="12">#REF!</definedName>
    <definedName name="а" localSheetId="12">#REF!</definedName>
    <definedName name="ааа" localSheetId="12">#REF!</definedName>
    <definedName name="аааааааа" localSheetId="12">#REF!</definedName>
    <definedName name="ббббб" localSheetId="12">#REF!</definedName>
    <definedName name="ббббббб" localSheetId="12">#REF!</definedName>
    <definedName name="бббббббббб" localSheetId="12">#REF!</definedName>
    <definedName name="в" localSheetId="12">#REF!</definedName>
    <definedName name="вввв" localSheetId="12">#REF!</definedName>
    <definedName name="ввввввввввв" localSheetId="12">#REF!</definedName>
    <definedName name="ггггг" localSheetId="12">#REF!</definedName>
    <definedName name="еее" localSheetId="12">#REF!</definedName>
    <definedName name="ееееее" localSheetId="12">#REF!</definedName>
    <definedName name="еееееееее" localSheetId="12">#REF!</definedName>
    <definedName name="жжжжжж" localSheetId="12">#REF!</definedName>
    <definedName name="зззззз" localSheetId="12">#REF!</definedName>
    <definedName name="и" localSheetId="12">#REF!</definedName>
    <definedName name="иии" localSheetId="12">#REF!</definedName>
    <definedName name="ййй" localSheetId="12">#REF!</definedName>
    <definedName name="ййййййййй" localSheetId="12">#REF!</definedName>
    <definedName name="ииииииииииииии" localSheetId="12">#REF!</definedName>
    <definedName name="кккк" localSheetId="12">#REF!</definedName>
    <definedName name="ккккккккккк" localSheetId="12">#REF!</definedName>
    <definedName name="лллл" localSheetId="12">#REF!</definedName>
    <definedName name="м" localSheetId="12">#REF!</definedName>
    <definedName name="ммм" localSheetId="12">#REF!</definedName>
    <definedName name="ммммммммм" localSheetId="12">#REF!</definedName>
    <definedName name="ммммммммммм" localSheetId="12">#REF!</definedName>
    <definedName name="нннннн" localSheetId="12">#REF!</definedName>
    <definedName name="ннннннннннн" localSheetId="12">#REF!</definedName>
    <definedName name="о" localSheetId="12">#REF!</definedName>
    <definedName name="ооо" localSheetId="12">#REF!</definedName>
    <definedName name="оооооо" localSheetId="12">#REF!</definedName>
    <definedName name="п" localSheetId="12">#REF!</definedName>
    <definedName name="пппппппппп" localSheetId="12">#REF!</definedName>
    <definedName name="р" localSheetId="12">#REF!</definedName>
    <definedName name="ррр" localSheetId="12">#REF!</definedName>
    <definedName name="рррррр" localSheetId="12">#REF!</definedName>
    <definedName name="рррррррррр" localSheetId="12">#REF!</definedName>
    <definedName name="ррррррррррр" localSheetId="12">#REF!</definedName>
    <definedName name="с" localSheetId="12">#REF!</definedName>
    <definedName name="ссс" localSheetId="12">#REF!</definedName>
    <definedName name="ссссс" localSheetId="12">#REF!</definedName>
    <definedName name="т" localSheetId="12">#REF!</definedName>
    <definedName name="ттт" localSheetId="12">#REF!</definedName>
    <definedName name="ттттттттттттт" localSheetId="12">#REF!</definedName>
    <definedName name="ууу" localSheetId="12">#REF!</definedName>
    <definedName name="уууууу" localSheetId="12">#REF!</definedName>
    <definedName name="уууууууууу" localSheetId="12">#REF!</definedName>
    <definedName name="ффф" localSheetId="12">#REF!</definedName>
    <definedName name="ффффффффф" localSheetId="12">#REF!</definedName>
    <definedName name="ххххххх" localSheetId="12">#REF!</definedName>
    <definedName name="ццц" localSheetId="12">#REF!</definedName>
    <definedName name="ццццццццц" localSheetId="12">#REF!</definedName>
    <definedName name="ч" localSheetId="12">#REF!</definedName>
    <definedName name="ччч" localSheetId="12">#REF!</definedName>
    <definedName name="шшшшшшшшш" localSheetId="12">#REF!</definedName>
    <definedName name="ы" localSheetId="12">#REF!</definedName>
    <definedName name="ыыыыыыыыы" localSheetId="12">#REF!</definedName>
    <definedName name="ь" localSheetId="12">#REF!</definedName>
    <definedName name="ььь" localSheetId="12">#REF!</definedName>
    <definedName name="ьььььььььььь" localSheetId="12">#REF!</definedName>
    <definedName name="эээээ" localSheetId="12">#REF!</definedName>
    <definedName name="ююююю" localSheetId="12">#REF!</definedName>
    <definedName name="юююююююююю" localSheetId="12">#REF!</definedName>
    <definedName name="я" localSheetId="12">#REF!</definedName>
    <definedName name="яяя" localSheetId="12">#REF!</definedName>
    <definedName name="กหเหเ" localSheetId="12">#REF!</definedName>
    <definedName name="กำไรขาดทุน" localSheetId="12">#REF!</definedName>
    <definedName name="ทรัพย์สิน" localSheetId="12">#REF!</definedName>
    <definedName name="ฟ" localSheetId="12">#REF!</definedName>
    <definedName name="ฟฟ" localSheetId="12">#REF!</definedName>
    <definedName name="วววว" localSheetId="12">#REF!</definedName>
    <definedName name="ส่วนแบ่งตลาด" localSheetId="12">#REF!</definedName>
    <definedName name="หนี้สินและทุน" localSheetId="12">#REF!</definedName>
    <definedName name="หหก" localSheetId="12">#REF!</definedName>
    <definedName name="__FPMExcelClient_CellBasedFunctionStatus" localSheetId="13" hidden="1">"2_2_2_2_2"</definedName>
    <definedName name="\0" localSheetId="16">#REF!</definedName>
    <definedName name="\00" localSheetId="16">#REF!</definedName>
    <definedName name="\a" localSheetId="16">#REF!</definedName>
    <definedName name="\b" localSheetId="16">#REF!</definedName>
    <definedName name="\c" localSheetId="16">#REF!</definedName>
    <definedName name="\cc" localSheetId="16">#REF!</definedName>
    <definedName name="\d" localSheetId="16">#REF!</definedName>
    <definedName name="\e" localSheetId="16">#REF!</definedName>
    <definedName name="\i" localSheetId="16">#REF!</definedName>
    <definedName name="\M" localSheetId="16">#REF!</definedName>
    <definedName name="\s" localSheetId="16">#REF!</definedName>
    <definedName name="\u" localSheetId="16">#REF!</definedName>
    <definedName name="_" localSheetId="16">#REF!</definedName>
    <definedName name="_____________________________________________PL1" localSheetId="16">#REF!</definedName>
    <definedName name="_____________________________________________PL2" localSheetId="16">#REF!</definedName>
    <definedName name="____________________________________________PL1" localSheetId="16">#REF!</definedName>
    <definedName name="____________________________________________PL2" localSheetId="16">#REF!</definedName>
    <definedName name="__________________________NEW2" localSheetId="16">#REF!</definedName>
    <definedName name="_________________________NEW2" localSheetId="16">#REF!</definedName>
    <definedName name="____________________PL2" localSheetId="16">#REF!</definedName>
    <definedName name="_____NEW1" localSheetId="16">#REF!</definedName>
    <definedName name="_____NEW2" localSheetId="16">#REF!</definedName>
    <definedName name="_____PL1" localSheetId="16">#REF!</definedName>
    <definedName name="_____PL2" localSheetId="16">#REF!</definedName>
    <definedName name="____DAT1" localSheetId="16">#REF!</definedName>
    <definedName name="____DAT10" localSheetId="16">#REF!</definedName>
    <definedName name="____DAT11" localSheetId="16">#REF!</definedName>
    <definedName name="____DAT2" localSheetId="16">#REF!</definedName>
    <definedName name="____DAT3" localSheetId="16">#REF!</definedName>
    <definedName name="____DAT4" localSheetId="16">#REF!</definedName>
    <definedName name="____DAT5" localSheetId="16">#REF!</definedName>
    <definedName name="____DAT6" localSheetId="16">#REF!</definedName>
    <definedName name="____DAT7" localSheetId="16">#REF!</definedName>
    <definedName name="____DAT8" localSheetId="16">#REF!</definedName>
    <definedName name="____DAT9" localSheetId="16">#REF!</definedName>
    <definedName name="___DAT1" localSheetId="16">#REF!</definedName>
    <definedName name="___DAT10" localSheetId="16">#REF!</definedName>
    <definedName name="___DAT11" localSheetId="16">#REF!</definedName>
    <definedName name="___DAT2" localSheetId="16">#REF!</definedName>
    <definedName name="___DAT3" localSheetId="16">#REF!</definedName>
    <definedName name="___DAT4" localSheetId="16">#REF!</definedName>
    <definedName name="___DAT5" localSheetId="16">#REF!</definedName>
    <definedName name="___DAT6" localSheetId="16">#REF!</definedName>
    <definedName name="___DAT7" localSheetId="16">#REF!</definedName>
    <definedName name="___DAT8" localSheetId="16">#REF!</definedName>
    <definedName name="___DAT9" localSheetId="16">#REF!</definedName>
    <definedName name="___IV70000" localSheetId="16">#REF!</definedName>
    <definedName name="___IV77777" localSheetId="16">#REF!</definedName>
    <definedName name="___PS1" localSheetId="16">#REF!</definedName>
    <definedName name="___PS2" localSheetId="16">#REF!</definedName>
    <definedName name="__DAT1" localSheetId="16">#REF!</definedName>
    <definedName name="__DAT10" localSheetId="16">#REF!</definedName>
    <definedName name="__DAT11" localSheetId="16">#REF!</definedName>
    <definedName name="__DAT2" localSheetId="16">#REF!</definedName>
    <definedName name="__DAT3" localSheetId="16">#REF!</definedName>
    <definedName name="__DAT4" localSheetId="16">#REF!</definedName>
    <definedName name="__DAT5" localSheetId="16">#REF!</definedName>
    <definedName name="__DAT6" localSheetId="16">#REF!</definedName>
    <definedName name="__DAT7" localSheetId="16">#REF!</definedName>
    <definedName name="__DAT8" localSheetId="16">#REF!</definedName>
    <definedName name="__DAT9" localSheetId="16">#REF!</definedName>
    <definedName name="__IV70000" localSheetId="16">#REF!</definedName>
    <definedName name="__IV77777" localSheetId="16">#REF!</definedName>
    <definedName name="__PS1" localSheetId="16">#REF!</definedName>
    <definedName name="__PS2" localSheetId="16">#REF!</definedName>
    <definedName name="_1" localSheetId="16">#REF!</definedName>
    <definedName name="_10_____Module1_.Macro1" localSheetId="16">#REF!</definedName>
    <definedName name="_100___Module1_.Macro1" localSheetId="16">#REF!</definedName>
    <definedName name="_11" localSheetId="16">#REF!</definedName>
    <definedName name="_12______Module1_.Macro1" localSheetId="16">#REF!</definedName>
    <definedName name="_139____Module1_.Macro1" localSheetId="16">#REF!</definedName>
    <definedName name="_14_______Module1_.Macro1" localSheetId="16">#REF!</definedName>
    <definedName name="_152_____Module1_.Macro1" localSheetId="16">#REF!</definedName>
    <definedName name="_16________Module1_.Macro1" localSheetId="16">#REF!</definedName>
    <definedName name="_165______Module1_.Macro1" localSheetId="16">#REF!</definedName>
    <definedName name="_178_______Module1_.Macro1" localSheetId="16">#REF!</definedName>
    <definedName name="_18_________Module1_.Macro1" localSheetId="16">#REF!</definedName>
    <definedName name="_191________Module1_.Macro1" localSheetId="16">#REF!</definedName>
    <definedName name="_1Module1_.Macro1" localSheetId="16">#REF!</definedName>
    <definedName name="_2" localSheetId="16">#REF!</definedName>
    <definedName name="_20__________Module1_.Macro1" localSheetId="16">#REF!</definedName>
    <definedName name="_204_________Module1_.Macro1" localSheetId="16">#REF!</definedName>
    <definedName name="_217__________Module1_.Macro1" localSheetId="16">#REF!</definedName>
    <definedName name="_22____________Module1_.Macro1" localSheetId="16">#REF!</definedName>
    <definedName name="_22Module1_.Macro1" localSheetId="16">#REF!</definedName>
    <definedName name="_230____________Module1_.Macro1" localSheetId="16">#REF!</definedName>
    <definedName name="_24______________Module1_.Macro1" localSheetId="16">#REF!</definedName>
    <definedName name="_243______________Module1_.Macro1" localSheetId="16">#REF!</definedName>
    <definedName name="_256________________Module1_.Macro1" localSheetId="16">#REF!</definedName>
    <definedName name="_26________________Module1_.Macro1" localSheetId="16">#REF!</definedName>
    <definedName name="_2Module1_.Macro1" localSheetId="16">#REF!</definedName>
    <definedName name="_3" localSheetId="16">#REF!</definedName>
    <definedName name="_4" localSheetId="16">#REF!</definedName>
    <definedName name="_4__Module1_.Macro1" localSheetId="16">#REF!</definedName>
    <definedName name="_5" localSheetId="16">#REF!</definedName>
    <definedName name="_6" localSheetId="16">#REF!</definedName>
    <definedName name="_6___Module1_.Macro1" localSheetId="16">#REF!</definedName>
    <definedName name="_61__Module1_.Macro1" localSheetId="16">#REF!</definedName>
    <definedName name="_7" localSheetId="16">#REF!</definedName>
    <definedName name="_7Module1_.Macro1" localSheetId="16">#REF!</definedName>
    <definedName name="_8____Module1_.Macro1" localSheetId="16">#REF!</definedName>
    <definedName name="_Bal2" localSheetId="16">#REF!</definedName>
    <definedName name="_DAT1" localSheetId="16">#REF!</definedName>
    <definedName name="_DAT10" localSheetId="16">#REF!</definedName>
    <definedName name="_DAT11" localSheetId="16">#REF!</definedName>
    <definedName name="_DAT2" localSheetId="16">#REF!</definedName>
    <definedName name="_DAT3" localSheetId="16">#REF!</definedName>
    <definedName name="_DAT4" localSheetId="16">#REF!</definedName>
    <definedName name="_DAT5" localSheetId="16">#REF!</definedName>
    <definedName name="_DAT6" localSheetId="16">#REF!</definedName>
    <definedName name="_DAT7" localSheetId="16">#REF!</definedName>
    <definedName name="_DAT8" localSheetId="16">#REF!</definedName>
    <definedName name="_DAT9" localSheetId="16">#REF!</definedName>
    <definedName name="_Fill" localSheetId="16" hidden="1">#REF!</definedName>
    <definedName name="_ilg1" localSheetId="16">#REF!</definedName>
    <definedName name="_imt2" localSheetId="16">#REF!</definedName>
    <definedName name="_int2" localSheetId="16">#REF!</definedName>
    <definedName name="_IV70000" localSheetId="16">#REF!</definedName>
    <definedName name="_IV77777" localSheetId="16">#REF!</definedName>
    <definedName name="_Key1" localSheetId="16" hidden="1">#REF!</definedName>
    <definedName name="_NEW1" localSheetId="16">#REF!</definedName>
    <definedName name="_NEW2" localSheetId="16">#REF!</definedName>
    <definedName name="_Parse_In" localSheetId="16" hidden="1">#REF!</definedName>
    <definedName name="_Parse_Out" localSheetId="16" hidden="1">#REF!</definedName>
    <definedName name="_PL1" localSheetId="16">#REF!</definedName>
    <definedName name="_PL2" localSheetId="16">#REF!</definedName>
    <definedName name="_ps3" localSheetId="16">#REF!</definedName>
    <definedName name="_Sort" localSheetId="16" hidden="1">#REF!</definedName>
    <definedName name="aa" localSheetId="16" hidden="1">#REF!</definedName>
    <definedName name="aaa" localSheetId="16">#REF!</definedName>
    <definedName name="aaaa" localSheetId="16">#REF!</definedName>
    <definedName name="Aasta" localSheetId="16">#REF!</definedName>
    <definedName name="ab" localSheetId="16">#REF!</definedName>
    <definedName name="About_AI" localSheetId="16">#REF!</definedName>
    <definedName name="About_AI_Summ" localSheetId="16">#REF!</definedName>
    <definedName name="ADD" localSheetId="16">#REF!</definedName>
    <definedName name="adj" localSheetId="16">#REF!</definedName>
    <definedName name="adj_eqty" localSheetId="16">#REF!</definedName>
    <definedName name="adsf" localSheetId="16">#REF!</definedName>
    <definedName name="ADV" localSheetId="16">#REF!</definedName>
    <definedName name="aewf" localSheetId="16">#REF!</definedName>
    <definedName name="AI" localSheetId="16">#REF!</definedName>
    <definedName name="akc" localSheetId="16">#REF!</definedName>
    <definedName name="AkcijuPok" localSheetId="16">#REF!</definedName>
    <definedName name="akcininku" localSheetId="16">#REF!</definedName>
    <definedName name="AM" localSheetId="16">#REF!</definedName>
    <definedName name="APMI" localSheetId="16">#REF!</definedName>
    <definedName name="APMlik" localSheetId="16">#REF!</definedName>
    <definedName name="APMS" localSheetId="16">#REF!</definedName>
    <definedName name="APMT" localSheetId="16">#REF!</definedName>
    <definedName name="APMTBendr" localSheetId="16">#REF!</definedName>
    <definedName name="APMTI" localSheetId="16">#REF!</definedName>
    <definedName name="AR_allowance_2008" localSheetId="16">#REF!</definedName>
    <definedName name="AREA" localSheetId="16">#REF!</definedName>
    <definedName name="as" localSheetId="16">#REF!</definedName>
    <definedName name="AS2TickmarkLS" localSheetId="16" hidden="1">#REF!</definedName>
    <definedName name="ASCOCP" localSheetId="16">#REF!</definedName>
    <definedName name="asd" localSheetId="16">#REF!</definedName>
    <definedName name="asdddvas" localSheetId="16">#REF!</definedName>
    <definedName name="asdf" localSheetId="16">#REF!</definedName>
    <definedName name="asdzze4" localSheetId="16">#REF!</definedName>
    <definedName name="asob" localSheetId="16">#REF!</definedName>
    <definedName name="asoc" localSheetId="16">#REF!</definedName>
    <definedName name="asoc2" localSheetId="16">#REF!</definedName>
    <definedName name="asoc3" localSheetId="16">#REF!</definedName>
    <definedName name="asoc4" localSheetId="16">#REF!</definedName>
    <definedName name="AsocB" localSheetId="16">#REF!</definedName>
    <definedName name="AsocBe" localSheetId="16">#REF!</definedName>
    <definedName name="AsocGr" localSheetId="16">#REF!</definedName>
    <definedName name="Asocijuota_įmonė" localSheetId="16">#REF!</definedName>
    <definedName name="AsocLikBendr" localSheetId="16">#REF!</definedName>
    <definedName name="AsocLikGr" localSheetId="16">#REF!</definedName>
    <definedName name="AsocPok" localSheetId="16">#REF!</definedName>
    <definedName name="AsocPokS" localSheetId="16">#REF!</definedName>
    <definedName name="ass" localSheetId="16">#REF!</definedName>
    <definedName name="Atsargos_tr" localSheetId="16">#REF!</definedName>
    <definedName name="atsargos08" localSheetId="16">#REF!</definedName>
    <definedName name="AtTIGTV" localSheetId="16">#REF!</definedName>
    <definedName name="awe" localSheetId="16">#REF!</definedName>
    <definedName name="B" localSheetId="16">#REF!</definedName>
    <definedName name="balansas1" localSheetId="16">#REF!</definedName>
    <definedName name="balansas1d" localSheetId="16">#REF!</definedName>
    <definedName name="balansas2" localSheetId="16">#REF!</definedName>
    <definedName name="balansus" localSheetId="16">#REF!</definedName>
    <definedName name="BalSus" localSheetId="16">#REF!</definedName>
    <definedName name="Bank_Pask_Term" localSheetId="16">#REF!</definedName>
    <definedName name="bankai" localSheetId="16">#REF!</definedName>
    <definedName name="BBBBB" localSheetId="16">#REF!</definedName>
    <definedName name="benilg" localSheetId="16">#REF!</definedName>
    <definedName name="BG" localSheetId="16" hidden="1">#REF!</definedName>
    <definedName name="BLB" localSheetId="16">#REF!</definedName>
    <definedName name="bm" localSheetId="16">#REF!</definedName>
    <definedName name="Bodyweight" localSheetId="16">#REF!</definedName>
    <definedName name="BS" localSheetId="16">#REF!</definedName>
    <definedName name="bs_1" localSheetId="16">#REF!</definedName>
    <definedName name="bs_1eq" localSheetId="16">#REF!</definedName>
    <definedName name="bs_2" localSheetId="16">#REF!</definedName>
    <definedName name="bs_2eq" localSheetId="16">#REF!</definedName>
    <definedName name="bs_3" localSheetId="16">#REF!</definedName>
    <definedName name="bs_4" localSheetId="16">#REF!</definedName>
    <definedName name="BS_PL" localSheetId="16">#REF!</definedName>
    <definedName name="BUSINESS" localSheetId="16">#REF!</definedName>
    <definedName name="Ccy" localSheetId="16">#REF!</definedName>
    <definedName name="cf" localSheetId="16">#REF!</definedName>
    <definedName name="cfgjcfjcfj" localSheetId="16">#REF!</definedName>
    <definedName name="cfyhv" localSheetId="16">#REF!</definedName>
    <definedName name="cjdtxdtfhxzg" localSheetId="16">#REF!</definedName>
    <definedName name="class" localSheetId="16">#REF!</definedName>
    <definedName name="COMPANY" localSheetId="16">#REF!</definedName>
    <definedName name="Conv" localSheetId="16">#REF!</definedName>
    <definedName name="cost" localSheetId="16">#REF!</definedName>
    <definedName name="Count_Personnel_4" localSheetId="16">#REF!</definedName>
    <definedName name="CRA" localSheetId="16">#REF!</definedName>
    <definedName name="cv" localSheetId="16">#REF!</definedName>
    <definedName name="cvh" localSheetId="16">#REF!</definedName>
    <definedName name="cx" localSheetId="16">#REF!</definedName>
    <definedName name="cxgh" localSheetId="16">#REF!</definedName>
    <definedName name="d" localSheetId="16">#REF!</definedName>
    <definedName name="dads" localSheetId="16">#REF!</definedName>
    <definedName name="dang" localSheetId="16">#REF!</definedName>
    <definedName name="DATA" localSheetId="16">#REF!</definedName>
    <definedName name="DataSet_IC_PL" localSheetId="16">#REF!</definedName>
    <definedName name="DD" localSheetId="16" hidden="1">{"'Test'!$B$2:$H$6","'Test'!$B$2:$H$23"}</definedName>
    <definedName name="ddas" localSheetId="16">#REF!</definedName>
    <definedName name="dddd" localSheetId="16">#REF!</definedName>
    <definedName name="dddddd" localSheetId="16">#REF!</definedName>
    <definedName name="ddddddd" localSheetId="16">#REF!</definedName>
    <definedName name="dekt" localSheetId="16">#REF!</definedName>
    <definedName name="dfg" localSheetId="16">#REF!</definedName>
    <definedName name="dfjg" localSheetId="16">#REF!</definedName>
    <definedName name="dg" localSheetId="16">#REF!</definedName>
    <definedName name="dircost" localSheetId="16">#REF!</definedName>
    <definedName name="DKK_AVE" localSheetId="16">#REF!</definedName>
    <definedName name="DKK_END" localSheetId="16">#REF!</definedName>
    <definedName name="DKK_OB" localSheetId="16">#REF!</definedName>
    <definedName name="dngfb" localSheetId="16">#REF!</definedName>
    <definedName name="draud2" localSheetId="16">#REF!</definedName>
    <definedName name="drt" localSheetId="16">#REF!</definedName>
    <definedName name="dryt" localSheetId="16">#REF!</definedName>
    <definedName name="ds" localSheetId="16">#REF!</definedName>
    <definedName name="dssssssss" localSheetId="16">#REF!</definedName>
    <definedName name="dukt1" localSheetId="16">#REF!</definedName>
    <definedName name="dxrgh" localSheetId="16">#REF!</definedName>
    <definedName name="dxtfh" localSheetId="16">#REF!</definedName>
    <definedName name="dzhfc" localSheetId="16">#REF!</definedName>
    <definedName name="EndDate" localSheetId="16" hidden="1">#REF!</definedName>
    <definedName name="eqty_total" localSheetId="16">#REF!</definedName>
    <definedName name="EST_BALANCE" localSheetId="16">#REF!</definedName>
    <definedName name="EST_DATA" localSheetId="16">#REF!</definedName>
    <definedName name="EST_FROM" localSheetId="16">#REF!</definedName>
    <definedName name="EST_NumStages" localSheetId="16">#REF!</definedName>
    <definedName name="EST_Obj_1" localSheetId="16">#REF!</definedName>
    <definedName name="EST_Obj_10" localSheetId="16">#REF!</definedName>
    <definedName name="EST_Obj_2" localSheetId="16">#REF!</definedName>
    <definedName name="EST_Obj_3" localSheetId="16">#REF!</definedName>
    <definedName name="EST_Obj_4" localSheetId="16">#REF!</definedName>
    <definedName name="EST_Obj_5" localSheetId="16">#REF!</definedName>
    <definedName name="EST_Obj_6" localSheetId="16">#REF!</definedName>
    <definedName name="EST_Obj_7" localSheetId="16">#REF!</definedName>
    <definedName name="EST_Obj_8" localSheetId="16">#REF!</definedName>
    <definedName name="EST_Obj_9" localSheetId="16">#REF!</definedName>
    <definedName name="EST_ProdNum" localSheetId="16">#REF!</definedName>
    <definedName name="EST_SQUARE" localSheetId="16">#REF!</definedName>
    <definedName name="EUR_AVE" localSheetId="16">#REF!</definedName>
    <definedName name="EUR_END" localSheetId="16">#REF!</definedName>
    <definedName name="EUR_OB" localSheetId="16">#REF!</definedName>
    <definedName name="expectus" localSheetId="16">#REF!</definedName>
    <definedName name="Export" localSheetId="16">#REF!</definedName>
    <definedName name="F.D." localSheetId="16">#REF!</definedName>
    <definedName name="FeedList" localSheetId="16">#REF!</definedName>
    <definedName name="ff" localSheetId="16">#REF!</definedName>
    <definedName name="ffffff" localSheetId="16">#REF!</definedName>
    <definedName name="ffghg" localSheetId="16">#REF!</definedName>
    <definedName name="fg" localSheetId="16">#REF!</definedName>
    <definedName name="fgnjh" localSheetId="16">#REF!</definedName>
    <definedName name="fgy" localSheetId="16">#REF!</definedName>
    <definedName name="Fil" localSheetId="16">#REF!</definedName>
    <definedName name="finansine" localSheetId="16">#REF!</definedName>
    <definedName name="FinVeiklSan" localSheetId="16">#REF!</definedName>
    <definedName name="FL" localSheetId="16">#REF!</definedName>
    <definedName name="fskol" localSheetId="16">#REF!</definedName>
    <definedName name="ftyk" localSheetId="16">#REF!</definedName>
    <definedName name="fyh" localSheetId="16">#REF!</definedName>
    <definedName name="fyku" localSheetId="16">#REF!</definedName>
    <definedName name="fytj" localSheetId="16">#REF!</definedName>
    <definedName name="Gautos_Paskolos" localSheetId="16">#REF!</definedName>
    <definedName name="gggggg" localSheetId="16">#REF!</definedName>
    <definedName name="ght" localSheetId="16">#REF!</definedName>
    <definedName name="grisip" localSheetId="16">#REF!</definedName>
    <definedName name="grup" localSheetId="16">#REF!</definedName>
    <definedName name="grupe" localSheetId="16">#REF!</definedName>
    <definedName name="grverte" localSheetId="16">#REF!</definedName>
    <definedName name="gvggggg" localSheetId="16">#REF!</definedName>
    <definedName name="h" localSheetId="16" hidden="1">#REF!</definedName>
    <definedName name="Height_Loans" localSheetId="16">#REF!</definedName>
    <definedName name="hhh" localSheetId="16">#REF!</definedName>
    <definedName name="hkj" localSheetId="16" hidden="1">#REF!</definedName>
    <definedName name="HTML_Control" localSheetId="16" hidden="1">{"'Test'!$B$2:$H$6","'Test'!$B$2:$H$23"}</definedName>
    <definedName name="hxf" localSheetId="16">#REF!</definedName>
    <definedName name="ifrs71" localSheetId="16">#REF!</definedName>
    <definedName name="iiii" localSheetId="16">#REF!</definedName>
    <definedName name="ilgalaik" localSheetId="16">#REF!</definedName>
    <definedName name="ilgas1" localSheetId="16">#REF!</definedName>
    <definedName name="ilgp" localSheetId="16">#REF!</definedName>
    <definedName name="IlgPVal" localSheetId="16">#REF!</definedName>
    <definedName name="imt" localSheetId="16">#REF!</definedName>
    <definedName name="IMTats" localSheetId="16">#REF!</definedName>
    <definedName name="IMTBe" localSheetId="16">#REF!</definedName>
    <definedName name="IMTGr" localSheetId="16">#REF!</definedName>
    <definedName name="int" localSheetId="16">#REF!</definedName>
    <definedName name="INTats" localSheetId="16">#REF!</definedName>
    <definedName name="INTatsk" localSheetId="16">#REF!</definedName>
    <definedName name="INTGr" localSheetId="16">#REF!</definedName>
    <definedName name="inv" localSheetId="16">#REF!</definedName>
    <definedName name="invcost" localSheetId="16">#REF!</definedName>
    <definedName name="InvD" localSheetId="16">#REF!</definedName>
    <definedName name="invdout" localSheetId="16">#REF!</definedName>
    <definedName name="invest" localSheetId="16">#REF!</definedName>
    <definedName name="InvestBe" localSheetId="16">#REF!</definedName>
    <definedName name="InvestPok" localSheetId="16">#REF!</definedName>
    <definedName name="InvIsig" localSheetId="16">#REF!</definedName>
    <definedName name="InvKitosGr" localSheetId="16">#REF!</definedName>
    <definedName name="InvNeties" localSheetId="16">#REF!</definedName>
    <definedName name="InvPokPal" localSheetId="16">#REF!</definedName>
    <definedName name="INX" localSheetId="16">#REF!</definedName>
    <definedName name="ioo" localSheetId="16">#REF!</definedName>
    <definedName name="irr" localSheetId="16">#REF!</definedName>
    <definedName name="irrout" localSheetId="16">#REF!</definedName>
    <definedName name="irrout2" localSheetId="16">#REF!</definedName>
    <definedName name="ISAND" localSheetId="16">#REF!</definedName>
    <definedName name="IsTPGTV" localSheetId="16">#REF!</definedName>
    <definedName name="j" localSheetId="16">#REF!</definedName>
    <definedName name="jhwfjff" localSheetId="16">#REF!</definedName>
    <definedName name="jjjjjj" localSheetId="16">#REF!</definedName>
    <definedName name="jkh" localSheetId="16">#REF!</definedName>
    <definedName name="jukmg" localSheetId="16">#REF!</definedName>
    <definedName name="jxfyuh" localSheetId="16">#REF!</definedName>
    <definedName name="k" localSheetId="16">#REF!</definedName>
    <definedName name="KFT" localSheetId="16">#REF!</definedName>
    <definedName name="KGS" localSheetId="16">#REF!</definedName>
    <definedName name="Kuu" localSheetId="16">#REF!</definedName>
    <definedName name="L" localSheetId="16">#REF!</definedName>
    <definedName name="lack" localSheetId="16">#REF!</definedName>
    <definedName name="lackin" localSheetId="16">#REF!</definedName>
    <definedName name="lb" localSheetId="16">#REF!</definedName>
    <definedName name="likv" localSheetId="16">#REF!</definedName>
    <definedName name="lizingai" localSheetId="16">#REF!</definedName>
    <definedName name="Lizingas" localSheetId="16">#REF!</definedName>
    <definedName name="Local" localSheetId="16">#REF!</definedName>
    <definedName name="lugis" localSheetId="16">#REF!</definedName>
    <definedName name="m" localSheetId="16">#REF!</definedName>
    <definedName name="M_CC" localSheetId="16">#REF!</definedName>
    <definedName name="Macro001" localSheetId="16">#REF!</definedName>
    <definedName name="Macro002" localSheetId="16">#REF!</definedName>
    <definedName name="Macro003" localSheetId="16">#REF!</definedName>
    <definedName name="Macro004" localSheetId="16">#REF!</definedName>
    <definedName name="Macro005" localSheetId="16">#REF!</definedName>
    <definedName name="Macro1" localSheetId="16">#REF!</definedName>
    <definedName name="Macro2" localSheetId="16">#REF!</definedName>
    <definedName name="Macro4" localSheetId="16">#REF!</definedName>
    <definedName name="Macro6" localSheetId="16">#REF!</definedName>
    <definedName name="MacroS01" localSheetId="16">#REF!</definedName>
    <definedName name="MacroUP" localSheetId="16">#REF!</definedName>
    <definedName name="MacroUP01" localSheetId="16">#REF!</definedName>
    <definedName name="man" localSheetId="16">#REF!</definedName>
    <definedName name="mann" localSheetId="16">#REF!</definedName>
    <definedName name="mar" localSheetId="16">#REF!</definedName>
    <definedName name="market" localSheetId="16">#REF!</definedName>
    <definedName name="marketshare" localSheetId="16">#REF!</definedName>
    <definedName name="mEnist" localSheetId="16">#REF!</definedName>
    <definedName name="MENU" localSheetId="16">#REF!</definedName>
    <definedName name="minliz" localSheetId="16">#REF!</definedName>
    <definedName name="moketinos" localSheetId="16">#REF!</definedName>
    <definedName name="mon" localSheetId="16">#REF!</definedName>
    <definedName name="MONTH" localSheetId="16">#REF!</definedName>
    <definedName name="Month_name" localSheetId="16">#REF!</definedName>
    <definedName name="Msort.Msort" localSheetId="16">#REF!</definedName>
    <definedName name="muk" localSheetId="16">#REF!</definedName>
    <definedName name="mungkorn" localSheetId="16">#REF!</definedName>
    <definedName name="n" localSheetId="16">#REF!</definedName>
    <definedName name="ncffx" localSheetId="16">#REF!</definedName>
    <definedName name="nematb" localSheetId="16">#REF!</definedName>
    <definedName name="nematg" localSheetId="16">#REF!</definedName>
    <definedName name="Nepanaudotos_Pask" localSheetId="16">#REF!</definedName>
    <definedName name="New" localSheetId="16">#REF!</definedName>
    <definedName name="nhgcccgh" localSheetId="16">#REF!</definedName>
    <definedName name="nkp" localSheetId="16">#REF!</definedName>
    <definedName name="NKPA" localSheetId="16">#REF!</definedName>
    <definedName name="nkpa1" localSheetId="16">#REF!</definedName>
    <definedName name="nkpa2" localSheetId="16">#REF!</definedName>
    <definedName name="NKPAG1" localSheetId="16">#REF!</definedName>
    <definedName name="NOK_AVE" localSheetId="16">#REF!</definedName>
    <definedName name="NOK_END" localSheetId="16">#REF!</definedName>
    <definedName name="NOK_OB" localSheetId="16">#REF!</definedName>
    <definedName name="npv" localSheetId="16">#REF!</definedName>
    <definedName name="npvd" localSheetId="16">#REF!</definedName>
    <definedName name="npvdout" localSheetId="16">#REF!</definedName>
    <definedName name="npvdout2" localSheetId="16">#REF!</definedName>
    <definedName name="npvout" localSheetId="16">#REF!</definedName>
    <definedName name="Nuostoliai" localSheetId="16">#REF!</definedName>
    <definedName name="optimus" localSheetId="16">#REF!</definedName>
    <definedName name="pajam" localSheetId="16">#REF!</definedName>
    <definedName name="PalNR" localSheetId="16">#REF!</definedName>
    <definedName name="palriz" localSheetId="16">#REF!</definedName>
    <definedName name="pard" localSheetId="16">#REF!</definedName>
    <definedName name="PardPaj" localSheetId="16">#REF!</definedName>
    <definedName name="pask1" localSheetId="16">#REF!</definedName>
    <definedName name="PaskSutIlg" localSheetId="16">#REF!</definedName>
    <definedName name="paskVal" localSheetId="16">#REF!</definedName>
    <definedName name="pelnas1" localSheetId="16">#REF!</definedName>
    <definedName name="pelnasnuost" localSheetId="16">#REF!</definedName>
    <definedName name="PerejimasB" localSheetId="16">#REF!</definedName>
    <definedName name="PerejimasB1" localSheetId="16">#REF!</definedName>
    <definedName name="PerejimasB2" localSheetId="16">#REF!</definedName>
    <definedName name="PerejimasG" localSheetId="16">#REF!</definedName>
    <definedName name="PerejimasG1" localSheetId="16">#REF!</definedName>
    <definedName name="PerejimasG2" localSheetId="16">#REF!</definedName>
    <definedName name="pessimus" localSheetId="16">#REF!</definedName>
    <definedName name="PI" localSheetId="16">#REF!</definedName>
    <definedName name="PirkSus" localSheetId="16">#REF!</definedName>
    <definedName name="pl" localSheetId="16">#REF!</definedName>
    <definedName name="pl_eq" localSheetId="16">#REF!</definedName>
    <definedName name="PL_LOC" localSheetId="16">#REF!</definedName>
    <definedName name="PL_PACK" localSheetId="16">#REF!</definedName>
    <definedName name="PL_TOT" localSheetId="16">#REF!</definedName>
    <definedName name="PL_XPO" localSheetId="16">#REF!</definedName>
    <definedName name="PMApsk" localSheetId="16">#REF!</definedName>
    <definedName name="PMsan" localSheetId="16">#REF!</definedName>
    <definedName name="PMsanK" localSheetId="16">#REF!</definedName>
    <definedName name="poo" localSheetId="16">#REF!</definedName>
    <definedName name="PORT_Consolidated_1" localSheetId="16">#REF!</definedName>
    <definedName name="PORT_PrjPeriods" localSheetId="16">#REF!</definedName>
    <definedName name="prekyb2" localSheetId="16">#REF!</definedName>
    <definedName name="Present" localSheetId="16">#REF!</definedName>
    <definedName name="Prestizas" localSheetId="16">#REF!</definedName>
    <definedName name="PrestJud7" localSheetId="16">#REF!</definedName>
    <definedName name="PrestPM" localSheetId="16">#REF!</definedName>
    <definedName name="PrestSkaic" localSheetId="16">#REF!</definedName>
    <definedName name="price" localSheetId="16">#REF!</definedName>
    <definedName name="pricein" localSheetId="16">#REF!</definedName>
    <definedName name="Print_Area_MI" localSheetId="16">#REF!</definedName>
    <definedName name="printsad" localSheetId="16">#REF!</definedName>
    <definedName name="PRJ_Name" localSheetId="16">#REF!</definedName>
    <definedName name="process" localSheetId="16">#REF!</definedName>
    <definedName name="psa" localSheetId="16">#REF!</definedName>
    <definedName name="Query1" localSheetId="16">#REF!</definedName>
    <definedName name="query2" localSheetId="16">#REF!</definedName>
    <definedName name="range" localSheetId="16">#REF!,#REF!,#REF!,#REF!,#REF!,#REF!,#REF!,#REF!,#REF!,#REF!</definedName>
    <definedName name="rate" localSheetId="16">#REF!</definedName>
    <definedName name="ratein" localSheetId="16">#REF!</definedName>
    <definedName name="regnbcvxdf" localSheetId="16">#REF!</definedName>
    <definedName name="Reorg" localSheetId="16">#REF!</definedName>
    <definedName name="res" localSheetId="16">#REF!</definedName>
    <definedName name="rfds" localSheetId="16">#REF!</definedName>
    <definedName name="rsg" localSheetId="16">#REF!</definedName>
    <definedName name="RUB_AVE" localSheetId="16">#REF!</definedName>
    <definedName name="RUB_END" localSheetId="16">#REF!</definedName>
    <definedName name="RUB_OB" localSheetId="16">#REF!</definedName>
    <definedName name="SAL_LOC" localSheetId="16">#REF!</definedName>
    <definedName name="SAL_TOT" localSheetId="16">#REF!</definedName>
    <definedName name="SAL_XPO" localSheetId="16">#REF!</definedName>
    <definedName name="sale" localSheetId="16">#REF!</definedName>
    <definedName name="sales" localSheetId="16">#REF!</definedName>
    <definedName name="salesin" localSheetId="16">#REF!</definedName>
    <definedName name="sandoriaisus" localSheetId="16">#REF!</definedName>
    <definedName name="scens" localSheetId="16">#REF!</definedName>
    <definedName name="Score" localSheetId="16">#REF!</definedName>
    <definedName name="sdaf" localSheetId="16">#REF!</definedName>
    <definedName name="sdf" localSheetId="16">#REF!</definedName>
    <definedName name="SE" localSheetId="16">#REF!</definedName>
    <definedName name="Segm1" localSheetId="16">#REF!</definedName>
    <definedName name="SegmAM" localSheetId="16">#REF!</definedName>
    <definedName name="Segmentai08" localSheetId="16">#REF!</definedName>
    <definedName name="SegmPM" localSheetId="16">#REF!</definedName>
    <definedName name="sf" localSheetId="16">#REF!</definedName>
    <definedName name="sger" localSheetId="16">#REF!</definedName>
    <definedName name="SIP" localSheetId="16">#REF!</definedName>
    <definedName name="SkolAkc" localSheetId="16">#REF!</definedName>
    <definedName name="Skolos_akcininkams" localSheetId="16">#REF!</definedName>
    <definedName name="SkolSus" localSheetId="16">#REF!</definedName>
    <definedName name="SMM_LOC" localSheetId="16">#REF!</definedName>
    <definedName name="SMM_TOT" localSheetId="16">#REF!</definedName>
    <definedName name="SMM_XPO" localSheetId="16">#REF!</definedName>
    <definedName name="ssfrffhg" localSheetId="16">#REF!</definedName>
    <definedName name="sss" localSheetId="16">#REF!</definedName>
    <definedName name="SsS_Bs" localSheetId="16">#REF!</definedName>
    <definedName name="SsS_pp" localSheetId="16">#REF!</definedName>
    <definedName name="ssss" localSheetId="16">#REF!</definedName>
    <definedName name="ssssss" localSheetId="16">#REF!</definedName>
    <definedName name="ssssssss" localSheetId="16">#REF!</definedName>
    <definedName name="STD" localSheetId="16">#REF!</definedName>
    <definedName name="SUM" localSheetId="16">#REF!</definedName>
    <definedName name="sumaz" localSheetId="16">#REF!</definedName>
    <definedName name="sumazej" localSheetId="16">#REF!</definedName>
    <definedName name="susij" localSheetId="16">#REF!</definedName>
    <definedName name="susijbal" localSheetId="16">#REF!</definedName>
    <definedName name="susijesk" localSheetId="16">#REF!</definedName>
    <definedName name="T" localSheetId="16">#REF!</definedName>
    <definedName name="Tbl_FIFO_STATUSS" localSheetId="16">#REF!</definedName>
    <definedName name="TEST0" localSheetId="16">#REF!</definedName>
    <definedName name="TEST1" localSheetId="16">#REF!</definedName>
    <definedName name="TEST2" localSheetId="16">#REF!</definedName>
    <definedName name="TEST3" localSheetId="16">#REF!</definedName>
    <definedName name="TESTHKEY" localSheetId="16">#REF!</definedName>
    <definedName name="TESTKEYS" localSheetId="16">#REF!</definedName>
    <definedName name="TESTVKEY" localSheetId="16">#REF!</definedName>
    <definedName name="TextRefCopy1" localSheetId="16">#REF!</definedName>
    <definedName name="TextRefCopy2" localSheetId="16">#REF!</definedName>
    <definedName name="TextRefCopy3" localSheetId="16">#REF!</definedName>
    <definedName name="TextRefCopy4" localSheetId="16">#REF!</definedName>
    <definedName name="TextRefCopy5" localSheetId="16">#REF!</definedName>
    <definedName name="TextRefCopy6" localSheetId="16">#REF!</definedName>
    <definedName name="TextRefCopy7" localSheetId="16">#REF!</definedName>
    <definedName name="TextRefCopy8" localSheetId="16">#REF!</definedName>
    <definedName name="TIT" localSheetId="16">#REF!</definedName>
    <definedName name="to" localSheetId="16">#REF!</definedName>
    <definedName name="TOT" localSheetId="16">#REF!</definedName>
    <definedName name="Total" localSheetId="16">#REF!</definedName>
    <definedName name="TPGTV" localSheetId="16">#REF!</definedName>
    <definedName name="TrMokSumos" localSheetId="16">#REF!</definedName>
    <definedName name="txdfhxfht" localSheetId="16">#REF!</definedName>
    <definedName name="Uniformity" localSheetId="16">#REF!</definedName>
    <definedName name="uuuuuuu" localSheetId="16">#REF!</definedName>
    <definedName name="UVKR" localSheetId="16">#REF!</definedName>
    <definedName name="uyk" localSheetId="16">#REF!</definedName>
    <definedName name="vadov" localSheetId="16">#REF!</definedName>
    <definedName name="vadovai" localSheetId="16">#REF!</definedName>
    <definedName name="Val" localSheetId="16">#REF!</definedName>
    <definedName name="valiut" localSheetId="16">#REF!</definedName>
    <definedName name="valiutos" localSheetId="16">#REF!</definedName>
    <definedName name="VAT_OnAssets" localSheetId="16">#REF!</definedName>
    <definedName name="vbhn" localSheetId="16" hidden="1">#REF!</definedName>
    <definedName name="vbhng" localSheetId="16">#REF!</definedName>
    <definedName name="vbmn" localSheetId="16">#REF!</definedName>
    <definedName name="veikla" localSheetId="16">#REF!</definedName>
    <definedName name="veiklos" localSheetId="16">#REF!</definedName>
    <definedName name="VeiklosNuoma" localSheetId="16">#REF!</definedName>
    <definedName name="VeiklosSan" localSheetId="16">#REF!</definedName>
    <definedName name="VertSum" localSheetId="16">#REF!</definedName>
    <definedName name="VET" localSheetId="16">#REF!</definedName>
    <definedName name="vhjhfhj" localSheetId="16">#REF!</definedName>
    <definedName name="vj" localSheetId="16">#REF!</definedName>
    <definedName name="vnuom" localSheetId="16">#REF!</definedName>
    <definedName name="wae" localSheetId="16">#REF!</definedName>
    <definedName name="we" localSheetId="16" hidden="1">#REF!</definedName>
    <definedName name="weafg" localSheetId="16">#REF!</definedName>
    <definedName name="werasw" localSheetId="16">#REF!</definedName>
    <definedName name="xcv" localSheetId="16">#REF!</definedName>
    <definedName name="xdf" localSheetId="16">#REF!</definedName>
    <definedName name="xdfgxcygh" localSheetId="16">#REF!</definedName>
    <definedName name="xdfth" localSheetId="16">#REF!</definedName>
    <definedName name="xdh" localSheetId="16">#REF!</definedName>
    <definedName name="xdhf" localSheetId="16">#REF!</definedName>
    <definedName name="xfht" localSheetId="16">#REF!</definedName>
    <definedName name="xg" localSheetId="16">#REF!</definedName>
    <definedName name="xgh" localSheetId="16">#REF!</definedName>
    <definedName name="xhttxf" localSheetId="16">#REF!</definedName>
    <definedName name="xls" localSheetId="16">#REF!</definedName>
    <definedName name="XREF_COLUMN_10" localSheetId="16" hidden="1">#REF!</definedName>
    <definedName name="XREF_COLUMN_14" localSheetId="16" hidden="1">#REF!</definedName>
    <definedName name="XREF_COLUMN_3" localSheetId="16" hidden="1">#REF!</definedName>
    <definedName name="XREF_COLUMN_4" localSheetId="16" hidden="1">#REF!</definedName>
    <definedName name="XREF_COLUMN_5" localSheetId="16" hidden="1">#REF!</definedName>
    <definedName name="XREF_COLUMN_6" localSheetId="16" hidden="1">#REF!</definedName>
    <definedName name="XREF_COLUMN_7" localSheetId="16" hidden="1">#REF!</definedName>
    <definedName name="XRefCopy1" localSheetId="16" hidden="1">#REF!</definedName>
    <definedName name="XRefCopy2" localSheetId="16" hidden="1">#REF!</definedName>
    <definedName name="XRefCopy3" localSheetId="16" hidden="1">#REF!</definedName>
    <definedName name="XRefCopy4" localSheetId="16" hidden="1">#REF!</definedName>
    <definedName name="XRefCopy5" localSheetId="16" hidden="1">#REF!</definedName>
    <definedName name="XRefCopy6" localSheetId="16" hidden="1">#REF!</definedName>
    <definedName name="XRefCopy6Row" localSheetId="16" hidden="1">#REF!</definedName>
    <definedName name="XRefCopy7" localSheetId="16" hidden="1">#REF!</definedName>
    <definedName name="XRefCopy8" localSheetId="16" hidden="1">#REF!</definedName>
    <definedName name="XRefCopy9" localSheetId="16" hidden="1">#REF!</definedName>
    <definedName name="XRefCopy9Row" localSheetId="16" hidden="1">#REF!</definedName>
    <definedName name="XRefPaste10" localSheetId="16" hidden="1">#REF!</definedName>
    <definedName name="XRefPaste11" localSheetId="16" hidden="1">#REF!</definedName>
    <definedName name="XRefPaste12" localSheetId="16" hidden="1">#REF!</definedName>
    <definedName name="XRefPaste13" localSheetId="16" hidden="1">#REF!</definedName>
    <definedName name="XRefPaste16" localSheetId="16" hidden="1">#REF!</definedName>
    <definedName name="XRefPaste17" localSheetId="16" hidden="1">#REF!</definedName>
    <definedName name="XRefPaste18" localSheetId="16" hidden="1">#REF!</definedName>
    <definedName name="XRefPaste2" localSheetId="16" hidden="1">#REF!</definedName>
    <definedName name="XRefPaste5" localSheetId="16" hidden="1">#REF!</definedName>
    <definedName name="XRefPaste6" localSheetId="16" hidden="1">#REF!</definedName>
    <definedName name="XRefPaste7" localSheetId="16" hidden="1">#REF!</definedName>
    <definedName name="XRefPaste8" localSheetId="16" hidden="1">#REF!</definedName>
    <definedName name="XRefPaste9" localSheetId="16" hidden="1">#REF!</definedName>
    <definedName name="xtdddddd" localSheetId="16">#REF!</definedName>
    <definedName name="xzc" localSheetId="16">#REF!</definedName>
    <definedName name="xzcb" localSheetId="16">#REF!</definedName>
    <definedName name="xzf" localSheetId="16">#REF!</definedName>
    <definedName name="xzrjnyvgh" localSheetId="16">#REF!</definedName>
    <definedName name="yjcf" localSheetId="16">#REF!</definedName>
    <definedName name="yjcougv" localSheetId="16">#REF!</definedName>
    <definedName name="ytdj" localSheetId="16">#REF!</definedName>
    <definedName name="yug" localSheetId="16">#REF!</definedName>
    <definedName name="z" localSheetId="16">#REF!</definedName>
    <definedName name="zgffxdhxtghj" localSheetId="16">#REF!</definedName>
    <definedName name="zsrg" localSheetId="16">#REF!</definedName>
    <definedName name="zxfg" localSheetId="16">#REF!</definedName>
    <definedName name="а" localSheetId="16">#REF!</definedName>
    <definedName name="ааа" localSheetId="16">#REF!</definedName>
    <definedName name="аааааааа" localSheetId="16">#REF!</definedName>
    <definedName name="ббббб" localSheetId="16">#REF!</definedName>
    <definedName name="ббббббб" localSheetId="16">#REF!</definedName>
    <definedName name="бббббббббб" localSheetId="16">#REF!</definedName>
    <definedName name="в" localSheetId="16">#REF!</definedName>
    <definedName name="вввв" localSheetId="16">#REF!</definedName>
    <definedName name="ввввввввввв" localSheetId="16">#REF!</definedName>
    <definedName name="ггггг" localSheetId="16">#REF!</definedName>
    <definedName name="еее" localSheetId="16">#REF!</definedName>
    <definedName name="ееееее" localSheetId="16">#REF!</definedName>
    <definedName name="еееееееее" localSheetId="16">#REF!</definedName>
    <definedName name="жжжжжж" localSheetId="16">#REF!</definedName>
    <definedName name="зззззз" localSheetId="16">#REF!</definedName>
    <definedName name="и" localSheetId="16">#REF!</definedName>
    <definedName name="иии" localSheetId="16">#REF!</definedName>
    <definedName name="ййй" localSheetId="16">#REF!</definedName>
    <definedName name="ййййййййй" localSheetId="16">#REF!</definedName>
    <definedName name="ииииииииииииии" localSheetId="16">#REF!</definedName>
    <definedName name="кккк" localSheetId="16">#REF!</definedName>
    <definedName name="ккккккккккк" localSheetId="16">#REF!</definedName>
    <definedName name="лллл" localSheetId="16">#REF!</definedName>
    <definedName name="м" localSheetId="16">#REF!</definedName>
    <definedName name="ммм" localSheetId="16">#REF!</definedName>
    <definedName name="ммммммммм" localSheetId="16">#REF!</definedName>
    <definedName name="ммммммммммм" localSheetId="16">#REF!</definedName>
    <definedName name="нннннн" localSheetId="16">#REF!</definedName>
    <definedName name="ннннннннннн" localSheetId="16">#REF!</definedName>
    <definedName name="о" localSheetId="16">#REF!</definedName>
    <definedName name="ооо" localSheetId="16">#REF!</definedName>
    <definedName name="оооооо" localSheetId="16">#REF!</definedName>
    <definedName name="п" localSheetId="16">#REF!</definedName>
    <definedName name="пппппппппп" localSheetId="16">#REF!</definedName>
    <definedName name="р" localSheetId="16">#REF!</definedName>
    <definedName name="ррр" localSheetId="16">#REF!</definedName>
    <definedName name="рррррр" localSheetId="16">#REF!</definedName>
    <definedName name="рррррррррр" localSheetId="16">#REF!</definedName>
    <definedName name="ррррррррррр" localSheetId="16">#REF!</definedName>
    <definedName name="с" localSheetId="16">#REF!</definedName>
    <definedName name="ссс" localSheetId="16">#REF!</definedName>
    <definedName name="ссссс" localSheetId="16">#REF!</definedName>
    <definedName name="т" localSheetId="16">#REF!</definedName>
    <definedName name="ттт" localSheetId="16">#REF!</definedName>
    <definedName name="ттттттттттттт" localSheetId="16">#REF!</definedName>
    <definedName name="ууу" localSheetId="16">#REF!</definedName>
    <definedName name="уууууу" localSheetId="16">#REF!</definedName>
    <definedName name="уууууууууу" localSheetId="16">#REF!</definedName>
    <definedName name="ффф" localSheetId="16">#REF!</definedName>
    <definedName name="ффффффффф" localSheetId="16">#REF!</definedName>
    <definedName name="ххххххх" localSheetId="16">#REF!</definedName>
    <definedName name="ццц" localSheetId="16">#REF!</definedName>
    <definedName name="ццццццццц" localSheetId="16">#REF!</definedName>
    <definedName name="ч" localSheetId="16">#REF!</definedName>
    <definedName name="ччч" localSheetId="16">#REF!</definedName>
    <definedName name="шшшшшшшшш" localSheetId="16">#REF!</definedName>
    <definedName name="ы" localSheetId="16">#REF!</definedName>
    <definedName name="ыыыыыыыыы" localSheetId="16">#REF!</definedName>
    <definedName name="ь" localSheetId="16">#REF!</definedName>
    <definedName name="ььь" localSheetId="16">#REF!</definedName>
    <definedName name="ьььььььььььь" localSheetId="16">#REF!</definedName>
    <definedName name="эээээ" localSheetId="16">#REF!</definedName>
    <definedName name="ююююю" localSheetId="16">#REF!</definedName>
    <definedName name="юююююююююю" localSheetId="16">#REF!</definedName>
    <definedName name="я" localSheetId="16">#REF!</definedName>
    <definedName name="яяя" localSheetId="16">#REF!</definedName>
    <definedName name="กหเหเ" localSheetId="16">#REF!</definedName>
    <definedName name="กำไรขาดทุน" localSheetId="16">#REF!</definedName>
    <definedName name="ทรัพย์สิน" localSheetId="16">#REF!</definedName>
    <definedName name="ฟ" localSheetId="16">#REF!</definedName>
    <definedName name="ฟฟ" localSheetId="16">#REF!</definedName>
    <definedName name="วววว" localSheetId="16">#REF!</definedName>
    <definedName name="ส่วนแบ่งตลาด" localSheetId="16">#REF!</definedName>
    <definedName name="หนี้สินและทุน" localSheetId="16">#REF!</definedName>
    <definedName name="หหก" localSheetId="16">#REF!</definedName>
    <definedName name="\0" localSheetId="17">#REF!</definedName>
    <definedName name="\00" localSheetId="17">#REF!</definedName>
    <definedName name="\a" localSheetId="17">#REF!</definedName>
    <definedName name="\b" localSheetId="17">#REF!</definedName>
    <definedName name="\c" localSheetId="17">#REF!</definedName>
    <definedName name="\cc" localSheetId="17">#REF!</definedName>
    <definedName name="\d" localSheetId="17">#REF!</definedName>
    <definedName name="\e" localSheetId="17">#REF!</definedName>
    <definedName name="\i" localSheetId="17">#REF!</definedName>
    <definedName name="\M" localSheetId="17">#REF!</definedName>
    <definedName name="\s" localSheetId="17">#REF!</definedName>
    <definedName name="\u" localSheetId="17">#REF!</definedName>
    <definedName name="_" localSheetId="17">#REF!</definedName>
    <definedName name="_____________________________________________PL1" localSheetId="17">#REF!</definedName>
    <definedName name="_____________________________________________PL2" localSheetId="17">#REF!</definedName>
    <definedName name="____________________________________________PL1" localSheetId="17">#REF!</definedName>
    <definedName name="____________________________________________PL2" localSheetId="17">#REF!</definedName>
    <definedName name="__________________________NEW2" localSheetId="17">#REF!</definedName>
    <definedName name="_________________________NEW2" localSheetId="17">#REF!</definedName>
    <definedName name="____________________PL2" localSheetId="17">#REF!</definedName>
    <definedName name="_____NEW1" localSheetId="17">#REF!</definedName>
    <definedName name="_____NEW2" localSheetId="17">#REF!</definedName>
    <definedName name="_____PL1" localSheetId="17">#REF!</definedName>
    <definedName name="_____PL2" localSheetId="17">#REF!</definedName>
    <definedName name="____DAT1" localSheetId="17">#REF!</definedName>
    <definedName name="____DAT10" localSheetId="17">#REF!</definedName>
    <definedName name="____DAT11" localSheetId="17">#REF!</definedName>
    <definedName name="____DAT2" localSheetId="17">#REF!</definedName>
    <definedName name="____DAT3" localSheetId="17">#REF!</definedName>
    <definedName name="____DAT4" localSheetId="17">#REF!</definedName>
    <definedName name="____DAT5" localSheetId="17">#REF!</definedName>
    <definedName name="____DAT6" localSheetId="17">#REF!</definedName>
    <definedName name="____DAT7" localSheetId="17">#REF!</definedName>
    <definedName name="____DAT8" localSheetId="17">#REF!</definedName>
    <definedName name="____DAT9" localSheetId="17">#REF!</definedName>
    <definedName name="___DAT1" localSheetId="17">#REF!</definedName>
    <definedName name="___DAT10" localSheetId="17">#REF!</definedName>
    <definedName name="___DAT11" localSheetId="17">#REF!</definedName>
    <definedName name="___DAT2" localSheetId="17">#REF!</definedName>
    <definedName name="___DAT3" localSheetId="17">#REF!</definedName>
    <definedName name="___DAT4" localSheetId="17">#REF!</definedName>
    <definedName name="___DAT5" localSheetId="17">#REF!</definedName>
    <definedName name="___DAT6" localSheetId="17">#REF!</definedName>
    <definedName name="___DAT7" localSheetId="17">#REF!</definedName>
    <definedName name="___DAT8" localSheetId="17">#REF!</definedName>
    <definedName name="___DAT9" localSheetId="17">#REF!</definedName>
    <definedName name="__DAT1" localSheetId="17">#REF!</definedName>
    <definedName name="__DAT10" localSheetId="17">#REF!</definedName>
    <definedName name="__DAT11" localSheetId="17">#REF!</definedName>
    <definedName name="__DAT2" localSheetId="17">#REF!</definedName>
    <definedName name="__DAT3" localSheetId="17">#REF!</definedName>
    <definedName name="__DAT4" localSheetId="17">#REF!</definedName>
    <definedName name="__DAT5" localSheetId="17">#REF!</definedName>
    <definedName name="__DAT6" localSheetId="17">#REF!</definedName>
    <definedName name="__DAT7" localSheetId="17">#REF!</definedName>
    <definedName name="__DAT8" localSheetId="17">#REF!</definedName>
    <definedName name="__DAT9" localSheetId="17">#REF!</definedName>
    <definedName name="_1" localSheetId="17">#REF!</definedName>
    <definedName name="_11" localSheetId="17">#REF!</definedName>
    <definedName name="_2" localSheetId="17">#REF!</definedName>
    <definedName name="_3" localSheetId="17">#REF!</definedName>
    <definedName name="_4" localSheetId="17">#REF!</definedName>
    <definedName name="_5" localSheetId="17">#REF!</definedName>
    <definedName name="_6" localSheetId="17">#REF!</definedName>
    <definedName name="_7" localSheetId="17">#REF!</definedName>
    <definedName name="_DAT1" localSheetId="17">#REF!</definedName>
    <definedName name="_DAT10" localSheetId="17">#REF!</definedName>
    <definedName name="_DAT11" localSheetId="17">#REF!</definedName>
    <definedName name="_DAT2" localSheetId="17">#REF!</definedName>
    <definedName name="_DAT3" localSheetId="17">#REF!</definedName>
    <definedName name="_DAT4" localSheetId="17">#REF!</definedName>
    <definedName name="_DAT5" localSheetId="17">#REF!</definedName>
    <definedName name="_DAT6" localSheetId="17">#REF!</definedName>
    <definedName name="_DAT7" localSheetId="17">#REF!</definedName>
    <definedName name="_DAT8" localSheetId="17">#REF!</definedName>
    <definedName name="_DAT9" localSheetId="17">#REF!</definedName>
    <definedName name="_Fill" localSheetId="17" hidden="1">#REF!</definedName>
    <definedName name="_Key1" localSheetId="17" hidden="1">#REF!</definedName>
    <definedName name="_NEW1" localSheetId="17">#REF!</definedName>
    <definedName name="_NEW2" localSheetId="17">#REF!</definedName>
    <definedName name="_Parse_In" localSheetId="17" hidden="1">#REF!</definedName>
    <definedName name="_Parse_Out" localSheetId="17" hidden="1">#REF!</definedName>
    <definedName name="_PL1" localSheetId="17">#REF!</definedName>
    <definedName name="_PL2" localSheetId="17">#REF!</definedName>
    <definedName name="_Sort" localSheetId="17" hidden="1">#REF!</definedName>
    <definedName name="a" localSheetId="17">#REF!</definedName>
    <definedName name="aa" localSheetId="17" hidden="1">#REF!</definedName>
    <definedName name="aaaa" localSheetId="17">#REF!</definedName>
    <definedName name="ab" localSheetId="17">#REF!</definedName>
    <definedName name="ADD" localSheetId="17">#REF!</definedName>
    <definedName name="adj" localSheetId="17">#REF!</definedName>
    <definedName name="adj_eqty" localSheetId="17">#REF!</definedName>
    <definedName name="adsf" localSheetId="17">#REF!</definedName>
    <definedName name="ADV" localSheetId="17">#REF!</definedName>
    <definedName name="aewf" localSheetId="17">#REF!</definedName>
    <definedName name="AI" localSheetId="17">#REF!</definedName>
    <definedName name="AM" localSheetId="17">#REF!</definedName>
    <definedName name="AREA" localSheetId="17">#REF!</definedName>
    <definedName name="asd" localSheetId="17">#REF!</definedName>
    <definedName name="asdddvas" localSheetId="17">#REF!</definedName>
    <definedName name="asdf" localSheetId="17">#REF!</definedName>
    <definedName name="asdzze4" localSheetId="17">#REF!</definedName>
    <definedName name="ass" localSheetId="17">#REF!</definedName>
    <definedName name="awe" localSheetId="17">#REF!</definedName>
    <definedName name="B" localSheetId="17">#REF!</definedName>
    <definedName name="BBBBB" localSheetId="17">#REF!</definedName>
    <definedName name="BG" localSheetId="17" hidden="1">#REF!</definedName>
    <definedName name="BLB" localSheetId="17">#REF!</definedName>
    <definedName name="bm" localSheetId="17">#REF!</definedName>
    <definedName name="Bodyweight" localSheetId="17">#REF!</definedName>
    <definedName name="BS" localSheetId="17">#REF!</definedName>
    <definedName name="bs_1" localSheetId="17">#REF!</definedName>
    <definedName name="bs_1eq" localSheetId="17">#REF!</definedName>
    <definedName name="bs_2" localSheetId="17">#REF!</definedName>
    <definedName name="bs_2eq" localSheetId="17">#REF!</definedName>
    <definedName name="bs_3" localSheetId="17">#REF!</definedName>
    <definedName name="bs_4" localSheetId="17">#REF!</definedName>
    <definedName name="BS_PL" localSheetId="17">#REF!</definedName>
    <definedName name="BUSINESS" localSheetId="17">#REF!</definedName>
    <definedName name="Ccy" localSheetId="17">#REF!</definedName>
    <definedName name="cf" localSheetId="17">#REF!</definedName>
    <definedName name="cfgjcfjcfj" localSheetId="17">#REF!</definedName>
    <definedName name="cfyhv" localSheetId="17">#REF!</definedName>
    <definedName name="cjdtxdtfhxzg" localSheetId="17">#REF!</definedName>
    <definedName name="COMPANY" localSheetId="17">#REF!</definedName>
    <definedName name="Conv" localSheetId="17">#REF!</definedName>
    <definedName name="cost" localSheetId="17">#REF!</definedName>
    <definedName name="cv" localSheetId="17">#REF!</definedName>
    <definedName name="cvh" localSheetId="17">#REF!</definedName>
    <definedName name="cx" localSheetId="17">#REF!</definedName>
    <definedName name="cxgh" localSheetId="17">#REF!</definedName>
    <definedName name="d" localSheetId="17">#REF!</definedName>
    <definedName name="dang" localSheetId="17">#REF!</definedName>
    <definedName name="DATA" localSheetId="17">#REF!</definedName>
    <definedName name="date" localSheetId="17">#REF!</definedName>
    <definedName name="DD" localSheetId="17" hidden="1">{"'Test'!$B$2:$H$6","'Test'!$B$2:$H$23"}</definedName>
    <definedName name="ddas" localSheetId="17">#REF!</definedName>
    <definedName name="dddd" localSheetId="17">#REF!</definedName>
    <definedName name="dddddd" localSheetId="17">#REF!</definedName>
    <definedName name="ddddddd" localSheetId="17">#REF!</definedName>
    <definedName name="dfg" localSheetId="17">#REF!</definedName>
    <definedName name="dngfb" localSheetId="17">#REF!</definedName>
    <definedName name="drt" localSheetId="17">#REF!</definedName>
    <definedName name="dryt" localSheetId="17">#REF!</definedName>
    <definedName name="ds" localSheetId="17">#REF!</definedName>
    <definedName name="dssssssss" localSheetId="17">#REF!</definedName>
    <definedName name="dxrgh" localSheetId="17">#REF!</definedName>
    <definedName name="dxtfh" localSheetId="17">#REF!</definedName>
    <definedName name="dzhfc" localSheetId="17">#REF!</definedName>
    <definedName name="EndDate" localSheetId="17" hidden="1">#REF!</definedName>
    <definedName name="eqty_total" localSheetId="17">#REF!</definedName>
    <definedName name="Export" localSheetId="17">#REF!</definedName>
    <definedName name="F.D." localSheetId="17">#REF!</definedName>
    <definedName name="FeedList" localSheetId="17">#REF!</definedName>
    <definedName name="ffffff" localSheetId="17">#REF!</definedName>
    <definedName name="fgnjh" localSheetId="17">#REF!</definedName>
    <definedName name="fgy" localSheetId="17">#REF!</definedName>
    <definedName name="Fil" localSheetId="17">#REF!</definedName>
    <definedName name="ftyk" localSheetId="17">#REF!</definedName>
    <definedName name="fyh" localSheetId="17">#REF!</definedName>
    <definedName name="fyku" localSheetId="17">#REF!</definedName>
    <definedName name="fytj" localSheetId="17">#REF!</definedName>
    <definedName name="gggggg" localSheetId="17">#REF!</definedName>
    <definedName name="ght" localSheetId="17">#REF!</definedName>
    <definedName name="gvggggg" localSheetId="17">#REF!</definedName>
    <definedName name="h" localSheetId="17" hidden="1">#REF!</definedName>
    <definedName name="hkj" localSheetId="17" hidden="1">#REF!</definedName>
    <definedName name="HTML_Control" localSheetId="17" hidden="1">{"'Test'!$B$2:$H$6","'Test'!$B$2:$H$23"}</definedName>
    <definedName name="HTML_Header" localSheetId="17" hidden="1">""</definedName>
    <definedName name="HTML_LastUpdate" localSheetId="17" hidden="1">"12/9/02"</definedName>
    <definedName name="HTML_Name" localSheetId="17" hidden="1">"cpne"</definedName>
    <definedName name="HTML_PathFile" localSheetId="17" hidden="1">"C:\Program\HTML\MIS\Data\3001c45.html"</definedName>
    <definedName name="HTML_Title" localSheetId="17" hidden="1">""</definedName>
    <definedName name="hxf" localSheetId="17">#REF!</definedName>
    <definedName name="in" localSheetId="17">#REF!</definedName>
    <definedName name="INX" localSheetId="17">#REF!</definedName>
    <definedName name="ioo" localSheetId="17">#REF!</definedName>
    <definedName name="IQ_NAMES_REVISION_DATE_" localSheetId="17" hidden="1">238757.703425926</definedName>
    <definedName name="j" localSheetId="17">#REF!</definedName>
    <definedName name="jjjjjj" localSheetId="17">#REF!</definedName>
    <definedName name="jkh" localSheetId="17">#REF!</definedName>
    <definedName name="jukmg" localSheetId="17">#REF!</definedName>
    <definedName name="jxfyuh" localSheetId="17">#REF!</definedName>
    <definedName name="k" localSheetId="17">#REF!</definedName>
    <definedName name="L" localSheetId="17">#REF!</definedName>
    <definedName name="lb" localSheetId="17">#REF!</definedName>
    <definedName name="Local" localSheetId="17">#REF!</definedName>
    <definedName name="m" localSheetId="17">#REF!</definedName>
    <definedName name="M_CC" localSheetId="17">#REF!</definedName>
    <definedName name="Macro001" localSheetId="17">#REF!</definedName>
    <definedName name="Macro002" localSheetId="17">#REF!</definedName>
    <definedName name="Macro003" localSheetId="17">#REF!</definedName>
    <definedName name="Macro004" localSheetId="17">#REF!</definedName>
    <definedName name="Macro005" localSheetId="17">#REF!</definedName>
    <definedName name="Macro10" localSheetId="17">#N/A</definedName>
    <definedName name="Macro11" localSheetId="17">#N/A</definedName>
    <definedName name="Macro111" localSheetId="17">#N/A</definedName>
    <definedName name="Macro12" localSheetId="17">#N/A</definedName>
    <definedName name="Macro15" localSheetId="17">#N/A</definedName>
    <definedName name="MacroS01" localSheetId="17">#REF!</definedName>
    <definedName name="MacroUP" localSheetId="17">#REF!</definedName>
    <definedName name="MacroUP01" localSheetId="17">#REF!</definedName>
    <definedName name="man" localSheetId="17">#REF!</definedName>
    <definedName name="mann" localSheetId="17">#REF!</definedName>
    <definedName name="mar" localSheetId="17">#REF!</definedName>
    <definedName name="market" localSheetId="17">#REF!</definedName>
    <definedName name="marketshare" localSheetId="17">#REF!</definedName>
    <definedName name="MENU" localSheetId="17">#REF!</definedName>
    <definedName name="Module1.Macro1" localSheetId="17">#N/A</definedName>
    <definedName name="Module1.Macro111" localSheetId="17">#N/A</definedName>
    <definedName name="mon" localSheetId="17">#REF!</definedName>
    <definedName name="MONTH" localSheetId="17">#REF!</definedName>
    <definedName name="mungkorn" localSheetId="17">#REF!</definedName>
    <definedName name="n" localSheetId="17">#REF!</definedName>
    <definedName name="ncffx" localSheetId="17">#REF!</definedName>
    <definedName name="nhgcccgh" localSheetId="17">#REF!</definedName>
    <definedName name="pl" localSheetId="17">#REF!</definedName>
    <definedName name="pl_eq" localSheetId="17">#REF!</definedName>
    <definedName name="PL_LOC" localSheetId="17">#REF!</definedName>
    <definedName name="PL_PACK" localSheetId="17">#REF!</definedName>
    <definedName name="PL_TOT" localSheetId="17">#REF!</definedName>
    <definedName name="PL_XPO" localSheetId="17">#REF!</definedName>
    <definedName name="poo" localSheetId="17">#REF!</definedName>
    <definedName name="Present" localSheetId="17">#REF!</definedName>
    <definedName name="Print_Area_MI" localSheetId="17">#REF!</definedName>
    <definedName name="regnbcvxdf" localSheetId="17">#REF!</definedName>
    <definedName name="rfds" localSheetId="17">#REF!</definedName>
    <definedName name="rsg" localSheetId="17">#REF!</definedName>
    <definedName name="SAL_LOC" localSheetId="17">#REF!</definedName>
    <definedName name="SAL_TOT" localSheetId="17">#REF!</definedName>
    <definedName name="SAL_XPO" localSheetId="17">#REF!</definedName>
    <definedName name="sale" localSheetId="17">#REF!</definedName>
    <definedName name="Score" localSheetId="17">#REF!</definedName>
    <definedName name="sdaf" localSheetId="17">#REF!</definedName>
    <definedName name="sdf" localSheetId="17">#REF!</definedName>
    <definedName name="SE" localSheetId="17">#REF!</definedName>
    <definedName name="sger" localSheetId="17">#REF!</definedName>
    <definedName name="SMM_LOC" localSheetId="17">#REF!</definedName>
    <definedName name="SMM_TOT" localSheetId="17">#REF!</definedName>
    <definedName name="SMM_XPO" localSheetId="17">#REF!</definedName>
    <definedName name="ssfrffhg" localSheetId="17">#REF!</definedName>
    <definedName name="sss" localSheetId="17">#REF!</definedName>
    <definedName name="ssss" localSheetId="17">#REF!</definedName>
    <definedName name="ssssss" localSheetId="17">#REF!</definedName>
    <definedName name="ssssssss" localSheetId="17">#REF!</definedName>
    <definedName name="STD" localSheetId="17">#REF!</definedName>
    <definedName name="SUM" localSheetId="17">#REF!</definedName>
    <definedName name="T" localSheetId="17">#REF!</definedName>
    <definedName name="TEST0" localSheetId="17">#REF!</definedName>
    <definedName name="TEST1" localSheetId="17">#REF!</definedName>
    <definedName name="TEST2" localSheetId="17">#REF!</definedName>
    <definedName name="TEST3" localSheetId="17">#REF!</definedName>
    <definedName name="TESTHKEY" localSheetId="17">#REF!</definedName>
    <definedName name="TESTKEYS" localSheetId="17">#REF!</definedName>
    <definedName name="TESTVKEY" localSheetId="17">#REF!</definedName>
    <definedName name="TIT" localSheetId="17">#REF!</definedName>
    <definedName name="to" localSheetId="17">#REF!</definedName>
    <definedName name="TOT" localSheetId="17">#REF!</definedName>
    <definedName name="Total" localSheetId="17">#REF!</definedName>
    <definedName name="txdfhxfht" localSheetId="17">#REF!</definedName>
    <definedName name="Uniformity" localSheetId="17">#REF!</definedName>
    <definedName name="uuuuuuu" localSheetId="17">#REF!</definedName>
    <definedName name="uyk" localSheetId="17">#REF!</definedName>
    <definedName name="vbhn" localSheetId="17" hidden="1">#REF!</definedName>
    <definedName name="vbhng" localSheetId="17">#REF!</definedName>
    <definedName name="vbmn" localSheetId="17">#REF!</definedName>
    <definedName name="VET" localSheetId="17">#REF!</definedName>
    <definedName name="vhjhfhj" localSheetId="17">#REF!</definedName>
    <definedName name="wae" localSheetId="17">#REF!</definedName>
    <definedName name="we" localSheetId="17" hidden="1">#REF!</definedName>
    <definedName name="weafg" localSheetId="17">#REF!</definedName>
    <definedName name="werasw" localSheetId="17">#REF!</definedName>
    <definedName name="xdf" localSheetId="17">#REF!</definedName>
    <definedName name="xdfgxcygh" localSheetId="17">#REF!</definedName>
    <definedName name="xdfth" localSheetId="17">#REF!</definedName>
    <definedName name="xdh" localSheetId="17">#REF!</definedName>
    <definedName name="xdhf" localSheetId="17">#REF!</definedName>
    <definedName name="xfht" localSheetId="17">#REF!</definedName>
    <definedName name="xg" localSheetId="17">#REF!</definedName>
    <definedName name="xgh" localSheetId="17">#REF!</definedName>
    <definedName name="xhttxf" localSheetId="17">#REF!</definedName>
    <definedName name="xls" localSheetId="17">#REF!</definedName>
    <definedName name="xtdddddd" localSheetId="17">#REF!</definedName>
    <definedName name="xzc" localSheetId="17">#REF!</definedName>
    <definedName name="xzcb" localSheetId="17">#REF!</definedName>
    <definedName name="xzf" localSheetId="17">#REF!</definedName>
    <definedName name="xzrjnyvgh" localSheetId="17">#REF!</definedName>
    <definedName name="yjcf" localSheetId="17">#REF!</definedName>
    <definedName name="yjcougv" localSheetId="17">#REF!</definedName>
    <definedName name="ytdj" localSheetId="17">#REF!</definedName>
    <definedName name="yug" localSheetId="17">#REF!</definedName>
    <definedName name="z" localSheetId="17">#REF!</definedName>
    <definedName name="zgffxdhxtghj" localSheetId="17">#REF!</definedName>
    <definedName name="zsrg" localSheetId="17">#REF!</definedName>
    <definedName name="zxfg" localSheetId="17">#REF!</definedName>
    <definedName name="กหเหเ" localSheetId="17">#REF!</definedName>
    <definedName name="กำไรขาดทุน" localSheetId="17">#REF!</definedName>
    <definedName name="ทรัพย์สิน" localSheetId="17">#REF!</definedName>
    <definedName name="พพพพ" localSheetId="17">#REF!</definedName>
    <definedName name="ฟ" localSheetId="17">#REF!</definedName>
    <definedName name="ฟฟ" localSheetId="17">#REF!</definedName>
    <definedName name="ส่วนแบ่งตลาด" localSheetId="17">#REF!</definedName>
    <definedName name="สสสสส" localSheetId="17">#REF!</definedName>
    <definedName name="หนี้สินและทุน" localSheetId="17">#REF!</definedName>
    <definedName name="หหก" localSheetId="17">#REF!</definedName>
    <definedName name="อายุลูกหนี้" localSheetId="17">#N/A</definedName>
    <definedName name="\0" localSheetId="18">#REF!</definedName>
    <definedName name="\00" localSheetId="18">#REF!</definedName>
    <definedName name="\a" localSheetId="18">#REF!</definedName>
    <definedName name="\b" localSheetId="18">#REF!</definedName>
    <definedName name="\c" localSheetId="18">#REF!</definedName>
    <definedName name="\cc" localSheetId="18">#REF!</definedName>
    <definedName name="\d" localSheetId="18">#REF!</definedName>
    <definedName name="\e" localSheetId="18">#REF!</definedName>
    <definedName name="\i" localSheetId="18">#REF!</definedName>
    <definedName name="\s" localSheetId="18">#REF!</definedName>
    <definedName name="\u" localSheetId="18">#REF!</definedName>
    <definedName name="_____________________________________________PL1" localSheetId="18">#REF!</definedName>
    <definedName name="_____________________________________________PL2" localSheetId="18">#REF!</definedName>
    <definedName name="____________________________________________PL1" localSheetId="18">#REF!</definedName>
    <definedName name="____________________________________________PL2" localSheetId="18">#REF!</definedName>
    <definedName name="__________________________NEW2" localSheetId="18">#REF!</definedName>
    <definedName name="_________________________NEW2" localSheetId="18">#REF!</definedName>
    <definedName name="____________________PL2" localSheetId="18">#REF!</definedName>
    <definedName name="_____NEW1" localSheetId="18">#REF!</definedName>
    <definedName name="_____NEW2" localSheetId="18">#REF!</definedName>
    <definedName name="_____PL1" localSheetId="18">#REF!</definedName>
    <definedName name="_____PL2" localSheetId="18">#REF!</definedName>
    <definedName name="__FPMExcelClient_CellBasedFunctionStatus" localSheetId="18" hidden="1">"2_2_2_2_2"</definedName>
    <definedName name="_1" localSheetId="18">#REF!</definedName>
    <definedName name="_11" localSheetId="18">#REF!</definedName>
    <definedName name="_2" localSheetId="18">#REF!</definedName>
    <definedName name="_3" localSheetId="18">#REF!</definedName>
    <definedName name="_4" localSheetId="18">#REF!</definedName>
    <definedName name="_5" localSheetId="18">#REF!</definedName>
    <definedName name="_6" localSheetId="18">#REF!</definedName>
    <definedName name="_7" localSheetId="18">#REF!</definedName>
    <definedName name="_DAT10" localSheetId="18">#REF!</definedName>
    <definedName name="_DAT11" localSheetId="18">#REF!</definedName>
    <definedName name="_DAT8" localSheetId="18">#REF!</definedName>
    <definedName name="_DAT9" localSheetId="18">#REF!</definedName>
    <definedName name="_Key1" localSheetId="18" hidden="1">#REF!</definedName>
    <definedName name="_NEW1" localSheetId="18">#REF!</definedName>
    <definedName name="_NEW2" localSheetId="18">#REF!</definedName>
    <definedName name="_PL1" localSheetId="18">#REF!</definedName>
    <definedName name="_PL2" localSheetId="18">#REF!</definedName>
    <definedName name="a" localSheetId="18">#REF!</definedName>
    <definedName name="aa" localSheetId="18" hidden="1">#REF!</definedName>
    <definedName name="ADD" localSheetId="18">#REF!</definedName>
    <definedName name="adj" localSheetId="18">#REF!</definedName>
    <definedName name="adj_eqty" localSheetId="18">#REF!</definedName>
    <definedName name="AI" localSheetId="18">#REF!</definedName>
    <definedName name="B" localSheetId="18">#REF!</definedName>
    <definedName name="BS" localSheetId="18">#REF!</definedName>
    <definedName name="bs_1" localSheetId="18">#REF!</definedName>
    <definedName name="bs_1eq" localSheetId="18">#REF!</definedName>
    <definedName name="bs_2" localSheetId="18">#REF!</definedName>
    <definedName name="bs_2eq" localSheetId="18">#REF!</definedName>
    <definedName name="bs_3" localSheetId="18">#REF!</definedName>
    <definedName name="bs_4" localSheetId="18">#REF!</definedName>
    <definedName name="BS_PL" localSheetId="18">#REF!</definedName>
    <definedName name="DATA" localSheetId="18">#REF!</definedName>
    <definedName name="eqty_total" localSheetId="18">#REF!</definedName>
    <definedName name="FeedList" localSheetId="18">#REF!</definedName>
    <definedName name="HTML_Header" localSheetId="18" hidden="1">""</definedName>
    <definedName name="HTML_LastUpdate" localSheetId="18" hidden="1">"12/9/02"</definedName>
    <definedName name="HTML_Name" localSheetId="18" hidden="1">"cpne"</definedName>
    <definedName name="HTML_PathFile" localSheetId="18" hidden="1">"C:\Program\HTML\MIS\Data\3001c45.html"</definedName>
    <definedName name="HTML_Title" localSheetId="18" hidden="1">""</definedName>
    <definedName name="ioo" localSheetId="18">#REF!</definedName>
    <definedName name="IQ_NAMES_REVISION_DATE_" localSheetId="18" hidden="1">238757.703425926</definedName>
    <definedName name="j" localSheetId="18">#REF!</definedName>
    <definedName name="L" localSheetId="18">#REF!</definedName>
    <definedName name="Macro10" localSheetId="18">#N/A</definedName>
    <definedName name="Macro11" localSheetId="18">#N/A</definedName>
    <definedName name="Macro111" localSheetId="18">#N/A</definedName>
    <definedName name="Macro12" localSheetId="18">#N/A</definedName>
    <definedName name="Macro15" localSheetId="18">#N/A</definedName>
    <definedName name="Module1.Macro1" localSheetId="18">#N/A</definedName>
    <definedName name="Module1.Macro111" localSheetId="18">#N/A</definedName>
    <definedName name="n" localSheetId="18">#REF!</definedName>
    <definedName name="pl" localSheetId="18">#REF!</definedName>
    <definedName name="pl_eq" localSheetId="18">#REF!</definedName>
    <definedName name="poo" localSheetId="18">#REF!</definedName>
    <definedName name="SE" localSheetId="18">#REF!</definedName>
    <definedName name="sss" localSheetId="18">#REF!</definedName>
    <definedName name="ssss" localSheetId="18">#REF!</definedName>
    <definedName name="SUM" localSheetId="18">#REF!</definedName>
    <definedName name="T" localSheetId="18">#REF!</definedName>
    <definedName name="Total" localSheetId="18">#REF!</definedName>
    <definedName name="xls" localSheetId="18">#REF!</definedName>
    <definedName name="อายุลูกหนี้" localSheetId="18">#N/A</definedName>
    <definedName name="_xlnm.Print_Area" localSheetId="18">'W CF'!$B$1:$N$36</definedName>
    <definedName name="\a" localSheetId="19">#REF!</definedName>
    <definedName name="\b" localSheetId="19">#REF!</definedName>
    <definedName name="\c" localSheetId="19">#REF!</definedName>
    <definedName name="\cc" localSheetId="19">#REF!</definedName>
    <definedName name="\d" localSheetId="19">#REF!</definedName>
    <definedName name="\e" localSheetId="19">#REF!</definedName>
    <definedName name="\i" localSheetId="19">#REF!</definedName>
    <definedName name="\u" localSheetId="19">#REF!</definedName>
    <definedName name="_1" localSheetId="19">#REF!</definedName>
    <definedName name="_11" localSheetId="19">#REF!</definedName>
    <definedName name="_2" localSheetId="19">#REF!</definedName>
    <definedName name="_3" localSheetId="19">#REF!</definedName>
    <definedName name="_4" localSheetId="19">#REF!</definedName>
    <definedName name="_5" localSheetId="19">#REF!</definedName>
    <definedName name="_6" localSheetId="19">#REF!</definedName>
    <definedName name="_7" localSheetId="19">#REF!</definedName>
    <definedName name="_Key1" localSheetId="19" hidden="1">#REF!</definedName>
    <definedName name="a" localSheetId="19">#REF!</definedName>
    <definedName name="aa" localSheetId="19" hidden="1">#REF!</definedName>
    <definedName name="asso_1" localSheetId="19">#REF!</definedName>
    <definedName name="asso_2" localSheetId="19">#REF!</definedName>
    <definedName name="B" localSheetId="19">#REF!</definedName>
    <definedName name="BS" localSheetId="19">#REF!</definedName>
    <definedName name="DD" localSheetId="19" hidden="1">{"'Test'!$B$2:$H$6","'Test'!$B$2:$H$23"}</definedName>
    <definedName name="FeedList" localSheetId="19">#REF!</definedName>
    <definedName name="HTML_Control" localSheetId="19" hidden="1">{"'Test'!$B$2:$H$6","'Test'!$B$2:$H$23"}</definedName>
    <definedName name="HTML_Header" localSheetId="19" hidden="1">""</definedName>
    <definedName name="HTML_LastUpdate" localSheetId="19" hidden="1">"12/9/02"</definedName>
    <definedName name="HTML_Name" localSheetId="19" hidden="1">"cpne"</definedName>
    <definedName name="HTML_PathFile" localSheetId="19" hidden="1">"C:\Program\HTML\MIS\Data\3001c45.html"</definedName>
    <definedName name="HTML_Title" localSheetId="19" hidden="1">""</definedName>
    <definedName name="ioo" localSheetId="19">#REF!</definedName>
    <definedName name="IQ_NAMES_REVISION_DATE_" localSheetId="19" hidden="1">238757.703425926</definedName>
    <definedName name="Macro10" localSheetId="19">#N/A</definedName>
    <definedName name="Macro11" localSheetId="19">#N/A</definedName>
    <definedName name="Macro111" localSheetId="19">#N/A</definedName>
    <definedName name="Macro12" localSheetId="19">#N/A</definedName>
    <definedName name="Macro15" localSheetId="19">#N/A</definedName>
    <definedName name="Module1.Macro1" localSheetId="19">#N/A</definedName>
    <definedName name="Module1.Macro111" localSheetId="19">#N/A</definedName>
    <definedName name="p" localSheetId="19">#REF!</definedName>
    <definedName name="poo" localSheetId="19">#REF!</definedName>
    <definedName name="sss" localSheetId="19">#REF!</definedName>
    <definedName name="Total" localSheetId="19">#REF!</definedName>
    <definedName name="wa" localSheetId="19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Financial._.Report." localSheetId="19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localSheetId="19" hidden="1">{"Input_Fin",#N/A,FALSE,"By Code";"Input_Opt",#N/A,FALSE,"By Code"}</definedName>
    <definedName name="wrn.Operation._.Report." localSheetId="19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ร่วมT" localSheetId="19">#REF!</definedName>
    <definedName name="อายุลูกหนี้" localSheetId="19">#N/A</definedName>
    <definedName name="_Dist_Values" localSheetId="22" hidden="1">#REF!</definedName>
    <definedName name="_Fill" localSheetId="22" hidden="1">#REF!</definedName>
    <definedName name="_Key1" localSheetId="22" hidden="1">#REF!</definedName>
    <definedName name="_Parse_Out" localSheetId="22" hidden="1">#REF!</definedName>
    <definedName name="_Sort" localSheetId="22" hidden="1">#REF!</definedName>
    <definedName name="AS2TickmarkLS" localSheetId="22" hidden="1">#REF!</definedName>
    <definedName name="qqq" localSheetId="22" hidden="1">#REF!</definedName>
    <definedName name="wrn.Financial._.Report." localSheetId="22" hidden="1">{"Fin_China",#N/A,FALSE,"中國區";"Fin_游汝謙",#N/A,FALSE,"游汝謙";"Fin_姚民僕",#N/A,FALSE,"姚民僕";"Fin_相福利",#N/A,FALSE,"相福利";"Fin_何炎光",#N/A,FALSE,"何炎光";"Fin_黃元安",#N/A,FALSE,"黃元安";"Fin_黃安楠",#N/A,FALSE,"黃安楠";"Fin_北京",#N/A,FALSE,"北京";"Fin_柳勤齡",#N/A,FALSE,"柳勤齡"}</definedName>
    <definedName name="wrn.Input._.Data." localSheetId="22" hidden="1">{"Input_Fin",#N/A,FALSE,"By Code";"Input_Opt",#N/A,FALSE,"By Code"}</definedName>
    <definedName name="wrn.Operation._.Report." localSheetId="22" hidden="1">{"Opt_China",#N/A,FALSE,"中國區";"Opt_游汝謙",#N/A,FALSE,"游汝謙";"Opt_姚民僕",#N/A,FALSE,"姚民僕";"Opt_相福利",#N/A,FALSE,"相福利";"Opt_何炎光",#N/A,FALSE,"何炎光";"Opt_黃元安",#N/A,FALSE,"黃元安";"Opt_黃安楠",#N/A,FALSE,"黃安楠";"Opt_北京",#N/A,FALSE,"北京";"Opt_柳勤齡",#N/A,FALSE,"柳勤齡"}</definedName>
    <definedName name="wwwwww" localSheetId="22" hidden="1">#REF!</definedName>
    <definedName name="XREF_COLUMN_10" localSheetId="22" hidden="1">#REF!</definedName>
    <definedName name="XREF_COLUMN_14" localSheetId="22" hidden="1">#REF!</definedName>
    <definedName name="XREF_COLUMN_3" localSheetId="22" hidden="1">#REF!</definedName>
    <definedName name="XREF_COLUMN_4" localSheetId="22" hidden="1">#REF!</definedName>
    <definedName name="XREF_COLUMN_5" localSheetId="22" hidden="1">#REF!</definedName>
    <definedName name="XREF_COLUMN_6" localSheetId="22" hidden="1">#REF!</definedName>
    <definedName name="XREF_COLUMN_7" localSheetId="22" hidden="1">#REF!</definedName>
    <definedName name="XRefCopy1" localSheetId="22" hidden="1">#REF!</definedName>
    <definedName name="XRefCopy2" localSheetId="22" hidden="1">#REF!</definedName>
    <definedName name="XRefCopy3" localSheetId="22" hidden="1">#REF!</definedName>
    <definedName name="XRefCopy4" localSheetId="22" hidden="1">#REF!</definedName>
    <definedName name="XRefCopy5" localSheetId="22" hidden="1">#REF!</definedName>
    <definedName name="XRefCopy6" localSheetId="22" hidden="1">#REF!</definedName>
    <definedName name="XRefCopy6Row" localSheetId="22" hidden="1">#REF!</definedName>
    <definedName name="XRefCopy7" localSheetId="22" hidden="1">#REF!</definedName>
    <definedName name="XRefCopy8" localSheetId="22" hidden="1">#REF!</definedName>
    <definedName name="XRefCopy9" localSheetId="22" hidden="1">#REF!</definedName>
    <definedName name="XRefCopy9Row" localSheetId="22" hidden="1">#REF!</definedName>
    <definedName name="XRefPaste10" localSheetId="22" hidden="1">#REF!</definedName>
    <definedName name="XRefPaste11" localSheetId="22" hidden="1">#REF!</definedName>
    <definedName name="XRefPaste12" localSheetId="22" hidden="1">#REF!</definedName>
    <definedName name="XRefPaste13" localSheetId="22" hidden="1">#REF!</definedName>
    <definedName name="XRefPaste16" localSheetId="22" hidden="1">#REF!</definedName>
    <definedName name="XRefPaste17" localSheetId="22" hidden="1">#REF!</definedName>
    <definedName name="XRefPaste18" localSheetId="22" hidden="1">#REF!</definedName>
    <definedName name="XRefPaste2" localSheetId="22" hidden="1">#REF!</definedName>
    <definedName name="XRefPaste5" localSheetId="22" hidden="1">#REF!</definedName>
    <definedName name="XRefPaste6" localSheetId="22" hidden="1">#REF!</definedName>
    <definedName name="XRefPaste7" localSheetId="22" hidden="1">#REF!</definedName>
    <definedName name="XRefPaste8" localSheetId="22" hidden="1">#REF!</definedName>
    <definedName name="XRefPaste9" localSheetId="22" hidden="1">#REF!</definedName>
    <definedName name="\0" localSheetId="24">#REF!</definedName>
    <definedName name="\00" localSheetId="24">#REF!</definedName>
    <definedName name="\C" localSheetId="24">#REF!</definedName>
    <definedName name="\cc" localSheetId="24">#REF!</definedName>
    <definedName name="\d" localSheetId="24">#REF!</definedName>
    <definedName name="\e" localSheetId="24">#REF!</definedName>
    <definedName name="\i" localSheetId="24">#REF!</definedName>
    <definedName name="\M" localSheetId="24">#REF!</definedName>
    <definedName name="\s" localSheetId="24">#REF!</definedName>
    <definedName name="\u" localSheetId="24">#REF!</definedName>
    <definedName name="_" localSheetId="24">#REF!</definedName>
    <definedName name="_____________________________________________PL1" localSheetId="24">#REF!</definedName>
    <definedName name="_____________________________________________PL2" localSheetId="24">#REF!</definedName>
    <definedName name="____________________________________________PL1" localSheetId="24">#REF!</definedName>
    <definedName name="____________________________________________PL2" localSheetId="24">#REF!</definedName>
    <definedName name="__________________________NEW2" localSheetId="24">#REF!</definedName>
    <definedName name="_________________________NEW2" localSheetId="24">#REF!</definedName>
    <definedName name="____________________DAT1" localSheetId="24">#REF!</definedName>
    <definedName name="____________________DAT10" localSheetId="24">#REF!</definedName>
    <definedName name="____________________DAT11" localSheetId="24">#REF!</definedName>
    <definedName name="____________________DAT2" localSheetId="24">#REF!</definedName>
    <definedName name="____________________DAT3" localSheetId="24">#REF!</definedName>
    <definedName name="____________________DAT4" localSheetId="24">#REF!</definedName>
    <definedName name="____________________DAT5" localSheetId="24">#REF!</definedName>
    <definedName name="____________________DAT6" localSheetId="24">#REF!</definedName>
    <definedName name="____________________DAT7" localSheetId="24">#REF!</definedName>
    <definedName name="____________________DAT8" localSheetId="24">#REF!</definedName>
    <definedName name="____________________DAT9" localSheetId="24">#REF!</definedName>
    <definedName name="____________________PL2" localSheetId="24">#REF!</definedName>
    <definedName name="___________________DAT1" localSheetId="24">#REF!</definedName>
    <definedName name="___________________DAT10" localSheetId="24">#REF!</definedName>
    <definedName name="___________________DAT11" localSheetId="24">#REF!</definedName>
    <definedName name="___________________DAT2" localSheetId="24">#REF!</definedName>
    <definedName name="___________________DAT3" localSheetId="24">#REF!</definedName>
    <definedName name="___________________DAT4" localSheetId="24">#REF!</definedName>
    <definedName name="___________________DAT5" localSheetId="24">#REF!</definedName>
    <definedName name="___________________DAT6" localSheetId="24">#REF!</definedName>
    <definedName name="___________________DAT7" localSheetId="24">#REF!</definedName>
    <definedName name="___________________DAT8" localSheetId="24">#REF!</definedName>
    <definedName name="___________________DAT9" localSheetId="24">#REF!</definedName>
    <definedName name="__________________DAT1" localSheetId="24">#REF!</definedName>
    <definedName name="__________________DAT10" localSheetId="24">#REF!</definedName>
    <definedName name="__________________DAT11" localSheetId="24">#REF!</definedName>
    <definedName name="__________________DAT2" localSheetId="24">#REF!</definedName>
    <definedName name="__________________DAT3" localSheetId="24">#REF!</definedName>
    <definedName name="__________________DAT4" localSheetId="24">#REF!</definedName>
    <definedName name="__________________DAT5" localSheetId="24">#REF!</definedName>
    <definedName name="__________________DAT6" localSheetId="24">#REF!</definedName>
    <definedName name="__________________DAT7" localSheetId="24">#REF!</definedName>
    <definedName name="__________________DAT8" localSheetId="24">#REF!</definedName>
    <definedName name="__________________DAT9" localSheetId="24">#REF!</definedName>
    <definedName name="_________________DAT1" localSheetId="24">#REF!</definedName>
    <definedName name="_________________DAT10" localSheetId="24">#REF!</definedName>
    <definedName name="_________________DAT11" localSheetId="24">#REF!</definedName>
    <definedName name="_________________DAT2" localSheetId="24">#REF!</definedName>
    <definedName name="_________________DAT3" localSheetId="24">#REF!</definedName>
    <definedName name="_________________DAT4" localSheetId="24">#REF!</definedName>
    <definedName name="_________________DAT5" localSheetId="24">#REF!</definedName>
    <definedName name="_________________DAT6" localSheetId="24">#REF!</definedName>
    <definedName name="_________________DAT7" localSheetId="24">#REF!</definedName>
    <definedName name="_________________DAT8" localSheetId="24">#REF!</definedName>
    <definedName name="_________________DAT9" localSheetId="24">#REF!</definedName>
    <definedName name="________________DAT1" localSheetId="24">#REF!</definedName>
    <definedName name="________________DAT10" localSheetId="24">#REF!</definedName>
    <definedName name="________________DAT11" localSheetId="24">#REF!</definedName>
    <definedName name="________________DAT2" localSheetId="24">#REF!</definedName>
    <definedName name="________________DAT3" localSheetId="24">#REF!</definedName>
    <definedName name="________________DAT4" localSheetId="24">#REF!</definedName>
    <definedName name="________________DAT5" localSheetId="24">#REF!</definedName>
    <definedName name="________________DAT6" localSheetId="24">#REF!</definedName>
    <definedName name="________________DAT7" localSheetId="24">#REF!</definedName>
    <definedName name="________________DAT8" localSheetId="24">#REF!</definedName>
    <definedName name="________________DAT9" localSheetId="24">#REF!</definedName>
    <definedName name="_______________DAT1" localSheetId="24">#REF!</definedName>
    <definedName name="_______________DAT10" localSheetId="24">#REF!</definedName>
    <definedName name="_______________DAT11" localSheetId="24">#REF!</definedName>
    <definedName name="_______________DAT2" localSheetId="24">#REF!</definedName>
    <definedName name="_______________DAT3" localSheetId="24">#REF!</definedName>
    <definedName name="_______________DAT4" localSheetId="24">#REF!</definedName>
    <definedName name="_______________DAT5" localSheetId="24">#REF!</definedName>
    <definedName name="_______________DAT6" localSheetId="24">#REF!</definedName>
    <definedName name="_______________DAT7" localSheetId="24">#REF!</definedName>
    <definedName name="_______________DAT8" localSheetId="24">#REF!</definedName>
    <definedName name="_______________DAT9" localSheetId="24">#REF!</definedName>
    <definedName name="______________DAT1" localSheetId="24">#REF!</definedName>
    <definedName name="______________DAT10" localSheetId="24">#REF!</definedName>
    <definedName name="______________DAT11" localSheetId="24">#REF!</definedName>
    <definedName name="______________DAT2" localSheetId="24">#REF!</definedName>
    <definedName name="______________DAT3" localSheetId="24">#REF!</definedName>
    <definedName name="______________DAT4" localSheetId="24">#REF!</definedName>
    <definedName name="______________DAT5" localSheetId="24">#REF!</definedName>
    <definedName name="______________DAT6" localSheetId="24">#REF!</definedName>
    <definedName name="______________DAT7" localSheetId="24">#REF!</definedName>
    <definedName name="______________DAT8" localSheetId="24">#REF!</definedName>
    <definedName name="______________DAT9" localSheetId="24">#REF!</definedName>
    <definedName name="_____________DAT1" localSheetId="24">#REF!</definedName>
    <definedName name="_____________DAT10" localSheetId="24">#REF!</definedName>
    <definedName name="_____________DAT11" localSheetId="24">#REF!</definedName>
    <definedName name="_____________DAT2" localSheetId="24">#REF!</definedName>
    <definedName name="_____________DAT3" localSheetId="24">#REF!</definedName>
    <definedName name="_____________DAT4" localSheetId="24">#REF!</definedName>
    <definedName name="_____________DAT5" localSheetId="24">#REF!</definedName>
    <definedName name="_____________DAT6" localSheetId="24">#REF!</definedName>
    <definedName name="_____________DAT7" localSheetId="24">#REF!</definedName>
    <definedName name="_____________DAT8" localSheetId="24">#REF!</definedName>
    <definedName name="_____________DAT9" localSheetId="24">#REF!</definedName>
    <definedName name="____________DAT1" localSheetId="24">#REF!</definedName>
    <definedName name="____________DAT10" localSheetId="24">#REF!</definedName>
    <definedName name="____________DAT11" localSheetId="24">#REF!</definedName>
    <definedName name="____________DAT2" localSheetId="24">#REF!</definedName>
    <definedName name="____________DAT3" localSheetId="24">#REF!</definedName>
    <definedName name="____________DAT4" localSheetId="24">#REF!</definedName>
    <definedName name="____________DAT5" localSheetId="24">#REF!</definedName>
    <definedName name="____________DAT6" localSheetId="24">#REF!</definedName>
    <definedName name="____________DAT7" localSheetId="24">#REF!</definedName>
    <definedName name="____________DAT8" localSheetId="24">#REF!</definedName>
    <definedName name="____________DAT9" localSheetId="24">#REF!</definedName>
    <definedName name="___________DAT1" localSheetId="24">#REF!</definedName>
    <definedName name="___________DAT10" localSheetId="24">#REF!</definedName>
    <definedName name="___________DAT11" localSheetId="24">#REF!</definedName>
    <definedName name="___________DAT2" localSheetId="24">#REF!</definedName>
    <definedName name="___________DAT3" localSheetId="24">#REF!</definedName>
    <definedName name="___________DAT4" localSheetId="24">#REF!</definedName>
    <definedName name="___________DAT5" localSheetId="24">#REF!</definedName>
    <definedName name="___________DAT6" localSheetId="24">#REF!</definedName>
    <definedName name="___________DAT7" localSheetId="24">#REF!</definedName>
    <definedName name="___________DAT8" localSheetId="24">#REF!</definedName>
    <definedName name="___________DAT9" localSheetId="24">#REF!</definedName>
    <definedName name="__________DAT1" localSheetId="24">#REF!</definedName>
    <definedName name="__________DAT10" localSheetId="24">#REF!</definedName>
    <definedName name="__________DAT11" localSheetId="24">#REF!</definedName>
    <definedName name="__________DAT2" localSheetId="24">#REF!</definedName>
    <definedName name="__________DAT3" localSheetId="24">#REF!</definedName>
    <definedName name="__________DAT4" localSheetId="24">#REF!</definedName>
    <definedName name="__________DAT5" localSheetId="24">#REF!</definedName>
    <definedName name="__________DAT6" localSheetId="24">#REF!</definedName>
    <definedName name="__________DAT7" localSheetId="24">#REF!</definedName>
    <definedName name="__________DAT8" localSheetId="24">#REF!</definedName>
    <definedName name="__________DAT9" localSheetId="24">#REF!</definedName>
    <definedName name="_________DAT1" localSheetId="24">#REF!</definedName>
    <definedName name="_________DAT10" localSheetId="24">#REF!</definedName>
    <definedName name="_________DAT11" localSheetId="24">#REF!</definedName>
    <definedName name="_________DAT2" localSheetId="24">#REF!</definedName>
    <definedName name="_________DAT3" localSheetId="24">#REF!</definedName>
    <definedName name="_________DAT4" localSheetId="24">#REF!</definedName>
    <definedName name="_________DAT5" localSheetId="24">#REF!</definedName>
    <definedName name="_________DAT6" localSheetId="24">#REF!</definedName>
    <definedName name="_________DAT7" localSheetId="24">#REF!</definedName>
    <definedName name="_________DAT8" localSheetId="24">#REF!</definedName>
    <definedName name="_________DAT9" localSheetId="24">#REF!</definedName>
    <definedName name="________DAT1" localSheetId="24">#REF!</definedName>
    <definedName name="________DAT10" localSheetId="24">#REF!</definedName>
    <definedName name="________DAT11" localSheetId="24">#REF!</definedName>
    <definedName name="________DAT2" localSheetId="24">#REF!</definedName>
    <definedName name="________DAT3" localSheetId="24">#REF!</definedName>
    <definedName name="________DAT4" localSheetId="24">#REF!</definedName>
    <definedName name="________DAT5" localSheetId="24">#REF!</definedName>
    <definedName name="________DAT6" localSheetId="24">#REF!</definedName>
    <definedName name="________DAT7" localSheetId="24">#REF!</definedName>
    <definedName name="________DAT8" localSheetId="24">#REF!</definedName>
    <definedName name="________DAT9" localSheetId="24">#REF!</definedName>
    <definedName name="_______DAT1" localSheetId="24">#REF!</definedName>
    <definedName name="_______DAT10" localSheetId="24">#REF!</definedName>
    <definedName name="_______DAT11" localSheetId="24">#REF!</definedName>
    <definedName name="_______DAT2" localSheetId="24">#REF!</definedName>
    <definedName name="_______DAT3" localSheetId="24">#REF!</definedName>
    <definedName name="_______DAT4" localSheetId="24">#REF!</definedName>
    <definedName name="_______DAT5" localSheetId="24">#REF!</definedName>
    <definedName name="_______DAT6" localSheetId="24">#REF!</definedName>
    <definedName name="_______DAT7" localSheetId="24">#REF!</definedName>
    <definedName name="_______DAT8" localSheetId="24">#REF!</definedName>
    <definedName name="_______DAT9" localSheetId="24">#REF!</definedName>
    <definedName name="______DAT1" localSheetId="24">#REF!</definedName>
    <definedName name="______DAT10" localSheetId="24">#REF!</definedName>
    <definedName name="______DAT11" localSheetId="24">#REF!</definedName>
    <definedName name="______DAT2" localSheetId="24">#REF!</definedName>
    <definedName name="______DAT3" localSheetId="24">#REF!</definedName>
    <definedName name="______DAT4" localSheetId="24">#REF!</definedName>
    <definedName name="______DAT5" localSheetId="24">#REF!</definedName>
    <definedName name="______DAT6" localSheetId="24">#REF!</definedName>
    <definedName name="______DAT7" localSheetId="24">#REF!</definedName>
    <definedName name="______DAT8" localSheetId="24">#REF!</definedName>
    <definedName name="______DAT9" localSheetId="24">#REF!</definedName>
    <definedName name="_____DAT1" localSheetId="24">#REF!</definedName>
    <definedName name="_____DAT10" localSheetId="24">#REF!</definedName>
    <definedName name="_____DAT11" localSheetId="24">#REF!</definedName>
    <definedName name="_____DAT2" localSheetId="24">#REF!</definedName>
    <definedName name="_____DAT3" localSheetId="24">#REF!</definedName>
    <definedName name="_____DAT4" localSheetId="24">#REF!</definedName>
    <definedName name="_____DAT5" localSheetId="24">#REF!</definedName>
    <definedName name="_____DAT6" localSheetId="24">#REF!</definedName>
    <definedName name="_____DAT7" localSheetId="24">#REF!</definedName>
    <definedName name="_____DAT8" localSheetId="24">#REF!</definedName>
    <definedName name="_____DAT9" localSheetId="24">#REF!</definedName>
    <definedName name="_____NEW1" localSheetId="24">#REF!</definedName>
    <definedName name="_____NEW2" localSheetId="24">#REF!</definedName>
    <definedName name="_____PL1" localSheetId="24">#REF!</definedName>
    <definedName name="_____PL2" localSheetId="24">#REF!</definedName>
    <definedName name="____DAT1" localSheetId="24">#REF!</definedName>
    <definedName name="____DAT10" localSheetId="24">#REF!</definedName>
    <definedName name="____DAT11" localSheetId="24">#REF!</definedName>
    <definedName name="____DAT2" localSheetId="24">#REF!</definedName>
    <definedName name="____DAT3" localSheetId="24">#REF!</definedName>
    <definedName name="____DAT4" localSheetId="24">#REF!</definedName>
    <definedName name="____DAT5" localSheetId="24">#REF!</definedName>
    <definedName name="____DAT6" localSheetId="24">#REF!</definedName>
    <definedName name="____DAT7" localSheetId="24">#REF!</definedName>
    <definedName name="____DAT8" localSheetId="24">#REF!</definedName>
    <definedName name="____DAT9" localSheetId="24">#REF!</definedName>
    <definedName name="___DAT1" localSheetId="24">#REF!</definedName>
    <definedName name="___DAT10" localSheetId="24">#REF!</definedName>
    <definedName name="___DAT11" localSheetId="24">#REF!</definedName>
    <definedName name="___DAT2" localSheetId="24">#REF!</definedName>
    <definedName name="___DAT3" localSheetId="24">#REF!</definedName>
    <definedName name="___DAT4" localSheetId="24">#REF!</definedName>
    <definedName name="___DAT5" localSheetId="24">#REF!</definedName>
    <definedName name="___DAT6" localSheetId="24">#REF!</definedName>
    <definedName name="___DAT7" localSheetId="24">#REF!</definedName>
    <definedName name="___DAT8" localSheetId="24">#REF!</definedName>
    <definedName name="___DAT9" localSheetId="24">#REF!</definedName>
    <definedName name="___IV70000" localSheetId="24">#REF!</definedName>
    <definedName name="___IV77777" localSheetId="24">#REF!</definedName>
    <definedName name="___PS1" localSheetId="24">#REF!</definedName>
    <definedName name="___PS2" localSheetId="24">#REF!</definedName>
    <definedName name="__DAT1" localSheetId="24">#REF!</definedName>
    <definedName name="__DAT10" localSheetId="24">#REF!</definedName>
    <definedName name="__DAT11" localSheetId="24">#REF!</definedName>
    <definedName name="__DAT2" localSheetId="24">#REF!</definedName>
    <definedName name="__DAT3" localSheetId="24">#REF!</definedName>
    <definedName name="__DAT4" localSheetId="24">#REF!</definedName>
    <definedName name="__DAT5" localSheetId="24">#REF!</definedName>
    <definedName name="__DAT6" localSheetId="24">#REF!</definedName>
    <definedName name="__DAT7" localSheetId="24">#REF!</definedName>
    <definedName name="__DAT8" localSheetId="24">#REF!</definedName>
    <definedName name="__DAT9" localSheetId="24">#REF!</definedName>
    <definedName name="__IV70000" localSheetId="24">#REF!</definedName>
    <definedName name="__IV77777" localSheetId="24">#REF!</definedName>
    <definedName name="__PS1" localSheetId="24">#REF!</definedName>
    <definedName name="__PS2" localSheetId="24">#REF!</definedName>
    <definedName name="_1_____Module1_.Macro1" localSheetId="24">#REF!</definedName>
    <definedName name="_10_____Module1_.Macro1" localSheetId="24">#REF!</definedName>
    <definedName name="_100___Module1_.Macro1" localSheetId="24">#REF!</definedName>
    <definedName name="_11_____Module1_.Macro1" localSheetId="24">#REF!</definedName>
    <definedName name="_117____Module1_.Macro1" localSheetId="24">#REF!</definedName>
    <definedName name="_12______Module1_.Macro1" localSheetId="24">#REF!</definedName>
    <definedName name="_13______Module1_.Macro1" localSheetId="24">#REF!</definedName>
    <definedName name="_139____Module1_.Macro1" localSheetId="24">#REF!</definedName>
    <definedName name="_14_______Module1_.Macro1" localSheetId="24">#REF!</definedName>
    <definedName name="_15_______Module1_.Macro1" localSheetId="24">#REF!</definedName>
    <definedName name="_152_____Module1_.Macro1" localSheetId="24">#REF!</definedName>
    <definedName name="_16________Module1_.Macro1" localSheetId="24">#REF!</definedName>
    <definedName name="_165______Module1_.Macro1" localSheetId="24">#REF!</definedName>
    <definedName name="_17________Module1_.Macro1" localSheetId="24">#REF!</definedName>
    <definedName name="_178_______Module1_.Macro1" localSheetId="24">#REF!</definedName>
    <definedName name="_18_________Module1_.Macro1" localSheetId="24">#REF!</definedName>
    <definedName name="_18______Module1_.Macro1" localSheetId="24">#REF!</definedName>
    <definedName name="_19_________Module1_.Macro1" localSheetId="24">#REF!</definedName>
    <definedName name="_191________Module1_.Macro1" localSheetId="24">#REF!</definedName>
    <definedName name="_1Module1_.Macro1" localSheetId="24">#REF!</definedName>
    <definedName name="_2______Module1_.Macro1" localSheetId="24">#REF!</definedName>
    <definedName name="_20__________Module1_.Macro1" localSheetId="24">#REF!</definedName>
    <definedName name="_204_________Module1_.Macro1" localSheetId="24">#REF!</definedName>
    <definedName name="_21__________Module1_.Macro1" localSheetId="24">#REF!</definedName>
    <definedName name="_217__________Module1_.Macro1" localSheetId="24">#REF!</definedName>
    <definedName name="_22____________Module1_.Macro1" localSheetId="24">#REF!</definedName>
    <definedName name="_22Module1_.Macro1" localSheetId="24">#REF!</definedName>
    <definedName name="_23____________Module1_.Macro1" localSheetId="24">#REF!</definedName>
    <definedName name="_230____________Module1_.Macro1" localSheetId="24">#REF!</definedName>
    <definedName name="_24______________Module1_.Macro1" localSheetId="24">#REF!</definedName>
    <definedName name="_243______________Module1_.Macro1" localSheetId="24">#REF!</definedName>
    <definedName name="_25______________Module1_.Macro1" localSheetId="24">#REF!</definedName>
    <definedName name="_256________________Module1_.Macro1" localSheetId="24">#REF!</definedName>
    <definedName name="_26________________Module1_.Macro1" localSheetId="24">#REF!</definedName>
    <definedName name="_27________________Module1_.Macro1" localSheetId="24">#REF!</definedName>
    <definedName name="_27_______Module1_.Macro1" localSheetId="24">#REF!</definedName>
    <definedName name="_27Module1_.Macro1" localSheetId="24">#REF!</definedName>
    <definedName name="_2Module1_.Macro1" localSheetId="24">#REF!</definedName>
    <definedName name="_3_______Module1_.Macro1" localSheetId="24">#REF!</definedName>
    <definedName name="_3__Module1_.Macro1" localSheetId="24">#REF!</definedName>
    <definedName name="_36________Module1_.Macro1" localSheetId="24">#REF!</definedName>
    <definedName name="_3Module1_.Macro1" localSheetId="24">#REF!</definedName>
    <definedName name="_4________Module1_.Macro1" localSheetId="24">#REF!</definedName>
    <definedName name="_4__Module1_.Macro1" localSheetId="24">#REF!</definedName>
    <definedName name="_45_________Module1_.Macro1" localSheetId="24">#REF!</definedName>
    <definedName name="_5_________Module1_.Macro1" localSheetId="24">#REF!</definedName>
    <definedName name="_5__Module1_.Macro1" localSheetId="24">#REF!</definedName>
    <definedName name="_54__________Module1_.Macro1" localSheetId="24">#REF!</definedName>
    <definedName name="_57__Module1_.Macro1" localSheetId="24">#REF!</definedName>
    <definedName name="_6__________Module1_.Macro1" localSheetId="24">#REF!</definedName>
    <definedName name="_6___Module1_.Macro1" localSheetId="24">#REF!</definedName>
    <definedName name="_61__Module1_.Macro1" localSheetId="24">#REF!</definedName>
    <definedName name="_63____________Module1_.Macro1" localSheetId="24">#REF!</definedName>
    <definedName name="_7____________Module1_.Macro1" localSheetId="24">#REF!</definedName>
    <definedName name="_7___Module1_.Macro1" localSheetId="24">#REF!</definedName>
    <definedName name="_72______________Module1_.Macro1" localSheetId="24">#REF!</definedName>
    <definedName name="_7Module1_.Macro1" localSheetId="24">#REF!</definedName>
    <definedName name="_8______________Module1_.Macro1" localSheetId="24">#REF!</definedName>
    <definedName name="_8____Module1_.Macro1" localSheetId="24">#REF!</definedName>
    <definedName name="_81________________Module1_.Macro1" localSheetId="24">#REF!</definedName>
    <definedName name="_87___Module1_.Macro1" localSheetId="24">#REF!</definedName>
    <definedName name="_9________________Module1_.Macro1" localSheetId="24">#REF!</definedName>
    <definedName name="_9_____Module1_.Macro1" localSheetId="24">#REF!</definedName>
    <definedName name="_9____Module1_.Macro1" localSheetId="24">#REF!</definedName>
    <definedName name="_Bal2" localSheetId="24">#REF!</definedName>
    <definedName name="_DAT1" localSheetId="24">#REF!</definedName>
    <definedName name="_DAT10" localSheetId="24">#REF!</definedName>
    <definedName name="_DAT11" localSheetId="24">#REF!</definedName>
    <definedName name="_DAT2" localSheetId="24">#REF!</definedName>
    <definedName name="_DAT3" localSheetId="24">#REF!</definedName>
    <definedName name="_DAT4" localSheetId="24">#REF!</definedName>
    <definedName name="_DAT5" localSheetId="24">#REF!</definedName>
    <definedName name="_DAT6" localSheetId="24">#REF!</definedName>
    <definedName name="_DAT7" localSheetId="24">#REF!</definedName>
    <definedName name="_DAT8" localSheetId="24">#REF!</definedName>
    <definedName name="_DAT9" localSheetId="24">#REF!</definedName>
    <definedName name="_Fill" localSheetId="24" hidden="1">#REF!</definedName>
    <definedName name="_ilg1" localSheetId="24">#REF!</definedName>
    <definedName name="_imt2" localSheetId="24">#REF!</definedName>
    <definedName name="_int2" localSheetId="24">#REF!</definedName>
    <definedName name="_IV70000" localSheetId="24">#REF!</definedName>
    <definedName name="_IV77777" localSheetId="24">#REF!</definedName>
    <definedName name="_Key1" localSheetId="24" hidden="1">#REF!</definedName>
    <definedName name="_NEW1" localSheetId="24">#REF!</definedName>
    <definedName name="_NEW2" localSheetId="24">#REF!</definedName>
    <definedName name="_Parse_In" localSheetId="24" hidden="1">#REF!</definedName>
    <definedName name="_Parse_Out" localSheetId="24" hidden="1">#REF!</definedName>
    <definedName name="_PL1" localSheetId="24">#REF!</definedName>
    <definedName name="_PL2" localSheetId="24">#REF!</definedName>
    <definedName name="_ps3" localSheetId="24">#REF!</definedName>
    <definedName name="_Sort" localSheetId="24" hidden="1">#REF!</definedName>
    <definedName name="aa" localSheetId="24" hidden="1">#REF!</definedName>
    <definedName name="aaa" localSheetId="24">#REF!</definedName>
    <definedName name="aaaa" localSheetId="24">#REF!</definedName>
    <definedName name="AAAAA" localSheetId="24">#REF!</definedName>
    <definedName name="Aasta" localSheetId="24">#REF!</definedName>
    <definedName name="ab" localSheetId="24">#REF!</definedName>
    <definedName name="About_AI" localSheetId="24">#REF!</definedName>
    <definedName name="About_AI_Summ" localSheetId="24">#REF!</definedName>
    <definedName name="ADD" localSheetId="24">#REF!</definedName>
    <definedName name="adj" localSheetId="24">#REF!</definedName>
    <definedName name="adj_eqty" localSheetId="24">#REF!</definedName>
    <definedName name="adsf" localSheetId="24">#REF!</definedName>
    <definedName name="ADV" localSheetId="24">#REF!</definedName>
    <definedName name="aewf" localSheetId="24">#REF!</definedName>
    <definedName name="AI" localSheetId="24">#REF!</definedName>
    <definedName name="akc" localSheetId="24">#REF!</definedName>
    <definedName name="AkcijuPok" localSheetId="24">#REF!</definedName>
    <definedName name="akcininku" localSheetId="24">#REF!</definedName>
    <definedName name="AM" localSheetId="24">#REF!</definedName>
    <definedName name="APMI" localSheetId="24">#REF!</definedName>
    <definedName name="APMlik" localSheetId="24">#REF!</definedName>
    <definedName name="APMS" localSheetId="24">#REF!</definedName>
    <definedName name="APMT" localSheetId="24">#REF!</definedName>
    <definedName name="APMTBendr" localSheetId="24">#REF!</definedName>
    <definedName name="APMTI" localSheetId="24">#REF!</definedName>
    <definedName name="AR_allowance_2008" localSheetId="24">#REF!</definedName>
    <definedName name="AREA" localSheetId="24">#REF!</definedName>
    <definedName name="as" localSheetId="24">#REF!</definedName>
    <definedName name="AS2TickmarkLS" localSheetId="24" hidden="1">#REF!</definedName>
    <definedName name="ASCOCP" localSheetId="24">#REF!</definedName>
    <definedName name="asd" localSheetId="24">#REF!</definedName>
    <definedName name="asdddvas" localSheetId="24">#REF!</definedName>
    <definedName name="asdf" localSheetId="24">#REF!</definedName>
    <definedName name="asdzze4" localSheetId="24">#REF!</definedName>
    <definedName name="asob" localSheetId="24">#REF!</definedName>
    <definedName name="asoc" localSheetId="24">#REF!</definedName>
    <definedName name="asoc2" localSheetId="24">#REF!</definedName>
    <definedName name="asoc3" localSheetId="24">#REF!</definedName>
    <definedName name="asoc4" localSheetId="24">#REF!</definedName>
    <definedName name="AsocB" localSheetId="24">#REF!</definedName>
    <definedName name="AsocBe" localSheetId="24">#REF!</definedName>
    <definedName name="AsocGr" localSheetId="24">#REF!</definedName>
    <definedName name="Asocijuota_įmonė" localSheetId="24">#REF!</definedName>
    <definedName name="AsocLikBendr" localSheetId="24">#REF!</definedName>
    <definedName name="AsocLikGr" localSheetId="24">#REF!</definedName>
    <definedName name="AsocPok" localSheetId="24">#REF!</definedName>
    <definedName name="AsocPokS" localSheetId="24">#REF!</definedName>
    <definedName name="ass" localSheetId="24">#REF!</definedName>
    <definedName name="Atsargos_tr" localSheetId="24">#REF!</definedName>
    <definedName name="atsargos08" localSheetId="24">#REF!</definedName>
    <definedName name="AtTIGTV" localSheetId="24">#REF!</definedName>
    <definedName name="awe" localSheetId="24">#REF!</definedName>
    <definedName name="balansas1" localSheetId="24">#REF!</definedName>
    <definedName name="balansas1d" localSheetId="24">#REF!</definedName>
    <definedName name="balansas2" localSheetId="24">#REF!</definedName>
    <definedName name="balansus" localSheetId="24">#REF!</definedName>
    <definedName name="BalSus" localSheetId="24">#REF!</definedName>
    <definedName name="Bank_Pask_Term" localSheetId="24">#REF!</definedName>
    <definedName name="bankai" localSheetId="24">#REF!</definedName>
    <definedName name="BBBBB" localSheetId="24">#REF!</definedName>
    <definedName name="benilg" localSheetId="24">#REF!</definedName>
    <definedName name="BG" localSheetId="24" hidden="1">#REF!</definedName>
    <definedName name="BLB" localSheetId="24">#REF!</definedName>
    <definedName name="bm" localSheetId="24">#REF!</definedName>
    <definedName name="Bodyweight" localSheetId="24">#REF!</definedName>
    <definedName name="BS" localSheetId="24">#REF!</definedName>
    <definedName name="bs_1" localSheetId="24">#REF!</definedName>
    <definedName name="bs_1eq" localSheetId="24">#REF!</definedName>
    <definedName name="bs_2" localSheetId="24">#REF!</definedName>
    <definedName name="bs_2eq" localSheetId="24">#REF!</definedName>
    <definedName name="bs_3" localSheetId="24">#REF!</definedName>
    <definedName name="bs_4" localSheetId="24">#REF!</definedName>
    <definedName name="BS_PL" localSheetId="24">#REF!</definedName>
    <definedName name="BTI" localSheetId="24">#REF!</definedName>
    <definedName name="BUSINESS" localSheetId="24">#REF!</definedName>
    <definedName name="Ccy" localSheetId="24">#REF!</definedName>
    <definedName name="cf" localSheetId="24">#REF!</definedName>
    <definedName name="cfgjcfjcfj" localSheetId="24">#REF!</definedName>
    <definedName name="cfyhv" localSheetId="24">#REF!</definedName>
    <definedName name="cjdtxdtfhxzg" localSheetId="24">#REF!</definedName>
    <definedName name="class" localSheetId="24">#REF!</definedName>
    <definedName name="COMPANY" localSheetId="24">#REF!</definedName>
    <definedName name="Conv" localSheetId="24">#REF!</definedName>
    <definedName name="cost" localSheetId="24">#REF!</definedName>
    <definedName name="Count_Personnel_4" localSheetId="24">#REF!</definedName>
    <definedName name="CRA" localSheetId="24">#REF!</definedName>
    <definedName name="Custom" localSheetId="24">#REF!</definedName>
    <definedName name="cv" localSheetId="24">#REF!</definedName>
    <definedName name="cvh" localSheetId="24">#REF!</definedName>
    <definedName name="cx" localSheetId="24">#REF!</definedName>
    <definedName name="cxgh" localSheetId="24">#REF!</definedName>
    <definedName name="d" localSheetId="24">#REF!</definedName>
    <definedName name="dads" localSheetId="24">#REF!</definedName>
    <definedName name="dang" localSheetId="24">#REF!</definedName>
    <definedName name="data" localSheetId="24">#REF!</definedName>
    <definedName name="DataSet_IC_PL" localSheetId="24">#REF!</definedName>
    <definedName name="date" localSheetId="24">#REF!</definedName>
    <definedName name="DD" localSheetId="24" hidden="1">{"'Test'!$B$2:$H$6","'Test'!$B$2:$H$23"}</definedName>
    <definedName name="ddas" localSheetId="24">#REF!</definedName>
    <definedName name="dddd" localSheetId="24">#REF!</definedName>
    <definedName name="dddddd" localSheetId="24">#REF!</definedName>
    <definedName name="ddddddd" localSheetId="24">#REF!</definedName>
    <definedName name="dekt" localSheetId="24">#REF!</definedName>
    <definedName name="Delivery" localSheetId="24">#REF!</definedName>
    <definedName name="Design" localSheetId="24">#REF!</definedName>
    <definedName name="dfg" localSheetId="24">#REF!</definedName>
    <definedName name="dfjg" localSheetId="24">#REF!</definedName>
    <definedName name="dg" localSheetId="24">#REF!</definedName>
    <definedName name="dircost" localSheetId="24">#REF!</definedName>
    <definedName name="DKK_AVE" localSheetId="24">#REF!</definedName>
    <definedName name="DKK_END" localSheetId="24">#REF!</definedName>
    <definedName name="DKK_OB" localSheetId="24">#REF!</definedName>
    <definedName name="dngfb" localSheetId="24">#REF!</definedName>
    <definedName name="DownP20" localSheetId="24">#REF!</definedName>
    <definedName name="draud2" localSheetId="24">#REF!</definedName>
    <definedName name="drt" localSheetId="24">#REF!</definedName>
    <definedName name="dryt" localSheetId="24">#REF!</definedName>
    <definedName name="ds" localSheetId="24">#REF!</definedName>
    <definedName name="dssssssss" localSheetId="24">#REF!</definedName>
    <definedName name="dukt1" localSheetId="24">#REF!</definedName>
    <definedName name="dxrgh" localSheetId="24">#REF!</definedName>
    <definedName name="dxtfh" localSheetId="24">#REF!</definedName>
    <definedName name="dzhfc" localSheetId="24">#REF!</definedName>
    <definedName name="EndDate" localSheetId="24" hidden="1">#REF!</definedName>
    <definedName name="Eng_Survey" localSheetId="24">#REF!</definedName>
    <definedName name="eqty_total" localSheetId="24">#REF!</definedName>
    <definedName name="EST_BALANCE" localSheetId="24">#REF!</definedName>
    <definedName name="EST_DATA" localSheetId="24">#REF!</definedName>
    <definedName name="EST_FROM" localSheetId="24">#REF!</definedName>
    <definedName name="EST_NumStages" localSheetId="24">#REF!</definedName>
    <definedName name="EST_Obj_1" localSheetId="24">#REF!</definedName>
    <definedName name="EST_Obj_10" localSheetId="24">#REF!</definedName>
    <definedName name="EST_Obj_2" localSheetId="24">#REF!</definedName>
    <definedName name="EST_Obj_3" localSheetId="24">#REF!</definedName>
    <definedName name="EST_Obj_4" localSheetId="24">#REF!</definedName>
    <definedName name="EST_Obj_5" localSheetId="24">#REF!</definedName>
    <definedName name="EST_Obj_6" localSheetId="24">#REF!</definedName>
    <definedName name="EST_Obj_7" localSheetId="24">#REF!</definedName>
    <definedName name="EST_Obj_8" localSheetId="24">#REF!</definedName>
    <definedName name="EST_Obj_9" localSheetId="24">#REF!</definedName>
    <definedName name="EST_ProdNum" localSheetId="24">#REF!</definedName>
    <definedName name="EST_SQUARE" localSheetId="24">#REF!</definedName>
    <definedName name="EUR_AVE" localSheetId="24">#REF!</definedName>
    <definedName name="EUR_END" localSheetId="24">#REF!</definedName>
    <definedName name="EUR_OB" localSheetId="24">#REF!</definedName>
    <definedName name="Euro" localSheetId="24">#REF!</definedName>
    <definedName name="Euro_EX_rate" localSheetId="24">#REF!</definedName>
    <definedName name="expectus" localSheetId="24">#REF!</definedName>
    <definedName name="Expertize" localSheetId="24">#REF!</definedName>
    <definedName name="Export" localSheetId="24">#REF!</definedName>
    <definedName name="F.D." localSheetId="24">#REF!</definedName>
    <definedName name="Fence" localSheetId="24">#REF!</definedName>
    <definedName name="ff" localSheetId="24">#REF!</definedName>
    <definedName name="ffffff" localSheetId="24">#REF!</definedName>
    <definedName name="ffghg" localSheetId="24">#REF!</definedName>
    <definedName name="fg" localSheetId="24">#REF!</definedName>
    <definedName name="fgnjh" localSheetId="24">#REF!</definedName>
    <definedName name="fgy" localSheetId="24">#REF!</definedName>
    <definedName name="Fil" localSheetId="24">#REF!</definedName>
    <definedName name="finansine" localSheetId="24">#REF!</definedName>
    <definedName name="FinVeiklSan" localSheetId="24">#REF!</definedName>
    <definedName name="Fire_tank_100" localSheetId="24">#REF!</definedName>
    <definedName name="FL" localSheetId="24">#REF!</definedName>
    <definedName name="fskol" localSheetId="24">#REF!</definedName>
    <definedName name="ftyk" localSheetId="24">#REF!</definedName>
    <definedName name="fyh" localSheetId="24">#REF!</definedName>
    <definedName name="fyku" localSheetId="24">#REF!</definedName>
    <definedName name="fytj" localSheetId="24">#REF!</definedName>
    <definedName name="Gautos_Paskolos" localSheetId="24">#REF!</definedName>
    <definedName name="gggggg" localSheetId="24">#REF!</definedName>
    <definedName name="ght" localSheetId="24">#REF!</definedName>
    <definedName name="grisip" localSheetId="24">#REF!</definedName>
    <definedName name="grup" localSheetId="24">#REF!</definedName>
    <definedName name="grupe" localSheetId="24">#REF!</definedName>
    <definedName name="grverte" localSheetId="24">#REF!</definedName>
    <definedName name="GS_ConPrice_t" localSheetId="24">#REF!</definedName>
    <definedName name="GS_EqPrice_fixed" localSheetId="24">#REF!</definedName>
    <definedName name="GS_EqPrice_t" localSheetId="24">#REF!</definedName>
    <definedName name="gvggggg" localSheetId="24">#REF!</definedName>
    <definedName name="h" localSheetId="24" hidden="1">#REF!</definedName>
    <definedName name="Height_Loans" localSheetId="24">#REF!</definedName>
    <definedName name="hhh" localSheetId="24">#REF!</definedName>
    <definedName name="hkj" localSheetId="24" hidden="1">#REF!</definedName>
    <definedName name="HTML_Control" localSheetId="24" hidden="1">{"'Test'!$B$2:$H$6","'Test'!$B$2:$H$23"}</definedName>
    <definedName name="hxf" localSheetId="24">#REF!</definedName>
    <definedName name="ifrs71" localSheetId="24">#REF!</definedName>
    <definedName name="iiii" localSheetId="24">#REF!</definedName>
    <definedName name="ilgalaik" localSheetId="24">#REF!</definedName>
    <definedName name="ilgas1" localSheetId="24">#REF!</definedName>
    <definedName name="ilgp" localSheetId="24">#REF!</definedName>
    <definedName name="IlgPVal" localSheetId="24">#REF!</definedName>
    <definedName name="imt" localSheetId="24">#REF!</definedName>
    <definedName name="IMTats" localSheetId="24">#REF!</definedName>
    <definedName name="IMTBe" localSheetId="24">#REF!</definedName>
    <definedName name="IMTGr" localSheetId="24">#REF!</definedName>
    <definedName name="in" localSheetId="24">#REF!</definedName>
    <definedName name="int" localSheetId="24">#REF!</definedName>
    <definedName name="INTats" localSheetId="24">#REF!</definedName>
    <definedName name="INTatsk" localSheetId="24">#REF!</definedName>
    <definedName name="INTGr" localSheetId="24">#REF!</definedName>
    <definedName name="inv" localSheetId="24">#REF!</definedName>
    <definedName name="invcost" localSheetId="24">#REF!</definedName>
    <definedName name="InvD" localSheetId="24">#REF!</definedName>
    <definedName name="invdout" localSheetId="24">#REF!</definedName>
    <definedName name="invest" localSheetId="24">#REF!</definedName>
    <definedName name="InvestBe" localSheetId="24">#REF!</definedName>
    <definedName name="InvestPok" localSheetId="24">#REF!</definedName>
    <definedName name="InvIsig" localSheetId="24">#REF!</definedName>
    <definedName name="InvKitosGr" localSheetId="24">#REF!</definedName>
    <definedName name="InvNeties" localSheetId="24">#REF!</definedName>
    <definedName name="InvPokPal" localSheetId="24">#REF!</definedName>
    <definedName name="INX" localSheetId="24">#REF!</definedName>
    <definedName name="ioo" localSheetId="24">#REF!</definedName>
    <definedName name="irr" localSheetId="24">#REF!</definedName>
    <definedName name="irrout" localSheetId="24">#REF!</definedName>
    <definedName name="irrout2" localSheetId="24">#REF!</definedName>
    <definedName name="ISAND" localSheetId="24">#REF!</definedName>
    <definedName name="IsTPGTV" localSheetId="24">#REF!</definedName>
    <definedName name="j" localSheetId="24">#REF!</definedName>
    <definedName name="jdjdjd" localSheetId="24">#REF!</definedName>
    <definedName name="jhwfjff" localSheetId="24">#REF!</definedName>
    <definedName name="jjjjjj" localSheetId="24">#REF!</definedName>
    <definedName name="jkh" localSheetId="24">#REF!</definedName>
    <definedName name="jukmg" localSheetId="24">#REF!</definedName>
    <definedName name="jxfyuh" localSheetId="24">#REF!</definedName>
    <definedName name="k" localSheetId="24">#REF!</definedName>
    <definedName name="KFT" localSheetId="24">#REF!</definedName>
    <definedName name="KGS" localSheetId="24">#REF!</definedName>
    <definedName name="kR" localSheetId="24">#REF!</definedName>
    <definedName name="kRub" localSheetId="24">#REF!</definedName>
    <definedName name="Kuu" localSheetId="24">#REF!</definedName>
    <definedName name="L" localSheetId="24">#REF!</definedName>
    <definedName name="lack" localSheetId="24">#REF!</definedName>
    <definedName name="lackin" localSheetId="24">#REF!</definedName>
    <definedName name="lb" localSheetId="24">#REF!</definedName>
    <definedName name="likv" localSheetId="24">#REF!</definedName>
    <definedName name="lizingai" localSheetId="24">#REF!</definedName>
    <definedName name="Lizingas" localSheetId="24">#REF!</definedName>
    <definedName name="Local" localSheetId="24">#REF!</definedName>
    <definedName name="lugis" localSheetId="24">#REF!</definedName>
    <definedName name="m" localSheetId="24">#REF!</definedName>
    <definedName name="m_2" localSheetId="24">#REF!</definedName>
    <definedName name="M_CC" localSheetId="24">#REF!</definedName>
    <definedName name="Macro001" localSheetId="24">#REF!</definedName>
    <definedName name="Macro002" localSheetId="24">#REF!</definedName>
    <definedName name="Macro003" localSheetId="24">#REF!</definedName>
    <definedName name="Macro004" localSheetId="24">#REF!</definedName>
    <definedName name="Macro005" localSheetId="24">#REF!</definedName>
    <definedName name="Macro1" localSheetId="24">#REF!</definedName>
    <definedName name="Macro10" localSheetId="24">#REF!</definedName>
    <definedName name="Macro11" localSheetId="24">#REF!</definedName>
    <definedName name="Macro111" localSheetId="24">#REF!</definedName>
    <definedName name="Macro12" localSheetId="24">#REF!</definedName>
    <definedName name="Macro15" localSheetId="24">#REF!</definedName>
    <definedName name="Macro2" localSheetId="24">#REF!</definedName>
    <definedName name="Macro4" localSheetId="24">#REF!</definedName>
    <definedName name="Macro6" localSheetId="24">#REF!</definedName>
    <definedName name="MacroS01" localSheetId="24">#REF!</definedName>
    <definedName name="MacroUP" localSheetId="24">#REF!</definedName>
    <definedName name="MacroUP01" localSheetId="24">#REF!</definedName>
    <definedName name="man" localSheetId="24">#REF!</definedName>
    <definedName name="mann" localSheetId="24">#REF!</definedName>
    <definedName name="mar" localSheetId="24">#REF!</definedName>
    <definedName name="market" localSheetId="24">#REF!</definedName>
    <definedName name="marketshare" localSheetId="24">#REF!</definedName>
    <definedName name="mEnist" localSheetId="24">#REF!</definedName>
    <definedName name="MENU" localSheetId="24">#REF!</definedName>
    <definedName name="minliz" localSheetId="24">#REF!</definedName>
    <definedName name="Module1.Macro1" localSheetId="24">#REF!</definedName>
    <definedName name="Module1.Macro111" localSheetId="24">#REF!</definedName>
    <definedName name="moketinos" localSheetId="24">#REF!</definedName>
    <definedName name="mon" localSheetId="24">#REF!</definedName>
    <definedName name="MONTH" localSheetId="24">#REF!</definedName>
    <definedName name="Month_name" localSheetId="24">#REF!</definedName>
    <definedName name="Msort.Msort" localSheetId="24">#REF!</definedName>
    <definedName name="muk" localSheetId="24">#REF!</definedName>
    <definedName name="mungkorn" localSheetId="24">#REF!</definedName>
    <definedName name="n" localSheetId="24">#REF!</definedName>
    <definedName name="ncffx" localSheetId="24">#REF!</definedName>
    <definedName name="nematb" localSheetId="24">#REF!</definedName>
    <definedName name="nematg" localSheetId="24">#REF!</definedName>
    <definedName name="Nepanaudotos_Pask" localSheetId="24">#REF!</definedName>
    <definedName name="New" localSheetId="24">#REF!</definedName>
    <definedName name="nhgcccgh" localSheetId="24">#REF!</definedName>
    <definedName name="nkp" localSheetId="24">#REF!</definedName>
    <definedName name="NKPA" localSheetId="24">#REF!</definedName>
    <definedName name="nkpa1" localSheetId="24">#REF!</definedName>
    <definedName name="nkpa2" localSheetId="24">#REF!</definedName>
    <definedName name="NKPAG1" localSheetId="24">#REF!</definedName>
    <definedName name="NNPP2PigProduction2" localSheetId="24">#REF!</definedName>
    <definedName name="NOK_AVE" localSheetId="24">#REF!</definedName>
    <definedName name="NOK_END" localSheetId="24">#REF!</definedName>
    <definedName name="NOK_OB" localSheetId="24">#REF!</definedName>
    <definedName name="npv" localSheetId="24">#REF!</definedName>
    <definedName name="npvd" localSheetId="24">#REF!</definedName>
    <definedName name="npvdout" localSheetId="24">#REF!</definedName>
    <definedName name="npvdout2" localSheetId="24">#REF!</definedName>
    <definedName name="npvout" localSheetId="24">#REF!</definedName>
    <definedName name="Nuostoliai" localSheetId="24">#REF!</definedName>
    <definedName name="optimus" localSheetId="24">#REF!</definedName>
    <definedName name="Other_Exp" localSheetId="24">#REF!</definedName>
    <definedName name="pajam" localSheetId="24">#REF!</definedName>
    <definedName name="PalNR" localSheetId="24">#REF!</definedName>
    <definedName name="palriz" localSheetId="24">#REF!</definedName>
    <definedName name="pard" localSheetId="24">#REF!</definedName>
    <definedName name="PardPaj" localSheetId="24">#REF!</definedName>
    <definedName name="pask1" localSheetId="24">#REF!</definedName>
    <definedName name="PaskSutIlg" localSheetId="24">#REF!</definedName>
    <definedName name="paskVal" localSheetId="24">#REF!</definedName>
    <definedName name="Pay_70" localSheetId="24">#REF!</definedName>
    <definedName name="pelnas1" localSheetId="24">#REF!</definedName>
    <definedName name="pelnasnuost" localSheetId="24">#REF!</definedName>
    <definedName name="PerejimasB" localSheetId="24">#REF!</definedName>
    <definedName name="PerejimasB1" localSheetId="24">#REF!</definedName>
    <definedName name="PerejimasB2" localSheetId="24">#REF!</definedName>
    <definedName name="PerejimasG" localSheetId="24">#REF!</definedName>
    <definedName name="PerejimasG1" localSheetId="24">#REF!</definedName>
    <definedName name="PerejimasG2" localSheetId="24">#REF!</definedName>
    <definedName name="Perf10" localSheetId="24">#REF!</definedName>
    <definedName name="Perf20" localSheetId="24">#REF!</definedName>
    <definedName name="Perf25" localSheetId="24">#REF!</definedName>
    <definedName name="perf5" localSheetId="24">#REF!</definedName>
    <definedName name="Perf50" localSheetId="24">#REF!</definedName>
    <definedName name="pessimus" localSheetId="24">#REF!</definedName>
    <definedName name="PI" localSheetId="24">#REF!</definedName>
    <definedName name="PirkSus" localSheetId="24">#REF!</definedName>
    <definedName name="pl" localSheetId="24">#REF!</definedName>
    <definedName name="pl_eq" localSheetId="24">#REF!</definedName>
    <definedName name="PL_LOC" localSheetId="24">#REF!</definedName>
    <definedName name="PL_PACK" localSheetId="24">#REF!</definedName>
    <definedName name="PL_TOT" localSheetId="24">#REF!</definedName>
    <definedName name="PL_XPO" localSheetId="24">#REF!</definedName>
    <definedName name="PMApsk" localSheetId="24">#REF!</definedName>
    <definedName name="PMsan" localSheetId="24">#REF!</definedName>
    <definedName name="PMsanK" localSheetId="24">#REF!</definedName>
    <definedName name="poo" localSheetId="24">#REF!</definedName>
    <definedName name="PORT_Consolidated_1" localSheetId="24">#REF!</definedName>
    <definedName name="PORT_PrjPeriods" localSheetId="24">#REF!</definedName>
    <definedName name="prekyb2" localSheetId="24">#REF!</definedName>
    <definedName name="Present" localSheetId="24">#REF!</definedName>
    <definedName name="Prestizas" localSheetId="24">#REF!</definedName>
    <definedName name="PrestJud7" localSheetId="24">#REF!</definedName>
    <definedName name="PrestPM" localSheetId="24">#REF!</definedName>
    <definedName name="PrestSkaic" localSheetId="24">#REF!</definedName>
    <definedName name="price" localSheetId="24">#REF!</definedName>
    <definedName name="pricein" localSheetId="24">#REF!</definedName>
    <definedName name="Print_Area_MI" localSheetId="24">#REF!</definedName>
    <definedName name="printsad" localSheetId="24">#REF!</definedName>
    <definedName name="PRJ_Name" localSheetId="24">#REF!</definedName>
    <definedName name="process" localSheetId="24">#REF!</definedName>
    <definedName name="psa" localSheetId="24">#REF!</definedName>
    <definedName name="q" localSheetId="24">#REF!</definedName>
    <definedName name="Query1" localSheetId="24">#REF!</definedName>
    <definedName name="query2" localSheetId="24">#REF!</definedName>
    <definedName name="range" localSheetId="24">#REF!,#REF!,#REF!,#REF!,#REF!,#REF!,#REF!,#REF!,#REF!,#REF!</definedName>
    <definedName name="rate" localSheetId="24">#REF!</definedName>
    <definedName name="ratein" localSheetId="24">#REF!</definedName>
    <definedName name="regnbcvxdf" localSheetId="24">#REF!</definedName>
    <definedName name="Reorg" localSheetId="24">#REF!</definedName>
    <definedName name="res" localSheetId="24">#REF!</definedName>
    <definedName name="Reserve_10" localSheetId="24">#REF!</definedName>
    <definedName name="Reserve_5" localSheetId="24">#REF!</definedName>
    <definedName name="RestP10" localSheetId="24">#REF!</definedName>
    <definedName name="rfds" localSheetId="24">#REF!</definedName>
    <definedName name="Roads" localSheetId="24">#REF!</definedName>
    <definedName name="rsg" localSheetId="24">#REF!</definedName>
    <definedName name="RUB_AVE" localSheetId="24">#REF!</definedName>
    <definedName name="RUB_END" localSheetId="24">#REF!</definedName>
    <definedName name="RUB_OB" localSheetId="24">#REF!</definedName>
    <definedName name="Ruble" localSheetId="24">#REF!</definedName>
    <definedName name="SAL_LOC" localSheetId="24">#REF!</definedName>
    <definedName name="SAL_TOT" localSheetId="24">#REF!</definedName>
    <definedName name="SAL_XPO" localSheetId="24">#REF!</definedName>
    <definedName name="sale" localSheetId="24">#REF!</definedName>
    <definedName name="sales" localSheetId="24">#REF!</definedName>
    <definedName name="salesin" localSheetId="24">#REF!</definedName>
    <definedName name="sandoriaisus" localSheetId="24">#REF!</definedName>
    <definedName name="scens" localSheetId="24">#REF!</definedName>
    <definedName name="Score" localSheetId="24">#REF!</definedName>
    <definedName name="sdaf" localSheetId="24">#REF!</definedName>
    <definedName name="sdf" localSheetId="24">#REF!</definedName>
    <definedName name="SE" localSheetId="24">#REF!</definedName>
    <definedName name="Segm1" localSheetId="24">#REF!</definedName>
    <definedName name="SegmAM" localSheetId="24">#REF!</definedName>
    <definedName name="Segmentai08" localSheetId="24">#REF!</definedName>
    <definedName name="SegmPM" localSheetId="24">#REF!</definedName>
    <definedName name="sf" localSheetId="24">#REF!</definedName>
    <definedName name="sger" localSheetId="24">#REF!</definedName>
    <definedName name="SIP" localSheetId="24">#REF!</definedName>
    <definedName name="SkolAkc" localSheetId="24">#REF!</definedName>
    <definedName name="Skolos_akcininkams" localSheetId="24">#REF!</definedName>
    <definedName name="SkolSus" localSheetId="24">#REF!</definedName>
    <definedName name="SMM_LOC" localSheetId="24">#REF!</definedName>
    <definedName name="SMM_TOT" localSheetId="24">#REF!</definedName>
    <definedName name="SMM_XPO" localSheetId="24">#REF!</definedName>
    <definedName name="ssfrffhg" localSheetId="24">#REF!</definedName>
    <definedName name="SsS_Bs" localSheetId="24">#REF!</definedName>
    <definedName name="SsS_pp" localSheetId="24">#REF!</definedName>
    <definedName name="ssss" localSheetId="24">#REF!</definedName>
    <definedName name="ssssss" localSheetId="24">#REF!</definedName>
    <definedName name="ssssssss" localSheetId="24">#REF!</definedName>
    <definedName name="STD" localSheetId="24">#REF!</definedName>
    <definedName name="SUM" localSheetId="24">#REF!</definedName>
    <definedName name="sumaz" localSheetId="24">#REF!</definedName>
    <definedName name="sumazej" localSheetId="24">#REF!</definedName>
    <definedName name="susij" localSheetId="24">#REF!</definedName>
    <definedName name="susijbal" localSheetId="24">#REF!</definedName>
    <definedName name="susijesk" localSheetId="24">#REF!</definedName>
    <definedName name="T" localSheetId="24">#REF!</definedName>
    <definedName name="table" localSheetId="24">#REF!</definedName>
    <definedName name="Tbl_FIFO_STATUSS" localSheetId="24">#REF!</definedName>
    <definedName name="Tech_Sup" localSheetId="24">#REF!</definedName>
    <definedName name="TEST0" localSheetId="24">#REF!</definedName>
    <definedName name="TEST1" localSheetId="24">#REF!</definedName>
    <definedName name="TEST2" localSheetId="24">#REF!</definedName>
    <definedName name="TEST3" localSheetId="24">#REF!</definedName>
    <definedName name="TESTHKEY" localSheetId="24">#REF!</definedName>
    <definedName name="TESTKEYS" localSheetId="24">#REF!</definedName>
    <definedName name="TESTVKEY" localSheetId="24">#REF!</definedName>
    <definedName name="TextRefCopy1" localSheetId="24">#REF!</definedName>
    <definedName name="TextRefCopy2" localSheetId="24">#REF!</definedName>
    <definedName name="TextRefCopy3" localSheetId="24">#REF!</definedName>
    <definedName name="TextRefCopy4" localSheetId="24">#REF!</definedName>
    <definedName name="TextRefCopy5" localSheetId="24">#REF!</definedName>
    <definedName name="TextRefCopy6" localSheetId="24">#REF!</definedName>
    <definedName name="TextRefCopy7" localSheetId="24">#REF!</definedName>
    <definedName name="TextRefCopy8" localSheetId="24">#REF!</definedName>
    <definedName name="TIT" localSheetId="24">#REF!</definedName>
    <definedName name="to" localSheetId="24">#REF!</definedName>
    <definedName name="TOT" localSheetId="24">#REF!</definedName>
    <definedName name="TOTAL" localSheetId="24">#REF!</definedName>
    <definedName name="TPGTV" localSheetId="24">#REF!</definedName>
    <definedName name="TrMokSumos" localSheetId="24">#REF!</definedName>
    <definedName name="txdfhxfht" localSheetId="24">#REF!</definedName>
    <definedName name="Uniformity" localSheetId="24">#REF!</definedName>
    <definedName name="uuuuuuu" localSheetId="24">#REF!</definedName>
    <definedName name="UVKR" localSheetId="24">#REF!</definedName>
    <definedName name="uyk" localSheetId="24">#REF!</definedName>
    <definedName name="vadov" localSheetId="24">#REF!</definedName>
    <definedName name="vadovai" localSheetId="24">#REF!</definedName>
    <definedName name="Val" localSheetId="24">#REF!</definedName>
    <definedName name="valiut" localSheetId="24">#REF!</definedName>
    <definedName name="valiutos" localSheetId="24">#REF!</definedName>
    <definedName name="VAT_20" localSheetId="24">#REF!</definedName>
    <definedName name="VAT_OnAssets" localSheetId="24">#REF!</definedName>
    <definedName name="vbhn" localSheetId="24" hidden="1">#REF!</definedName>
    <definedName name="vbhng" localSheetId="24">#REF!</definedName>
    <definedName name="vbmn" localSheetId="24">#REF!</definedName>
    <definedName name="veikla" localSheetId="24">#REF!</definedName>
    <definedName name="veiklos" localSheetId="24">#REF!</definedName>
    <definedName name="VeiklosNuoma" localSheetId="24">#REF!</definedName>
    <definedName name="VeiklosSan" localSheetId="24">#REF!</definedName>
    <definedName name="VertSum" localSheetId="24">#REF!</definedName>
    <definedName name="VET" localSheetId="24">#REF!</definedName>
    <definedName name="vhjhfhj" localSheetId="24">#REF!</definedName>
    <definedName name="vj" localSheetId="24">#REF!</definedName>
    <definedName name="vnuom" localSheetId="24">#REF!</definedName>
    <definedName name="wae" localSheetId="24">#REF!</definedName>
    <definedName name="we" localSheetId="24" hidden="1">#REF!</definedName>
    <definedName name="weafg" localSheetId="24">#REF!</definedName>
    <definedName name="werasw" localSheetId="24">#REF!</definedName>
    <definedName name="xcv" localSheetId="24">#REF!</definedName>
    <definedName name="xdf" localSheetId="24">#REF!</definedName>
    <definedName name="xdfgxcygh" localSheetId="24">#REF!</definedName>
    <definedName name="xdfth" localSheetId="24">#REF!</definedName>
    <definedName name="xdh" localSheetId="24">#REF!</definedName>
    <definedName name="xdhf" localSheetId="24">#REF!</definedName>
    <definedName name="xfht" localSheetId="24">#REF!</definedName>
    <definedName name="xg" localSheetId="24">#REF!</definedName>
    <definedName name="xgh" localSheetId="24">#REF!</definedName>
    <definedName name="xhttxf" localSheetId="24">#REF!</definedName>
    <definedName name="xls" localSheetId="24">#REF!</definedName>
    <definedName name="XREF_COLUMN_10" localSheetId="24" hidden="1">#REF!</definedName>
    <definedName name="XREF_COLUMN_14" localSheetId="24" hidden="1">#REF!</definedName>
    <definedName name="XREF_COLUMN_3" localSheetId="24" hidden="1">#REF!</definedName>
    <definedName name="XREF_COLUMN_4" localSheetId="24" hidden="1">#REF!</definedName>
    <definedName name="XREF_COLUMN_5" localSheetId="24" hidden="1">#REF!</definedName>
    <definedName name="XREF_COLUMN_6" localSheetId="24" hidden="1">#REF!</definedName>
    <definedName name="XREF_COLUMN_7" localSheetId="24" hidden="1">#REF!</definedName>
    <definedName name="XRefCopy1" localSheetId="24" hidden="1">#REF!</definedName>
    <definedName name="XRefCopy2" localSheetId="24" hidden="1">#REF!</definedName>
    <definedName name="XRefCopy3" localSheetId="24" hidden="1">#REF!</definedName>
    <definedName name="XRefCopy4" localSheetId="24" hidden="1">#REF!</definedName>
    <definedName name="XRefCopy5" localSheetId="24" hidden="1">#REF!</definedName>
    <definedName name="XRefCopy6" localSheetId="24" hidden="1">#REF!</definedName>
    <definedName name="XRefCopy6Row" localSheetId="24" hidden="1">#REF!</definedName>
    <definedName name="XRefCopy7" localSheetId="24" hidden="1">#REF!</definedName>
    <definedName name="XRefCopy8" localSheetId="24" hidden="1">#REF!</definedName>
    <definedName name="XRefCopy9" localSheetId="24" hidden="1">#REF!</definedName>
    <definedName name="XRefCopy9Row" localSheetId="24" hidden="1">#REF!</definedName>
    <definedName name="XRefPaste10" localSheetId="24" hidden="1">#REF!</definedName>
    <definedName name="XRefPaste11" localSheetId="24" hidden="1">#REF!</definedName>
    <definedName name="XRefPaste12" localSheetId="24" hidden="1">#REF!</definedName>
    <definedName name="XRefPaste13" localSheetId="24" hidden="1">#REF!</definedName>
    <definedName name="XRefPaste16" localSheetId="24" hidden="1">#REF!</definedName>
    <definedName name="XRefPaste17" localSheetId="24" hidden="1">#REF!</definedName>
    <definedName name="XRefPaste18" localSheetId="24" hidden="1">#REF!</definedName>
    <definedName name="XRefPaste2" localSheetId="24" hidden="1">#REF!</definedName>
    <definedName name="XRefPaste5" localSheetId="24" hidden="1">#REF!</definedName>
    <definedName name="XRefPaste6" localSheetId="24" hidden="1">#REF!</definedName>
    <definedName name="XRefPaste7" localSheetId="24" hidden="1">#REF!</definedName>
    <definedName name="XRefPaste8" localSheetId="24" hidden="1">#REF!</definedName>
    <definedName name="XRefPaste9" localSheetId="24" hidden="1">#REF!</definedName>
    <definedName name="xtdddddd" localSheetId="24">#REF!</definedName>
    <definedName name="xzc" localSheetId="24">#REF!</definedName>
    <definedName name="xzcb" localSheetId="24">#REF!</definedName>
    <definedName name="xzf" localSheetId="24">#REF!</definedName>
    <definedName name="xzrjnyvgh" localSheetId="24">#REF!</definedName>
    <definedName name="yjcf" localSheetId="24">#REF!</definedName>
    <definedName name="yjcougv" localSheetId="24">#REF!</definedName>
    <definedName name="ytdj" localSheetId="24">#REF!</definedName>
    <definedName name="yug" localSheetId="24">#REF!</definedName>
    <definedName name="z" localSheetId="24">#REF!</definedName>
    <definedName name="zgffxdhxtghj" localSheetId="24">#REF!</definedName>
    <definedName name="zsrg" localSheetId="24">#REF!</definedName>
    <definedName name="zxfg" localSheetId="24">#REF!</definedName>
    <definedName name="а" localSheetId="24">#REF!</definedName>
    <definedName name="ааа" localSheetId="24">#REF!</definedName>
    <definedName name="аааааааа" localSheetId="24">#REF!</definedName>
    <definedName name="ббббб" localSheetId="24">#REF!</definedName>
    <definedName name="ббббббб" localSheetId="24">#REF!</definedName>
    <definedName name="бббббббббб" localSheetId="24">#REF!</definedName>
    <definedName name="в" localSheetId="24">#REF!</definedName>
    <definedName name="вввв" localSheetId="24">#REF!</definedName>
    <definedName name="ввввввввввв" localSheetId="24">#REF!</definedName>
    <definedName name="ггггг" localSheetId="24">#REF!</definedName>
    <definedName name="еее" localSheetId="24">#REF!</definedName>
    <definedName name="ееееее" localSheetId="24">#REF!</definedName>
    <definedName name="еееееееее" localSheetId="24">#REF!</definedName>
    <definedName name="жжжжжж" localSheetId="24">#REF!</definedName>
    <definedName name="зззззз" localSheetId="24">#REF!</definedName>
    <definedName name="и" localSheetId="24">#REF!</definedName>
    <definedName name="иии" localSheetId="24">#REF!</definedName>
    <definedName name="ййй" localSheetId="24">#REF!</definedName>
    <definedName name="ййййййййй" localSheetId="24">#REF!</definedName>
    <definedName name="ииииииииииииии" localSheetId="24">#REF!</definedName>
    <definedName name="кккк" localSheetId="24">#REF!</definedName>
    <definedName name="ккккккккккк" localSheetId="24">#REF!</definedName>
    <definedName name="лллл" localSheetId="24">#REF!</definedName>
    <definedName name="м" localSheetId="24">#REF!</definedName>
    <definedName name="ммм" localSheetId="24">#REF!</definedName>
    <definedName name="ммммммммм" localSheetId="24">#REF!</definedName>
    <definedName name="ммммммммммм" localSheetId="24">#REF!</definedName>
    <definedName name="нннннн" localSheetId="24">#REF!</definedName>
    <definedName name="ннннннннннн" localSheetId="24">#REF!</definedName>
    <definedName name="о" localSheetId="24">#REF!</definedName>
    <definedName name="ооо" localSheetId="24">#REF!</definedName>
    <definedName name="оооооо" localSheetId="24">#REF!</definedName>
    <definedName name="п" localSheetId="24">#REF!</definedName>
    <definedName name="пппппппппп" localSheetId="24">#REF!</definedName>
    <definedName name="р" localSheetId="24">#REF!</definedName>
    <definedName name="ррр" localSheetId="24">#REF!</definedName>
    <definedName name="рррррр" localSheetId="24">#REF!</definedName>
    <definedName name="рррррррррр" localSheetId="24">#REF!</definedName>
    <definedName name="ррррррррррр" localSheetId="24">#REF!</definedName>
    <definedName name="с" localSheetId="24">#REF!</definedName>
    <definedName name="ссс" localSheetId="24">#REF!</definedName>
    <definedName name="ссссс" localSheetId="24">#REF!</definedName>
    <definedName name="т" localSheetId="24">#REF!</definedName>
    <definedName name="ттт" localSheetId="24">#REF!</definedName>
    <definedName name="ттттттттттттт" localSheetId="24">#REF!</definedName>
    <definedName name="ууу" localSheetId="24">#REF!</definedName>
    <definedName name="уууууу" localSheetId="24">#REF!</definedName>
    <definedName name="уууууууууу" localSheetId="24">#REF!</definedName>
    <definedName name="ффф" localSheetId="24">#REF!</definedName>
    <definedName name="ффффффффф" localSheetId="24">#REF!</definedName>
    <definedName name="ххххххх" localSheetId="24">#REF!</definedName>
    <definedName name="ццц" localSheetId="24">#REF!</definedName>
    <definedName name="ццццццццц" localSheetId="24">#REF!</definedName>
    <definedName name="ч" localSheetId="24">#REF!</definedName>
    <definedName name="ччч" localSheetId="24">#REF!</definedName>
    <definedName name="шшшшшшшшш" localSheetId="24">#REF!</definedName>
    <definedName name="ы" localSheetId="24">#REF!</definedName>
    <definedName name="ыыыыыыыыы" localSheetId="24">#REF!</definedName>
    <definedName name="ь" localSheetId="24">#REF!</definedName>
    <definedName name="ььь" localSheetId="24">#REF!</definedName>
    <definedName name="ьььььььььььь" localSheetId="24">#REF!</definedName>
    <definedName name="эээээ" localSheetId="24">#REF!</definedName>
    <definedName name="ююююю" localSheetId="24">#REF!</definedName>
    <definedName name="юююююююююю" localSheetId="24">#REF!</definedName>
    <definedName name="я" localSheetId="24">#REF!</definedName>
    <definedName name="яяя" localSheetId="24">#REF!</definedName>
    <definedName name="กหเหเ" localSheetId="24">#REF!</definedName>
    <definedName name="กำไรขาดทุน" localSheetId="24">#REF!</definedName>
    <definedName name="ทรัพย์สิน" localSheetId="24">#REF!</definedName>
    <definedName name="พพพพ" localSheetId="24">#REF!</definedName>
    <definedName name="ฟ" localSheetId="24">#REF!</definedName>
    <definedName name="ฟฟ" localSheetId="24">#REF!</definedName>
    <definedName name="วววว" localSheetId="24">#REF!</definedName>
    <definedName name="ส่วนแบ่งตลาด" localSheetId="24">#REF!</definedName>
    <definedName name="สสสสส" localSheetId="24">#REF!</definedName>
    <definedName name="หนี้สินและทุน" localSheetId="24">#REF!</definedName>
    <definedName name="หหก" localSheetId="24">#REF!</definedName>
    <definedName name="อายุลูกหนี้" localSheetId="24">#REF!</definedName>
    <definedName name="AS2TickmarkLS" localSheetId="25" hidden="1">#REF!</definedName>
    <definedName name="XREF_COLUMN_10" localSheetId="25" hidden="1">#REF!</definedName>
    <definedName name="XREF_COLUMN_14" localSheetId="25" hidden="1">#REF!</definedName>
    <definedName name="XREF_COLUMN_3" localSheetId="25" hidden="1">#REF!</definedName>
    <definedName name="XREF_COLUMN_4" localSheetId="25" hidden="1">#REF!</definedName>
    <definedName name="XREF_COLUMN_5" localSheetId="25" hidden="1">#REF!</definedName>
    <definedName name="XREF_COLUMN_6" localSheetId="25" hidden="1">#REF!</definedName>
    <definedName name="XREF_COLUMN_7" localSheetId="25" hidden="1">#REF!</definedName>
    <definedName name="XRefCopy1" localSheetId="25" hidden="1">#REF!</definedName>
    <definedName name="XRefCopy2" localSheetId="25" hidden="1">#REF!</definedName>
    <definedName name="XRefCopy3" localSheetId="25" hidden="1">#REF!</definedName>
    <definedName name="XRefCopy4" localSheetId="25" hidden="1">#REF!</definedName>
    <definedName name="XRefCopy5" localSheetId="25" hidden="1">#REF!</definedName>
    <definedName name="XRefCopy6" localSheetId="25" hidden="1">#REF!</definedName>
    <definedName name="XRefCopy6Row" localSheetId="25" hidden="1">#REF!</definedName>
    <definedName name="XRefCopy7" localSheetId="25" hidden="1">#REF!</definedName>
    <definedName name="XRefCopy8" localSheetId="25" hidden="1">#REF!</definedName>
    <definedName name="XRefCopy9" localSheetId="25" hidden="1">#REF!</definedName>
    <definedName name="XRefCopy9Row" localSheetId="25" hidden="1">#REF!</definedName>
    <definedName name="XRefPaste10" localSheetId="25" hidden="1">#REF!</definedName>
    <definedName name="XRefPaste11" localSheetId="25" hidden="1">#REF!</definedName>
    <definedName name="XRefPaste12" localSheetId="25" hidden="1">#REF!</definedName>
    <definedName name="XRefPaste13" localSheetId="25" hidden="1">#REF!</definedName>
    <definedName name="XRefPaste16" localSheetId="25" hidden="1">#REF!</definedName>
    <definedName name="XRefPaste17" localSheetId="25" hidden="1">#REF!</definedName>
    <definedName name="XRefPaste18" localSheetId="25" hidden="1">#REF!</definedName>
    <definedName name="XRefPaste2" localSheetId="25" hidden="1">#REF!</definedName>
    <definedName name="XRefPaste5" localSheetId="25" hidden="1">#REF!</definedName>
    <definedName name="XRefPaste6" localSheetId="25" hidden="1">#REF!</definedName>
    <definedName name="XRefPaste7" localSheetId="25" hidden="1">#REF!</definedName>
    <definedName name="XRefPaste8" localSheetId="25" hidden="1">#REF!</definedName>
    <definedName name="XRefPaste9" localSheetId="25" hidden="1">#REF!</definedName>
    <definedName name="_Fill" localSheetId="26" hidden="1">#REF!</definedName>
    <definedName name="_Key1" localSheetId="26" hidden="1">#REF!</definedName>
    <definedName name="_Parse_In" localSheetId="26" hidden="1">#REF!</definedName>
    <definedName name="_Parse_Out" localSheetId="26" hidden="1">#REF!</definedName>
    <definedName name="_Sort" localSheetId="26" hidden="1">#REF!</definedName>
    <definedName name="aa" localSheetId="26" hidden="1">#REF!</definedName>
    <definedName name="AS2TickmarkLS" localSheetId="26" hidden="1">#REF!</definedName>
    <definedName name="BG" localSheetId="26" hidden="1">#REF!</definedName>
    <definedName name="DD" localSheetId="26" hidden="1">{"'Test'!$B$2:$H$6","'Test'!$B$2:$H$23"}</definedName>
    <definedName name="EndDate" localSheetId="26" hidden="1">#REF!</definedName>
    <definedName name="h" localSheetId="26" hidden="1">#REF!</definedName>
    <definedName name="hkj" localSheetId="26" hidden="1">#REF!</definedName>
    <definedName name="HTML_Control" localSheetId="26" hidden="1">{"'Test'!$B$2:$H$6","'Test'!$B$2:$H$23"}</definedName>
    <definedName name="HTML_Header" localSheetId="26" hidden="1">"Test"</definedName>
    <definedName name="HTML_LastUpdate" localSheetId="26" hidden="1">"6/7/00"</definedName>
    <definedName name="HTML_Name" localSheetId="26" hidden="1">"CP-GROUP"</definedName>
    <definedName name="HTML_PathFile" localSheetId="26" hidden="1">"C:\SummO\MyHTML.htm"</definedName>
    <definedName name="HTML_Title" localSheetId="26" hidden="1">"Agrot"</definedName>
    <definedName name="IQ_NAMES_REVISION_DATE_" localSheetId="26" hidden="1">42208.4884143519</definedName>
    <definedName name="vbhn" localSheetId="26" hidden="1">#REF!</definedName>
    <definedName name="we" localSheetId="26" hidden="1">#REF!</definedName>
    <definedName name="XREF_COLUMN_10" localSheetId="26" hidden="1">#REF!</definedName>
    <definedName name="XREF_COLUMN_14" localSheetId="26" hidden="1">#REF!</definedName>
    <definedName name="XREF_COLUMN_3" localSheetId="26" hidden="1">#REF!</definedName>
    <definedName name="XREF_COLUMN_4" localSheetId="26" hidden="1">#REF!</definedName>
    <definedName name="XRefCopy1" localSheetId="26" hidden="1">#REF!</definedName>
    <definedName name="XRefCopy2" localSheetId="26" hidden="1">#REF!</definedName>
    <definedName name="XRefCopy3" localSheetId="26" hidden="1">#REF!</definedName>
    <definedName name="XRefCopy9Row" localSheetId="26" hidden="1">#REF!</definedName>
    <definedName name="XRefPaste10" localSheetId="26" hidden="1">#REF!</definedName>
    <definedName name="XRefPaste11" localSheetId="26" hidden="1">#REF!</definedName>
    <definedName name="XRefPaste12" localSheetId="26" hidden="1">#REF!</definedName>
    <definedName name="_Fill" localSheetId="27" hidden="1">#REF!</definedName>
    <definedName name="_Key1" localSheetId="27" hidden="1">#REF!</definedName>
    <definedName name="_Parse_In" localSheetId="27" hidden="1">#REF!</definedName>
    <definedName name="_Parse_Out" localSheetId="27" hidden="1">#REF!</definedName>
    <definedName name="_Sort" localSheetId="27" hidden="1">#REF!</definedName>
    <definedName name="aa" localSheetId="27" hidden="1">#REF!</definedName>
    <definedName name="AS2TickmarkLS" localSheetId="27" hidden="1">#REF!</definedName>
    <definedName name="BG" localSheetId="27" hidden="1">#REF!</definedName>
    <definedName name="DD" localSheetId="27" hidden="1">{"'Test'!$B$2:$H$6","'Test'!$B$2:$H$23"}</definedName>
    <definedName name="EndDate" localSheetId="27" hidden="1">#REF!</definedName>
    <definedName name="h" localSheetId="27" hidden="1">#REF!</definedName>
    <definedName name="hkj" localSheetId="27" hidden="1">#REF!</definedName>
    <definedName name="HTML_Control" localSheetId="27" hidden="1">{"'Test'!$B$2:$H$6","'Test'!$B$2:$H$23"}</definedName>
    <definedName name="HTML_Header" localSheetId="27" hidden="1">"Test"</definedName>
    <definedName name="HTML_LastUpdate" localSheetId="27" hidden="1">"6/7/00"</definedName>
    <definedName name="HTML_Name" localSheetId="27" hidden="1">"CP-GROUP"</definedName>
    <definedName name="HTML_PathFile" localSheetId="27" hidden="1">"C:\SummO\MyHTML.htm"</definedName>
    <definedName name="HTML_Title" localSheetId="27" hidden="1">"Agrot"</definedName>
    <definedName name="IQ_NAMES_REVISION_DATE_" localSheetId="27" hidden="1">42208.4884143519</definedName>
    <definedName name="vbhn" localSheetId="27" hidden="1">#REF!</definedName>
    <definedName name="we" localSheetId="27" hidden="1">#REF!</definedName>
    <definedName name="XREF_COLUMN_10" localSheetId="27" hidden="1">#REF!</definedName>
    <definedName name="XREF_COLUMN_14" localSheetId="27" hidden="1">#REF!</definedName>
    <definedName name="XREF_COLUMN_3" localSheetId="27" hidden="1">#REF!</definedName>
    <definedName name="XREF_COLUMN_4" localSheetId="27" hidden="1">#REF!</definedName>
    <definedName name="XREF_COLUMN_5" localSheetId="27" hidden="1">#REF!</definedName>
    <definedName name="XREF_COLUMN_6" localSheetId="27" hidden="1">#REF!</definedName>
    <definedName name="XREF_COLUMN_7" localSheetId="27" hidden="1">#REF!</definedName>
    <definedName name="XRefCopy1" localSheetId="27" hidden="1">#REF!</definedName>
    <definedName name="XRefCopy2" localSheetId="27" hidden="1">#REF!</definedName>
    <definedName name="XRefCopy3" localSheetId="27" hidden="1">#REF!</definedName>
    <definedName name="XRefCopy4" localSheetId="27" hidden="1">#REF!</definedName>
    <definedName name="XRefCopy5" localSheetId="27" hidden="1">#REF!</definedName>
    <definedName name="XRefCopy6" localSheetId="27" hidden="1">#REF!</definedName>
    <definedName name="XRefCopy6Row" localSheetId="27" hidden="1">#REF!</definedName>
    <definedName name="XRefCopy7" localSheetId="27" hidden="1">#REF!</definedName>
    <definedName name="XRefCopy8" localSheetId="27" hidden="1">#REF!</definedName>
    <definedName name="XRefCopy9" localSheetId="27" hidden="1">#REF!</definedName>
    <definedName name="XRefCopy9Row" localSheetId="27" hidden="1">#REF!</definedName>
    <definedName name="XRefPaste10" localSheetId="27" hidden="1">#REF!</definedName>
    <definedName name="XRefPaste11" localSheetId="27" hidden="1">#REF!</definedName>
    <definedName name="XRefPaste12" localSheetId="27" hidden="1">#REF!</definedName>
    <definedName name="XRefPaste13" localSheetId="27" hidden="1">#REF!</definedName>
    <definedName name="XRefPaste16" localSheetId="27" hidden="1">#REF!</definedName>
    <definedName name="XRefPaste17" localSheetId="27" hidden="1">#REF!</definedName>
    <definedName name="XRefPaste18" localSheetId="27" hidden="1">#REF!</definedName>
    <definedName name="XRefPaste2" localSheetId="27" hidden="1">#REF!</definedName>
    <definedName name="XRefPaste5" localSheetId="27" hidden="1">#REF!</definedName>
    <definedName name="XRefPaste6" localSheetId="27" hidden="1">#REF!</definedName>
    <definedName name="XRefPaste7" localSheetId="27" hidden="1">#REF!</definedName>
    <definedName name="XRefPaste8" localSheetId="27" hidden="1">#REF!</definedName>
    <definedName name="XRefPaste9" localSheetId="27" hidden="1">#REF!</definedName>
  </definedNames>
  <calcPr calcId="191029" fullCalcOnLoad="1"/>
  <pivotCaches>
    <pivotCache xmlns:r="http://schemas.openxmlformats.org/officeDocument/2006/relationships" cacheId="0" r:id="rId29"/>
  </pivotCaches>
</workbook>
</file>

<file path=xl/styles.xml><?xml version="1.0" encoding="utf-8"?>
<styleSheet xmlns="http://schemas.openxmlformats.org/spreadsheetml/2006/main">
  <numFmts count="65">
    <numFmt numFmtId="164" formatCode="_(* #,##0_);_(* \(#,##0\);_(* &quot;-&quot;??_);_(@_)"/>
    <numFmt numFmtId="165" formatCode="_(* #,##0.0_);_(* \(#,##0.0\);_(* &quot;-&quot;??_);_(@_)"/>
    <numFmt numFmtId="166" formatCode="_-* #,##0.00\ _р_._-;\-* #,##0.00\ _р_._-;_-* &quot;-&quot;??\ _р_._-;_-@_-"/>
    <numFmt numFmtId="167" formatCode="#,##0.0"/>
    <numFmt numFmtId="168" formatCode="#,##0.0_);\(#,##0.0\)"/>
    <numFmt numFmtId="169" formatCode="_-* #,##0.00_-;\-* #,##0.00_-;_-* &quot;-&quot;??_-;_-@_-"/>
    <numFmt numFmtId="170" formatCode="dd\.mm\.yyyy;@"/>
    <numFmt numFmtId="171" formatCode="_(* #,##0_);_(* \(#,##0\);_(* &quot;-&quot;???_);_(@_)"/>
    <numFmt numFmtId="172" formatCode="_-* #,##0_р_._-;\-* #,##0_р_._-;_-* &quot;-&quot;??_р_._-;_-@_-"/>
    <numFmt numFmtId="173" formatCode="_(* #,##0_);[Red]_(* \(#,##0\);_(* &quot;-&quot;??_);_(@_)"/>
    <numFmt numFmtId="174" formatCode="_(* #,##0,;[Red]_(* \(#,##0,\);_(* &quot;-&quot;??_);_(@_)"/>
    <numFmt numFmtId="175" formatCode="_(* #,##0.0000000_);_(* \(#,##0.0000000\);_(* &quot;-&quot;??_);_(@_)"/>
    <numFmt numFmtId="176" formatCode="_(* #,##0.000_);_(* \(#,##0.000\);_(* &quot;-&quot;??_);_(@_)"/>
    <numFmt numFmtId="177" formatCode="_-* #,##0.0\ _₽_-;\-* #,##0.0\ _₽_-;_-* &quot;-&quot;?\ _₽_-;_-@_-"/>
    <numFmt numFmtId="178" formatCode="0.0%"/>
    <numFmt numFmtId="179" formatCode="General_)"/>
    <numFmt numFmtId="180" formatCode="_-* #,##0\ _р_._-;\-* #,##0\ _р_._-;_-* &quot;-&quot;??\ _р_._-;_-@_-"/>
    <numFmt numFmtId="181" formatCode="_-* #,##0.00000000000\ _р_._-;\-* #,##0.00000000000\ _р_._-;_-* &quot;-&quot;??\ _р_._-;_-@_-"/>
    <numFmt numFmtId="182" formatCode="#,##0_ ;\-#,##0\ "/>
    <numFmt numFmtId="183" formatCode="dd\/mm\/yy"/>
    <numFmt numFmtId="184" formatCode="_-* #,##0.0\ _₽_-;\-* #,##0.0\ _₽_-;_-* &quot;-&quot;??\ _₽_-;_-@_-"/>
    <numFmt numFmtId="185" formatCode="dd\.mm\.yyyy"/>
    <numFmt numFmtId="186" formatCode="#,##0.000"/>
    <numFmt numFmtId="187" formatCode="0.0"/>
    <numFmt numFmtId="188" formatCode="#,##0.0;\-#,##0.0"/>
    <numFmt numFmtId="189" formatCode="_-* #,##0.0\ _р_._-;\-* #,##0.0\ _р_._-;_-* &quot;-&quot;??\ _р_._-;_-@_-"/>
    <numFmt numFmtId="190" formatCode="_-* #,##0_-;\-* #,##0_-;_-* &quot;-&quot;??_-;_-@_-"/>
    <numFmt numFmtId="191" formatCode="_ [$¥-804]* #,##0.00_ ;_ [$¥-804]* \-#,##0.00_ ;_ [$¥-804]* &quot;-&quot;??_ ;_ @_ "/>
    <numFmt numFmtId="192" formatCode="_(* #,##0.0000_);_(* \(#,##0.0000\);_(* &quot;-&quot;??_);_(@_)"/>
    <numFmt numFmtId="193" formatCode="#,##0;[Red]#,##0"/>
    <numFmt numFmtId="194" formatCode="#,##0.0000000000000"/>
    <numFmt numFmtId="195" formatCode="#,##0.00000000000000"/>
    <numFmt numFmtId="196" formatCode="mm/yyyy"/>
    <numFmt numFmtId="197" formatCode="yyyy"/>
    <numFmt numFmtId="198" formatCode="_-* #,##0.000_-;\-* #,##0.000_-;_-* &quot;-&quot;??_-;_-@_-"/>
    <numFmt numFmtId="199" formatCode="_-* #,##0_-;\-* #,##0_-;_-* &quot;-&quot;_-;_-@_-"/>
    <numFmt numFmtId="200" formatCode="_-* #,##0.00_р_._-;\-* #,##0.00_р_._-;_-* &quot;-&quot;??_р_._-;_-@_-"/>
    <numFmt numFmtId="201" formatCode="_-* #,##0.00\ _₽_-;\-* #,##0.00\ _₽_-;_-* &quot;-&quot;??\ _₽_-;_-@_-"/>
    <numFmt numFmtId="202" formatCode="_ * #,##0_ ;_ * \-#,##0_ ;_ * &quot;-&quot;_ ;_ @_ "/>
    <numFmt numFmtId="203" formatCode="_ * #,##0.00_ ;_ * \-#,##0.00_ ;_ * &quot;-&quot;??_ ;_ @_ "/>
    <numFmt numFmtId="204" formatCode="\t&quot;$&quot;#,##0_);[Red]\(\t&quot;$&quot;#,##0\)"/>
    <numFmt numFmtId="205" formatCode="\t&quot;฿&quot;#,##0_);[Red]\(\t&quot;฿&quot;#,##0\)"/>
    <numFmt numFmtId="206" formatCode="_-* #,##0_р_._-;\-* #,##0_р_._-;_-* &quot;-&quot;_р_._-;_-@_-"/>
    <numFmt numFmtId="207" formatCode="_-* #,##0\ _T_L_-;\-* #,##0\ _T_L_-;_-* &quot;-&quot;\ _T_L_-;_-@_-"/>
    <numFmt numFmtId="208" formatCode="#,##0\ \ ;\(#,##0\)\ ;\—\ \ \ \ "/>
    <numFmt numFmtId="209" formatCode="0.00_)"/>
    <numFmt numFmtId="210" formatCode="[$-1070000]d/m/yy;@"/>
    <numFmt numFmtId="211" formatCode="#,##0.000;[Red]\-#,##0.000"/>
    <numFmt numFmtId="212" formatCode="#,##0.00;[Red]\(#,##0.000\)"/>
    <numFmt numFmtId="213" formatCode="#,##0;[Red]\(#,##0\)"/>
    <numFmt numFmtId="214" formatCode="_(&quot;฿&quot;* #,##0.00_);_(&quot;฿&quot;* \(#,##0.00\);_(&quot;฿&quot;* &quot;-&quot;??_);_(@_)"/>
    <numFmt numFmtId="215" formatCode="_-&quot;฿&quot;* #,##0.00_-;\-&quot;฿&quot;* #,##0.00_-;_-&quot;฿&quot;* &quot;-&quot;??_-;_-@_-"/>
    <numFmt numFmtId="216" formatCode="#,##0.0000"/>
    <numFmt numFmtId="217" formatCode="dd\-mmm\-yy_)"/>
    <numFmt numFmtId="218" formatCode="#,##0.00\ &quot;F&quot;;\-#,##0.00\ &quot;F&quot;"/>
    <numFmt numFmtId="219" formatCode="\$#,##0\ ;\(\$#,##0\)"/>
    <numFmt numFmtId="220" formatCode="#,##0\ &quot; &quot;;\(#,##0\)\ ;&quot;—&quot;&quot; &quot;&quot; &quot;&quot; &quot;&quot; &quot;"/>
    <numFmt numFmtId="221" formatCode="#,##0.0000_);[Red]\(#,##0.0000\)"/>
    <numFmt numFmtId="222" formatCode="&quot;฿&quot;#,##0;\-&quot;฿&quot;#,##0"/>
    <numFmt numFmtId="223" formatCode="&quot;฿&quot;#,##0_);\(&quot;฿&quot;#,##0\)"/>
    <numFmt numFmtId="224" formatCode="&quot;\&quot;#,##0;[Red]&quot;\&quot;&quot;\&quot;\-#,##0"/>
    <numFmt numFmtId="225" formatCode="&quot;\&quot;#,##0.00;[Red]&quot;\&quot;\-#,##0.00"/>
    <numFmt numFmtId="226" formatCode="&quot;\&quot;#,##0;[Red]&quot;\&quot;\-#,##0"/>
    <numFmt numFmtId="227" formatCode="#,##0.00000_);\(#,##0.00000\)"/>
    <numFmt numFmtId="228" formatCode="&quot;$&quot;#,##0;[Red]\-&quot;$&quot;#,##0"/>
  </numFmts>
  <fonts count="36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color theme="1"/>
      <sz val="12"/>
    </font>
    <font>
      <name val="Arial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CC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  <font>
      <name val="Arial"/>
      <family val="2"/>
      <b val="1"/>
      <color rgb="FF0000CC"/>
      <sz val="12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2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sz val="10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rgb="FF0000CC"/>
      <sz val="11"/>
      <scheme val="minor"/>
    </font>
    <font>
      <name val="Arial"/>
      <charset val="204"/>
      <family val="2"/>
      <b val="1"/>
      <sz val="14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i val="1"/>
      <color rgb="FF0000FF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i val="1"/>
      <color theme="1"/>
      <sz val="16"/>
      <scheme val="minor"/>
    </font>
    <font>
      <name val="Calibri"/>
      <family val="2"/>
      <b val="1"/>
      <i val="1"/>
      <color theme="1"/>
      <sz val="16"/>
      <scheme val="minor"/>
    </font>
    <font>
      <name val="Calibri"/>
      <family val="2"/>
      <b val="1"/>
      <i val="1"/>
      <color theme="1"/>
      <sz val="18"/>
      <scheme val="minor"/>
    </font>
    <font>
      <name val="Calibri"/>
      <charset val="204"/>
      <family val="2"/>
      <color rgb="FF0000CC"/>
      <sz val="11"/>
      <scheme val="minor"/>
    </font>
    <font>
      <name val="Calibri"/>
      <family val="2"/>
      <i val="1"/>
      <color rgb="FF0000CC"/>
      <sz val="11"/>
      <scheme val="minor"/>
    </font>
    <font>
      <name val="Arial"/>
      <family val="2"/>
      <b val="1"/>
      <color theme="1"/>
      <sz val="18"/>
    </font>
    <font>
      <name val="BrowalliaUPC"/>
      <family val="2"/>
      <sz val="14"/>
    </font>
    <font>
      <name val="Tahoma"/>
      <charset val="204"/>
      <family val="2"/>
      <b val="1"/>
      <sz val="10"/>
    </font>
    <font>
      <name val="Tahoma"/>
      <family val="2"/>
      <b val="1"/>
      <sz val="10"/>
    </font>
    <font>
      <name val="Cordia New"/>
      <family val="2"/>
      <sz val="14"/>
    </font>
    <font>
      <name val="Tahoma"/>
      <charset val="222"/>
      <family val="2"/>
      <sz val="10"/>
    </font>
    <font>
      <name val="Tahoma"/>
      <charset val="204"/>
      <family val="2"/>
      <sz val="10"/>
    </font>
    <font>
      <name val="Arial"/>
      <charset val="222"/>
      <family val="2"/>
      <sz val="10"/>
    </font>
    <font>
      <name val="Tahoma"/>
      <charset val="222"/>
      <family val="2"/>
      <b val="1"/>
      <sz val="10"/>
    </font>
    <font>
      <name val="Arial"/>
      <charset val="222"/>
      <family val="2"/>
      <b val="1"/>
      <sz val="10"/>
    </font>
    <font>
      <name val="Arial"/>
      <charset val="204"/>
      <family val="2"/>
      <b val="1"/>
      <sz val="10"/>
    </font>
    <font>
      <name val="Angsana New"/>
      <charset val="222"/>
      <family val="1"/>
      <b val="1"/>
      <sz val="10"/>
    </font>
    <font>
      <name val="Angsana New"/>
      <charset val="222"/>
      <family val="1"/>
      <sz val="10"/>
    </font>
    <font>
      <name val="Angsana New"/>
      <charset val="204"/>
      <family val="1"/>
      <sz val="10"/>
    </font>
    <font>
      <name val="新細明體"/>
      <charset val="136"/>
      <family val="1"/>
      <color indexed="8"/>
      <sz val="11"/>
    </font>
    <font>
      <name val="Arial"/>
      <family val="2"/>
      <b val="1"/>
      <sz val="11"/>
    </font>
    <font>
      <name val="Arial"/>
      <family val="2"/>
      <b val="1"/>
      <color theme="0"/>
      <sz val="11"/>
    </font>
    <font>
      <name val="Arial"/>
      <family val="2"/>
      <b val="1"/>
      <i val="1"/>
      <sz val="11"/>
    </font>
    <font>
      <name val="Arial"/>
      <family val="2"/>
      <b val="1"/>
      <color rgb="FF002060"/>
      <sz val="11"/>
    </font>
    <font>
      <name val="Calibri"/>
      <charset val="204"/>
      <family val="2"/>
      <sz val="11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i val="1"/>
      <color rgb="FFFF000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5" tint="-0.249977111117893"/>
      <sz val="11"/>
      <scheme val="minor"/>
    </font>
    <font>
      <name val="Calibri"/>
      <charset val="204"/>
      <family val="2"/>
      <color theme="1"/>
      <sz val="11"/>
      <u val="single"/>
      <scheme val="minor"/>
    </font>
    <font>
      <name val="Calibri"/>
      <charset val="204"/>
      <family val="2"/>
      <b val="1"/>
      <sz val="11"/>
      <scheme val="minor"/>
    </font>
    <font>
      <name val="Calibri"/>
      <family val="2"/>
      <i val="1"/>
      <color theme="1"/>
      <sz val="8"/>
      <scheme val="minor"/>
    </font>
    <font>
      <name val="Calibri"/>
      <family val="2"/>
      <i val="1"/>
      <color theme="0" tint="-0.249977111117893"/>
      <sz val="8"/>
      <scheme val="minor"/>
    </font>
    <font>
      <name val="Calibri"/>
      <family val="2"/>
      <i val="1"/>
      <sz val="8"/>
      <scheme val="minor"/>
    </font>
    <font>
      <name val="Calibri"/>
      <charset val="204"/>
      <family val="2"/>
      <b val="1"/>
      <i val="1"/>
      <sz val="10"/>
      <scheme val="minor"/>
    </font>
    <font>
      <name val="Calibri"/>
      <charset val="204"/>
      <family val="2"/>
      <color rgb="FF0033CC"/>
      <sz val="11"/>
      <scheme val="minor"/>
    </font>
    <font>
      <name val="Calibri"/>
      <family val="2"/>
      <color rgb="FF003399"/>
      <sz val="11"/>
      <scheme val="minor"/>
    </font>
    <font>
      <name val="Calibri"/>
      <charset val="204"/>
      <family val="2"/>
      <color rgb="FF003399"/>
      <sz val="11"/>
      <scheme val="minor"/>
    </font>
    <font>
      <name val="Calibri"/>
      <charset val="204"/>
      <family val="2"/>
      <sz val="10"/>
      <scheme val="minor"/>
    </font>
    <font>
      <name val="Calibri"/>
      <charset val="204"/>
      <family val="2"/>
      <sz val="10"/>
      <u val="single"/>
      <scheme val="minor"/>
    </font>
    <font>
      <name val="Calibri"/>
      <charset val="204"/>
      <family val="2"/>
      <sz val="10"/>
      <u val="singleAccounting"/>
      <scheme val="minor"/>
    </font>
    <font>
      <name val="Calibri"/>
      <family val="2"/>
      <b val="1"/>
      <sz val="10"/>
      <scheme val="minor"/>
    </font>
    <font>
      <name val="Calibri"/>
      <charset val="204"/>
      <family val="2"/>
      <b val="1"/>
      <sz val="10"/>
      <scheme val="minor"/>
    </font>
    <font>
      <name val="Calibri"/>
      <charset val="204"/>
      <family val="2"/>
      <color rgb="FF003399"/>
      <sz val="10"/>
      <scheme val="minor"/>
    </font>
    <font>
      <name val="Calibri"/>
      <family val="2"/>
      <b val="1"/>
      <color rgb="FF003399"/>
      <sz val="10"/>
      <scheme val="minor"/>
    </font>
    <font>
      <name val="Arial"/>
      <family val="2"/>
      <b val="1"/>
      <color theme="0"/>
      <sz val="14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b val="1"/>
      <color rgb="FF002060"/>
      <sz val="14"/>
    </font>
    <font>
      <name val="Arial"/>
      <family val="2"/>
      <b val="1"/>
      <sz val="12"/>
    </font>
    <font>
      <name val="Arial"/>
      <family val="2"/>
      <b val="1"/>
      <i val="1"/>
      <color theme="0"/>
      <sz val="11"/>
    </font>
    <font>
      <name val="Calibri"/>
      <charset val="204"/>
      <family val="2"/>
      <color theme="0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8"/>
      <scheme val="minor"/>
    </font>
    <font>
      <name val="Calibri"/>
      <family val="2"/>
      <i val="1"/>
      <color theme="0" tint="-0.49998474074526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0" tint="-0.249977111117893"/>
      <sz val="11"/>
      <scheme val="minor"/>
    </font>
    <font>
      <name val="Calibri"/>
      <charset val="204"/>
      <family val="2"/>
      <color theme="0" tint="-0.3499862666707358"/>
      <sz val="11"/>
      <scheme val="minor"/>
    </font>
    <font>
      <name val="Calibri"/>
      <family val="2"/>
      <b val="1"/>
      <color theme="0" tint="-0.3499862666707358"/>
      <sz val="11"/>
      <scheme val="minor"/>
    </font>
    <font>
      <name val="Tahoma"/>
      <charset val="204"/>
      <family val="2"/>
      <b val="1"/>
      <color indexed="81"/>
      <sz val="9"/>
    </font>
    <font>
      <name val="Arial"/>
      <family val="2"/>
      <b val="1"/>
      <i val="1"/>
      <sz val="18"/>
    </font>
    <font>
      <name val="Arial"/>
      <family val="2"/>
      <sz val="10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0"/>
      <sz val="11"/>
      <scheme val="minor"/>
    </font>
    <font>
      <name val="Calibri"/>
      <charset val="162"/>
      <family val="2"/>
      <i val="1"/>
      <color rgb="FF7F7F7F"/>
      <sz val="11"/>
      <scheme val="minor"/>
    </font>
    <font>
      <name val="Calibri"/>
      <charset val="162"/>
      <family val="2"/>
      <b val="1"/>
      <color theme="3"/>
      <sz val="15"/>
      <scheme val="minor"/>
    </font>
    <font>
      <name val="Calibri"/>
      <charset val="162"/>
      <family val="2"/>
      <b val="1"/>
      <color theme="3"/>
      <sz val="13"/>
      <scheme val="minor"/>
    </font>
    <font>
      <name val="Calibri"/>
      <charset val="162"/>
      <family val="2"/>
      <b val="1"/>
      <color theme="3"/>
      <sz val="11"/>
      <scheme val="minor"/>
    </font>
    <font>
      <name val="Calibri Light"/>
      <charset val="162"/>
      <family val="2"/>
      <b val="1"/>
      <color theme="3"/>
      <sz val="18"/>
      <scheme val="major"/>
    </font>
    <font>
      <name val="Arial"/>
      <charset val="162"/>
      <family val="2"/>
      <sz val="10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3"/>
      <sz val="11"/>
      <scheme val="minor"/>
    </font>
    <font>
      <name val="Calibri"/>
      <charset val="204"/>
      <family val="2"/>
      <color indexed="8"/>
      <sz val="11"/>
    </font>
    <font>
      <name val="Calibri"/>
      <charset val="204"/>
      <family val="2"/>
      <sz val="8"/>
      <scheme val="minor"/>
    </font>
    <font>
      <name val="Arial"/>
      <family val="2"/>
      <b val="1"/>
      <i val="1"/>
      <sz val="12"/>
    </font>
    <font>
      <name val="Arial"/>
      <family val="2"/>
      <b val="1"/>
      <color rgb="FF002060"/>
      <sz val="12"/>
    </font>
    <font>
      <name val="Arial"/>
      <family val="2"/>
      <b val="1"/>
      <color rgb="FFC00000"/>
      <sz val="14"/>
    </font>
    <font>
      <name val="Arial"/>
      <family val="2"/>
      <sz val="14"/>
    </font>
    <font>
      <name val="Arial"/>
      <family val="2"/>
      <sz val="11"/>
    </font>
    <font>
      <name val="Arial"/>
      <family val="2"/>
      <color rgb="FF002060"/>
      <sz val="14"/>
    </font>
    <font>
      <name val="Arial"/>
      <family val="2"/>
      <b val="1"/>
      <sz val="16"/>
    </font>
    <font>
      <name val="Calibri"/>
      <family val="2"/>
      <b val="1"/>
      <color theme="1"/>
      <sz val="12"/>
      <scheme val="minor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color rgb="FF0033CC"/>
      <sz val="9"/>
    </font>
    <font>
      <name val="Arial"/>
      <family val="2"/>
      <color rgb="FF0070C0"/>
      <sz val="9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????"/>
      <charset val="222"/>
      <family val="1"/>
      <color indexed="20"/>
      <sz val="11"/>
    </font>
    <font>
      <name val="????"/>
      <charset val="222"/>
      <family val="1"/>
      <color indexed="60"/>
      <sz val="11"/>
    </font>
    <font>
      <name val="????"/>
      <charset val="136"/>
      <family val="1"/>
      <b val="1"/>
      <color indexed="56"/>
      <sz val="15"/>
    </font>
    <font>
      <name val="????"/>
      <charset val="136"/>
      <family val="1"/>
      <b val="1"/>
      <color indexed="56"/>
      <sz val="13"/>
    </font>
    <font>
      <name val="????"/>
      <charset val="136"/>
      <family val="1"/>
      <b val="1"/>
      <color indexed="56"/>
      <sz val="11"/>
    </font>
    <font>
      <name val="??"/>
      <charset val="134"/>
      <family val="2"/>
      <color indexed="12"/>
      <sz val="12"/>
      <u val="single"/>
    </font>
    <font>
      <name val="????"/>
      <charset val="222"/>
      <family val="1"/>
      <color indexed="52"/>
      <sz val="11"/>
    </font>
    <font>
      <name val="Helv"/>
      <charset val="222"/>
      <family val="2"/>
      <sz val="10"/>
    </font>
    <font>
      <name val="????"/>
      <charset val="136"/>
      <family val="1"/>
      <color indexed="52"/>
      <sz val="12"/>
    </font>
    <font>
      <name val="????"/>
      <charset val="222"/>
      <family val="1"/>
      <color indexed="9"/>
      <sz val="11"/>
    </font>
    <font>
      <name val="Times New Roman"/>
      <charset val="222"/>
      <family val="1"/>
      <sz val="12"/>
    </font>
    <font>
      <name val="??"/>
      <charset val="134"/>
      <sz val="12"/>
    </font>
    <font>
      <name val="????"/>
      <charset val="136"/>
      <family val="1"/>
      <color indexed="9"/>
      <sz val="12"/>
    </font>
    <font>
      <name val="Helv"/>
      <family val="2"/>
      <sz val="10"/>
    </font>
    <font>
      <name val="AngsanaUPC"/>
      <charset val="222"/>
      <family val="1"/>
      <sz val="14"/>
    </font>
    <font>
      <name val="AngsanaUPC"/>
      <family val="1"/>
      <sz val="14"/>
    </font>
    <font>
      <name val="Times New Roman"/>
      <family val="1"/>
      <sz val="12"/>
    </font>
    <font>
      <name val="Cordia New"/>
      <charset val="222"/>
      <family val="2"/>
      <sz val="14"/>
    </font>
    <font>
      <name val="????"/>
      <charset val="222"/>
      <family val="1"/>
      <color indexed="8"/>
      <sz val="11"/>
    </font>
    <font>
      <name val="????"/>
      <charset val="136"/>
      <family val="1"/>
      <color indexed="8"/>
      <sz val="12"/>
    </font>
    <font>
      <name val="Calibri"/>
      <family val="2"/>
      <color indexed="8"/>
      <sz val="11"/>
    </font>
    <font>
      <name val="Tahoma"/>
      <charset val="222"/>
      <family val="2"/>
      <color indexed="8"/>
      <sz val="11"/>
    </font>
    <font>
      <name val="Calibri"/>
      <charset val="222"/>
      <family val="2"/>
      <color theme="1"/>
      <sz val="11"/>
      <scheme val="minor"/>
    </font>
    <font>
      <name val="Tahoma"/>
      <family val="2"/>
      <color indexed="8"/>
      <sz val="11"/>
    </font>
    <font>
      <name val="宋体"/>
      <charset val="134"/>
      <color indexed="8"/>
      <sz val="11"/>
    </font>
    <font>
      <name val="新細明體"/>
      <family val="1"/>
      <color indexed="8"/>
      <sz val="11"/>
    </font>
    <font>
      <name val="新細明體"/>
      <charset val="136"/>
      <family val="1"/>
      <color indexed="8"/>
      <sz val="12"/>
    </font>
    <font>
      <name val="Calibri"/>
      <family val="2"/>
      <color indexed="9"/>
      <sz val="11"/>
    </font>
    <font>
      <name val="Tahoma"/>
      <charset val="222"/>
      <family val="2"/>
      <color indexed="9"/>
      <sz val="11"/>
    </font>
    <font>
      <name val="Tahoma"/>
      <family val="2"/>
      <color indexed="9"/>
      <sz val="11"/>
    </font>
    <font>
      <name val="宋体"/>
      <charset val="134"/>
      <color indexed="9"/>
      <sz val="11"/>
    </font>
    <font>
      <name val="新細明體"/>
      <family val="1"/>
      <color indexed="9"/>
      <sz val="11"/>
    </font>
    <font>
      <name val="新細明體"/>
      <charset val="136"/>
      <family val="1"/>
      <color indexed="9"/>
      <sz val="12"/>
    </font>
    <font>
      <name val="Calibri"/>
      <charset val="222"/>
      <family val="2"/>
      <color theme="0"/>
      <sz val="11"/>
      <scheme val="minor"/>
    </font>
    <font>
      <name val="Calibri"/>
      <family val="2"/>
      <color indexed="20"/>
      <sz val="11"/>
    </font>
    <font>
      <name val="Tahoma"/>
      <charset val="222"/>
      <family val="2"/>
      <color indexed="20"/>
      <sz val="11"/>
    </font>
    <font>
      <name val="MS Sans Serif"/>
      <family val="2"/>
      <sz val="10"/>
    </font>
    <font>
      <name val="Calibri"/>
      <family val="2"/>
      <b val="1"/>
      <color indexed="52"/>
      <sz val="11"/>
    </font>
    <font>
      <name val="Tahoma"/>
      <charset val="222"/>
      <family val="2"/>
      <b val="1"/>
      <color indexed="53"/>
      <sz val="11"/>
    </font>
    <font>
      <name val="Tahoma"/>
      <charset val="222"/>
      <family val="2"/>
      <b val="1"/>
      <color indexed="52"/>
      <sz val="11"/>
    </font>
    <font>
      <name val="Calibri"/>
      <family val="2"/>
      <b val="1"/>
      <color indexed="9"/>
      <sz val="11"/>
    </font>
    <font>
      <name val="Tahoma"/>
      <charset val="222"/>
      <family val="2"/>
      <b val="1"/>
      <color indexed="9"/>
      <sz val="11"/>
    </font>
    <font>
      <name val="Calibri"/>
      <charset val="222"/>
      <family val="2"/>
      <color indexed="8"/>
      <sz val="11"/>
    </font>
    <font>
      <name val="BrowalliaUPC"/>
      <charset val="222"/>
      <family val="2"/>
      <sz val="16"/>
    </font>
    <font>
      <name val="新細明體"/>
      <charset val="136"/>
      <family val="1"/>
      <sz val="12"/>
    </font>
    <font>
      <name val="BrowalliaUPC"/>
      <family val="2"/>
      <sz val="16"/>
    </font>
    <font>
      <name val="Arial"/>
      <charset val="222"/>
      <family val="2"/>
      <color indexed="8"/>
      <sz val="10"/>
    </font>
    <font>
      <name val="TharntipUPC"/>
      <charset val="222"/>
      <family val="2"/>
      <color indexed="24"/>
      <sz val="14"/>
    </font>
    <font>
      <name val="TharntipUPC"/>
      <charset val="222"/>
      <color indexed="24"/>
      <sz val="14"/>
    </font>
    <font>
      <name val="Calibri"/>
      <family val="2"/>
      <i val="1"/>
      <color indexed="23"/>
      <sz val="11"/>
    </font>
    <font>
      <name val="Tahoma"/>
      <charset val="222"/>
      <family val="2"/>
      <i val="1"/>
      <color indexed="23"/>
      <sz val="11"/>
    </font>
    <font>
      <name val="Arial"/>
      <family val="2"/>
      <sz val="12"/>
    </font>
    <font>
      <name val="Times New Roman"/>
      <family val="1"/>
      <sz val="11"/>
    </font>
    <font>
      <name val="MS Sans Serif"/>
      <charset val="222"/>
      <family val="2"/>
      <sz val="10"/>
    </font>
    <font>
      <name val="Calibri"/>
      <family val="2"/>
      <color indexed="17"/>
      <sz val="11"/>
    </font>
    <font>
      <name val="Tahoma"/>
      <charset val="222"/>
      <family val="2"/>
      <color indexed="17"/>
      <sz val="11"/>
    </font>
    <font>
      <name val="Arial"/>
      <family val="2"/>
      <sz val="8"/>
    </font>
    <font>
      <name val="Arial"/>
      <charset val="222"/>
      <family val="2"/>
      <sz val="8"/>
    </font>
    <font>
      <name val="Arial"/>
      <charset val="222"/>
      <family val="2"/>
      <b val="1"/>
      <sz val="12"/>
    </font>
    <font>
      <name val="TharntipUPC"/>
      <charset val="222"/>
      <b val="1"/>
      <color indexed="24"/>
      <sz val="24"/>
    </font>
    <font>
      <name val="Tahoma"/>
      <charset val="222"/>
      <family val="2"/>
      <b val="1"/>
      <color indexed="62"/>
      <sz val="15"/>
    </font>
    <font>
      <name val="TharntipUPC"/>
      <charset val="222"/>
      <b val="1"/>
      <color indexed="24"/>
      <sz val="16"/>
    </font>
    <font>
      <name val="Tahoma"/>
      <charset val="222"/>
      <family val="2"/>
      <b val="1"/>
      <color indexed="62"/>
      <sz val="13"/>
    </font>
    <font>
      <name val="Calibri"/>
      <family val="2"/>
      <b val="1"/>
      <color indexed="62"/>
      <sz val="11"/>
    </font>
    <font>
      <name val="Tahoma"/>
      <charset val="222"/>
      <family val="2"/>
      <b val="1"/>
      <color indexed="62"/>
      <sz val="11"/>
    </font>
    <font>
      <name val="Cordia New"/>
      <family val="2"/>
      <color indexed="12"/>
      <sz val="14"/>
      <u val="single"/>
    </font>
    <font>
      <name val="Calibri"/>
      <family val="2"/>
      <color indexed="62"/>
      <sz val="11"/>
    </font>
    <font>
      <name val="Tahoma"/>
      <charset val="222"/>
      <family val="2"/>
      <color indexed="62"/>
      <sz val="11"/>
    </font>
    <font>
      <name val="Book Antiqua"/>
      <family val="1"/>
      <b val="1"/>
      <sz val="10"/>
    </font>
    <font>
      <name val="Book Antiqua"/>
      <charset val="204"/>
      <family val="1"/>
      <b val="1"/>
      <sz val="10"/>
    </font>
    <font>
      <name val="Courier"/>
      <family val="3"/>
      <sz val="10"/>
    </font>
    <font>
      <name val="Calibri"/>
      <family val="2"/>
      <color indexed="52"/>
      <sz val="11"/>
    </font>
    <font>
      <name val="Tahoma"/>
      <charset val="222"/>
      <family val="2"/>
      <color indexed="53"/>
      <sz val="11"/>
    </font>
    <font>
      <name val="Tahoma"/>
      <charset val="222"/>
      <family val="2"/>
      <color indexed="52"/>
      <sz val="11"/>
    </font>
    <font>
      <name val="Calibri"/>
      <family val="2"/>
      <color indexed="60"/>
      <sz val="11"/>
    </font>
    <font>
      <name val="Tahoma"/>
      <charset val="222"/>
      <family val="2"/>
      <color indexed="60"/>
      <sz val="11"/>
    </font>
    <font>
      <name val="Small Fonts"/>
      <family val="2"/>
      <sz val="7"/>
    </font>
    <font>
      <name val="Helv"/>
      <family val="2"/>
      <b val="1"/>
      <i val="1"/>
      <sz val="16"/>
    </font>
    <font>
      <name val="Helv"/>
      <charset val="222"/>
      <b val="1"/>
      <i val="1"/>
      <sz val="16"/>
    </font>
    <font>
      <name val="Arial"/>
      <charset val="222"/>
      <family val="2"/>
      <color theme="1"/>
      <sz val="10"/>
    </font>
    <font>
      <name val="Calibri"/>
      <family val="2"/>
      <color theme="1"/>
      <sz val="11"/>
    </font>
    <font>
      <name val="AngsanaUPC"/>
      <charset val="222"/>
      <family val="1"/>
      <sz val="18"/>
    </font>
    <font>
      <name val="Tahoma"/>
      <charset val="222"/>
      <family val="2"/>
      <color theme="1"/>
      <sz val="10"/>
    </font>
    <font>
      <name val="Book Antiqua"/>
      <family val="1"/>
      <b val="1"/>
      <i val="1"/>
      <sz val="8"/>
    </font>
    <font>
      <name val="EucrosiaUPC"/>
      <charset val="222"/>
      <family val="1"/>
      <b val="1"/>
      <sz val="14"/>
    </font>
    <font>
      <name val="Book Antiqua"/>
      <family val="1"/>
      <sz val="10"/>
    </font>
    <font>
      <name val="Book Antiqua"/>
      <charset val="222"/>
      <family val="1"/>
      <sz val="10"/>
    </font>
    <font>
      <name val="Calibri"/>
      <family val="2"/>
      <b val="1"/>
      <color indexed="63"/>
      <sz val="11"/>
    </font>
    <font>
      <name val="Tahoma"/>
      <charset val="222"/>
      <family val="2"/>
      <b val="1"/>
      <color indexed="63"/>
      <sz val="11"/>
    </font>
    <font>
      <name val="Tahoma"/>
      <charset val="136"/>
      <family val="2"/>
      <color indexed="8"/>
      <sz val="12"/>
    </font>
    <font>
      <name val="Arial"/>
      <family val="2"/>
      <color indexed="8"/>
      <sz val="10"/>
    </font>
    <font>
      <name val="Arial"/>
      <family val="2"/>
      <color indexed="39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Arial"/>
      <family val="2"/>
      <b val="1"/>
      <color indexed="23"/>
      <sz val="16"/>
    </font>
    <font>
      <name val="Arial"/>
      <family val="2"/>
      <color indexed="10"/>
      <sz val="10"/>
    </font>
    <font>
      <name val="Arial Narrow"/>
      <family val="2"/>
      <b val="1"/>
      <sz val="14"/>
    </font>
    <font>
      <name val="Arial Narrow"/>
      <charset val="204"/>
      <family val="2"/>
      <b val="1"/>
      <sz val="14"/>
    </font>
    <font>
      <name val="Cambria"/>
      <family val="2"/>
      <b val="1"/>
      <color indexed="62"/>
      <sz val="18"/>
    </font>
    <font>
      <name val="Tahoma"/>
      <charset val="222"/>
      <family val="2"/>
      <b val="1"/>
      <color indexed="62"/>
      <sz val="18"/>
    </font>
    <font>
      <name val="Calibri Light"/>
      <charset val="204"/>
      <family val="2"/>
      <b val="1"/>
      <color theme="3"/>
      <sz val="18"/>
      <scheme val="major"/>
    </font>
    <font>
      <name val="Tahoma"/>
      <charset val="222"/>
      <family val="2"/>
      <b val="1"/>
      <color indexed="8"/>
      <sz val="11"/>
    </font>
    <font>
      <name val="Calibri"/>
      <family val="2"/>
      <color indexed="10"/>
      <sz val="11"/>
    </font>
    <font>
      <name val="Tahoma"/>
      <charset val="222"/>
      <family val="2"/>
      <color indexed="10"/>
      <sz val="11"/>
    </font>
    <font>
      <name val="Tahoma"/>
      <charset val="222"/>
      <family val="2"/>
      <color indexed="8"/>
      <sz val="10"/>
    </font>
    <font>
      <name val="AngsanaUPC"/>
      <charset val="222"/>
      <family val="1"/>
      <color indexed="12"/>
      <sz val="14"/>
      <u val="single"/>
    </font>
    <font>
      <name val="CordiaUPC"/>
      <family val="2"/>
      <color indexed="12"/>
      <sz val="14"/>
      <u val="single"/>
    </font>
    <font>
      <name val="CordiaUPC"/>
      <charset val="222"/>
      <family val="2"/>
      <color indexed="12"/>
      <sz val="14"/>
      <u val="single"/>
    </font>
    <font>
      <name val="AngsanaUPC"/>
      <family val="1"/>
      <color indexed="12"/>
      <sz val="14"/>
      <u val="single"/>
    </font>
    <font>
      <name val="Tahoma"/>
      <family val="2"/>
      <b val="1"/>
      <color indexed="9"/>
      <sz val="11"/>
    </font>
    <font>
      <name val="Tahoma"/>
      <family val="2"/>
      <color indexed="52"/>
      <sz val="11"/>
    </font>
    <font>
      <name val="Tahoma"/>
      <family val="2"/>
      <color indexed="20"/>
      <sz val="11"/>
    </font>
    <font>
      <name val="Tahoma"/>
      <family val="2"/>
      <b val="1"/>
      <color indexed="63"/>
      <sz val="11"/>
    </font>
    <font>
      <name val="Tahoma"/>
      <family val="2"/>
      <b val="1"/>
      <color indexed="52"/>
      <sz val="11"/>
    </font>
    <font>
      <name val="Tahoma"/>
      <family val="2"/>
      <color indexed="10"/>
      <sz val="11"/>
    </font>
    <font>
      <name val="Tahoma"/>
      <family val="2"/>
      <i val="1"/>
      <color indexed="23"/>
      <sz val="11"/>
    </font>
    <font>
      <name val="Tahoma"/>
      <family val="2"/>
      <b val="1"/>
      <color indexed="56"/>
      <sz val="18"/>
    </font>
    <font>
      <name val="Tahoma"/>
      <family val="2"/>
      <color indexed="17"/>
      <sz val="11"/>
    </font>
    <font>
      <name val="AngsanaUPC"/>
      <charset val="222"/>
      <family val="1"/>
      <color indexed="36"/>
      <sz val="14"/>
      <u val="single"/>
    </font>
    <font>
      <name val="AngsanaUPC"/>
      <family val="1"/>
      <color indexed="36"/>
      <sz val="14"/>
      <u val="single"/>
    </font>
    <font>
      <name val="นูลมรผ"/>
      <family val="2"/>
      <sz val="12"/>
    </font>
    <font>
      <name val="Tahoma"/>
      <family val="2"/>
      <color indexed="62"/>
      <sz val="11"/>
    </font>
    <font>
      <name val="Tahoma"/>
      <family val="2"/>
      <color indexed="60"/>
      <sz val="11"/>
    </font>
    <font>
      <name val="Tahoma"/>
      <family val="2"/>
      <b val="1"/>
      <color indexed="8"/>
      <sz val="11"/>
    </font>
    <font>
      <name val="Tahoma"/>
      <family val="2"/>
      <b val="1"/>
      <color indexed="56"/>
      <sz val="15"/>
    </font>
    <font>
      <name val="Tahoma"/>
      <family val="2"/>
      <b val="1"/>
      <color indexed="56"/>
      <sz val="13"/>
    </font>
    <font>
      <name val="Tahoma"/>
      <family val="2"/>
      <b val="1"/>
      <color indexed="56"/>
      <sz val="11"/>
    </font>
    <font>
      <name val="冼极"/>
      <charset val="134"/>
      <family val="2"/>
      <sz val="12"/>
    </font>
    <font>
      <name val="뼻뮝"/>
      <charset val="129"/>
      <family val="3"/>
      <sz val="14"/>
    </font>
    <font>
      <name val="뼻뮝"/>
      <charset val="129"/>
      <family val="1"/>
      <sz val="12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新細明體"/>
      <charset val="136"/>
      <family val="1"/>
      <color indexed="60"/>
      <sz val="12"/>
    </font>
    <font>
      <name val="宋体"/>
      <charset val="134"/>
      <sz val="12"/>
    </font>
    <font>
      <name val="宋体"/>
      <charset val="134"/>
      <sz val="12"/>
    </font>
    <font>
      <name val="新細明體"/>
      <charset val="136"/>
      <family val="1"/>
      <b val="1"/>
      <color indexed="8"/>
      <sz val="12"/>
    </font>
    <font>
      <name val="新細明體"/>
      <charset val="136"/>
      <family val="1"/>
      <color indexed="20"/>
      <sz val="12"/>
    </font>
    <font>
      <name val="Calibri"/>
      <family val="2"/>
      <color indexed="20"/>
      <sz val="12"/>
    </font>
    <font>
      <name val="新細明體"/>
      <family val="1"/>
      <color indexed="17"/>
      <sz val="11"/>
    </font>
    <font>
      <name val="Calibri"/>
      <family val="2"/>
      <color indexed="17"/>
      <sz val="12"/>
    </font>
    <font>
      <name val="宋体"/>
      <charset val="134"/>
      <color indexed="17"/>
      <sz val="11"/>
    </font>
    <font>
      <name val="Calibri"/>
      <charset val="136"/>
      <family val="1"/>
      <color rgb="FF006100"/>
      <sz val="11"/>
      <scheme val="minor"/>
    </font>
    <font>
      <name val="新細明體"/>
      <charset val="136"/>
      <family val="1"/>
      <color indexed="17"/>
      <sz val="12"/>
    </font>
    <font>
      <name val="宋体"/>
      <charset val="134"/>
      <color indexed="17"/>
      <sz val="11"/>
    </font>
    <font>
      <name val="宋体"/>
      <charset val="134"/>
      <color indexed="20"/>
      <sz val="11"/>
    </font>
    <font>
      <name val="新細明體"/>
      <family val="1"/>
      <color indexed="20"/>
      <sz val="11"/>
    </font>
    <font>
      <name val="宋体"/>
      <charset val="134"/>
      <color indexed="20"/>
      <sz val="11"/>
    </font>
    <font>
      <name val="Calibri"/>
      <charset val="136"/>
      <family val="1"/>
      <color rgb="FF9C0006"/>
      <sz val="11"/>
      <scheme val="minor"/>
    </font>
    <font>
      <name val="宋体"/>
      <charset val="134"/>
      <b val="1"/>
      <color indexed="56"/>
      <sz val="18"/>
    </font>
    <font>
      <name val="宋体"/>
      <charset val="134"/>
      <b val="1"/>
      <color indexed="56"/>
      <sz val="15"/>
    </font>
    <font>
      <name val="新細明體"/>
      <family val="1"/>
      <b val="1"/>
      <color indexed="56"/>
      <sz val="15"/>
    </font>
    <font>
      <name val="宋体"/>
      <charset val="134"/>
      <b val="1"/>
      <color indexed="56"/>
      <sz val="13"/>
    </font>
    <font>
      <name val="新細明體"/>
      <family val="1"/>
      <b val="1"/>
      <color indexed="56"/>
      <sz val="13"/>
    </font>
    <font>
      <name val="宋体"/>
      <charset val="134"/>
      <b val="1"/>
      <color indexed="56"/>
      <sz val="11"/>
    </font>
    <font>
      <name val="新細明體"/>
      <family val="1"/>
      <b val="1"/>
      <color indexed="56"/>
      <sz val="11"/>
    </font>
    <font>
      <name val="新細明體"/>
      <family val="1"/>
      <b val="1"/>
      <color indexed="56"/>
      <sz val="18"/>
    </font>
    <font>
      <name val="宋体"/>
      <charset val="134"/>
      <b val="1"/>
      <color indexed="56"/>
      <sz val="18"/>
    </font>
    <font>
      <name val="宋体"/>
      <charset val="134"/>
      <b val="1"/>
      <color indexed="9"/>
      <sz val="11"/>
    </font>
    <font>
      <name val="新細明體"/>
      <family val="1"/>
      <b val="1"/>
      <color indexed="9"/>
      <sz val="11"/>
    </font>
    <font>
      <name val="新細明體"/>
      <charset val="136"/>
      <family val="1"/>
      <b val="1"/>
      <color indexed="56"/>
      <sz val="15"/>
    </font>
    <font>
      <name val="新細明體"/>
      <charset val="136"/>
      <family val="1"/>
      <b val="1"/>
      <color indexed="56"/>
      <sz val="13"/>
    </font>
    <font>
      <name val="新細明體"/>
      <charset val="136"/>
      <family val="1"/>
      <b val="1"/>
      <color indexed="56"/>
      <sz val="11"/>
    </font>
    <font>
      <name val="新細明體"/>
      <charset val="136"/>
      <family val="1"/>
      <b val="1"/>
      <color indexed="56"/>
      <sz val="18"/>
    </font>
    <font>
      <name val="新細明體"/>
      <charset val="136"/>
      <family val="1"/>
      <b val="1"/>
      <color indexed="9"/>
      <sz val="12"/>
    </font>
    <font>
      <name val="宋体"/>
      <charset val="134"/>
      <b val="1"/>
      <color indexed="8"/>
      <sz val="11"/>
    </font>
    <font>
      <name val="新細明體"/>
      <family val="1"/>
      <b val="1"/>
      <color indexed="8"/>
      <sz val="11"/>
    </font>
    <font>
      <name val="冼极"/>
      <charset val="134"/>
      <family val="2"/>
      <color indexed="36"/>
      <sz val="12"/>
      <u val="single"/>
    </font>
    <font>
      <name val="冼极"/>
      <family val="3"/>
      <color indexed="36"/>
      <sz val="12"/>
      <u val="single"/>
    </font>
    <font>
      <name val="Times New Roman"/>
      <family val="1"/>
      <b val="1"/>
      <sz val="14"/>
    </font>
    <font>
      <name val="宋体"/>
      <charset val="134"/>
      <i val="1"/>
      <color indexed="23"/>
      <sz val="11"/>
    </font>
    <font>
      <name val="新細明體"/>
      <family val="1"/>
      <i val="1"/>
      <color indexed="23"/>
      <sz val="11"/>
    </font>
    <font>
      <name val="新細明體"/>
      <charset val="136"/>
      <family val="1"/>
      <b val="1"/>
      <color indexed="52"/>
      <sz val="12"/>
    </font>
    <font>
      <name val="新細明體"/>
      <charset val="136"/>
      <family val="1"/>
      <i val="1"/>
      <color indexed="23"/>
      <sz val="12"/>
    </font>
    <font>
      <name val="新細明體"/>
      <charset val="136"/>
      <family val="1"/>
      <color indexed="10"/>
      <sz val="12"/>
    </font>
    <font>
      <name val="宋体"/>
      <charset val="134"/>
      <color indexed="10"/>
      <sz val="11"/>
    </font>
    <font>
      <name val="新細明體"/>
      <family val="1"/>
      <color indexed="10"/>
      <sz val="11"/>
    </font>
    <font>
      <name val="宋体"/>
      <charset val="134"/>
      <b val="1"/>
      <color indexed="52"/>
      <sz val="11"/>
    </font>
    <font>
      <name val="新細明體"/>
      <family val="1"/>
      <b val="1"/>
      <color indexed="52"/>
      <sz val="11"/>
    </font>
    <font>
      <name val="Courier"/>
      <family val="3"/>
      <sz val="12"/>
    </font>
    <font>
      <name val="新細明體"/>
      <charset val="136"/>
      <family val="1"/>
      <color indexed="62"/>
      <sz val="12"/>
    </font>
    <font>
      <name val="新細明體"/>
      <charset val="136"/>
      <family val="1"/>
      <b val="1"/>
      <color indexed="63"/>
      <sz val="12"/>
    </font>
    <font>
      <name val="宋体"/>
      <charset val="134"/>
      <color indexed="62"/>
      <sz val="11"/>
    </font>
    <font>
      <name val="新細明體"/>
      <family val="1"/>
      <color indexed="62"/>
      <sz val="11"/>
    </font>
    <font>
      <name val="宋体"/>
      <charset val="134"/>
      <b val="1"/>
      <color indexed="63"/>
      <sz val="11"/>
    </font>
    <font>
      <name val="新細明體"/>
      <family val="1"/>
      <b val="1"/>
      <color indexed="63"/>
      <sz val="11"/>
    </font>
    <font>
      <name val="宋体"/>
      <charset val="134"/>
      <color indexed="60"/>
      <sz val="11"/>
    </font>
    <font>
      <name val="新細明體"/>
      <family val="1"/>
      <color indexed="60"/>
      <sz val="11"/>
    </font>
    <font>
      <name val="新細明體"/>
      <charset val="136"/>
      <family val="1"/>
      <color indexed="52"/>
      <sz val="12"/>
    </font>
    <font>
      <name val="宋体"/>
      <charset val="134"/>
      <color indexed="52"/>
      <sz val="11"/>
    </font>
    <font>
      <name val="新細明體"/>
      <family val="1"/>
      <color indexed="52"/>
      <sz val="11"/>
    </font>
    <font>
      <name val="冼极"/>
      <charset val="134"/>
      <family val="2"/>
      <color indexed="12"/>
      <sz val="12"/>
      <u val="single"/>
    </font>
    <font>
      <name val="冼极"/>
      <family val="3"/>
      <color indexed="12"/>
      <sz val="12"/>
      <u val="single"/>
    </font>
    <font>
      <name val="Arial"/>
      <charset val="204"/>
      <family val="2"/>
      <color rgb="FF0000FF"/>
      <sz val="10"/>
    </font>
    <font>
      <name val="Calibri"/>
      <family val="2"/>
      <color rgb="FF0000CC"/>
      <sz val="11"/>
      <scheme val="minor"/>
    </font>
    <font>
      <name val="CordiaUPC"/>
      <family val="2"/>
      <color theme="1"/>
      <sz val="16"/>
    </font>
    <font>
      <name val="CordiaUPC"/>
      <family val="2"/>
      <b val="1"/>
      <color theme="1"/>
      <sz val="16"/>
    </font>
    <font>
      <name val="Arial"/>
      <family val="2"/>
      <color theme="1"/>
      <sz val="11"/>
    </font>
    <font>
      <name val="Arial"/>
      <family val="2"/>
      <b val="1"/>
      <color theme="1"/>
      <sz val="14"/>
    </font>
    <font>
      <name val="Arial"/>
      <family val="2"/>
      <b val="1"/>
      <color theme="1"/>
      <sz val="11"/>
    </font>
    <font>
      <name val="Arial"/>
      <family val="2"/>
      <color rgb="FF0000CC"/>
      <sz val="11"/>
    </font>
    <font>
      <name val="Arial"/>
      <family val="2"/>
      <b val="1"/>
      <color rgb="FF0000CC"/>
      <sz val="14"/>
    </font>
    <font>
      <name val="Arial"/>
      <charset val="204"/>
      <family val="2"/>
      <b val="1"/>
      <color rgb="FFFF0000"/>
      <sz val="11"/>
    </font>
    <font>
      <name val="Calibri"/>
      <family val="2"/>
      <b val="1"/>
      <color theme="5" tint="-0.249977111117893"/>
      <sz val="11"/>
      <scheme val="minor"/>
    </font>
    <font>
      <name val="Calibri"/>
      <family val="2"/>
      <color theme="5" tint="-0.249977111117893"/>
      <sz val="11"/>
      <scheme val="minor"/>
    </font>
    <font>
      <name val="Arial"/>
      <family val="2"/>
      <b val="1"/>
      <color theme="1"/>
      <sz val="16"/>
    </font>
    <font>
      <name val="Arial"/>
      <family val="2"/>
      <color theme="1"/>
      <sz val="16"/>
    </font>
    <font>
      <name val="Arial"/>
      <family val="2"/>
      <i val="1"/>
      <color theme="1"/>
      <sz val="16"/>
    </font>
    <font>
      <name val="Arial"/>
      <family val="2"/>
      <color theme="1"/>
      <sz val="14"/>
    </font>
    <font>
      <name val="Cordia New"/>
      <family val="2"/>
      <sz val="14"/>
    </font>
    <font>
      <name val="Calibri"/>
      <family val="2"/>
      <color theme="9" tint="-0.249977111117893"/>
      <sz val="11"/>
      <scheme val="minor"/>
    </font>
    <font>
      <name val="Calibri"/>
      <family val="2"/>
      <b val="1"/>
      <i val="1"/>
      <color theme="1"/>
      <sz val="14"/>
      <scheme val="minor"/>
    </font>
    <font>
      <name val="Arial"/>
      <family val="2"/>
      <b val="1"/>
      <color theme="1"/>
      <sz val="24"/>
    </font>
    <font>
      <name val="Arial"/>
      <family val="2"/>
      <color rgb="FF0000CC"/>
      <sz val="14"/>
    </font>
    <font>
      <name val="Tahoma"/>
      <charset val="204"/>
      <family val="2"/>
      <color indexed="81"/>
      <sz val="9"/>
    </font>
    <font>
      <name val="Calibri"/>
      <family val="2"/>
      <color rgb="FF00B050"/>
      <sz val="11"/>
      <scheme val="minor"/>
    </font>
    <font>
      <name val="Calibri"/>
      <charset val="204"/>
      <family val="2"/>
      <color rgb="FF00B050"/>
      <sz val="11"/>
      <scheme val="minor"/>
    </font>
    <font>
      <name val="Arial"/>
      <family val="2"/>
      <color rgb="FF00B050"/>
      <sz val="10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  <font>
      <name val="Calibri"/>
      <family val="2"/>
      <color rgb="FF7030A0"/>
      <sz val="11"/>
      <scheme val="minor"/>
    </font>
    <font>
      <name val="Calibri"/>
      <family val="2"/>
      <color rgb="FF00B0F0"/>
      <sz val="11"/>
      <scheme val="minor"/>
    </font>
    <font>
      <name val="Calibri"/>
      <charset val="204"/>
      <family val="2"/>
      <color rgb="FF00B0F0"/>
      <sz val="11"/>
      <scheme val="minor"/>
    </font>
    <font>
      <name val="Arial"/>
      <family val="2"/>
      <b val="1"/>
      <color theme="0"/>
      <sz val="12"/>
    </font>
    <font>
      <name val="Calibri"/>
      <family val="2"/>
      <color rgb="FF0000FF"/>
      <sz val="11"/>
      <scheme val="minor"/>
    </font>
    <font>
      <name val="Calibri"/>
      <family val="2"/>
      <color theme="2" tint="-0.249977111117893"/>
      <sz val="11"/>
      <scheme val="minor"/>
    </font>
  </fonts>
  <fills count="101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1895">
    <xf numFmtId="0" fontId="15" fillId="0" borderId="0"/>
    <xf numFmtId="43" fontId="15" fillId="0" borderId="0"/>
    <xf numFmtId="9" fontId="15" fillId="0" borderId="0"/>
    <xf numFmtId="0" fontId="24" fillId="0" borderId="0"/>
    <xf numFmtId="166" fontId="27" fillId="0" borderId="0"/>
    <xf numFmtId="0" fontId="36" fillId="0" borderId="0"/>
    <xf numFmtId="169" fontId="15" fillId="0" borderId="0"/>
    <xf numFmtId="0" fontId="27" fillId="0" borderId="0"/>
    <xf numFmtId="169" fontId="15" fillId="0" borderId="0"/>
    <xf numFmtId="9" fontId="27" fillId="0" borderId="0"/>
    <xf numFmtId="0" fontId="24" fillId="0" borderId="0"/>
    <xf numFmtId="43" fontId="13" fillId="0" borderId="0"/>
    <xf numFmtId="0" fontId="13" fillId="0" borderId="0"/>
    <xf numFmtId="0" fontId="49" fillId="0" borderId="0"/>
    <xf numFmtId="0" fontId="352" fillId="0" borderId="0"/>
    <xf numFmtId="0" fontId="107" fillId="0" borderId="0"/>
    <xf numFmtId="199" fontId="62" fillId="0" borderId="0" applyAlignment="1">
      <alignment vertical="center"/>
    </xf>
    <xf numFmtId="0" fontId="24" fillId="0" borderId="0"/>
    <xf numFmtId="200" fontId="24" fillId="0" borderId="0"/>
    <xf numFmtId="0" fontId="24" fillId="0" borderId="0"/>
    <xf numFmtId="0" fontId="24" fillId="0" borderId="0"/>
    <xf numFmtId="200" fontId="24" fillId="0" borderId="0"/>
    <xf numFmtId="0" fontId="13" fillId="0" borderId="0"/>
    <xf numFmtId="43" fontId="13" fillId="0" borderId="0"/>
    <xf numFmtId="0" fontId="107" fillId="0" borderId="0"/>
    <xf numFmtId="0" fontId="108" fillId="15" borderId="0"/>
    <xf numFmtId="0" fontId="109" fillId="16" borderId="0"/>
    <xf numFmtId="0" fontId="109" fillId="17" borderId="0"/>
    <xf numFmtId="0" fontId="110" fillId="0" borderId="0"/>
    <xf numFmtId="0" fontId="111" fillId="0" borderId="59"/>
    <xf numFmtId="0" fontId="113" fillId="0" borderId="61"/>
    <xf numFmtId="0" fontId="113" fillId="0" borderId="0"/>
    <xf numFmtId="0" fontId="114" fillId="0" borderId="0"/>
    <xf numFmtId="43" fontId="115" fillId="0" borderId="0"/>
    <xf numFmtId="0" fontId="116" fillId="0" borderId="0"/>
    <xf numFmtId="0" fontId="117" fillId="0" borderId="0"/>
    <xf numFmtId="9" fontId="115" fillId="0" borderId="0"/>
    <xf numFmtId="0" fontId="108" fillId="15" borderId="0"/>
    <xf numFmtId="0" fontId="109" fillId="16" borderId="0"/>
    <xf numFmtId="0" fontId="109" fillId="17" borderId="0"/>
    <xf numFmtId="0" fontId="110" fillId="0" borderId="0"/>
    <xf numFmtId="0" fontId="111" fillId="0" borderId="59"/>
    <xf numFmtId="0" fontId="112" fillId="0" borderId="60"/>
    <xf numFmtId="0" fontId="113" fillId="0" borderId="61"/>
    <xf numFmtId="0" fontId="113" fillId="0" borderId="0"/>
    <xf numFmtId="0" fontId="114" fillId="0" borderId="0"/>
    <xf numFmtId="9" fontId="118" fillId="0" borderId="0"/>
    <xf numFmtId="200" fontId="118" fillId="0" borderId="0"/>
    <xf numFmtId="166" fontId="27" fillId="0" borderId="0"/>
    <xf numFmtId="0" fontId="24" fillId="0" borderId="0"/>
    <xf numFmtId="9" fontId="24" fillId="0" borderId="0"/>
    <xf numFmtId="0" fontId="27" fillId="0" borderId="0"/>
    <xf numFmtId="43" fontId="115" fillId="0" borderId="0"/>
    <xf numFmtId="0" fontId="116" fillId="0" borderId="0"/>
    <xf numFmtId="0" fontId="117" fillId="0" borderId="0"/>
    <xf numFmtId="9" fontId="115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43" fontId="115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201" fontId="115" fillId="0" borderId="0"/>
    <xf numFmtId="0" fontId="24" fillId="0" borderId="0"/>
    <xf numFmtId="0" fontId="24" fillId="0" borderId="0"/>
    <xf numFmtId="9" fontId="24" fillId="0" borderId="0"/>
    <xf numFmtId="201" fontId="115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201" fontId="115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166" fontId="27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0" fontId="24" fillId="0" borderId="0"/>
    <xf numFmtId="9" fontId="24" fillId="0" borderId="0"/>
    <xf numFmtId="201" fontId="24" fillId="0" borderId="0"/>
    <xf numFmtId="0" fontId="24" fillId="0" borderId="0"/>
    <xf numFmtId="9" fontId="24" fillId="0" borderId="0"/>
    <xf numFmtId="201" fontId="24" fillId="0" borderId="0"/>
    <xf numFmtId="9" fontId="27" fillId="0" borderId="0"/>
    <xf numFmtId="0" fontId="352" fillId="0" borderId="0"/>
    <xf numFmtId="43" fontId="13" fillId="0" borderId="0"/>
    <xf numFmtId="169" fontId="352" fillId="0" borderId="0"/>
    <xf numFmtId="169" fontId="352" fillId="0" borderId="0"/>
    <xf numFmtId="169" fontId="15" fillId="0" borderId="0"/>
    <xf numFmtId="0" fontId="144" fillId="49" borderId="0" applyAlignment="1">
      <alignment vertical="center"/>
    </xf>
    <xf numFmtId="0" fontId="145" fillId="50" borderId="0" applyAlignment="1">
      <alignment vertical="center"/>
    </xf>
    <xf numFmtId="0" fontId="146" fillId="0" borderId="84" applyAlignment="1">
      <alignment vertical="center"/>
    </xf>
    <xf numFmtId="0" fontId="147" fillId="0" borderId="85" applyAlignment="1">
      <alignment vertical="center"/>
    </xf>
    <xf numFmtId="0" fontId="148" fillId="0" borderId="86" applyAlignment="1">
      <alignment vertical="center"/>
    </xf>
    <xf numFmtId="0" fontId="148" fillId="0" borderId="0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150" fillId="0" borderId="87" applyAlignment="1">
      <alignment vertical="center"/>
    </xf>
    <xf numFmtId="0" fontId="151" fillId="0" borderId="0"/>
    <xf numFmtId="0" fontId="152" fillId="0" borderId="87" applyAlignment="1">
      <alignment vertical="center"/>
    </xf>
    <xf numFmtId="0" fontId="153" fillId="51" borderId="0" applyAlignment="1">
      <alignment vertical="center"/>
    </xf>
    <xf numFmtId="0" fontId="153" fillId="52" borderId="0" applyAlignment="1">
      <alignment vertical="center"/>
    </xf>
    <xf numFmtId="0" fontId="153" fillId="53" borderId="0" applyAlignment="1">
      <alignment vertical="center"/>
    </xf>
    <xf numFmtId="0" fontId="153" fillId="54" borderId="0" applyAlignment="1">
      <alignment vertical="center"/>
    </xf>
    <xf numFmtId="0" fontId="153" fillId="55" borderId="0" applyAlignment="1">
      <alignment vertical="center"/>
    </xf>
    <xf numFmtId="0" fontId="153" fillId="56" borderId="0" applyAlignment="1">
      <alignment vertical="center"/>
    </xf>
    <xf numFmtId="202" fontId="154" fillId="0" borderId="0"/>
    <xf numFmtId="202" fontId="155" fillId="0" borderId="0"/>
    <xf numFmtId="202" fontId="154" fillId="0" borderId="0"/>
    <xf numFmtId="203" fontId="154" fillId="0" borderId="0"/>
    <xf numFmtId="199" fontId="154" fillId="0" borderId="0"/>
    <xf numFmtId="169" fontId="154" fillId="0" borderId="0"/>
    <xf numFmtId="0" fontId="156" fillId="51" borderId="0" applyAlignment="1">
      <alignment vertical="center"/>
    </xf>
    <xf numFmtId="0" fontId="156" fillId="52" borderId="0" applyAlignment="1">
      <alignment vertical="center"/>
    </xf>
    <xf numFmtId="0" fontId="156" fillId="53" borderId="0" applyAlignment="1">
      <alignment vertical="center"/>
    </xf>
    <xf numFmtId="0" fontId="156" fillId="54" borderId="0" applyAlignment="1">
      <alignment vertical="center"/>
    </xf>
    <xf numFmtId="0" fontId="156" fillId="55" borderId="0" applyAlignment="1">
      <alignment vertical="center"/>
    </xf>
    <xf numFmtId="0" fontId="156" fillId="56" borderId="0" applyAlignment="1">
      <alignment vertical="center"/>
    </xf>
    <xf numFmtId="0" fontId="157" fillId="0" borderId="0"/>
    <xf numFmtId="0" fontId="158" fillId="0" borderId="0"/>
    <xf numFmtId="0" fontId="157" fillId="0" borderId="0"/>
    <xf numFmtId="0" fontId="157" fillId="0" borderId="0"/>
    <xf numFmtId="0" fontId="157" fillId="0" borderId="0"/>
    <xf numFmtId="0" fontId="158" fillId="0" borderId="0"/>
    <xf numFmtId="0" fontId="157" fillId="0" borderId="0"/>
    <xf numFmtId="0" fontId="157" fillId="0" borderId="0"/>
    <xf numFmtId="0" fontId="157" fillId="0" borderId="0"/>
    <xf numFmtId="0" fontId="158" fillId="0" borderId="0"/>
    <xf numFmtId="0" fontId="158" fillId="0" borderId="0"/>
    <xf numFmtId="0" fontId="159" fillId="0" borderId="0"/>
    <xf numFmtId="0" fontId="159" fillId="0" borderId="0"/>
    <xf numFmtId="0" fontId="158" fillId="0" borderId="0"/>
    <xf numFmtId="0" fontId="157" fillId="0" borderId="0"/>
    <xf numFmtId="0" fontId="157" fillId="0" borderId="0"/>
    <xf numFmtId="0" fontId="158" fillId="0" borderId="0"/>
    <xf numFmtId="0" fontId="158" fillId="0" borderId="0"/>
    <xf numFmtId="0" fontId="159" fillId="0" borderId="0"/>
    <xf numFmtId="0" fontId="157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7" fillId="0" borderId="0"/>
    <xf numFmtId="0" fontId="157" fillId="0" borderId="0"/>
    <xf numFmtId="0" fontId="158" fillId="0" borderId="0"/>
    <xf numFmtId="0" fontId="158" fillId="0" borderId="0"/>
    <xf numFmtId="0" fontId="159" fillId="0" borderId="0"/>
    <xf numFmtId="0" fontId="159" fillId="0" borderId="0"/>
    <xf numFmtId="0" fontId="158" fillId="0" borderId="0"/>
    <xf numFmtId="0" fontId="158" fillId="0" borderId="0"/>
    <xf numFmtId="0" fontId="159" fillId="0" borderId="0"/>
    <xf numFmtId="0" fontId="159" fillId="0" borderId="0"/>
    <xf numFmtId="0" fontId="159" fillId="0" borderId="0"/>
    <xf numFmtId="0" fontId="158" fillId="0" borderId="0"/>
    <xf numFmtId="0" fontId="159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5" fontId="159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5" fontId="159" fillId="0" borderId="0"/>
    <xf numFmtId="204" fontId="159" fillId="0" borderId="0"/>
    <xf numFmtId="204" fontId="158" fillId="0" borderId="0"/>
    <xf numFmtId="204" fontId="159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4" fontId="158" fillId="0" borderId="0"/>
    <xf numFmtId="205" fontId="158" fillId="0" borderId="0"/>
    <xf numFmtId="0" fontId="158" fillId="0" borderId="0"/>
    <xf numFmtId="0" fontId="159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9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9" fillId="0" borderId="0"/>
    <xf numFmtId="0" fontId="159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8" fillId="0" borderId="0"/>
    <xf numFmtId="0" fontId="158" fillId="0" borderId="0"/>
    <xf numFmtId="0" fontId="159" fillId="0" borderId="0"/>
    <xf numFmtId="0" fontId="159" fillId="0" borderId="0"/>
    <xf numFmtId="0" fontId="157" fillId="0" borderId="0"/>
    <xf numFmtId="0" fontId="160" fillId="0" borderId="0"/>
    <xf numFmtId="0" fontId="107" fillId="0" borderId="0"/>
    <xf numFmtId="0" fontId="107" fillId="0" borderId="0"/>
    <xf numFmtId="0" fontId="160" fillId="0" borderId="0"/>
    <xf numFmtId="0" fontId="160" fillId="0" borderId="0"/>
    <xf numFmtId="0" fontId="352" fillId="0" borderId="0"/>
    <xf numFmtId="0" fontId="161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160" fillId="0" borderId="0"/>
    <xf numFmtId="0" fontId="107" fillId="0" borderId="0"/>
    <xf numFmtId="0" fontId="352" fillId="0" borderId="0"/>
    <xf numFmtId="0" fontId="352" fillId="0" borderId="0"/>
    <xf numFmtId="0" fontId="107" fillId="0" borderId="0"/>
    <xf numFmtId="0" fontId="352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60" fillId="0" borderId="0"/>
    <xf numFmtId="0" fontId="352" fillId="0" borderId="0"/>
    <xf numFmtId="0" fontId="162" fillId="57" borderId="0" applyAlignment="1">
      <alignment vertical="center"/>
    </xf>
    <xf numFmtId="0" fontId="162" fillId="49" borderId="0" applyAlignment="1">
      <alignment vertical="center"/>
    </xf>
    <xf numFmtId="0" fontId="162" fillId="58" borderId="0" applyAlignment="1">
      <alignment vertical="center"/>
    </xf>
    <xf numFmtId="0" fontId="162" fillId="59" borderId="0" applyAlignment="1">
      <alignment vertical="center"/>
    </xf>
    <xf numFmtId="0" fontId="162" fillId="60" borderId="0" applyAlignment="1">
      <alignment vertical="center"/>
    </xf>
    <xf numFmtId="0" fontId="162" fillId="61" borderId="0" applyAlignment="1">
      <alignment vertical="center"/>
    </xf>
    <xf numFmtId="0" fontId="163" fillId="57" borderId="0" applyAlignment="1">
      <alignment vertical="center"/>
    </xf>
    <xf numFmtId="0" fontId="163" fillId="49" borderId="0" applyAlignment="1">
      <alignment vertical="center"/>
    </xf>
    <xf numFmtId="0" fontId="163" fillId="58" borderId="0" applyAlignment="1">
      <alignment vertical="center"/>
    </xf>
    <xf numFmtId="0" fontId="163" fillId="59" borderId="0" applyAlignment="1">
      <alignment vertical="center"/>
    </xf>
    <xf numFmtId="0" fontId="163" fillId="60" borderId="0" applyAlignment="1">
      <alignment vertical="center"/>
    </xf>
    <xf numFmtId="0" fontId="163" fillId="61" borderId="0" applyAlignment="1">
      <alignment vertical="center"/>
    </xf>
    <xf numFmtId="0" fontId="164" fillId="62" borderId="0"/>
    <xf numFmtId="0" fontId="165" fillId="57" borderId="0"/>
    <xf numFmtId="0" fontId="165" fillId="62" borderId="0"/>
    <xf numFmtId="0" fontId="164" fillId="62" borderId="0"/>
    <xf numFmtId="0" fontId="24" fillId="15" borderId="0"/>
    <xf numFmtId="0" fontId="164" fillId="63" borderId="0"/>
    <xf numFmtId="0" fontId="165" fillId="63" borderId="0"/>
    <xf numFmtId="0" fontId="165" fillId="63" borderId="0"/>
    <xf numFmtId="0" fontId="164" fillId="63" borderId="0"/>
    <xf numFmtId="0" fontId="24" fillId="32" borderId="0"/>
    <xf numFmtId="0" fontId="164" fillId="64" borderId="0"/>
    <xf numFmtId="0" fontId="165" fillId="64" borderId="0"/>
    <xf numFmtId="0" fontId="165" fillId="64" borderId="0"/>
    <xf numFmtId="0" fontId="164" fillId="64" borderId="0"/>
    <xf numFmtId="0" fontId="24" fillId="35" borderId="0"/>
    <xf numFmtId="0" fontId="164" fillId="62" borderId="0"/>
    <xf numFmtId="0" fontId="165" fillId="65" borderId="0"/>
    <xf numFmtId="0" fontId="165" fillId="62" borderId="0"/>
    <xf numFmtId="0" fontId="164" fillId="62" borderId="0"/>
    <xf numFmtId="0" fontId="24" fillId="39" borderId="0"/>
    <xf numFmtId="0" fontId="164" fillId="60" borderId="0"/>
    <xf numFmtId="0" fontId="165" fillId="57" borderId="0"/>
    <xf numFmtId="0" fontId="165" fillId="60" borderId="0"/>
    <xf numFmtId="0" fontId="164" fillId="60" borderId="0"/>
    <xf numFmtId="0" fontId="24" fillId="42" borderId="0"/>
    <xf numFmtId="0" fontId="166" fillId="46" borderId="0"/>
    <xf numFmtId="0" fontId="165" fillId="49" borderId="0"/>
    <xf numFmtId="0" fontId="165" fillId="64" borderId="0"/>
    <xf numFmtId="0" fontId="164" fillId="64" borderId="0"/>
    <xf numFmtId="0" fontId="24" fillId="46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165" fillId="62" borderId="0"/>
    <xf numFmtId="0" fontId="167" fillId="57" borderId="0"/>
    <xf numFmtId="0" fontId="165" fillId="62" borderId="0"/>
    <xf numFmtId="0" fontId="165" fillId="63" borderId="0"/>
    <xf numFmtId="0" fontId="167" fillId="49" borderId="0"/>
    <xf numFmtId="0" fontId="165" fillId="63" borderId="0"/>
    <xf numFmtId="0" fontId="165" fillId="64" borderId="0"/>
    <xf numFmtId="0" fontId="167" fillId="58" borderId="0"/>
    <xf numFmtId="0" fontId="165" fillId="64" borderId="0"/>
    <xf numFmtId="0" fontId="165" fillId="62" borderId="0"/>
    <xf numFmtId="0" fontId="167" fillId="59" borderId="0"/>
    <xf numFmtId="0" fontId="165" fillId="62" borderId="0"/>
    <xf numFmtId="0" fontId="165" fillId="60" borderId="0"/>
    <xf numFmtId="0" fontId="167" fillId="60" borderId="0"/>
    <xf numFmtId="0" fontId="165" fillId="60" borderId="0"/>
    <xf numFmtId="0" fontId="165" fillId="64" borderId="0"/>
    <xf numFmtId="0" fontId="167" fillId="62" borderId="0"/>
    <xf numFmtId="0" fontId="165" fillId="64" borderId="0"/>
    <xf numFmtId="0" fontId="168" fillId="57" borderId="0" applyAlignment="1">
      <alignment vertical="center"/>
    </xf>
    <xf numFmtId="0" fontId="169" fillId="57" borderId="0" applyAlignment="1">
      <alignment vertical="center"/>
    </xf>
    <xf numFmtId="0" fontId="168" fillId="49" borderId="0" applyAlignment="1">
      <alignment vertical="center"/>
    </xf>
    <xf numFmtId="0" fontId="169" fillId="49" borderId="0" applyAlignment="1">
      <alignment vertical="center"/>
    </xf>
    <xf numFmtId="0" fontId="168" fillId="58" borderId="0" applyAlignment="1">
      <alignment vertical="center"/>
    </xf>
    <xf numFmtId="0" fontId="169" fillId="58" borderId="0" applyAlignment="1">
      <alignment vertical="center"/>
    </xf>
    <xf numFmtId="0" fontId="168" fillId="59" borderId="0" applyAlignment="1">
      <alignment vertical="center"/>
    </xf>
    <xf numFmtId="0" fontId="169" fillId="59" borderId="0" applyAlignment="1">
      <alignment vertical="center"/>
    </xf>
    <xf numFmtId="0" fontId="168" fillId="60" borderId="0" applyAlignment="1">
      <alignment vertical="center"/>
    </xf>
    <xf numFmtId="0" fontId="169" fillId="60" borderId="0" applyAlignment="1">
      <alignment vertical="center"/>
    </xf>
    <xf numFmtId="0" fontId="168" fillId="62" borderId="0" applyAlignment="1">
      <alignment vertical="center"/>
    </xf>
    <xf numFmtId="0" fontId="169" fillId="62" borderId="0" applyAlignment="1">
      <alignment vertical="center"/>
    </xf>
    <xf numFmtId="0" fontId="170" fillId="57" borderId="0" applyAlignment="1">
      <alignment vertical="center"/>
    </xf>
    <xf numFmtId="0" fontId="170" fillId="57" borderId="0" applyAlignment="1">
      <alignment vertical="center"/>
    </xf>
    <xf numFmtId="0" fontId="170" fillId="49" borderId="0" applyAlignment="1">
      <alignment vertical="center"/>
    </xf>
    <xf numFmtId="0" fontId="170" fillId="49" borderId="0" applyAlignment="1">
      <alignment vertical="center"/>
    </xf>
    <xf numFmtId="0" fontId="170" fillId="58" borderId="0" applyAlignment="1">
      <alignment vertical="center"/>
    </xf>
    <xf numFmtId="0" fontId="170" fillId="58" borderId="0" applyAlignment="1">
      <alignment vertical="center"/>
    </xf>
    <xf numFmtId="0" fontId="170" fillId="59" borderId="0" applyAlignment="1">
      <alignment vertical="center"/>
    </xf>
    <xf numFmtId="0" fontId="170" fillId="59" borderId="0" applyAlignment="1">
      <alignment vertical="center"/>
    </xf>
    <xf numFmtId="0" fontId="170" fillId="60" borderId="0" applyAlignment="1">
      <alignment vertical="center"/>
    </xf>
    <xf numFmtId="0" fontId="170" fillId="60" borderId="0" applyAlignment="1">
      <alignment vertical="center"/>
    </xf>
    <xf numFmtId="0" fontId="170" fillId="62" borderId="0" applyAlignment="1">
      <alignment vertical="center"/>
    </xf>
    <xf numFmtId="0" fontId="170" fillId="62" borderId="0" applyAlignment="1">
      <alignment vertical="center"/>
    </xf>
    <xf numFmtId="0" fontId="162" fillId="66" borderId="0" applyAlignment="1">
      <alignment vertical="center"/>
    </xf>
    <xf numFmtId="0" fontId="162" fillId="63" borderId="0" applyAlignment="1">
      <alignment vertical="center"/>
    </xf>
    <xf numFmtId="0" fontId="162" fillId="67" borderId="0" applyAlignment="1">
      <alignment vertical="center"/>
    </xf>
    <xf numFmtId="0" fontId="162" fillId="59" borderId="0" applyAlignment="1">
      <alignment vertical="center"/>
    </xf>
    <xf numFmtId="0" fontId="162" fillId="66" borderId="0" applyAlignment="1">
      <alignment vertical="center"/>
    </xf>
    <xf numFmtId="0" fontId="162" fillId="68" borderId="0" applyAlignment="1">
      <alignment vertical="center"/>
    </xf>
    <xf numFmtId="0" fontId="163" fillId="66" borderId="0" applyAlignment="1">
      <alignment vertical="center"/>
    </xf>
    <xf numFmtId="0" fontId="163" fillId="63" borderId="0" applyAlignment="1">
      <alignment vertical="center"/>
    </xf>
    <xf numFmtId="0" fontId="163" fillId="67" borderId="0" applyAlignment="1">
      <alignment vertical="center"/>
    </xf>
    <xf numFmtId="0" fontId="163" fillId="59" borderId="0" applyAlignment="1">
      <alignment vertical="center"/>
    </xf>
    <xf numFmtId="0" fontId="163" fillId="66" borderId="0" applyAlignment="1">
      <alignment vertical="center"/>
    </xf>
    <xf numFmtId="0" fontId="163" fillId="68" borderId="0" applyAlignment="1">
      <alignment vertical="center"/>
    </xf>
    <xf numFmtId="0" fontId="164" fillId="61" borderId="0"/>
    <xf numFmtId="0" fontId="165" fillId="69" borderId="0"/>
    <xf numFmtId="0" fontId="165" fillId="61" borderId="0"/>
    <xf numFmtId="0" fontId="164" fillId="61" borderId="0"/>
    <xf numFmtId="0" fontId="24" fillId="29" borderId="0"/>
    <xf numFmtId="0" fontId="164" fillId="63" borderId="0"/>
    <xf numFmtId="0" fontId="165" fillId="63" borderId="0"/>
    <xf numFmtId="0" fontId="165" fillId="63" borderId="0"/>
    <xf numFmtId="0" fontId="164" fillId="63" borderId="0"/>
    <xf numFmtId="0" fontId="24" fillId="33" borderId="0"/>
    <xf numFmtId="0" fontId="164" fillId="50" borderId="0"/>
    <xf numFmtId="0" fontId="165" fillId="53" borderId="0"/>
    <xf numFmtId="0" fontId="165" fillId="50" borderId="0"/>
    <xf numFmtId="0" fontId="164" fillId="50" borderId="0"/>
    <xf numFmtId="0" fontId="24" fillId="36" borderId="0"/>
    <xf numFmtId="0" fontId="164" fillId="61" borderId="0"/>
    <xf numFmtId="0" fontId="165" fillId="61" borderId="0"/>
    <xf numFmtId="0" fontId="165" fillId="61" borderId="0"/>
    <xf numFmtId="0" fontId="164" fillId="61" borderId="0"/>
    <xf numFmtId="0" fontId="24" fillId="40" borderId="0"/>
    <xf numFmtId="0" fontId="166" fillId="43" borderId="0"/>
    <xf numFmtId="0" fontId="165" fillId="69" borderId="0"/>
    <xf numFmtId="0" fontId="165" fillId="66" borderId="0"/>
    <xf numFmtId="0" fontId="164" fillId="66" borderId="0"/>
    <xf numFmtId="0" fontId="24" fillId="43" borderId="0"/>
    <xf numFmtId="0" fontId="164" fillId="50" borderId="0"/>
    <xf numFmtId="0" fontId="165" fillId="62" borderId="0"/>
    <xf numFmtId="0" fontId="165" fillId="50" borderId="0"/>
    <xf numFmtId="0" fontId="164" fillId="50" borderId="0"/>
    <xf numFmtId="0" fontId="24" fillId="47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0" fontId="165" fillId="61" borderId="0"/>
    <xf numFmtId="0" fontId="167" fillId="66" borderId="0"/>
    <xf numFmtId="0" fontId="165" fillId="61" borderId="0"/>
    <xf numFmtId="0" fontId="165" fillId="63" borderId="0"/>
    <xf numFmtId="0" fontId="167" fillId="63" borderId="0"/>
    <xf numFmtId="0" fontId="165" fillId="63" borderId="0"/>
    <xf numFmtId="0" fontId="165" fillId="50" borderId="0"/>
    <xf numFmtId="0" fontId="167" fillId="67" borderId="0"/>
    <xf numFmtId="0" fontId="165" fillId="50" borderId="0"/>
    <xf numFmtId="0" fontId="165" fillId="61" borderId="0"/>
    <xf numFmtId="0" fontId="167" fillId="59" borderId="0"/>
    <xf numFmtId="0" fontId="165" fillId="61" borderId="0"/>
    <xf numFmtId="0" fontId="165" fillId="66" borderId="0"/>
    <xf numFmtId="0" fontId="167" fillId="66" borderId="0"/>
    <xf numFmtId="0" fontId="165" fillId="66" borderId="0"/>
    <xf numFmtId="0" fontId="165" fillId="50" borderId="0"/>
    <xf numFmtId="0" fontId="167" fillId="68" borderId="0"/>
    <xf numFmtId="0" fontId="165" fillId="50" borderId="0"/>
    <xf numFmtId="0" fontId="168" fillId="66" borderId="0" applyAlignment="1">
      <alignment vertical="center"/>
    </xf>
    <xf numFmtId="0" fontId="169" fillId="66" borderId="0" applyAlignment="1">
      <alignment vertical="center"/>
    </xf>
    <xf numFmtId="0" fontId="168" fillId="63" borderId="0" applyAlignment="1">
      <alignment vertical="center"/>
    </xf>
    <xf numFmtId="0" fontId="169" fillId="63" borderId="0" applyAlignment="1">
      <alignment vertical="center"/>
    </xf>
    <xf numFmtId="0" fontId="168" fillId="67" borderId="0" applyAlignment="1">
      <alignment vertical="center"/>
    </xf>
    <xf numFmtId="0" fontId="169" fillId="67" borderId="0" applyAlignment="1">
      <alignment vertical="center"/>
    </xf>
    <xf numFmtId="0" fontId="168" fillId="59" borderId="0" applyAlignment="1">
      <alignment vertical="center"/>
    </xf>
    <xf numFmtId="0" fontId="169" fillId="59" borderId="0" applyAlignment="1">
      <alignment vertical="center"/>
    </xf>
    <xf numFmtId="0" fontId="168" fillId="66" borderId="0" applyAlignment="1">
      <alignment vertical="center"/>
    </xf>
    <xf numFmtId="0" fontId="169" fillId="66" borderId="0" applyAlignment="1">
      <alignment vertical="center"/>
    </xf>
    <xf numFmtId="0" fontId="168" fillId="68" borderId="0" applyAlignment="1">
      <alignment vertical="center"/>
    </xf>
    <xf numFmtId="0" fontId="169" fillId="68" borderId="0" applyAlignment="1">
      <alignment vertical="center"/>
    </xf>
    <xf numFmtId="0" fontId="170" fillId="66" borderId="0" applyAlignment="1">
      <alignment vertical="center"/>
    </xf>
    <xf numFmtId="0" fontId="170" fillId="66" borderId="0" applyAlignment="1">
      <alignment vertical="center"/>
    </xf>
    <xf numFmtId="0" fontId="170" fillId="63" borderId="0" applyAlignment="1">
      <alignment vertical="center"/>
    </xf>
    <xf numFmtId="0" fontId="170" fillId="63" borderId="0" applyAlignment="1">
      <alignment vertical="center"/>
    </xf>
    <xf numFmtId="0" fontId="170" fillId="67" borderId="0" applyAlignment="1">
      <alignment vertical="center"/>
    </xf>
    <xf numFmtId="0" fontId="170" fillId="67" borderId="0" applyAlignment="1">
      <alignment vertical="center"/>
    </xf>
    <xf numFmtId="0" fontId="170" fillId="59" borderId="0" applyAlignment="1">
      <alignment vertical="center"/>
    </xf>
    <xf numFmtId="0" fontId="170" fillId="59" borderId="0" applyAlignment="1">
      <alignment vertical="center"/>
    </xf>
    <xf numFmtId="0" fontId="170" fillId="66" borderId="0" applyAlignment="1">
      <alignment vertical="center"/>
    </xf>
    <xf numFmtId="0" fontId="170" fillId="66" borderId="0" applyAlignment="1">
      <alignment vertical="center"/>
    </xf>
    <xf numFmtId="0" fontId="170" fillId="68" borderId="0" applyAlignment="1">
      <alignment vertical="center"/>
    </xf>
    <xf numFmtId="0" fontId="170" fillId="68" borderId="0" applyAlignment="1">
      <alignment vertical="center"/>
    </xf>
    <xf numFmtId="0" fontId="153" fillId="70" borderId="0" applyAlignment="1">
      <alignment vertical="center"/>
    </xf>
    <xf numFmtId="0" fontId="153" fillId="63" borderId="0" applyAlignment="1">
      <alignment vertical="center"/>
    </xf>
    <xf numFmtId="0" fontId="153" fillId="67" borderId="0" applyAlignment="1">
      <alignment vertical="center"/>
    </xf>
    <xf numFmtId="0" fontId="153" fillId="54" borderId="0" applyAlignment="1">
      <alignment vertical="center"/>
    </xf>
    <xf numFmtId="0" fontId="153" fillId="55" borderId="0" applyAlignment="1">
      <alignment vertical="center"/>
    </xf>
    <xf numFmtId="0" fontId="153" fillId="71" borderId="0" applyAlignment="1">
      <alignment vertical="center"/>
    </xf>
    <xf numFmtId="0" fontId="156" fillId="70" borderId="0" applyAlignment="1">
      <alignment vertical="center"/>
    </xf>
    <xf numFmtId="0" fontId="156" fillId="63" borderId="0" applyAlignment="1">
      <alignment vertical="center"/>
    </xf>
    <xf numFmtId="0" fontId="156" fillId="67" borderId="0" applyAlignment="1">
      <alignment vertical="center"/>
    </xf>
    <xf numFmtId="0" fontId="156" fillId="54" borderId="0" applyAlignment="1">
      <alignment vertical="center"/>
    </xf>
    <xf numFmtId="0" fontId="156" fillId="55" borderId="0" applyAlignment="1">
      <alignment vertical="center"/>
    </xf>
    <xf numFmtId="0" fontId="156" fillId="71" borderId="0" applyAlignment="1">
      <alignment vertical="center"/>
    </xf>
    <xf numFmtId="0" fontId="171" fillId="55" borderId="0"/>
    <xf numFmtId="0" fontId="172" fillId="69" borderId="0"/>
    <xf numFmtId="0" fontId="172" fillId="55" borderId="0"/>
    <xf numFmtId="0" fontId="171" fillId="55" borderId="0"/>
    <xf numFmtId="0" fontId="96" fillId="30" borderId="0"/>
    <xf numFmtId="0" fontId="171" fillId="63" borderId="0"/>
    <xf numFmtId="0" fontId="172" fillId="63" borderId="0"/>
    <xf numFmtId="0" fontId="172" fillId="63" borderId="0"/>
    <xf numFmtId="0" fontId="171" fillId="63" borderId="0"/>
    <xf numFmtId="0" fontId="96" fillId="34" borderId="0"/>
    <xf numFmtId="0" fontId="171" fillId="50" borderId="0"/>
    <xf numFmtId="0" fontId="172" fillId="53" borderId="0"/>
    <xf numFmtId="0" fontId="172" fillId="50" borderId="0"/>
    <xf numFmtId="0" fontId="171" fillId="50" borderId="0"/>
    <xf numFmtId="0" fontId="96" fillId="37" borderId="0"/>
    <xf numFmtId="0" fontId="171" fillId="61" borderId="0"/>
    <xf numFmtId="0" fontId="172" fillId="61" borderId="0"/>
    <xf numFmtId="0" fontId="172" fillId="61" borderId="0"/>
    <xf numFmtId="0" fontId="171" fillId="61" borderId="0"/>
    <xf numFmtId="0" fontId="96" fillId="41" borderId="0"/>
    <xf numFmtId="0" fontId="171" fillId="55" borderId="0"/>
    <xf numFmtId="0" fontId="172" fillId="55" borderId="0"/>
    <xf numFmtId="0" fontId="172" fillId="55" borderId="0"/>
    <xf numFmtId="0" fontId="171" fillId="55" borderId="0"/>
    <xf numFmtId="0" fontId="96" fillId="44" borderId="0"/>
    <xf numFmtId="0" fontId="171" fillId="63" borderId="0"/>
    <xf numFmtId="0" fontId="172" fillId="62" borderId="0"/>
    <xf numFmtId="0" fontId="172" fillId="63" borderId="0"/>
    <xf numFmtId="0" fontId="171" fillId="63" borderId="0"/>
    <xf numFmtId="0" fontId="96" fillId="48" borderId="0"/>
    <xf numFmtId="0" fontId="172" fillId="55" borderId="0"/>
    <xf numFmtId="0" fontId="173" fillId="70" borderId="0"/>
    <xf numFmtId="0" fontId="172" fillId="55" borderId="0"/>
    <xf numFmtId="0" fontId="172" fillId="63" borderId="0"/>
    <xf numFmtId="0" fontId="173" fillId="63" borderId="0"/>
    <xf numFmtId="0" fontId="172" fillId="63" borderId="0"/>
    <xf numFmtId="0" fontId="172" fillId="50" borderId="0"/>
    <xf numFmtId="0" fontId="173" fillId="67" borderId="0"/>
    <xf numFmtId="0" fontId="172" fillId="50" borderId="0"/>
    <xf numFmtId="0" fontId="172" fillId="61" borderId="0"/>
    <xf numFmtId="0" fontId="173" fillId="54" borderId="0"/>
    <xf numFmtId="0" fontId="172" fillId="61" borderId="0"/>
    <xf numFmtId="0" fontId="172" fillId="55" borderId="0"/>
    <xf numFmtId="0" fontId="173" fillId="55" borderId="0"/>
    <xf numFmtId="0" fontId="172" fillId="55" borderId="0"/>
    <xf numFmtId="0" fontId="172" fillId="63" borderId="0"/>
    <xf numFmtId="0" fontId="173" fillId="71" borderId="0"/>
    <xf numFmtId="0" fontId="172" fillId="63" borderId="0"/>
    <xf numFmtId="0" fontId="174" fillId="70" borderId="0" applyAlignment="1">
      <alignment vertical="center"/>
    </xf>
    <xf numFmtId="0" fontId="175" fillId="70" borderId="0" applyAlignment="1">
      <alignment vertical="center"/>
    </xf>
    <xf numFmtId="0" fontId="174" fillId="63" borderId="0" applyAlignment="1">
      <alignment vertical="center"/>
    </xf>
    <xf numFmtId="0" fontId="175" fillId="63" borderId="0" applyAlignment="1">
      <alignment vertical="center"/>
    </xf>
    <xf numFmtId="0" fontId="174" fillId="67" borderId="0" applyAlignment="1">
      <alignment vertical="center"/>
    </xf>
    <xf numFmtId="0" fontId="175" fillId="67" borderId="0" applyAlignment="1">
      <alignment vertical="center"/>
    </xf>
    <xf numFmtId="0" fontId="174" fillId="54" borderId="0" applyAlignment="1">
      <alignment vertical="center"/>
    </xf>
    <xf numFmtId="0" fontId="175" fillId="54" borderId="0" applyAlignment="1">
      <alignment vertical="center"/>
    </xf>
    <xf numFmtId="0" fontId="174" fillId="55" borderId="0" applyAlignment="1">
      <alignment vertical="center"/>
    </xf>
    <xf numFmtId="0" fontId="175" fillId="55" borderId="0" applyAlignment="1">
      <alignment vertical="center"/>
    </xf>
    <xf numFmtId="0" fontId="174" fillId="71" borderId="0" applyAlignment="1">
      <alignment vertical="center"/>
    </xf>
    <xf numFmtId="0" fontId="175" fillId="71" borderId="0" applyAlignment="1">
      <alignment vertical="center"/>
    </xf>
    <xf numFmtId="0" fontId="176" fillId="70" borderId="0" applyAlignment="1">
      <alignment vertical="center"/>
    </xf>
    <xf numFmtId="0" fontId="176" fillId="70" borderId="0" applyAlignment="1">
      <alignment vertical="center"/>
    </xf>
    <xf numFmtId="0" fontId="176" fillId="63" borderId="0" applyAlignment="1">
      <alignment vertical="center"/>
    </xf>
    <xf numFmtId="0" fontId="176" fillId="63" borderId="0" applyAlignment="1">
      <alignment vertical="center"/>
    </xf>
    <xf numFmtId="0" fontId="176" fillId="67" borderId="0" applyAlignment="1">
      <alignment vertical="center"/>
    </xf>
    <xf numFmtId="0" fontId="176" fillId="67" borderId="0" applyAlignment="1">
      <alignment vertical="center"/>
    </xf>
    <xf numFmtId="0" fontId="176" fillId="54" borderId="0" applyAlignment="1">
      <alignment vertical="center"/>
    </xf>
    <xf numFmtId="0" fontId="176" fillId="54" borderId="0" applyAlignment="1">
      <alignment vertical="center"/>
    </xf>
    <xf numFmtId="0" fontId="176" fillId="55" borderId="0" applyAlignment="1">
      <alignment vertical="center"/>
    </xf>
    <xf numFmtId="0" fontId="176" fillId="55" borderId="0" applyAlignment="1">
      <alignment vertical="center"/>
    </xf>
    <xf numFmtId="0" fontId="176" fillId="71" borderId="0" applyAlignment="1">
      <alignment vertical="center"/>
    </xf>
    <xf numFmtId="0" fontId="176" fillId="71" borderId="0" applyAlignment="1">
      <alignment vertical="center"/>
    </xf>
    <xf numFmtId="9" fontId="159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9" fillId="0" borderId="0"/>
    <xf numFmtId="9" fontId="158" fillId="0" borderId="0"/>
    <xf numFmtId="9" fontId="158" fillId="0" borderId="0"/>
    <xf numFmtId="9" fontId="159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9" fontId="158" fillId="0" borderId="0"/>
    <xf numFmtId="0" fontId="177" fillId="28" borderId="0"/>
    <xf numFmtId="0" fontId="172" fillId="55" borderId="0"/>
    <xf numFmtId="0" fontId="172" fillId="55" borderId="0"/>
    <xf numFmtId="0" fontId="171" fillId="55" borderId="0"/>
    <xf numFmtId="0" fontId="96" fillId="28" borderId="0"/>
    <xf numFmtId="0" fontId="171" fillId="52" borderId="0"/>
    <xf numFmtId="0" fontId="172" fillId="52" borderId="0"/>
    <xf numFmtId="0" fontId="172" fillId="52" borderId="0"/>
    <xf numFmtId="0" fontId="171" fillId="52" borderId="0"/>
    <xf numFmtId="0" fontId="96" fillId="31" borderId="0"/>
    <xf numFmtId="0" fontId="171" fillId="53" borderId="0"/>
    <xf numFmtId="0" fontId="172" fillId="53" borderId="0"/>
    <xf numFmtId="0" fontId="172" fillId="53" borderId="0"/>
    <xf numFmtId="0" fontId="171" fillId="53" borderId="0"/>
    <xf numFmtId="0" fontId="96" fillId="16" borderId="0"/>
    <xf numFmtId="0" fontId="171" fillId="72" borderId="0"/>
    <xf numFmtId="0" fontId="172" fillId="72" borderId="0"/>
    <xf numFmtId="0" fontId="172" fillId="72" borderId="0"/>
    <xf numFmtId="0" fontId="171" fillId="72" borderId="0"/>
    <xf numFmtId="0" fontId="96" fillId="38" borderId="0"/>
    <xf numFmtId="0" fontId="171" fillId="55" borderId="0"/>
    <xf numFmtId="0" fontId="172" fillId="55" borderId="0"/>
    <xf numFmtId="0" fontId="172" fillId="55" borderId="0"/>
    <xf numFmtId="0" fontId="171" fillId="55" borderId="0"/>
    <xf numFmtId="0" fontId="96" fillId="17" borderId="0"/>
    <xf numFmtId="0" fontId="171" fillId="56" borderId="0"/>
    <xf numFmtId="0" fontId="172" fillId="68" borderId="0"/>
    <xf numFmtId="0" fontId="172" fillId="56" borderId="0"/>
    <xf numFmtId="0" fontId="171" fillId="56" borderId="0"/>
    <xf numFmtId="0" fontId="96" fillId="45" borderId="0"/>
    <xf numFmtId="0" fontId="178" fillId="49" borderId="0"/>
    <xf numFmtId="0" fontId="179" fillId="59" borderId="0"/>
    <xf numFmtId="0" fontId="179" fillId="49" borderId="0"/>
    <xf numFmtId="0" fontId="178" fillId="49" borderId="0"/>
    <xf numFmtId="0" fontId="136" fillId="22" borderId="0"/>
    <xf numFmtId="0" fontId="180" fillId="0" borderId="88" applyAlignment="1">
      <alignment horizontal="left"/>
    </xf>
    <xf numFmtId="0" fontId="181" fillId="73" borderId="89"/>
    <xf numFmtId="0" fontId="182" fillId="65" borderId="89"/>
    <xf numFmtId="0" fontId="183" fillId="73" borderId="89"/>
    <xf numFmtId="0" fontId="181" fillId="73" borderId="89"/>
    <xf numFmtId="0" fontId="140" fillId="25" borderId="78"/>
    <xf numFmtId="0" fontId="184" fillId="69" borderId="90"/>
    <xf numFmtId="0" fontId="185" fillId="74" borderId="90"/>
    <xf numFmtId="0" fontId="185" fillId="69" borderId="90"/>
    <xf numFmtId="0" fontId="184" fillId="69" borderId="90"/>
    <xf numFmtId="0" fontId="142" fillId="26" borderId="81"/>
    <xf numFmtId="199" fontId="107" fillId="0" borderId="0"/>
    <xf numFmtId="206" fontId="352" fillId="0" borderId="0"/>
    <xf numFmtId="207" fontId="15" fillId="0" borderId="0"/>
    <xf numFmtId="169" fontId="352" fillId="0" borderId="0"/>
    <xf numFmtId="169" fontId="352" fillId="0" borderId="0"/>
    <xf numFmtId="208" fontId="164" fillId="0" borderId="0"/>
    <xf numFmtId="169" fontId="352" fillId="0" borderId="0"/>
    <xf numFmtId="209" fontId="164" fillId="0" borderId="0"/>
    <xf numFmtId="169" fontId="352" fillId="0" borderId="0"/>
    <xf numFmtId="169" fontId="352" fillId="0" borderId="0"/>
    <xf numFmtId="169" fontId="352" fillId="0" borderId="0"/>
    <xf numFmtId="186" fontId="352" fillId="0" borderId="0"/>
    <xf numFmtId="169" fontId="166" fillId="0" borderId="0"/>
    <xf numFmtId="169" fontId="352" fillId="0" borderId="0"/>
    <xf numFmtId="210" fontId="352" fillId="0" borderId="0"/>
    <xf numFmtId="169" fontId="352" fillId="0" borderId="0"/>
    <xf numFmtId="169" fontId="352" fillId="0" borderId="0"/>
    <xf numFmtId="169" fontId="352" fillId="0" borderId="0"/>
    <xf numFmtId="169" fontId="164" fillId="0" borderId="0"/>
    <xf numFmtId="169" fontId="352" fillId="0" borderId="0"/>
    <xf numFmtId="169" fontId="164" fillId="0" borderId="0"/>
    <xf numFmtId="169" fontId="164" fillId="0" borderId="0"/>
    <xf numFmtId="169" fontId="186" fillId="0" borderId="0"/>
    <xf numFmtId="169" fontId="107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8" fontId="352" fillId="0" borderId="0"/>
    <xf numFmtId="208" fontId="164" fillId="0" borderId="0"/>
    <xf numFmtId="169" fontId="352" fillId="0" borderId="0"/>
    <xf numFmtId="169" fontId="107" fillId="0" borderId="0"/>
    <xf numFmtId="169" fontId="107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7" fontId="107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7" fontId="107" fillId="0" borderId="0"/>
    <xf numFmtId="7" fontId="107" fillId="0" borderId="0"/>
    <xf numFmtId="7" fontId="107" fillId="0" borderId="0"/>
    <xf numFmtId="7" fontId="107" fillId="0" borderId="0"/>
    <xf numFmtId="7" fontId="107" fillId="0" borderId="0"/>
    <xf numFmtId="7" fontId="107" fillId="0" borderId="0"/>
    <xf numFmtId="7" fontId="107" fillId="0" borderId="0"/>
    <xf numFmtId="169" fontId="352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169" fontId="352" fillId="0" borderId="0"/>
    <xf numFmtId="211" fontId="352" fillId="0" borderId="0"/>
    <xf numFmtId="210" fontId="352" fillId="0" borderId="0"/>
    <xf numFmtId="212" fontId="352" fillId="0" borderId="0"/>
    <xf numFmtId="204" fontId="107" fillId="0" borderId="0"/>
    <xf numFmtId="212" fontId="352" fillId="0" borderId="0"/>
    <xf numFmtId="204" fontId="107" fillId="0" borderId="0"/>
    <xf numFmtId="212" fontId="352" fillId="0" borderId="0"/>
    <xf numFmtId="204" fontId="107" fillId="0" borderId="0"/>
    <xf numFmtId="199" fontId="352" fillId="0" borderId="0"/>
    <xf numFmtId="199" fontId="352" fillId="0" borderId="0"/>
    <xf numFmtId="169" fontId="107" fillId="0" borderId="0"/>
    <xf numFmtId="169" fontId="107" fillId="0" borderId="0"/>
    <xf numFmtId="209" fontId="352" fillId="0" borderId="0"/>
    <xf numFmtId="169" fontId="107" fillId="0" borderId="0"/>
    <xf numFmtId="209" fontId="352" fillId="0" borderId="0"/>
    <xf numFmtId="169" fontId="352" fillId="0" borderId="0"/>
    <xf numFmtId="213" fontId="352" fillId="0" borderId="0"/>
    <xf numFmtId="209" fontId="352" fillId="0" borderId="0"/>
    <xf numFmtId="209" fontId="352" fillId="0" borderId="0"/>
    <xf numFmtId="209" fontId="352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209" fontId="352" fillId="0" borderId="0"/>
    <xf numFmtId="209" fontId="352" fillId="0" borderId="0"/>
    <xf numFmtId="209" fontId="352" fillId="0" borderId="0"/>
    <xf numFmtId="169" fontId="352" fillId="0" borderId="0"/>
    <xf numFmtId="209" fontId="352" fillId="0" borderId="0"/>
    <xf numFmtId="169" fontId="107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204" fontId="352" fillId="0" borderId="0"/>
    <xf numFmtId="169" fontId="352" fillId="0" borderId="0"/>
    <xf numFmtId="169" fontId="352" fillId="0" borderId="0"/>
    <xf numFmtId="204" fontId="352" fillId="0" borderId="0"/>
    <xf numFmtId="8" fontId="352" fillId="0" borderId="0"/>
    <xf numFmtId="204" fontId="107" fillId="0" borderId="0"/>
    <xf numFmtId="199" fontId="352" fillId="0" borderId="0"/>
    <xf numFmtId="199" fontId="352" fillId="0" borderId="0"/>
    <xf numFmtId="204" fontId="107" fillId="0" borderId="0"/>
    <xf numFmtId="199" fontId="352" fillId="0" borderId="0"/>
    <xf numFmtId="199" fontId="352" fillId="0" borderId="0"/>
    <xf numFmtId="204" fontId="107" fillId="0" borderId="0"/>
    <xf numFmtId="199" fontId="352" fillId="0" borderId="0"/>
    <xf numFmtId="199" fontId="352" fillId="0" borderId="0"/>
    <xf numFmtId="204" fontId="107" fillId="0" borderId="0"/>
    <xf numFmtId="169" fontId="352" fillId="0" borderId="0"/>
    <xf numFmtId="169" fontId="352" fillId="0" borderId="0"/>
    <xf numFmtId="204" fontId="107" fillId="0" borderId="0"/>
    <xf numFmtId="169" fontId="352" fillId="0" borderId="0"/>
    <xf numFmtId="169" fontId="352" fillId="0" borderId="0"/>
    <xf numFmtId="204" fontId="352" fillId="0" borderId="0"/>
    <xf numFmtId="169" fontId="352" fillId="0" borderId="0"/>
    <xf numFmtId="169" fontId="352" fillId="0" borderId="0"/>
    <xf numFmtId="210" fontId="352" fillId="0" borderId="0"/>
    <xf numFmtId="169" fontId="352" fillId="0" borderId="0"/>
    <xf numFmtId="169" fontId="352" fillId="0" borderId="0"/>
    <xf numFmtId="210" fontId="352" fillId="0" borderId="0"/>
    <xf numFmtId="169" fontId="352" fillId="0" borderId="0"/>
    <xf numFmtId="169" fontId="352" fillId="0" borderId="0"/>
    <xf numFmtId="210" fontId="352" fillId="0" borderId="0"/>
    <xf numFmtId="209" fontId="352" fillId="0" borderId="0"/>
    <xf numFmtId="210" fontId="352" fillId="0" borderId="0"/>
    <xf numFmtId="209" fontId="352" fillId="0" borderId="0"/>
    <xf numFmtId="169" fontId="107" fillId="0" borderId="0"/>
    <xf numFmtId="169" fontId="107" fillId="0" borderId="0"/>
    <xf numFmtId="169" fontId="107" fillId="0" borderId="0"/>
    <xf numFmtId="178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352" fillId="0" borderId="0"/>
    <xf numFmtId="169" fontId="107" fillId="0" borderId="0"/>
    <xf numFmtId="212" fontId="352" fillId="0" borderId="0"/>
    <xf numFmtId="169" fontId="107" fillId="0" borderId="0"/>
    <xf numFmtId="209" fontId="352" fillId="0" borderId="0"/>
    <xf numFmtId="209" fontId="352" fillId="0" borderId="0"/>
    <xf numFmtId="169" fontId="107" fillId="0" borderId="0"/>
    <xf numFmtId="169" fontId="107" fillId="0" borderId="0"/>
    <xf numFmtId="169" fontId="352" fillId="0" borderId="0"/>
    <xf numFmtId="169" fontId="352" fillId="0" borderId="0"/>
    <xf numFmtId="210" fontId="352" fillId="0" borderId="0"/>
    <xf numFmtId="209" fontId="352" fillId="0" borderId="0"/>
    <xf numFmtId="169" fontId="107" fillId="0" borderId="0"/>
    <xf numFmtId="209" fontId="352" fillId="0" borderId="0"/>
    <xf numFmtId="169" fontId="352" fillId="0" borderId="0"/>
    <xf numFmtId="209" fontId="352" fillId="0" borderId="0"/>
    <xf numFmtId="169" fontId="165" fillId="0" borderId="0"/>
    <xf numFmtId="169" fontId="165" fillId="0" borderId="0"/>
    <xf numFmtId="169" fontId="165" fillId="0" borderId="0"/>
    <xf numFmtId="209" fontId="352" fillId="0" borderId="0"/>
    <xf numFmtId="209" fontId="352" fillId="0" borderId="0"/>
    <xf numFmtId="209" fontId="352" fillId="0" borderId="0"/>
    <xf numFmtId="209" fontId="107" fillId="0" borderId="0"/>
    <xf numFmtId="169" fontId="187" fillId="0" borderId="0"/>
    <xf numFmtId="169" fontId="187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169" fontId="107" fillId="0" borderId="0"/>
    <xf numFmtId="169" fontId="352" fillId="0" borderId="0"/>
    <xf numFmtId="169" fontId="352" fillId="0" borderId="0"/>
    <xf numFmtId="209" fontId="352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99" fontId="352" fillId="0" borderId="0"/>
    <xf numFmtId="199" fontId="352" fillId="0" borderId="0"/>
    <xf numFmtId="199" fontId="352" fillId="0" borderId="0"/>
    <xf numFmtId="214" fontId="352" fillId="0" borderId="0"/>
    <xf numFmtId="215" fontId="352" fillId="0" borderId="0"/>
    <xf numFmtId="169" fontId="352" fillId="0" borderId="0"/>
    <xf numFmtId="44" fontId="352" fillId="0" borderId="0"/>
    <xf numFmtId="211" fontId="352" fillId="0" borderId="0"/>
    <xf numFmtId="215" fontId="352" fillId="0" borderId="0"/>
    <xf numFmtId="44" fontId="352" fillId="0" borderId="0"/>
    <xf numFmtId="214" fontId="352" fillId="0" borderId="0"/>
    <xf numFmtId="215" fontId="352" fillId="0" borderId="0"/>
    <xf numFmtId="44" fontId="352" fillId="0" borderId="0"/>
    <xf numFmtId="44" fontId="352" fillId="0" borderId="0"/>
    <xf numFmtId="44" fontId="352" fillId="0" borderId="0"/>
    <xf numFmtId="169" fontId="352" fillId="0" borderId="0"/>
    <xf numFmtId="169" fontId="352" fillId="0" borderId="0"/>
    <xf numFmtId="169" fontId="161" fillId="0" borderId="0"/>
    <xf numFmtId="169" fontId="161" fillId="0" borderId="0"/>
    <xf numFmtId="169" fontId="352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169" fontId="352" fillId="0" borderId="0"/>
    <xf numFmtId="169" fontId="62" fillId="0" borderId="0"/>
    <xf numFmtId="216" fontId="188" fillId="0" borderId="0" applyAlignment="1">
      <alignment vertical="center"/>
    </xf>
    <xf numFmtId="169" fontId="352" fillId="0" borderId="0"/>
    <xf numFmtId="169" fontId="352" fillId="0" borderId="0"/>
    <xf numFmtId="169" fontId="352" fillId="0" borderId="0"/>
    <xf numFmtId="169" fontId="352" fillId="0" borderId="0"/>
    <xf numFmtId="0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8" fontId="352" fillId="0" borderId="0"/>
    <xf numFmtId="169" fontId="107" fillId="0" borderId="0"/>
    <xf numFmtId="164" fontId="352" fillId="0" borderId="0"/>
    <xf numFmtId="169" fontId="164" fillId="0" borderId="0"/>
    <xf numFmtId="169" fontId="164" fillId="0" borderId="0"/>
    <xf numFmtId="169" fontId="352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352" fillId="0" borderId="0"/>
    <xf numFmtId="216" fontId="107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216" fontId="107" fillId="0" borderId="0"/>
    <xf numFmtId="199" fontId="189" fillId="0" borderId="0"/>
    <xf numFmtId="169" fontId="352" fillId="0" borderId="0"/>
    <xf numFmtId="169" fontId="352" fillId="0" borderId="0"/>
    <xf numFmtId="169" fontId="190" fillId="0" borderId="0"/>
    <xf numFmtId="211" fontId="107" fillId="0" borderId="0"/>
    <xf numFmtId="169" fontId="352" fillId="0" borderId="0"/>
    <xf numFmtId="169" fontId="190" fillId="0" borderId="0"/>
    <xf numFmtId="169" fontId="352" fillId="0" borderId="0"/>
    <xf numFmtId="169" fontId="352" fillId="0" borderId="0"/>
    <xf numFmtId="169" fontId="164" fillId="0" borderId="0"/>
    <xf numFmtId="169" fontId="352" fillId="0" borderId="0"/>
    <xf numFmtId="169" fontId="107" fillId="0" borderId="0"/>
    <xf numFmtId="216" fontId="188" fillId="0" borderId="0" applyAlignment="1">
      <alignment vertical="center"/>
    </xf>
    <xf numFmtId="199" fontId="189" fillId="0" borderId="0"/>
    <xf numFmtId="169" fontId="352" fillId="0" borderId="0"/>
    <xf numFmtId="209" fontId="164" fillId="0" borderId="0"/>
    <xf numFmtId="209" fontId="164" fillId="0" borderId="0"/>
    <xf numFmtId="169" fontId="352" fillId="0" borderId="0"/>
    <xf numFmtId="217" fontId="352" fillId="0" borderId="0"/>
    <xf numFmtId="169" fontId="160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9" fillId="0" borderId="0"/>
    <xf numFmtId="218" fontId="158" fillId="0" borderId="0"/>
    <xf numFmtId="218" fontId="158" fillId="0" borderId="0"/>
    <xf numFmtId="218" fontId="159" fillId="0" borderId="0"/>
    <xf numFmtId="218" fontId="159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218" fontId="158" fillId="0" borderId="0"/>
    <xf numFmtId="3" fontId="107" fillId="0" borderId="0"/>
    <xf numFmtId="3" fontId="191" fillId="0" borderId="0"/>
    <xf numFmtId="3" fontId="192" fillId="0" borderId="0"/>
    <xf numFmtId="214" fontId="352" fillId="0" borderId="0"/>
    <xf numFmtId="215" fontId="352" fillId="0" borderId="0"/>
    <xf numFmtId="44" fontId="352" fillId="0" borderId="0"/>
    <xf numFmtId="219" fontId="107" fillId="0" borderId="0"/>
    <xf numFmtId="0" fontId="191" fillId="0" borderId="0"/>
    <xf numFmtId="0" fontId="192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9" fillId="0" borderId="0"/>
    <xf numFmtId="217" fontId="158" fillId="0" borderId="0"/>
    <xf numFmtId="217" fontId="158" fillId="0" borderId="0"/>
    <xf numFmtId="217" fontId="159" fillId="0" borderId="0"/>
    <xf numFmtId="217" fontId="159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217" fontId="158" fillId="0" borderId="0"/>
    <xf numFmtId="0" fontId="107" fillId="0" borderId="0"/>
    <xf numFmtId="0" fontId="191" fillId="0" borderId="0"/>
    <xf numFmtId="0" fontId="192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9" fillId="0" borderId="0"/>
    <xf numFmtId="178" fontId="158" fillId="0" borderId="0"/>
    <xf numFmtId="178" fontId="158" fillId="0" borderId="0"/>
    <xf numFmtId="178" fontId="159" fillId="0" borderId="0"/>
    <xf numFmtId="178" fontId="159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178" fontId="158" fillId="0" borderId="0"/>
    <xf numFmtId="38" fontId="180" fillId="0" borderId="0"/>
    <xf numFmtId="0" fontId="187" fillId="0" borderId="0"/>
    <xf numFmtId="0" fontId="189" fillId="0" borderId="0"/>
    <xf numFmtId="0" fontId="193" fillId="0" borderId="0"/>
    <xf numFmtId="0" fontId="194" fillId="0" borderId="0"/>
    <xf numFmtId="0" fontId="194" fillId="0" borderId="0"/>
    <xf numFmtId="0" fontId="193" fillId="0" borderId="0"/>
    <xf numFmtId="0" fontId="143" fillId="0" borderId="0"/>
    <xf numFmtId="0" fontId="195" fillId="0" borderId="0"/>
    <xf numFmtId="2" fontId="107" fillId="0" borderId="0"/>
    <xf numFmtId="2" fontId="191" fillId="0" borderId="0"/>
    <xf numFmtId="2" fontId="192" fillId="0" borderId="0"/>
    <xf numFmtId="220" fontId="196" fillId="0" borderId="0" applyAlignment="1">
      <alignment horizontal="right"/>
    </xf>
    <xf numFmtId="220" fontId="196" fillId="0" borderId="0" applyAlignment="1">
      <alignment horizontal="right"/>
    </xf>
    <xf numFmtId="208" fontId="196" fillId="0" borderId="0" applyAlignment="1">
      <alignment horizontal="right"/>
    </xf>
    <xf numFmtId="0" fontId="180" fillId="0" borderId="0"/>
    <xf numFmtId="0" fontId="180" fillId="0" borderId="0"/>
    <xf numFmtId="0" fontId="197" fillId="0" borderId="0"/>
    <xf numFmtId="0" fontId="198" fillId="58" borderId="0"/>
    <xf numFmtId="0" fontId="199" fillId="75" borderId="0"/>
    <xf numFmtId="0" fontId="199" fillId="58" borderId="0"/>
    <xf numFmtId="0" fontId="198" fillId="58" borderId="0"/>
    <xf numFmtId="0" fontId="135" fillId="21" borderId="0"/>
    <xf numFmtId="38" fontId="200" fillId="76" borderId="0"/>
    <xf numFmtId="38" fontId="200" fillId="76" borderId="0"/>
    <xf numFmtId="38" fontId="201" fillId="76" borderId="0"/>
    <xf numFmtId="38" fontId="201" fillId="76" borderId="0"/>
    <xf numFmtId="0" fontId="94" fillId="0" borderId="23" applyAlignment="1">
      <alignment horizontal="left" vertical="center"/>
    </xf>
    <xf numFmtId="0" fontId="94" fillId="0" borderId="23" applyAlignment="1">
      <alignment horizontal="left" vertical="center"/>
    </xf>
    <xf numFmtId="0" fontId="202" fillId="0" borderId="23" applyAlignment="1">
      <alignment horizontal="left" vertical="center"/>
    </xf>
    <xf numFmtId="0" fontId="94" fillId="0" borderId="3" applyAlignment="1">
      <alignment horizontal="left" vertical="center"/>
    </xf>
    <xf numFmtId="0" fontId="94" fillId="0" borderId="3" applyAlignment="1">
      <alignment horizontal="left" vertical="center"/>
    </xf>
    <xf numFmtId="0" fontId="202" fillId="0" borderId="3" applyAlignment="1">
      <alignment horizontal="left" vertical="center"/>
    </xf>
    <xf numFmtId="0" fontId="203" fillId="0" borderId="0"/>
    <xf numFmtId="0" fontId="204" fillId="0" borderId="91"/>
    <xf numFmtId="0" fontId="204" fillId="0" borderId="91"/>
    <xf numFmtId="0" fontId="203" fillId="0" borderId="0"/>
    <xf numFmtId="0" fontId="132" fillId="0" borderId="59"/>
    <xf numFmtId="0" fontId="205" fillId="0" borderId="0"/>
    <xf numFmtId="0" fontId="206" fillId="0" borderId="92"/>
    <xf numFmtId="0" fontId="206" fillId="0" borderId="85"/>
    <xf numFmtId="0" fontId="205" fillId="0" borderId="0"/>
    <xf numFmtId="0" fontId="133" fillId="0" borderId="60"/>
    <xf numFmtId="0" fontId="207" fillId="0" borderId="93"/>
    <xf numFmtId="0" fontId="208" fillId="0" borderId="94"/>
    <xf numFmtId="0" fontId="208" fillId="0" borderId="93"/>
    <xf numFmtId="0" fontId="207" fillId="0" borderId="93"/>
    <xf numFmtId="0" fontId="134" fillId="0" borderId="61"/>
    <xf numFmtId="0" fontId="207" fillId="0" borderId="0"/>
    <xf numFmtId="0" fontId="208" fillId="0" borderId="0"/>
    <xf numFmtId="0" fontId="208" fillId="0" borderId="0"/>
    <xf numFmtId="0" fontId="207" fillId="0" borderId="0"/>
    <xf numFmtId="0" fontId="134" fillId="0" borderId="0"/>
    <xf numFmtId="0" fontId="209" fillId="0" borderId="0" applyAlignment="1" applyProtection="1">
      <alignment vertical="top"/>
      <protection locked="0" hidden="0"/>
    </xf>
    <xf numFmtId="0" fontId="209" fillId="0" borderId="0" applyAlignment="1" applyProtection="1">
      <alignment vertical="top"/>
      <protection locked="0" hidden="0"/>
    </xf>
    <xf numFmtId="10" fontId="200" fillId="77" borderId="1"/>
    <xf numFmtId="10" fontId="200" fillId="77" borderId="1"/>
    <xf numFmtId="10" fontId="201" fillId="77" borderId="1"/>
    <xf numFmtId="10" fontId="201" fillId="77" borderId="1"/>
    <xf numFmtId="0" fontId="210" fillId="50" borderId="89"/>
    <xf numFmtId="0" fontId="138" fillId="24" borderId="78"/>
    <xf numFmtId="0" fontId="138" fillId="24" borderId="78"/>
    <xf numFmtId="0" fontId="138" fillId="24" borderId="78"/>
    <xf numFmtId="0" fontId="138" fillId="24" borderId="78"/>
    <xf numFmtId="0" fontId="210" fillId="50" borderId="89"/>
    <xf numFmtId="0" fontId="211" fillId="62" borderId="89"/>
    <xf numFmtId="0" fontId="211" fillId="50" borderId="89"/>
    <xf numFmtId="0" fontId="211" fillId="50" borderId="89"/>
    <xf numFmtId="0" fontId="211" fillId="50" borderId="89"/>
    <xf numFmtId="0" fontId="211" fillId="50" borderId="89"/>
    <xf numFmtId="0" fontId="210" fillId="50" borderId="89"/>
    <xf numFmtId="0" fontId="210" fillId="50" borderId="89"/>
    <xf numFmtId="0" fontId="210" fillId="50" borderId="89"/>
    <xf numFmtId="0" fontId="212" fillId="0" borderId="0"/>
    <xf numFmtId="0" fontId="213" fillId="0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4" fillId="78" borderId="0"/>
    <xf numFmtId="0" fontId="215" fillId="0" borderId="87"/>
    <xf numFmtId="0" fontId="216" fillId="0" borderId="95"/>
    <xf numFmtId="0" fontId="217" fillId="0" borderId="87"/>
    <xf numFmtId="0" fontId="215" fillId="0" borderId="87"/>
    <xf numFmtId="0" fontId="141" fillId="0" borderId="80"/>
    <xf numFmtId="0" fontId="218" fillId="50" borderId="0"/>
    <xf numFmtId="0" fontId="219" fillId="50" borderId="0"/>
    <xf numFmtId="0" fontId="219" fillId="50" borderId="0"/>
    <xf numFmtId="0" fontId="218" fillId="50" borderId="0"/>
    <xf numFmtId="0" fontId="137" fillId="23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37" fontId="220" fillId="0" borderId="0"/>
    <xf numFmtId="209" fontId="221" fillId="0" borderId="0"/>
    <xf numFmtId="209" fontId="221" fillId="0" borderId="0"/>
    <xf numFmtId="209" fontId="222" fillId="0" borderId="0"/>
    <xf numFmtId="209" fontId="222" fillId="0" borderId="0"/>
    <xf numFmtId="0" fontId="107" fillId="0" borderId="0"/>
    <xf numFmtId="0" fontId="352" fillId="0" borderId="0"/>
    <xf numFmtId="0" fontId="352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166" fillId="0" borderId="0"/>
    <xf numFmtId="0" fontId="158" fillId="0" borderId="0"/>
    <xf numFmtId="0" fontId="158" fillId="0" borderId="0"/>
    <xf numFmtId="0" fontId="166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158" fillId="0" borderId="0"/>
    <xf numFmtId="0" fontId="107" fillId="0" borderId="0"/>
    <xf numFmtId="0" fontId="158" fillId="0" borderId="0"/>
    <xf numFmtId="0" fontId="107" fillId="0" borderId="0"/>
    <xf numFmtId="0" fontId="223" fillId="0" borderId="0"/>
    <xf numFmtId="0" fontId="158" fillId="0" borderId="0"/>
    <xf numFmtId="0" fontId="107" fillId="0" borderId="0"/>
    <xf numFmtId="0" fontId="352" fillId="0" borderId="0"/>
    <xf numFmtId="0" fontId="166" fillId="0" borderId="0"/>
    <xf numFmtId="0" fontId="166" fillId="0" borderId="0"/>
    <xf numFmtId="0" fontId="107" fillId="0" borderId="0"/>
    <xf numFmtId="0" fontId="224" fillId="0" borderId="0"/>
    <xf numFmtId="0" fontId="107" fillId="0" borderId="0"/>
    <xf numFmtId="0" fontId="352" fillId="0" borderId="0"/>
    <xf numFmtId="0" fontId="107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1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190" fillId="0" borderId="0"/>
    <xf numFmtId="0" fontId="107" fillId="0" borderId="0"/>
    <xf numFmtId="0" fontId="352" fillId="0" borderId="0"/>
    <xf numFmtId="0" fontId="352" fillId="0" borderId="0"/>
    <xf numFmtId="0" fontId="225" fillId="0" borderId="0"/>
    <xf numFmtId="0" fontId="107" fillId="0" borderId="0"/>
    <xf numFmtId="0" fontId="352" fillId="0" borderId="0"/>
    <xf numFmtId="0" fontId="27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107" fillId="0" borderId="0"/>
    <xf numFmtId="0" fontId="161" fillId="0" borderId="0"/>
    <xf numFmtId="0" fontId="352" fillId="0" borderId="0"/>
    <xf numFmtId="0" fontId="352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161" fillId="0" borderId="0"/>
    <xf numFmtId="0" fontId="352" fillId="0" borderId="0"/>
    <xf numFmtId="0" fontId="160" fillId="0" borderId="0"/>
    <xf numFmtId="0" fontId="352" fillId="0" borderId="0"/>
    <xf numFmtId="0" fontId="166" fillId="0" borderId="0"/>
    <xf numFmtId="0" fontId="166" fillId="0" borderId="0"/>
    <xf numFmtId="0" fontId="107" fillId="0" borderId="0"/>
    <xf numFmtId="0" fontId="352" fillId="0" borderId="0"/>
    <xf numFmtId="0" fontId="107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6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88" fillId="0" borderId="0" applyAlignment="1">
      <alignment vertical="center"/>
    </xf>
    <xf numFmtId="0" fontId="107" fillId="0" borderId="0"/>
    <xf numFmtId="0" fontId="107" fillId="0" borderId="0"/>
    <xf numFmtId="0" fontId="107" fillId="0" borderId="0"/>
    <xf numFmtId="0" fontId="352" fillId="0" borderId="0"/>
    <xf numFmtId="0" fontId="223" fillId="0" borderId="0"/>
    <xf numFmtId="0" fontId="352" fillId="0" borderId="0"/>
    <xf numFmtId="0" fontId="223" fillId="0" borderId="0"/>
    <xf numFmtId="0" fontId="223" fillId="0" borderId="0"/>
    <xf numFmtId="0" fontId="158" fillId="0" borderId="0"/>
    <xf numFmtId="0" fontId="352" fillId="0" borderId="0"/>
    <xf numFmtId="0" fontId="107" fillId="0" borderId="0"/>
    <xf numFmtId="0" fontId="352" fillId="0" borderId="0"/>
    <xf numFmtId="0" fontId="352" fillId="0" borderId="0"/>
    <xf numFmtId="0" fontId="226" fillId="0" borderId="0"/>
    <xf numFmtId="0" fontId="352" fillId="0" borderId="0"/>
    <xf numFmtId="0" fontId="226" fillId="0" borderId="0"/>
    <xf numFmtId="0" fontId="226" fillId="0" borderId="0"/>
    <xf numFmtId="0" fontId="158" fillId="0" borderId="0"/>
    <xf numFmtId="0" fontId="352" fillId="64" borderId="96"/>
    <xf numFmtId="0" fontId="352" fillId="64" borderId="96"/>
    <xf numFmtId="0" fontId="107" fillId="64" borderId="89"/>
    <xf numFmtId="0" fontId="352" fillId="64" borderId="96"/>
    <xf numFmtId="0" fontId="352" fillId="64" borderId="96"/>
    <xf numFmtId="0" fontId="352" fillId="64" borderId="96"/>
    <xf numFmtId="0" fontId="227" fillId="0" borderId="0"/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8" fillId="0" borderId="25" applyAlignment="1">
      <alignment vertical="center"/>
    </xf>
    <xf numFmtId="0" fontId="229" fillId="0" borderId="97"/>
    <xf numFmtId="0" fontId="229" fillId="0" borderId="97"/>
    <xf numFmtId="0" fontId="230" fillId="0" borderId="97"/>
    <xf numFmtId="0" fontId="231" fillId="73" borderId="98"/>
    <xf numFmtId="0" fontId="232" fillId="65" borderId="98"/>
    <xf numFmtId="0" fontId="232" fillId="73" borderId="98"/>
    <xf numFmtId="0" fontId="231" fillId="73" borderId="98"/>
    <xf numFmtId="0" fontId="139" fillId="25" borderId="79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10" fontId="107" fillId="0" borderId="0"/>
    <xf numFmtId="9" fontId="165" fillId="0" borderId="0"/>
    <xf numFmtId="9" fontId="165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62" fillId="0" borderId="0" applyAlignment="1">
      <alignment vertical="center"/>
    </xf>
    <xf numFmtId="9" fontId="15" fillId="0" borderId="0"/>
    <xf numFmtId="9" fontId="107" fillId="0" borderId="0"/>
    <xf numFmtId="9" fontId="352" fillId="0" borderId="0"/>
    <xf numFmtId="9" fontId="352" fillId="0" borderId="0"/>
    <xf numFmtId="9" fontId="107" fillId="0" borderId="0"/>
    <xf numFmtId="9" fontId="166" fillId="0" borderId="0"/>
    <xf numFmtId="9" fontId="107" fillId="0" borderId="0"/>
    <xf numFmtId="9" fontId="107" fillId="0" borderId="0"/>
    <xf numFmtId="9" fontId="107" fillId="0" borderId="0"/>
    <xf numFmtId="9" fontId="107" fillId="0" borderId="0"/>
    <xf numFmtId="9" fontId="107" fillId="0" borderId="0"/>
    <xf numFmtId="9" fontId="107" fillId="0" borderId="0"/>
    <xf numFmtId="9" fontId="107" fillId="0" borderId="0"/>
    <xf numFmtId="9" fontId="233" fillId="0" borderId="0" applyAlignment="1">
      <alignment vertical="center"/>
    </xf>
    <xf numFmtId="9" fontId="352" fillId="0" borderId="0"/>
    <xf numFmtId="9" fontId="161" fillId="0" borderId="0"/>
    <xf numFmtId="9" fontId="352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9" fillId="0" borderId="0"/>
    <xf numFmtId="0" fontId="159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1" fontId="107" fillId="0" borderId="9" applyAlignment="1">
      <alignment horizontal="center" vertical="center"/>
    </xf>
    <xf numFmtId="4" fontId="234" fillId="79" borderId="98" applyAlignment="1">
      <alignment vertical="center"/>
    </xf>
    <xf numFmtId="4" fontId="235" fillId="79" borderId="98" applyAlignment="1">
      <alignment vertical="center"/>
    </xf>
    <xf numFmtId="4" fontId="234" fillId="79" borderId="98" applyAlignment="1">
      <alignment horizontal="left" vertical="center" indent="1"/>
    </xf>
    <xf numFmtId="4" fontId="234" fillId="79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4" fontId="234" fillId="81" borderId="98" applyAlignment="1">
      <alignment horizontal="right" vertical="center"/>
    </xf>
    <xf numFmtId="4" fontId="234" fillId="82" borderId="98" applyAlignment="1">
      <alignment horizontal="right" vertical="center"/>
    </xf>
    <xf numFmtId="4" fontId="234" fillId="83" borderId="98" applyAlignment="1">
      <alignment horizontal="right" vertical="center"/>
    </xf>
    <xf numFmtId="4" fontId="234" fillId="84" borderId="98" applyAlignment="1">
      <alignment horizontal="right" vertical="center"/>
    </xf>
    <xf numFmtId="4" fontId="234" fillId="85" borderId="98" applyAlignment="1">
      <alignment horizontal="right" vertical="center"/>
    </xf>
    <xf numFmtId="4" fontId="234" fillId="86" borderId="98" applyAlignment="1">
      <alignment horizontal="right" vertical="center"/>
    </xf>
    <xf numFmtId="4" fontId="234" fillId="87" borderId="98" applyAlignment="1">
      <alignment horizontal="right" vertical="center"/>
    </xf>
    <xf numFmtId="4" fontId="234" fillId="88" borderId="98" applyAlignment="1">
      <alignment horizontal="right" vertical="center"/>
    </xf>
    <xf numFmtId="4" fontId="234" fillId="89" borderId="98" applyAlignment="1">
      <alignment horizontal="right" vertical="center"/>
    </xf>
    <xf numFmtId="4" fontId="236" fillId="90" borderId="98" applyAlignment="1">
      <alignment horizontal="left" vertical="center" indent="1"/>
    </xf>
    <xf numFmtId="4" fontId="234" fillId="91" borderId="99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4" fontId="237" fillId="92" borderId="0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1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4" fontId="234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3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94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76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4" fontId="234" fillId="77" borderId="98" applyAlignment="1">
      <alignment vertical="center"/>
    </xf>
    <xf numFmtId="4" fontId="235" fillId="77" borderId="98" applyAlignment="1">
      <alignment vertical="center"/>
    </xf>
    <xf numFmtId="4" fontId="234" fillId="77" borderId="98" applyAlignment="1">
      <alignment horizontal="left" vertical="center" indent="1"/>
    </xf>
    <xf numFmtId="4" fontId="234" fillId="77" borderId="98" applyAlignment="1">
      <alignment horizontal="left" vertical="center" indent="1"/>
    </xf>
    <xf numFmtId="4" fontId="234" fillId="91" borderId="98" applyAlignment="1">
      <alignment horizontal="right" vertical="center"/>
    </xf>
    <xf numFmtId="4" fontId="235" fillId="91" borderId="98" applyAlignment="1">
      <alignment horizontal="right" vertical="center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107" fillId="80" borderId="98" applyAlignment="1">
      <alignment horizontal="left" vertical="center" indent="1"/>
    </xf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0" fontId="238" fillId="0" borderId="0"/>
    <xf numFmtId="4" fontId="239" fillId="91" borderId="98" applyAlignment="1">
      <alignment horizontal="right" vertical="center"/>
    </xf>
    <xf numFmtId="0" fontId="240" fillId="0" borderId="100"/>
    <xf numFmtId="0" fontId="241" fillId="0" borderId="100"/>
    <xf numFmtId="0" fontId="129" fillId="0" borderId="0"/>
    <xf numFmtId="0" fontId="159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242" fillId="0" borderId="0"/>
    <xf numFmtId="0" fontId="243" fillId="0" borderId="0"/>
    <xf numFmtId="0" fontId="243" fillId="0" borderId="0"/>
    <xf numFmtId="0" fontId="242" fillId="0" borderId="0"/>
    <xf numFmtId="0" fontId="244" fillId="0" borderId="0"/>
    <xf numFmtId="0" fontId="192" fillId="0" borderId="101"/>
    <xf numFmtId="0" fontId="245" fillId="0" borderId="102"/>
    <xf numFmtId="0" fontId="245" fillId="0" borderId="102"/>
    <xf numFmtId="0" fontId="192" fillId="0" borderId="101"/>
    <xf numFmtId="0" fontId="26" fillId="0" borderId="83"/>
    <xf numFmtId="0" fontId="246" fillId="0" borderId="0"/>
    <xf numFmtId="0" fontId="247" fillId="0" borderId="0"/>
    <xf numFmtId="0" fontId="247" fillId="0" borderId="0"/>
    <xf numFmtId="0" fontId="246" fillId="0" borderId="0"/>
    <xf numFmtId="0" fontId="70" fillId="0" borderId="0"/>
    <xf numFmtId="169" fontId="15" fillId="0" borderId="0"/>
    <xf numFmtId="0" fontId="62" fillId="0" borderId="0"/>
    <xf numFmtId="0" fontId="24" fillId="27" borderId="82"/>
    <xf numFmtId="0" fontId="24" fillId="27" borderId="82"/>
    <xf numFmtId="0" fontId="157" fillId="0" borderId="0"/>
    <xf numFmtId="199" fontId="62" fillId="0" borderId="0" applyAlignment="1">
      <alignment vertical="center"/>
    </xf>
    <xf numFmtId="169" fontId="24" fillId="0" borderId="0"/>
    <xf numFmtId="199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352" fillId="0" borderId="0"/>
    <xf numFmtId="169" fontId="352" fillId="0" borderId="0"/>
    <xf numFmtId="5" fontId="161" fillId="0" borderId="0"/>
    <xf numFmtId="221" fontId="107" fillId="0" borderId="0"/>
    <xf numFmtId="5" fontId="352" fillId="0" borderId="0"/>
    <xf numFmtId="222" fontId="352" fillId="0" borderId="0"/>
    <xf numFmtId="5" fontId="161" fillId="0" borderId="0"/>
    <xf numFmtId="223" fontId="352" fillId="0" borderId="0"/>
    <xf numFmtId="222" fontId="352" fillId="0" borderId="0"/>
    <xf numFmtId="5" fontId="352" fillId="0" borderId="0"/>
    <xf numFmtId="169" fontId="352" fillId="0" borderId="0"/>
    <xf numFmtId="5" fontId="352" fillId="0" borderId="0"/>
    <xf numFmtId="169" fontId="107" fillId="0" borderId="0"/>
    <xf numFmtId="5" fontId="352" fillId="0" borderId="0"/>
    <xf numFmtId="5" fontId="352" fillId="0" borderId="0"/>
    <xf numFmtId="169" fontId="352" fillId="0" borderId="0"/>
    <xf numFmtId="169" fontId="161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214" fontId="352" fillId="0" borderId="0"/>
    <xf numFmtId="214" fontId="352" fillId="0" borderId="0"/>
    <xf numFmtId="215" fontId="352" fillId="0" borderId="0"/>
    <xf numFmtId="215" fontId="352" fillId="0" borderId="0"/>
    <xf numFmtId="214" fontId="352" fillId="0" borderId="0"/>
    <xf numFmtId="215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158" fillId="0" borderId="0"/>
    <xf numFmtId="42" fontId="352" fillId="0" borderId="0"/>
    <xf numFmtId="44" fontId="352" fillId="0" borderId="0"/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50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51" fillId="0" borderId="0" applyAlignment="1" applyProtection="1">
      <alignment vertical="top"/>
      <protection locked="0" hidden="0"/>
    </xf>
    <xf numFmtId="0" fontId="252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52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249" fillId="0" borderId="0" applyAlignment="1" applyProtection="1">
      <alignment vertical="top"/>
      <protection locked="0" hidden="0"/>
    </xf>
    <xf numFmtId="0" fontId="185" fillId="69" borderId="90"/>
    <xf numFmtId="0" fontId="253" fillId="69" borderId="90"/>
    <xf numFmtId="0" fontId="185" fillId="69" borderId="90"/>
    <xf numFmtId="0" fontId="217" fillId="0" borderId="87"/>
    <xf numFmtId="0" fontId="254" fillId="0" borderId="87"/>
    <xf numFmtId="0" fontId="217" fillId="0" borderId="87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9" fontId="352" fillId="0" borderId="0"/>
    <xf numFmtId="0" fontId="179" fillId="49" borderId="0"/>
    <xf numFmtId="0" fontId="255" fillId="49" borderId="0"/>
    <xf numFmtId="0" fontId="179" fillId="49" borderId="0"/>
    <xf numFmtId="0" fontId="232" fillId="73" borderId="98"/>
    <xf numFmtId="0" fontId="256" fillId="61" borderId="98"/>
    <xf numFmtId="0" fontId="232" fillId="73" borderId="98"/>
    <xf numFmtId="0" fontId="183" fillId="73" borderId="89"/>
    <xf numFmtId="0" fontId="257" fillId="61" borderId="89"/>
    <xf numFmtId="0" fontId="183" fillId="73" borderId="89"/>
    <xf numFmtId="0" fontId="247" fillId="0" borderId="0"/>
    <xf numFmtId="0" fontId="258" fillId="0" borderId="0"/>
    <xf numFmtId="0" fontId="247" fillId="0" borderId="0"/>
    <xf numFmtId="0" fontId="194" fillId="0" borderId="0"/>
    <xf numFmtId="0" fontId="259" fillId="0" borderId="0"/>
    <xf numFmtId="0" fontId="194" fillId="0" borderId="0"/>
    <xf numFmtId="0" fontId="243" fillId="0" borderId="0"/>
    <xf numFmtId="0" fontId="260" fillId="0" borderId="0"/>
    <xf numFmtId="0" fontId="243" fillId="0" borderId="0"/>
    <xf numFmtId="0" fontId="199" fillId="58" borderId="0"/>
    <xf numFmtId="0" fontId="261" fillId="58" borderId="0"/>
    <xf numFmtId="0" fontId="199" fillId="58" borderId="0"/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3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3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0" fontId="262" fillId="0" borderId="0" applyAlignment="1" applyProtection="1">
      <alignment vertical="top"/>
      <protection locked="0" hidden="0"/>
    </xf>
    <xf numFmtId="9" fontId="264" fillId="0" borderId="0"/>
    <xf numFmtId="0" fontId="352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352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352" fillId="0" borderId="0"/>
    <xf numFmtId="0" fontId="165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352" fillId="0" borderId="0"/>
    <xf numFmtId="0" fontId="211" fillId="50" borderId="89"/>
    <xf numFmtId="0" fontId="265" fillId="62" borderId="89"/>
    <xf numFmtId="0" fontId="211" fillId="50" borderId="89"/>
    <xf numFmtId="0" fontId="219" fillId="50" borderId="0"/>
    <xf numFmtId="0" fontId="266" fillId="50" borderId="0"/>
    <xf numFmtId="0" fontId="219" fillId="50" borderId="0"/>
    <xf numFmtId="0" fontId="245" fillId="0" borderId="102"/>
    <xf numFmtId="0" fontId="267" fillId="0" borderId="103"/>
    <xf numFmtId="0" fontId="245" fillId="0" borderId="102"/>
    <xf numFmtId="6" fontId="107" fillId="0" borderId="0"/>
    <xf numFmtId="8" fontId="107" fillId="0" borderId="0"/>
    <xf numFmtId="5" fontId="107" fillId="0" borderId="0"/>
    <xf numFmtId="7" fontId="107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8" fillId="0" borderId="0"/>
    <xf numFmtId="0" fontId="159" fillId="0" borderId="0"/>
    <xf numFmtId="0" fontId="264" fillId="0" borderId="0"/>
    <xf numFmtId="0" fontId="172" fillId="55" borderId="0"/>
    <xf numFmtId="0" fontId="173" fillId="51" borderId="0"/>
    <xf numFmtId="0" fontId="172" fillId="55" borderId="0"/>
    <xf numFmtId="0" fontId="172" fillId="52" borderId="0"/>
    <xf numFmtId="0" fontId="173" fillId="52" borderId="0"/>
    <xf numFmtId="0" fontId="172" fillId="52" borderId="0"/>
    <xf numFmtId="0" fontId="172" fillId="53" borderId="0"/>
    <xf numFmtId="0" fontId="173" fillId="53" borderId="0"/>
    <xf numFmtId="0" fontId="172" fillId="53" borderId="0"/>
    <xf numFmtId="0" fontId="172" fillId="72" borderId="0"/>
    <xf numFmtId="0" fontId="173" fillId="54" borderId="0"/>
    <xf numFmtId="0" fontId="172" fillId="72" borderId="0"/>
    <xf numFmtId="0" fontId="172" fillId="55" borderId="0"/>
    <xf numFmtId="0" fontId="173" fillId="55" borderId="0"/>
    <xf numFmtId="0" fontId="172" fillId="55" borderId="0"/>
    <xf numFmtId="0" fontId="172" fillId="56" borderId="0"/>
    <xf numFmtId="0" fontId="173" fillId="56" borderId="0"/>
    <xf numFmtId="0" fontId="172" fillId="56" borderId="0"/>
    <xf numFmtId="0" fontId="161" fillId="64" borderId="96"/>
    <xf numFmtId="0" fontId="227" fillId="0" borderId="0"/>
    <xf numFmtId="0" fontId="352" fillId="64" borderId="96"/>
    <xf numFmtId="0" fontId="352" fillId="64" borderId="96"/>
    <xf numFmtId="0" fontId="352" fillId="64" borderId="96"/>
    <xf numFmtId="0" fontId="204" fillId="0" borderId="91"/>
    <xf numFmtId="0" fontId="268" fillId="0" borderId="84"/>
    <xf numFmtId="0" fontId="204" fillId="0" borderId="91"/>
    <xf numFmtId="0" fontId="206" fillId="0" borderId="85"/>
    <xf numFmtId="0" fontId="269" fillId="0" borderId="85"/>
    <xf numFmtId="0" fontId="206" fillId="0" borderId="85"/>
    <xf numFmtId="0" fontId="208" fillId="0" borderId="93"/>
    <xf numFmtId="0" fontId="270" fillId="0" borderId="86"/>
    <xf numFmtId="0" fontId="208" fillId="0" borderId="93"/>
    <xf numFmtId="0" fontId="208" fillId="0" borderId="0"/>
    <xf numFmtId="0" fontId="270" fillId="0" borderId="0"/>
    <xf numFmtId="0" fontId="208" fillId="0" borderId="0"/>
    <xf numFmtId="0" fontId="160" fillId="0" borderId="0"/>
    <xf numFmtId="199" fontId="271" fillId="0" borderId="0"/>
    <xf numFmtId="169" fontId="271" fillId="0" borderId="0"/>
    <xf numFmtId="202" fontId="160" fillId="0" borderId="0"/>
    <xf numFmtId="203" fontId="160" fillId="0" borderId="0"/>
    <xf numFmtId="202" fontId="160" fillId="0" borderId="0"/>
    <xf numFmtId="203" fontId="160" fillId="0" borderId="0"/>
    <xf numFmtId="40" fontId="272" fillId="0" borderId="0"/>
    <xf numFmtId="38" fontId="272" fillId="0" borderId="0"/>
    <xf numFmtId="0" fontId="272" fillId="0" borderId="0"/>
    <xf numFmtId="0" fontId="272" fillId="0" borderId="0"/>
    <xf numFmtId="10" fontId="107" fillId="0" borderId="0"/>
    <xf numFmtId="0" fontId="273" fillId="0" borderId="0"/>
    <xf numFmtId="224" fontId="107" fillId="0" borderId="0"/>
    <xf numFmtId="0" fontId="107" fillId="0" borderId="0"/>
    <xf numFmtId="225" fontId="274" fillId="0" borderId="0"/>
    <xf numFmtId="226" fontId="274" fillId="0" borderId="0"/>
    <xf numFmtId="0" fontId="275" fillId="0" borderId="0"/>
    <xf numFmtId="0" fontId="107" fillId="0" borderId="0"/>
    <xf numFmtId="0" fontId="169" fillId="0" borderId="0" applyAlignment="1">
      <alignment vertical="center"/>
    </xf>
    <xf numFmtId="0" fontId="161" fillId="0" borderId="0"/>
    <xf numFmtId="0" fontId="352" fillId="0" borderId="0"/>
    <xf numFmtId="0" fontId="352" fillId="0" borderId="0"/>
    <xf numFmtId="0" fontId="188" fillId="0" borderId="0" applyAlignment="1">
      <alignment vertical="center"/>
    </xf>
    <xf numFmtId="0" fontId="160" fillId="0" borderId="0"/>
    <xf numFmtId="0" fontId="352" fillId="0" borderId="0"/>
    <xf numFmtId="0" fontId="161" fillId="0" borderId="0"/>
    <xf numFmtId="0" fontId="276" fillId="50" borderId="0" applyAlignment="1">
      <alignment vertical="center"/>
    </xf>
    <xf numFmtId="0" fontId="276" fillId="50" borderId="0" applyAlignment="1">
      <alignment vertical="center"/>
    </xf>
    <xf numFmtId="0" fontId="160" fillId="64" borderId="96" applyAlignment="1">
      <alignment vertical="center"/>
    </xf>
    <xf numFmtId="169" fontId="160" fillId="0" borderId="0"/>
    <xf numFmtId="42" fontId="160" fillId="0" borderId="0"/>
    <xf numFmtId="199" fontId="160" fillId="0" borderId="0"/>
    <xf numFmtId="169" fontId="160" fillId="0" borderId="0"/>
    <xf numFmtId="169" fontId="352" fillId="0" borderId="0"/>
    <xf numFmtId="227" fontId="160" fillId="0" borderId="0"/>
    <xf numFmtId="227" fontId="160" fillId="0" borderId="0"/>
    <xf numFmtId="199" fontId="160" fillId="0" borderId="0"/>
    <xf numFmtId="202" fontId="278" fillId="0" borderId="0"/>
    <xf numFmtId="202" fontId="278" fillId="0" borderId="0"/>
    <xf numFmtId="202" fontId="278" fillId="0" borderId="0"/>
    <xf numFmtId="202" fontId="278" fillId="0" borderId="0"/>
    <xf numFmtId="169" fontId="352" fillId="0" borderId="0"/>
    <xf numFmtId="169" fontId="160" fillId="0" borderId="0"/>
    <xf numFmtId="169" fontId="161" fillId="0" borderId="0"/>
    <xf numFmtId="169" fontId="352" fillId="0" borderId="0"/>
    <xf numFmtId="169" fontId="161" fillId="0" borderId="0"/>
    <xf numFmtId="0" fontId="279" fillId="0" borderId="103" applyAlignment="1">
      <alignment vertical="center"/>
    </xf>
    <xf numFmtId="0" fontId="279" fillId="0" borderId="103" applyAlignment="1">
      <alignment vertical="center"/>
    </xf>
    <xf numFmtId="0" fontId="280" fillId="49" borderId="0" applyAlignment="1">
      <alignment vertical="center"/>
    </xf>
    <xf numFmtId="0" fontId="280" fillId="49" borderId="0" applyAlignment="1">
      <alignment vertical="center"/>
    </xf>
    <xf numFmtId="0" fontId="281" fillId="49" borderId="0" applyAlignment="1">
      <alignment vertical="center"/>
    </xf>
    <xf numFmtId="0" fontId="280" fillId="49" borderId="0" applyAlignment="1">
      <alignment vertical="center"/>
    </xf>
    <xf numFmtId="0" fontId="282" fillId="58" borderId="0" applyAlignment="1">
      <alignment vertical="center"/>
    </xf>
    <xf numFmtId="0" fontId="282" fillId="58" borderId="0" applyAlignment="1">
      <alignment vertical="center"/>
    </xf>
    <xf numFmtId="0" fontId="283" fillId="58" borderId="0" applyAlignment="1">
      <alignment vertical="center"/>
    </xf>
    <xf numFmtId="0" fontId="287" fillId="58" borderId="0" applyAlignment="1">
      <alignment vertical="center"/>
    </xf>
    <xf numFmtId="0" fontId="285" fillId="21" borderId="0" applyAlignment="1">
      <alignment vertical="center"/>
    </xf>
    <xf numFmtId="0" fontId="287" fillId="58" borderId="0" applyAlignment="1">
      <alignment vertical="center"/>
    </xf>
    <xf numFmtId="0" fontId="286" fillId="58" borderId="0" applyAlignment="1">
      <alignment vertical="center"/>
    </xf>
    <xf numFmtId="0" fontId="287" fillId="58" borderId="0" applyAlignment="1">
      <alignment vertical="center"/>
    </xf>
    <xf numFmtId="0" fontId="287" fillId="58" borderId="0" applyAlignment="1">
      <alignment vertical="center"/>
    </xf>
    <xf numFmtId="0" fontId="287" fillId="58" borderId="0" applyAlignment="1">
      <alignment vertical="center"/>
    </xf>
    <xf numFmtId="0" fontId="290" fillId="49" borderId="0" applyAlignment="1">
      <alignment vertical="center"/>
    </xf>
    <xf numFmtId="0" fontId="289" fillId="49" borderId="0" applyAlignment="1">
      <alignment vertical="center"/>
    </xf>
    <xf numFmtId="0" fontId="290" fillId="49" borderId="0" applyAlignment="1">
      <alignment vertical="center"/>
    </xf>
    <xf numFmtId="0" fontId="291" fillId="22" borderId="0" applyAlignment="1">
      <alignment vertical="center"/>
    </xf>
    <xf numFmtId="0" fontId="290" fillId="49" borderId="0" applyAlignment="1">
      <alignment vertical="center"/>
    </xf>
    <xf numFmtId="0" fontId="290" fillId="49" borderId="0" applyAlignment="1">
      <alignment vertical="center"/>
    </xf>
    <xf numFmtId="0" fontId="290" fillId="49" borderId="0" applyAlignment="1">
      <alignment vertical="center"/>
    </xf>
    <xf numFmtId="0" fontId="168" fillId="0" borderId="0" applyAlignment="1">
      <alignment vertical="center"/>
    </xf>
    <xf numFmtId="0" fontId="352" fillId="0" borderId="0"/>
    <xf numFmtId="0" fontId="168" fillId="0" borderId="0" applyAlignment="1">
      <alignment vertical="center"/>
    </xf>
    <xf numFmtId="0" fontId="352" fillId="0" borderId="0"/>
    <xf numFmtId="0" fontId="168" fillId="0" borderId="0" applyAlignment="1">
      <alignment vertical="center"/>
    </xf>
    <xf numFmtId="0" fontId="160" fillId="0" borderId="0"/>
    <xf numFmtId="0" fontId="168" fillId="0" borderId="0" applyAlignment="1">
      <alignment vertical="center"/>
    </xf>
    <xf numFmtId="0" fontId="168" fillId="0" borderId="0" applyAlignment="1">
      <alignment vertical="center"/>
    </xf>
    <xf numFmtId="0" fontId="168" fillId="0" borderId="0" applyAlignment="1">
      <alignment vertical="center"/>
    </xf>
    <xf numFmtId="0" fontId="168" fillId="0" borderId="0" applyAlignment="1">
      <alignment vertical="center"/>
    </xf>
    <xf numFmtId="0" fontId="278" fillId="0" borderId="0" applyAlignment="1">
      <alignment vertical="center"/>
    </xf>
    <xf numFmtId="0" fontId="174" fillId="51" borderId="0" applyAlignment="1">
      <alignment vertical="center"/>
    </xf>
    <xf numFmtId="0" fontId="175" fillId="51" borderId="0" applyAlignment="1">
      <alignment vertical="center"/>
    </xf>
    <xf numFmtId="0" fontId="174" fillId="52" borderId="0" applyAlignment="1">
      <alignment vertical="center"/>
    </xf>
    <xf numFmtId="0" fontId="175" fillId="52" borderId="0" applyAlignment="1">
      <alignment vertical="center"/>
    </xf>
    <xf numFmtId="0" fontId="174" fillId="53" borderId="0" applyAlignment="1">
      <alignment vertical="center"/>
    </xf>
    <xf numFmtId="0" fontId="175" fillId="53" borderId="0" applyAlignment="1">
      <alignment vertical="center"/>
    </xf>
    <xf numFmtId="0" fontId="174" fillId="54" borderId="0" applyAlignment="1">
      <alignment vertical="center"/>
    </xf>
    <xf numFmtId="0" fontId="175" fillId="54" borderId="0" applyAlignment="1">
      <alignment vertical="center"/>
    </xf>
    <xf numFmtId="0" fontId="174" fillId="55" borderId="0" applyAlignment="1">
      <alignment vertical="center"/>
    </xf>
    <xf numFmtId="0" fontId="175" fillId="55" borderId="0" applyAlignment="1">
      <alignment vertical="center"/>
    </xf>
    <xf numFmtId="0" fontId="174" fillId="56" borderId="0" applyAlignment="1">
      <alignment vertical="center"/>
    </xf>
    <xf numFmtId="0" fontId="175" fillId="56" borderId="0" applyAlignment="1">
      <alignment vertical="center"/>
    </xf>
    <xf numFmtId="0" fontId="160" fillId="95" borderId="0"/>
    <xf numFmtId="0" fontId="300" fillId="0" borderId="0" applyAlignment="1">
      <alignment vertical="center"/>
    </xf>
    <xf numFmtId="0" fontId="293" fillId="0" borderId="84" applyAlignment="1">
      <alignment vertical="center"/>
    </xf>
    <xf numFmtId="0" fontId="294" fillId="0" borderId="84" applyAlignment="1">
      <alignment vertical="center"/>
    </xf>
    <xf numFmtId="0" fontId="295" fillId="0" borderId="85" applyAlignment="1">
      <alignment vertical="center"/>
    </xf>
    <xf numFmtId="0" fontId="296" fillId="0" borderId="85" applyAlignment="1">
      <alignment vertical="center"/>
    </xf>
    <xf numFmtId="0" fontId="297" fillId="0" borderId="86" applyAlignment="1">
      <alignment vertical="center"/>
    </xf>
    <xf numFmtId="0" fontId="298" fillId="0" borderId="86" applyAlignment="1">
      <alignment vertical="center"/>
    </xf>
    <xf numFmtId="0" fontId="297" fillId="0" borderId="0" applyAlignment="1">
      <alignment vertical="center"/>
    </xf>
    <xf numFmtId="0" fontId="298" fillId="0" borderId="0" applyAlignment="1">
      <alignment vertical="center"/>
    </xf>
    <xf numFmtId="0" fontId="299" fillId="0" borderId="0" applyAlignment="1">
      <alignment vertical="center"/>
    </xf>
    <xf numFmtId="0" fontId="300" fillId="0" borderId="0" applyAlignment="1">
      <alignment vertical="center"/>
    </xf>
    <xf numFmtId="0" fontId="158" fillId="0" borderId="0"/>
    <xf numFmtId="0" fontId="301" fillId="69" borderId="90" applyAlignment="1">
      <alignment vertical="center"/>
    </xf>
    <xf numFmtId="0" fontId="302" fillId="69" borderId="90" applyAlignment="1">
      <alignment vertical="center"/>
    </xf>
    <xf numFmtId="0" fontId="303" fillId="0" borderId="84" applyAlignment="1">
      <alignment vertical="center"/>
    </xf>
    <xf numFmtId="0" fontId="303" fillId="0" borderId="84" applyAlignment="1">
      <alignment vertical="center"/>
    </xf>
    <xf numFmtId="0" fontId="304" fillId="0" borderId="85" applyAlignment="1">
      <alignment vertical="center"/>
    </xf>
    <xf numFmtId="0" fontId="304" fillId="0" borderId="85" applyAlignment="1">
      <alignment vertical="center"/>
    </xf>
    <xf numFmtId="0" fontId="305" fillId="0" borderId="86" applyAlignment="1">
      <alignment vertical="center"/>
    </xf>
    <xf numFmtId="0" fontId="305" fillId="0" borderId="86" applyAlignment="1">
      <alignment vertical="center"/>
    </xf>
    <xf numFmtId="0" fontId="305" fillId="0" borderId="0" applyAlignment="1">
      <alignment vertical="center"/>
    </xf>
    <xf numFmtId="0" fontId="305" fillId="0" borderId="0" applyAlignment="1">
      <alignment vertical="center"/>
    </xf>
    <xf numFmtId="0" fontId="306" fillId="0" borderId="0" applyAlignment="1">
      <alignment vertical="center"/>
    </xf>
    <xf numFmtId="0" fontId="306" fillId="0" borderId="0" applyAlignment="1">
      <alignment vertical="center"/>
    </xf>
    <xf numFmtId="0" fontId="157" fillId="0" borderId="0"/>
    <xf numFmtId="0" fontId="307" fillId="69" borderId="90" applyAlignment="1">
      <alignment vertical="center"/>
    </xf>
    <xf numFmtId="0" fontId="307" fillId="69" borderId="90" applyAlignment="1">
      <alignment vertical="center"/>
    </xf>
    <xf numFmtId="0" fontId="308" fillId="0" borderId="103" applyAlignment="1">
      <alignment vertical="center"/>
    </xf>
    <xf numFmtId="0" fontId="309" fillId="0" borderId="103" applyAlignment="1">
      <alignment vertical="center"/>
    </xf>
    <xf numFmtId="0" fontId="161" fillId="64" borderId="96" applyAlignment="1">
      <alignment vertical="center"/>
    </xf>
    <xf numFmtId="0" fontId="169" fillId="64" borderId="96" applyAlignment="1">
      <alignment vertical="center"/>
    </xf>
    <xf numFmtId="9" fontId="161" fillId="0" borderId="0"/>
    <xf numFmtId="9" fontId="352" fillId="0" borderId="0"/>
    <xf numFmtId="9" fontId="160" fillId="0" borderId="0"/>
    <xf numFmtId="9" fontId="160" fillId="0" borderId="0"/>
    <xf numFmtId="0" fontId="310" fillId="0" borderId="0" applyAlignment="1" applyProtection="1">
      <alignment vertical="top"/>
      <protection locked="0" hidden="0"/>
    </xf>
    <xf numFmtId="0" fontId="311" fillId="0" borderId="0" applyAlignment="1" applyProtection="1">
      <alignment vertical="top"/>
      <protection locked="0" hidden="0"/>
    </xf>
    <xf numFmtId="0" fontId="312" fillId="0" borderId="0" applyAlignment="1">
      <alignment horizontal="centerContinuous"/>
    </xf>
    <xf numFmtId="0" fontId="313" fillId="0" borderId="0" applyAlignment="1">
      <alignment vertical="center"/>
    </xf>
    <xf numFmtId="0" fontId="314" fillId="0" borderId="0" applyAlignment="1">
      <alignment vertical="center"/>
    </xf>
    <xf numFmtId="0" fontId="315" fillId="61" borderId="89" applyAlignment="1">
      <alignment vertical="center"/>
    </xf>
    <xf numFmtId="0" fontId="315" fillId="61" borderId="89" applyAlignment="1">
      <alignment vertical="center"/>
    </xf>
    <xf numFmtId="0" fontId="316" fillId="0" borderId="0" applyAlignment="1">
      <alignment vertical="center"/>
    </xf>
    <xf numFmtId="0" fontId="316" fillId="0" borderId="0" applyAlignment="1">
      <alignment vertical="center"/>
    </xf>
    <xf numFmtId="0" fontId="317" fillId="0" borderId="0" applyAlignment="1">
      <alignment vertical="center"/>
    </xf>
    <xf numFmtId="0" fontId="317" fillId="0" borderId="0" applyAlignment="1">
      <alignment vertical="center"/>
    </xf>
    <xf numFmtId="0" fontId="318" fillId="0" borderId="0" applyAlignment="1">
      <alignment vertical="center"/>
    </xf>
    <xf numFmtId="0" fontId="319" fillId="0" borderId="0" applyAlignment="1">
      <alignment vertical="center"/>
    </xf>
    <xf numFmtId="0" fontId="320" fillId="61" borderId="89" applyAlignment="1">
      <alignment vertical="center"/>
    </xf>
    <xf numFmtId="0" fontId="321" fillId="61" borderId="89" applyAlignment="1">
      <alignment vertical="center"/>
    </xf>
    <xf numFmtId="228" fontId="322" fillId="0" borderId="0"/>
    <xf numFmtId="0" fontId="176" fillId="51" borderId="0" applyAlignment="1">
      <alignment vertical="center"/>
    </xf>
    <xf numFmtId="0" fontId="176" fillId="51" borderId="0" applyAlignment="1">
      <alignment vertical="center"/>
    </xf>
    <xf numFmtId="0" fontId="176" fillId="52" borderId="0" applyAlignment="1">
      <alignment vertical="center"/>
    </xf>
    <xf numFmtId="0" fontId="176" fillId="52" borderId="0" applyAlignment="1">
      <alignment vertical="center"/>
    </xf>
    <xf numFmtId="0" fontId="176" fillId="53" borderId="0" applyAlignment="1">
      <alignment vertical="center"/>
    </xf>
    <xf numFmtId="0" fontId="176" fillId="53" borderId="0" applyAlignment="1">
      <alignment vertical="center"/>
    </xf>
    <xf numFmtId="0" fontId="176" fillId="54" borderId="0" applyAlignment="1">
      <alignment vertical="center"/>
    </xf>
    <xf numFmtId="0" fontId="176" fillId="54" borderId="0" applyAlignment="1">
      <alignment vertical="center"/>
    </xf>
    <xf numFmtId="0" fontId="176" fillId="55" borderId="0" applyAlignment="1">
      <alignment vertical="center"/>
    </xf>
    <xf numFmtId="0" fontId="176" fillId="55" borderId="0" applyAlignment="1">
      <alignment vertical="center"/>
    </xf>
    <xf numFmtId="0" fontId="176" fillId="56" borderId="0" applyAlignment="1">
      <alignment vertical="center"/>
    </xf>
    <xf numFmtId="0" fontId="176" fillId="56" borderId="0" applyAlignment="1">
      <alignment vertical="center"/>
    </xf>
    <xf numFmtId="0" fontId="323" fillId="62" borderId="89" applyAlignment="1">
      <alignment vertical="center"/>
    </xf>
    <xf numFmtId="0" fontId="323" fillId="62" borderId="89" applyAlignment="1">
      <alignment vertical="center"/>
    </xf>
    <xf numFmtId="0" fontId="324" fillId="61" borderId="98" applyAlignment="1">
      <alignment vertical="center"/>
    </xf>
    <xf numFmtId="0" fontId="324" fillId="61" borderId="98" applyAlignment="1">
      <alignment vertical="center"/>
    </xf>
    <xf numFmtId="0" fontId="325" fillId="62" borderId="89" applyAlignment="1">
      <alignment vertical="center"/>
    </xf>
    <xf numFmtId="0" fontId="326" fillId="62" borderId="89" applyAlignment="1">
      <alignment vertical="center"/>
    </xf>
    <xf numFmtId="0" fontId="327" fillId="61" borderId="98" applyAlignment="1">
      <alignment vertical="center"/>
    </xf>
    <xf numFmtId="0" fontId="328" fillId="61" borderId="98" applyAlignment="1">
      <alignment vertical="center"/>
    </xf>
    <xf numFmtId="0" fontId="329" fillId="50" borderId="0" applyAlignment="1">
      <alignment vertical="center"/>
    </xf>
    <xf numFmtId="0" fontId="330" fillId="50" borderId="0" applyAlignment="1">
      <alignment vertical="center"/>
    </xf>
    <xf numFmtId="0" fontId="331" fillId="0" borderId="87" applyAlignment="1">
      <alignment vertical="center"/>
    </xf>
    <xf numFmtId="0" fontId="331" fillId="0" borderId="87" applyAlignment="1">
      <alignment vertical="center"/>
    </xf>
    <xf numFmtId="0" fontId="160" fillId="0" borderId="0"/>
    <xf numFmtId="0" fontId="332" fillId="0" borderId="87" applyAlignment="1">
      <alignment vertical="center"/>
    </xf>
    <xf numFmtId="0" fontId="333" fillId="0" borderId="87" applyAlignment="1">
      <alignment vertical="center"/>
    </xf>
    <xf numFmtId="0" fontId="334" fillId="0" borderId="0" applyAlignment="1" applyProtection="1">
      <alignment vertical="top"/>
      <protection locked="0" hidden="0"/>
    </xf>
    <xf numFmtId="0" fontId="335" fillId="0" borderId="0" applyAlignment="1" applyProtection="1">
      <alignment vertical="top"/>
      <protection locked="0" hidden="0"/>
    </xf>
    <xf numFmtId="169" fontId="107" fillId="0" borderId="0"/>
    <xf numFmtId="169" fontId="107" fillId="0" borderId="0"/>
    <xf numFmtId="169" fontId="107" fillId="0" borderId="0"/>
    <xf numFmtId="169" fontId="107" fillId="0" borderId="0"/>
    <xf numFmtId="169" fontId="15" fillId="0" borderId="0"/>
    <xf numFmtId="169" fontId="15" fillId="0" borderId="0"/>
    <xf numFmtId="169" fontId="15" fillId="0" borderId="0"/>
    <xf numFmtId="169" fontId="15" fillId="0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199" fontId="107" fillId="0" borderId="0"/>
    <xf numFmtId="169" fontId="352" fillId="0" borderId="0"/>
    <xf numFmtId="169" fontId="352" fillId="0" borderId="0"/>
    <xf numFmtId="169" fontId="352" fillId="0" borderId="0"/>
    <xf numFmtId="169" fontId="166" fillId="0" borderId="0"/>
    <xf numFmtId="169" fontId="352" fillId="0" borderId="0"/>
    <xf numFmtId="169" fontId="352" fillId="0" borderId="0"/>
    <xf numFmtId="169" fontId="164" fillId="0" borderId="0"/>
    <xf numFmtId="169" fontId="186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169" fontId="352" fillId="0" borderId="0"/>
    <xf numFmtId="19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165" fillId="0" borderId="0"/>
    <xf numFmtId="169" fontId="165" fillId="0" borderId="0"/>
    <xf numFmtId="169" fontId="187" fillId="0" borderId="0"/>
    <xf numFmtId="169" fontId="165" fillId="0" borderId="0"/>
    <xf numFmtId="169" fontId="165" fillId="0" borderId="0"/>
    <xf numFmtId="169" fontId="107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161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4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99" fontId="189" fillId="0" borderId="0"/>
    <xf numFmtId="169" fontId="352" fillId="0" borderId="0"/>
    <xf numFmtId="169" fontId="190" fillId="0" borderId="0"/>
    <xf numFmtId="169" fontId="352" fillId="0" borderId="0"/>
    <xf numFmtId="169" fontId="190" fillId="0" borderId="0"/>
    <xf numFmtId="169" fontId="352" fillId="0" borderId="0"/>
    <xf numFmtId="169" fontId="164" fillId="0" borderId="0"/>
    <xf numFmtId="199" fontId="189" fillId="0" borderId="0"/>
    <xf numFmtId="169" fontId="352" fillId="0" borderId="0"/>
    <xf numFmtId="169" fontId="352" fillId="0" borderId="0"/>
    <xf numFmtId="0" fontId="24" fillId="27" borderId="82"/>
    <xf numFmtId="0" fontId="24" fillId="27" borderId="82"/>
    <xf numFmtId="199" fontId="62" fillId="0" borderId="0" applyAlignment="1">
      <alignment vertical="center"/>
    </xf>
    <xf numFmtId="169" fontId="24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160" fillId="0" borderId="0"/>
    <xf numFmtId="169" fontId="15" fillId="0" borderId="0"/>
    <xf numFmtId="169" fontId="15" fillId="0" borderId="0"/>
    <xf numFmtId="169" fontId="15" fillId="0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199" fontId="107" fillId="0" borderId="0"/>
    <xf numFmtId="169" fontId="352" fillId="0" borderId="0"/>
    <xf numFmtId="169" fontId="352" fillId="0" borderId="0"/>
    <xf numFmtId="169" fontId="352" fillId="0" borderId="0"/>
    <xf numFmtId="169" fontId="166" fillId="0" borderId="0"/>
    <xf numFmtId="169" fontId="352" fillId="0" borderId="0"/>
    <xf numFmtId="169" fontId="352" fillId="0" borderId="0"/>
    <xf numFmtId="169" fontId="164" fillId="0" borderId="0"/>
    <xf numFmtId="169" fontId="186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169" fontId="352" fillId="0" borderId="0"/>
    <xf numFmtId="19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165" fillId="0" borderId="0"/>
    <xf numFmtId="169" fontId="165" fillId="0" borderId="0"/>
    <xf numFmtId="169" fontId="187" fillId="0" borderId="0"/>
    <xf numFmtId="169" fontId="165" fillId="0" borderId="0"/>
    <xf numFmtId="169" fontId="165" fillId="0" borderId="0"/>
    <xf numFmtId="169" fontId="107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161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4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99" fontId="189" fillId="0" borderId="0"/>
    <xf numFmtId="169" fontId="352" fillId="0" borderId="0"/>
    <xf numFmtId="169" fontId="190" fillId="0" borderId="0"/>
    <xf numFmtId="169" fontId="352" fillId="0" borderId="0"/>
    <xf numFmtId="169" fontId="190" fillId="0" borderId="0"/>
    <xf numFmtId="169" fontId="352" fillId="0" borderId="0"/>
    <xf numFmtId="169" fontId="164" fillId="0" borderId="0"/>
    <xf numFmtId="199" fontId="189" fillId="0" borderId="0"/>
    <xf numFmtId="169" fontId="352" fillId="0" borderId="0"/>
    <xf numFmtId="169" fontId="352" fillId="0" borderId="0"/>
    <xf numFmtId="0" fontId="24" fillId="27" borderId="82"/>
    <xf numFmtId="0" fontId="24" fillId="27" borderId="82"/>
    <xf numFmtId="199" fontId="62" fillId="0" borderId="0" applyAlignment="1">
      <alignment vertical="center"/>
    </xf>
    <xf numFmtId="169" fontId="24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160" fillId="0" borderId="0"/>
    <xf numFmtId="169" fontId="15" fillId="0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199" fontId="107" fillId="0" borderId="0"/>
    <xf numFmtId="169" fontId="352" fillId="0" borderId="0"/>
    <xf numFmtId="169" fontId="352" fillId="0" borderId="0"/>
    <xf numFmtId="169" fontId="352" fillId="0" borderId="0"/>
    <xf numFmtId="169" fontId="166" fillId="0" borderId="0"/>
    <xf numFmtId="169" fontId="352" fillId="0" borderId="0"/>
    <xf numFmtId="169" fontId="352" fillId="0" borderId="0"/>
    <xf numFmtId="169" fontId="164" fillId="0" borderId="0"/>
    <xf numFmtId="169" fontId="186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169" fontId="352" fillId="0" borderId="0"/>
    <xf numFmtId="19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165" fillId="0" borderId="0"/>
    <xf numFmtId="169" fontId="165" fillId="0" borderId="0"/>
    <xf numFmtId="169" fontId="187" fillId="0" borderId="0"/>
    <xf numFmtId="169" fontId="165" fillId="0" borderId="0"/>
    <xf numFmtId="169" fontId="165" fillId="0" borderId="0"/>
    <xf numFmtId="169" fontId="107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161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4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99" fontId="189" fillId="0" borderId="0"/>
    <xf numFmtId="169" fontId="352" fillId="0" borderId="0"/>
    <xf numFmtId="169" fontId="190" fillId="0" borderId="0"/>
    <xf numFmtId="169" fontId="352" fillId="0" borderId="0"/>
    <xf numFmtId="169" fontId="190" fillId="0" borderId="0"/>
    <xf numFmtId="169" fontId="352" fillId="0" borderId="0"/>
    <xf numFmtId="169" fontId="164" fillId="0" borderId="0"/>
    <xf numFmtId="199" fontId="189" fillId="0" borderId="0"/>
    <xf numFmtId="169" fontId="352" fillId="0" borderId="0"/>
    <xf numFmtId="169" fontId="352" fillId="0" borderId="0"/>
    <xf numFmtId="0" fontId="24" fillId="27" borderId="82"/>
    <xf numFmtId="0" fontId="24" fillId="27" borderId="82"/>
    <xf numFmtId="199" fontId="62" fillId="0" borderId="0" applyAlignment="1">
      <alignment vertical="center"/>
    </xf>
    <xf numFmtId="169" fontId="24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160" fillId="0" borderId="0"/>
    <xf numFmtId="169" fontId="15" fillId="0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199" fontId="107" fillId="0" borderId="0"/>
    <xf numFmtId="169" fontId="352" fillId="0" borderId="0"/>
    <xf numFmtId="169" fontId="352" fillId="0" borderId="0"/>
    <xf numFmtId="169" fontId="352" fillId="0" borderId="0"/>
    <xf numFmtId="169" fontId="166" fillId="0" borderId="0"/>
    <xf numFmtId="169" fontId="352" fillId="0" borderId="0"/>
    <xf numFmtId="169" fontId="352" fillId="0" borderId="0"/>
    <xf numFmtId="169" fontId="164" fillId="0" borderId="0"/>
    <xf numFmtId="169" fontId="186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169" fontId="352" fillId="0" borderId="0"/>
    <xf numFmtId="19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165" fillId="0" borderId="0"/>
    <xf numFmtId="169" fontId="165" fillId="0" borderId="0"/>
    <xf numFmtId="169" fontId="187" fillId="0" borderId="0"/>
    <xf numFmtId="169" fontId="165" fillId="0" borderId="0"/>
    <xf numFmtId="169" fontId="165" fillId="0" borderId="0"/>
    <xf numFmtId="169" fontId="107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161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4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99" fontId="189" fillId="0" borderId="0"/>
    <xf numFmtId="169" fontId="352" fillId="0" borderId="0"/>
    <xf numFmtId="169" fontId="190" fillId="0" borderId="0"/>
    <xf numFmtId="169" fontId="352" fillId="0" borderId="0"/>
    <xf numFmtId="169" fontId="190" fillId="0" borderId="0"/>
    <xf numFmtId="169" fontId="352" fillId="0" borderId="0"/>
    <xf numFmtId="169" fontId="164" fillId="0" borderId="0"/>
    <xf numFmtId="199" fontId="189" fillId="0" borderId="0"/>
    <xf numFmtId="169" fontId="352" fillId="0" borderId="0"/>
    <xf numFmtId="169" fontId="352" fillId="0" borderId="0"/>
    <xf numFmtId="0" fontId="24" fillId="27" borderId="82"/>
    <xf numFmtId="0" fontId="24" fillId="27" borderId="82"/>
    <xf numFmtId="199" fontId="62" fillId="0" borderId="0" applyAlignment="1">
      <alignment vertical="center"/>
    </xf>
    <xf numFmtId="169" fontId="24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160" fillId="0" borderId="0"/>
    <xf numFmtId="169" fontId="15" fillId="0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199" fontId="107" fillId="0" borderId="0"/>
    <xf numFmtId="169" fontId="352" fillId="0" borderId="0"/>
    <xf numFmtId="169" fontId="352" fillId="0" borderId="0"/>
    <xf numFmtId="169" fontId="352" fillId="0" borderId="0"/>
    <xf numFmtId="169" fontId="166" fillId="0" borderId="0"/>
    <xf numFmtId="169" fontId="352" fillId="0" borderId="0"/>
    <xf numFmtId="169" fontId="352" fillId="0" borderId="0"/>
    <xf numFmtId="169" fontId="164" fillId="0" borderId="0"/>
    <xf numFmtId="169" fontId="186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169" fontId="352" fillId="0" borderId="0"/>
    <xf numFmtId="19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165" fillId="0" borderId="0"/>
    <xf numFmtId="169" fontId="165" fillId="0" borderId="0"/>
    <xf numFmtId="169" fontId="187" fillId="0" borderId="0"/>
    <xf numFmtId="169" fontId="165" fillId="0" borderId="0"/>
    <xf numFmtId="169" fontId="165" fillId="0" borderId="0"/>
    <xf numFmtId="169" fontId="107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161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4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99" fontId="189" fillId="0" borderId="0"/>
    <xf numFmtId="169" fontId="352" fillId="0" borderId="0"/>
    <xf numFmtId="169" fontId="190" fillId="0" borderId="0"/>
    <xf numFmtId="169" fontId="352" fillId="0" borderId="0"/>
    <xf numFmtId="169" fontId="190" fillId="0" borderId="0"/>
    <xf numFmtId="169" fontId="352" fillId="0" borderId="0"/>
    <xf numFmtId="169" fontId="164" fillId="0" borderId="0"/>
    <xf numFmtId="199" fontId="189" fillId="0" borderId="0"/>
    <xf numFmtId="169" fontId="352" fillId="0" borderId="0"/>
    <xf numFmtId="169" fontId="352" fillId="0" borderId="0"/>
    <xf numFmtId="0" fontId="24" fillId="27" borderId="82"/>
    <xf numFmtId="0" fontId="24" fillId="27" borderId="82"/>
    <xf numFmtId="199" fontId="62" fillId="0" borderId="0" applyAlignment="1">
      <alignment vertical="center"/>
    </xf>
    <xf numFmtId="169" fontId="24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160" fillId="0" borderId="0"/>
    <xf numFmtId="169" fontId="15" fillId="0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15" borderId="0"/>
    <xf numFmtId="0" fontId="24" fillId="32" borderId="0"/>
    <xf numFmtId="0" fontId="24" fillId="35" borderId="0"/>
    <xf numFmtId="0" fontId="24" fillId="39" borderId="0"/>
    <xf numFmtId="0" fontId="24" fillId="42" borderId="0"/>
    <xf numFmtId="0" fontId="24" fillId="46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0" fontId="24" fillId="29" borderId="0"/>
    <xf numFmtId="0" fontId="24" fillId="33" borderId="0"/>
    <xf numFmtId="0" fontId="24" fillId="36" borderId="0"/>
    <xf numFmtId="0" fontId="24" fillId="40" borderId="0"/>
    <xf numFmtId="0" fontId="24" fillId="43" borderId="0"/>
    <xf numFmtId="0" fontId="24" fillId="47" borderId="0"/>
    <xf numFmtId="199" fontId="107" fillId="0" borderId="0"/>
    <xf numFmtId="169" fontId="352" fillId="0" borderId="0"/>
    <xf numFmtId="169" fontId="352" fillId="0" borderId="0"/>
    <xf numFmtId="169" fontId="352" fillId="0" borderId="0"/>
    <xf numFmtId="169" fontId="166" fillId="0" borderId="0"/>
    <xf numFmtId="169" fontId="352" fillId="0" borderId="0"/>
    <xf numFmtId="169" fontId="352" fillId="0" borderId="0"/>
    <xf numFmtId="169" fontId="164" fillId="0" borderId="0"/>
    <xf numFmtId="169" fontId="186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165" fillId="0" borderId="0"/>
    <xf numFmtId="169" fontId="165" fillId="0" borderId="0"/>
    <xf numFmtId="169" fontId="165" fillId="0" borderId="0"/>
    <xf numFmtId="169" fontId="165" fillId="0" borderId="0"/>
    <xf numFmtId="169" fontId="352" fillId="0" borderId="0"/>
    <xf numFmtId="19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107" fillId="0" borderId="0"/>
    <xf numFmtId="169" fontId="352" fillId="0" borderId="0"/>
    <xf numFmtId="169" fontId="165" fillId="0" borderId="0"/>
    <xf numFmtId="169" fontId="165" fillId="0" borderId="0"/>
    <xf numFmtId="169" fontId="187" fillId="0" borderId="0"/>
    <xf numFmtId="169" fontId="165" fillId="0" borderId="0"/>
    <xf numFmtId="169" fontId="165" fillId="0" borderId="0"/>
    <xf numFmtId="169" fontId="107" fillId="0" borderId="0"/>
    <xf numFmtId="169" fontId="352" fillId="0" borderId="0"/>
    <xf numFmtId="199" fontId="352" fillId="0" borderId="0"/>
    <xf numFmtId="199" fontId="352" fillId="0" borderId="0"/>
    <xf numFmtId="199" fontId="352" fillId="0" borderId="0"/>
    <xf numFmtId="169" fontId="352" fillId="0" borderId="0"/>
    <xf numFmtId="169" fontId="352" fillId="0" borderId="0"/>
    <xf numFmtId="169" fontId="161" fillId="0" borderId="0"/>
    <xf numFmtId="169" fontId="352" fillId="0" borderId="0"/>
    <xf numFmtId="169" fontId="165" fillId="0" borderId="0"/>
    <xf numFmtId="169" fontId="165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164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69" fontId="352" fillId="0" borderId="0"/>
    <xf numFmtId="169" fontId="107" fillId="0" borderId="0"/>
    <xf numFmtId="169" fontId="107" fillId="0" borderId="0"/>
    <xf numFmtId="199" fontId="189" fillId="0" borderId="0"/>
    <xf numFmtId="169" fontId="352" fillId="0" borderId="0"/>
    <xf numFmtId="169" fontId="190" fillId="0" borderId="0"/>
    <xf numFmtId="169" fontId="352" fillId="0" borderId="0"/>
    <xf numFmtId="169" fontId="190" fillId="0" borderId="0"/>
    <xf numFmtId="169" fontId="352" fillId="0" borderId="0"/>
    <xf numFmtId="169" fontId="164" fillId="0" borderId="0"/>
    <xf numFmtId="199" fontId="189" fillId="0" borderId="0"/>
    <xf numFmtId="169" fontId="352" fillId="0" borderId="0"/>
    <xf numFmtId="169" fontId="352" fillId="0" borderId="0"/>
    <xf numFmtId="0" fontId="24" fillId="27" borderId="82"/>
    <xf numFmtId="0" fontId="24" fillId="27" borderId="82"/>
    <xf numFmtId="199" fontId="62" fillId="0" borderId="0" applyAlignment="1">
      <alignment vertical="center"/>
    </xf>
    <xf numFmtId="169" fontId="24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352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248" fillId="0" borderId="0"/>
    <xf numFmtId="169" fontId="160" fillId="0" borderId="0"/>
    <xf numFmtId="0" fontId="24" fillId="0" borderId="0"/>
    <xf numFmtId="0" fontId="13" fillId="0" borderId="0"/>
    <xf numFmtId="43" fontId="13" fillId="0" borderId="0"/>
    <xf numFmtId="0" fontId="352" fillId="0" borderId="0"/>
    <xf numFmtId="169" fontId="352" fillId="0" borderId="0"/>
    <xf numFmtId="43" fontId="13" fillId="0" borderId="0"/>
    <xf numFmtId="0" fontId="352" fillId="0" borderId="0"/>
  </cellStyleXfs>
  <cellXfs count="1876">
    <xf numFmtId="0" fontId="0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applyAlignment="1" pivotButton="0" quotePrefix="0" xfId="0">
      <alignment horizontal="center"/>
    </xf>
    <xf numFmtId="10" fontId="16" fillId="0" borderId="1" pivotButton="0" quotePrefix="0" xfId="0"/>
    <xf numFmtId="43" fontId="16" fillId="0" borderId="1" pivotButton="0" quotePrefix="0" xfId="1"/>
    <xf numFmtId="0" fontId="16" fillId="4" borderId="8" pivotButton="0" quotePrefix="0" xfId="0"/>
    <xf numFmtId="164" fontId="16" fillId="4" borderId="8" pivotButton="0" quotePrefix="0" xfId="1"/>
    <xf numFmtId="10" fontId="16" fillId="3" borderId="8" pivotButton="0" quotePrefix="0" xfId="2"/>
    <xf numFmtId="14" fontId="18" fillId="5" borderId="1" applyAlignment="1" pivotButton="0" quotePrefix="0" xfId="0">
      <alignment horizontal="center"/>
    </xf>
    <xf numFmtId="10" fontId="18" fillId="5" borderId="1" pivotButton="0" quotePrefix="0" xfId="2"/>
    <xf numFmtId="0" fontId="19" fillId="0" borderId="0" applyAlignment="1" pivotButton="0" quotePrefix="0" xfId="0">
      <alignment vertical="top"/>
    </xf>
    <xf numFmtId="0" fontId="20" fillId="0" borderId="0" pivotButton="0" quotePrefix="0" xfId="0"/>
    <xf numFmtId="0" fontId="18" fillId="6" borderId="1" applyAlignment="1" pivotButton="0" quotePrefix="0" xfId="0">
      <alignment horizontal="center" vertical="center" wrapText="1"/>
    </xf>
    <xf numFmtId="10" fontId="16" fillId="3" borderId="8" pivotButton="0" quotePrefix="0" xfId="0"/>
    <xf numFmtId="165" fontId="16" fillId="3" borderId="7" pivotButton="0" quotePrefix="0" xfId="1"/>
    <xf numFmtId="165" fontId="18" fillId="5" borderId="1" pivotButton="0" quotePrefix="0" xfId="0"/>
    <xf numFmtId="165" fontId="18" fillId="5" borderId="1" applyAlignment="1" pivotButton="0" quotePrefix="0" xfId="0">
      <alignment vertical="center"/>
    </xf>
    <xf numFmtId="0" fontId="25" fillId="0" borderId="0" applyAlignment="1" pivotButton="0" quotePrefix="0" xfId="3">
      <alignment vertical="center"/>
    </xf>
    <xf numFmtId="0" fontId="24" fillId="0" borderId="0" pivotButton="0" quotePrefix="0" xfId="3"/>
    <xf numFmtId="0" fontId="24" fillId="0" borderId="0" applyAlignment="1" pivotButton="0" quotePrefix="0" xfId="3">
      <alignment vertical="center"/>
    </xf>
    <xf numFmtId="4" fontId="26" fillId="0" borderId="11" applyAlignment="1" pivotButton="0" quotePrefix="0" xfId="3">
      <alignment vertical="center"/>
    </xf>
    <xf numFmtId="4" fontId="26" fillId="0" borderId="12" applyAlignment="1" pivotButton="0" quotePrefix="0" xfId="3">
      <alignment vertical="center"/>
    </xf>
    <xf numFmtId="0" fontId="26" fillId="0" borderId="13" applyAlignment="1" pivotButton="0" quotePrefix="0" xfId="3">
      <alignment vertical="center"/>
    </xf>
    <xf numFmtId="166" fontId="0" fillId="0" borderId="13" applyAlignment="1" pivotButton="0" quotePrefix="0" xfId="4">
      <alignment vertical="center"/>
    </xf>
    <xf numFmtId="0" fontId="24" fillId="0" borderId="0" applyAlignment="1" pivotButton="0" quotePrefix="0" xfId="3">
      <alignment horizontal="center" vertical="center"/>
    </xf>
    <xf numFmtId="0" fontId="26" fillId="7" borderId="1" applyAlignment="1" pivotButton="0" quotePrefix="0" xfId="3">
      <alignment horizontal="center" vertical="center"/>
    </xf>
    <xf numFmtId="2" fontId="25" fillId="0" borderId="0" applyAlignment="1" pivotButton="0" quotePrefix="0" xfId="3">
      <alignment horizontal="center" vertical="center"/>
    </xf>
    <xf numFmtId="0" fontId="25" fillId="0" borderId="0" applyAlignment="1" pivotButton="0" quotePrefix="0" xfId="3">
      <alignment horizontal="left" vertical="center"/>
    </xf>
    <xf numFmtId="167" fontId="26" fillId="0" borderId="11" applyAlignment="1" pivotButton="0" quotePrefix="0" xfId="3">
      <alignment horizontal="center" vertical="center"/>
    </xf>
    <xf numFmtId="167" fontId="24" fillId="0" borderId="12" applyAlignment="1" pivotButton="0" quotePrefix="0" xfId="3">
      <alignment horizontal="center" vertical="center"/>
    </xf>
    <xf numFmtId="3" fontId="26" fillId="0" borderId="11" applyAlignment="1" pivotButton="0" quotePrefix="0" xfId="3">
      <alignment horizontal="center" vertical="center"/>
    </xf>
    <xf numFmtId="3" fontId="24" fillId="0" borderId="11" applyAlignment="1" pivotButton="0" quotePrefix="0" xfId="3">
      <alignment horizontal="center" vertical="center"/>
    </xf>
    <xf numFmtId="3" fontId="24" fillId="0" borderId="0" applyAlignment="1" pivotButton="0" quotePrefix="0" xfId="3">
      <alignment horizontal="center" vertical="center"/>
    </xf>
    <xf numFmtId="3" fontId="26" fillId="0" borderId="13" applyAlignment="1" pivotButton="0" quotePrefix="0" xfId="3">
      <alignment horizontal="center" vertical="center"/>
    </xf>
    <xf numFmtId="3" fontId="0" fillId="0" borderId="13" applyAlignment="1" pivotButton="0" quotePrefix="0" xfId="4">
      <alignment horizontal="center" vertical="center"/>
    </xf>
    <xf numFmtId="3" fontId="26" fillId="7" borderId="1" applyAlignment="1" pivotButton="0" quotePrefix="0" xfId="3">
      <alignment horizontal="center" vertical="center"/>
    </xf>
    <xf numFmtId="3" fontId="26" fillId="7" borderId="1" applyAlignment="1" pivotButton="0" quotePrefix="0" xfId="3">
      <alignment horizontal="center" vertical="center" wrapText="1"/>
    </xf>
    <xf numFmtId="0" fontId="26" fillId="0" borderId="0" applyAlignment="1" pivotButton="0" quotePrefix="0" xfId="3">
      <alignment horizontal="center" vertical="center"/>
    </xf>
    <xf numFmtId="3" fontId="26" fillId="0" borderId="0" applyAlignment="1" pivotButton="0" quotePrefix="0" xfId="3">
      <alignment horizontal="center" vertical="center"/>
    </xf>
    <xf numFmtId="3" fontId="0" fillId="0" borderId="0" applyAlignment="1" pivotButton="0" quotePrefix="0" xfId="4">
      <alignment horizontal="center" vertical="center"/>
    </xf>
    <xf numFmtId="4" fontId="24" fillId="0" borderId="12" applyAlignment="1" pivotButton="0" quotePrefix="0" xfId="3">
      <alignment horizontal="center" vertical="center"/>
    </xf>
    <xf numFmtId="4" fontId="26" fillId="0" borderId="11" applyAlignment="1" pivotButton="0" quotePrefix="0" xfId="3">
      <alignment horizontal="center" vertical="center"/>
    </xf>
    <xf numFmtId="0" fontId="26" fillId="0" borderId="13" applyAlignment="1" pivotButton="0" quotePrefix="0" xfId="3">
      <alignment horizontal="center" vertical="center"/>
    </xf>
    <xf numFmtId="166" fontId="0" fillId="0" borderId="13" applyAlignment="1" pivotButton="0" quotePrefix="0" xfId="4">
      <alignment horizontal="center" vertical="center"/>
    </xf>
    <xf numFmtId="4" fontId="26" fillId="0" borderId="16" applyAlignment="1" pivotButton="0" quotePrefix="0" xfId="3">
      <alignment horizontal="center" vertical="center"/>
    </xf>
    <xf numFmtId="3" fontId="26" fillId="0" borderId="16" applyAlignment="1" pivotButton="0" quotePrefix="0" xfId="3">
      <alignment horizontal="center" vertical="center"/>
    </xf>
    <xf numFmtId="167" fontId="0" fillId="0" borderId="13" applyAlignment="1" pivotButton="0" quotePrefix="0" xfId="4">
      <alignment horizontal="center" vertical="center"/>
    </xf>
    <xf numFmtId="4" fontId="26" fillId="0" borderId="12" applyAlignment="1" pivotButton="0" quotePrefix="0" xfId="3">
      <alignment horizontal="center" vertical="center"/>
    </xf>
    <xf numFmtId="167" fontId="26" fillId="0" borderId="12" applyAlignment="1" pivotButton="0" quotePrefix="0" xfId="3">
      <alignment horizontal="center" vertical="center"/>
    </xf>
    <xf numFmtId="4" fontId="26" fillId="0" borderId="16" applyAlignment="1" pivotButton="0" quotePrefix="0" xfId="3">
      <alignment vertical="center"/>
    </xf>
    <xf numFmtId="0" fontId="24" fillId="0" borderId="16" pivotButton="0" quotePrefix="0" xfId="3"/>
    <xf numFmtId="167" fontId="26" fillId="0" borderId="13" applyAlignment="1" pivotButton="0" quotePrefix="0" xfId="3">
      <alignment horizontal="center" vertical="center"/>
    </xf>
    <xf numFmtId="166" fontId="23" fillId="0" borderId="13" applyAlignment="1" pivotButton="0" quotePrefix="0" xfId="4">
      <alignment vertical="center"/>
    </xf>
    <xf numFmtId="4" fontId="26" fillId="0" borderId="13" applyAlignment="1" pivotButton="0" quotePrefix="0" xfId="3">
      <alignment horizontal="center" vertical="center"/>
    </xf>
    <xf numFmtId="43" fontId="26" fillId="0" borderId="16" applyAlignment="1" pivotButton="0" quotePrefix="0" xfId="1">
      <alignment vertical="center"/>
    </xf>
    <xf numFmtId="166" fontId="23" fillId="0" borderId="12" applyAlignment="1" pivotButton="0" quotePrefix="0" xfId="4">
      <alignment vertical="center"/>
    </xf>
    <xf numFmtId="3" fontId="26" fillId="0" borderId="12" applyAlignment="1" pivotButton="0" quotePrefix="0" xfId="3">
      <alignment horizontal="center" vertical="center"/>
    </xf>
    <xf numFmtId="166" fontId="23" fillId="0" borderId="17" applyAlignment="1" pivotButton="0" quotePrefix="0" xfId="4">
      <alignment horizontal="center" vertical="center"/>
    </xf>
    <xf numFmtId="167" fontId="23" fillId="0" borderId="17" applyAlignment="1" pivotButton="0" quotePrefix="0" xfId="4">
      <alignment horizontal="center" vertical="center"/>
    </xf>
    <xf numFmtId="0" fontId="23" fillId="0" borderId="0" pivotButton="0" quotePrefix="0" xfId="3"/>
    <xf numFmtId="43" fontId="23" fillId="0" borderId="17" applyAlignment="1" pivotButton="0" quotePrefix="0" xfId="1">
      <alignment horizontal="center" vertical="center"/>
    </xf>
    <xf numFmtId="167" fontId="23" fillId="0" borderId="17" applyAlignment="1" pivotButton="0" quotePrefix="0" xfId="3">
      <alignment horizontal="center" vertical="center"/>
    </xf>
    <xf numFmtId="3" fontId="23" fillId="0" borderId="0" applyAlignment="1" pivotButton="0" quotePrefix="0" xfId="3">
      <alignment horizontal="center" vertical="center"/>
    </xf>
    <xf numFmtId="43" fontId="23" fillId="0" borderId="0" applyAlignment="1" pivotButton="0" quotePrefix="0" xfId="1">
      <alignment horizontal="center" vertical="center"/>
    </xf>
    <xf numFmtId="167" fontId="23" fillId="0" borderId="0" applyAlignment="1" pivotButton="0" quotePrefix="0" xfId="4">
      <alignment horizontal="center" vertical="center"/>
    </xf>
    <xf numFmtId="167" fontId="23" fillId="0" borderId="0" applyAlignment="1" pivotButton="0" quotePrefix="0" xfId="3">
      <alignment horizontal="center" vertical="center"/>
    </xf>
    <xf numFmtId="49" fontId="23" fillId="0" borderId="0" applyAlignment="1" pivotButton="0" quotePrefix="0" xfId="3">
      <alignment horizontal="center" vertical="center"/>
    </xf>
    <xf numFmtId="168" fontId="23" fillId="0" borderId="0" applyAlignment="1" pivotButton="0" quotePrefix="0" xfId="1">
      <alignment horizontal="center" vertical="center"/>
    </xf>
    <xf numFmtId="168" fontId="23" fillId="0" borderId="18" applyAlignment="1" pivotButton="0" quotePrefix="0" xfId="1">
      <alignment horizontal="center" vertical="center"/>
    </xf>
    <xf numFmtId="168" fontId="29" fillId="0" borderId="18" applyAlignment="1" pivotButton="0" quotePrefix="0" xfId="1">
      <alignment horizontal="center" vertical="center"/>
    </xf>
    <xf numFmtId="3" fontId="15" fillId="0" borderId="13" applyAlignment="1" pivotButton="0" quotePrefix="0" xfId="4">
      <alignment horizontal="center" vertical="center"/>
    </xf>
    <xf numFmtId="3" fontId="23" fillId="0" borderId="17" applyAlignment="1" pivotButton="0" quotePrefix="0" xfId="4">
      <alignment horizontal="center" vertical="center"/>
    </xf>
    <xf numFmtId="43" fontId="23" fillId="0" borderId="16" applyAlignment="1" pivotButton="0" quotePrefix="0" xfId="1">
      <alignment vertical="center"/>
    </xf>
    <xf numFmtId="3" fontId="0" fillId="0" borderId="16" applyAlignment="1" pivotButton="0" quotePrefix="0" xfId="4">
      <alignment horizontal="center" vertical="center"/>
    </xf>
    <xf numFmtId="3" fontId="15" fillId="0" borderId="16" applyAlignment="1" pivotButton="0" quotePrefix="0" xfId="4">
      <alignment horizontal="center" vertical="center"/>
    </xf>
    <xf numFmtId="43" fontId="23" fillId="0" borderId="11" applyAlignment="1" pivotButton="0" quotePrefix="0" xfId="1">
      <alignment vertical="center"/>
    </xf>
    <xf numFmtId="3" fontId="0" fillId="0" borderId="11" applyAlignment="1" pivotButton="0" quotePrefix="0" xfId="4">
      <alignment horizontal="center" vertical="center"/>
    </xf>
    <xf numFmtId="167" fontId="26" fillId="0" borderId="16" applyAlignment="1" pivotButton="0" quotePrefix="0" xfId="3">
      <alignment horizontal="center" vertical="center"/>
    </xf>
    <xf numFmtId="167" fontId="0" fillId="0" borderId="16" applyAlignment="1" pivotButton="0" quotePrefix="0" xfId="4">
      <alignment horizontal="center" vertical="center"/>
    </xf>
    <xf numFmtId="167" fontId="15" fillId="0" borderId="16" applyAlignment="1" pivotButton="0" quotePrefix="0" xfId="4">
      <alignment horizontal="center" vertical="center"/>
    </xf>
    <xf numFmtId="167" fontId="0" fillId="0" borderId="11" applyAlignment="1" pivotButton="0" quotePrefix="0" xfId="4">
      <alignment horizontal="center" vertical="center"/>
    </xf>
    <xf numFmtId="3" fontId="15" fillId="0" borderId="11" applyAlignment="1" pivotButton="0" quotePrefix="0" xfId="4">
      <alignment horizontal="center" vertical="center"/>
    </xf>
    <xf numFmtId="167" fontId="15" fillId="0" borderId="11" applyAlignment="1" pivotButton="0" quotePrefix="0" xfId="4">
      <alignment horizontal="center" vertical="center"/>
    </xf>
    <xf numFmtId="0" fontId="25" fillId="0" borderId="0" applyAlignment="1" pivotButton="0" quotePrefix="0" xfId="3">
      <alignment horizontal="right" vertical="center"/>
    </xf>
    <xf numFmtId="0" fontId="30" fillId="0" borderId="0" applyAlignment="1" pivotButton="0" quotePrefix="0" xfId="3">
      <alignment vertical="center"/>
    </xf>
    <xf numFmtId="14" fontId="25" fillId="8" borderId="0" applyAlignment="1" pivotButton="0" quotePrefix="0" xfId="3">
      <alignment horizontal="center" vertical="center"/>
    </xf>
    <xf numFmtId="0" fontId="32" fillId="0" borderId="0" pivotButton="0" quotePrefix="0" xfId="0"/>
    <xf numFmtId="0" fontId="32" fillId="0" borderId="1" applyAlignment="1" pivotButton="0" quotePrefix="0" xfId="0">
      <alignment horizontal="center"/>
    </xf>
    <xf numFmtId="0" fontId="31" fillId="2" borderId="5" pivotButton="0" quotePrefix="0" xfId="0"/>
    <xf numFmtId="0" fontId="31" fillId="2" borderId="6" pivotButton="0" quotePrefix="0" xfId="0"/>
    <xf numFmtId="0" fontId="31" fillId="2" borderId="10" pivotButton="0" quotePrefix="0" xfId="0"/>
    <xf numFmtId="0" fontId="36" fillId="0" borderId="0" pivotButton="0" quotePrefix="0" xfId="5"/>
    <xf numFmtId="0" fontId="2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9" fontId="37" fillId="0" borderId="0" applyAlignment="1" pivotButton="0" quotePrefix="0" xfId="6">
      <alignment horizontal="left" vertical="center"/>
    </xf>
    <xf numFmtId="169" fontId="0" fillId="0" borderId="0" applyAlignment="1" pivotButton="0" quotePrefix="0" xfId="6">
      <alignment vertical="center"/>
    </xf>
    <xf numFmtId="0" fontId="39" fillId="0" borderId="0" applyAlignment="1" pivotButton="0" quotePrefix="0" xfId="0">
      <alignment horizontal="right" vertical="center" indent="1"/>
    </xf>
    <xf numFmtId="0" fontId="40" fillId="0" borderId="0" applyAlignment="1" pivotButton="0" quotePrefix="0" xfId="0">
      <alignment vertical="center"/>
    </xf>
    <xf numFmtId="169" fontId="38" fillId="0" borderId="27" applyAlignment="1" pivotButton="0" quotePrefix="0" xfId="6">
      <alignment vertical="center"/>
    </xf>
    <xf numFmtId="0" fontId="38" fillId="0" borderId="29" applyAlignment="1" pivotButton="0" quotePrefix="0" xfId="0">
      <alignment vertical="center"/>
    </xf>
    <xf numFmtId="37" fontId="38" fillId="0" borderId="28" applyAlignment="1" pivotButton="0" quotePrefix="0" xfId="0">
      <alignment horizontal="center" vertical="center"/>
    </xf>
    <xf numFmtId="10" fontId="38" fillId="0" borderId="29" applyAlignment="1" pivotButton="0" quotePrefix="0" xfId="0">
      <alignment horizontal="center" vertical="center"/>
    </xf>
    <xf numFmtId="0" fontId="41" fillId="0" borderId="0" applyAlignment="1" pivotButton="0" quotePrefix="0" xfId="0">
      <alignment vertical="center" wrapText="1"/>
    </xf>
    <xf numFmtId="169" fontId="38" fillId="0" borderId="25" applyAlignment="1" pivotButton="0" quotePrefix="0" xfId="6">
      <alignment vertical="center"/>
    </xf>
    <xf numFmtId="0" fontId="38" fillId="0" borderId="26" applyAlignment="1" pivotButton="0" quotePrefix="0" xfId="0">
      <alignment vertical="center"/>
    </xf>
    <xf numFmtId="10" fontId="42" fillId="0" borderId="26" applyAlignment="1" pivotButton="0" quotePrefix="0" xfId="0">
      <alignment horizontal="center" vertical="center"/>
    </xf>
    <xf numFmtId="37" fontId="38" fillId="0" borderId="0" applyAlignment="1" pivotButton="0" quotePrefix="0" xfId="0">
      <alignment horizontal="center" vertical="center"/>
    </xf>
    <xf numFmtId="10" fontId="38" fillId="0" borderId="26" applyAlignment="1" pivotButton="0" quotePrefix="0" xfId="0">
      <alignment horizontal="center" vertical="center"/>
    </xf>
    <xf numFmtId="169" fontId="43" fillId="0" borderId="0" applyAlignment="1" pivotButton="0" quotePrefix="0" xfId="6">
      <alignment vertical="center"/>
    </xf>
    <xf numFmtId="169" fontId="44" fillId="0" borderId="0" applyAlignment="1" pivotButton="0" quotePrefix="0" xfId="6">
      <alignment vertical="center"/>
    </xf>
    <xf numFmtId="168" fontId="38" fillId="0" borderId="27" applyAlignment="1" pivotButton="0" quotePrefix="0" xfId="0">
      <alignment horizontal="center" vertical="center"/>
    </xf>
    <xf numFmtId="168" fontId="38" fillId="0" borderId="28" applyAlignment="1" pivotButton="0" quotePrefix="0" xfId="0">
      <alignment horizontal="center" vertical="center"/>
    </xf>
    <xf numFmtId="168" fontId="42" fillId="0" borderId="25" applyAlignment="1" pivotButton="0" quotePrefix="0" xfId="0">
      <alignment horizontal="center" vertical="center"/>
    </xf>
    <xf numFmtId="168" fontId="42" fillId="0" borderId="0" applyAlignment="1" pivotButton="0" quotePrefix="0" xfId="0">
      <alignment horizontal="center" vertical="center"/>
    </xf>
    <xf numFmtId="168" fontId="42" fillId="0" borderId="0" applyAlignment="1" pivotButton="0" quotePrefix="0" xfId="6">
      <alignment horizontal="center" vertical="center"/>
    </xf>
    <xf numFmtId="168" fontId="38" fillId="0" borderId="25" applyAlignment="1" pivotButton="0" quotePrefix="0" xfId="0">
      <alignment horizontal="center" vertical="center"/>
    </xf>
    <xf numFmtId="168" fontId="38" fillId="0" borderId="0" applyAlignment="1" pivotButton="0" quotePrefix="0" xfId="0">
      <alignment horizontal="center" vertical="center"/>
    </xf>
    <xf numFmtId="43" fontId="0" fillId="0" borderId="0" applyAlignment="1" pivotButton="0" quotePrefix="0" xfId="1">
      <alignment vertical="center"/>
    </xf>
    <xf numFmtId="0" fontId="31" fillId="0" borderId="7" applyAlignment="1" pivotButton="0" quotePrefix="0" xfId="0">
      <alignment vertical="center" wrapText="1"/>
    </xf>
    <xf numFmtId="0" fontId="31" fillId="0" borderId="9" applyAlignment="1" pivotButton="0" quotePrefix="0" xfId="0">
      <alignment vertical="center" wrapText="1"/>
    </xf>
    <xf numFmtId="0" fontId="31" fillId="0" borderId="8" applyAlignment="1" pivotButton="0" quotePrefix="0" xfId="0">
      <alignment vertical="center" wrapText="1"/>
    </xf>
    <xf numFmtId="0" fontId="31" fillId="3" borderId="7" applyAlignment="1" pivotButton="0" quotePrefix="0" xfId="0">
      <alignment vertical="top" wrapText="1"/>
    </xf>
    <xf numFmtId="0" fontId="31" fillId="3" borderId="9" applyAlignment="1" pivotButton="0" quotePrefix="0" xfId="0">
      <alignment vertical="top" wrapText="1"/>
    </xf>
    <xf numFmtId="0" fontId="31" fillId="3" borderId="8" applyAlignment="1" pivotButton="0" quotePrefix="0" xfId="0">
      <alignment vertical="top" wrapText="1"/>
    </xf>
    <xf numFmtId="0" fontId="31" fillId="4" borderId="9" applyAlignment="1" pivotButton="0" quotePrefix="0" xfId="0">
      <alignment vertical="top"/>
    </xf>
    <xf numFmtId="0" fontId="31" fillId="4" borderId="8" applyAlignment="1" pivotButton="0" quotePrefix="0" xfId="0">
      <alignment vertical="top"/>
    </xf>
    <xf numFmtId="43" fontId="34" fillId="0" borderId="0" pivotButton="0" quotePrefix="0" xfId="1"/>
    <xf numFmtId="165" fontId="33" fillId="0" borderId="14" pivotButton="0" quotePrefix="0" xfId="1"/>
    <xf numFmtId="165" fontId="33" fillId="0" borderId="15" pivotButton="0" quotePrefix="0" xfId="1"/>
    <xf numFmtId="165" fontId="35" fillId="0" borderId="0" pivotButton="0" quotePrefix="0" xfId="1"/>
    <xf numFmtId="0" fontId="35" fillId="0" borderId="0" pivotButton="0" quotePrefix="0" xfId="0"/>
    <xf numFmtId="0" fontId="16" fillId="0" borderId="0" applyAlignment="1" pivotButton="0" quotePrefix="0" xfId="0">
      <alignment wrapText="1"/>
    </xf>
    <xf numFmtId="10" fontId="16" fillId="4" borderId="8" pivotButton="0" quotePrefix="0" xfId="2"/>
    <xf numFmtId="3" fontId="23" fillId="0" borderId="8" applyAlignment="1" pivotButton="0" quotePrefix="0" xfId="4">
      <alignment horizontal="center" vertical="center"/>
    </xf>
    <xf numFmtId="167" fontId="46" fillId="0" borderId="12" applyAlignment="1" pivotButton="0" quotePrefix="0" xfId="3">
      <alignment horizontal="center" vertical="center"/>
    </xf>
    <xf numFmtId="9" fontId="17" fillId="0" borderId="1" pivotButton="0" quotePrefix="0" xfId="0"/>
    <xf numFmtId="169" fontId="17" fillId="0" borderId="1" pivotButton="0" quotePrefix="0" xfId="8"/>
    <xf numFmtId="165" fontId="31" fillId="0" borderId="9" applyAlignment="1" pivotButton="0" quotePrefix="0" xfId="1">
      <alignment vertical="center" wrapText="1"/>
    </xf>
    <xf numFmtId="165" fontId="31" fillId="4" borderId="7" applyAlignment="1" pivotButton="0" quotePrefix="0" xfId="1">
      <alignment vertical="top" wrapText="1"/>
    </xf>
    <xf numFmtId="165" fontId="16" fillId="4" borderId="7" pivotButton="0" quotePrefix="0" xfId="1"/>
    <xf numFmtId="165" fontId="17" fillId="4" borderId="7" pivotButton="0" quotePrefix="0" xfId="1"/>
    <xf numFmtId="165" fontId="16" fillId="0" borderId="0" pivotButton="0" quotePrefix="0" xfId="1"/>
    <xf numFmtId="43" fontId="48" fillId="0" borderId="0" applyAlignment="1" pivotButton="0" quotePrefix="0" xfId="11">
      <alignment vertical="center"/>
    </xf>
    <xf numFmtId="3" fontId="13" fillId="0" borderId="0" applyAlignment="1" pivotButton="0" quotePrefix="0" xfId="12">
      <alignment horizontal="center" vertical="center"/>
    </xf>
    <xf numFmtId="0" fontId="13" fillId="0" borderId="0" applyAlignment="1" pivotButton="0" quotePrefix="0" xfId="12">
      <alignment vertical="center"/>
    </xf>
    <xf numFmtId="43" fontId="0" fillId="0" borderId="0" applyAlignment="1" pivotButton="0" quotePrefix="0" xfId="11">
      <alignment vertical="center"/>
    </xf>
    <xf numFmtId="3" fontId="19" fillId="0" borderId="0" applyAlignment="1" pivotButton="0" quotePrefix="0" xfId="12">
      <alignment horizontal="center" vertical="center"/>
    </xf>
    <xf numFmtId="3" fontId="19" fillId="4" borderId="1" applyAlignment="1" pivotButton="0" quotePrefix="1" xfId="12">
      <alignment horizontal="center" vertical="center"/>
    </xf>
    <xf numFmtId="3" fontId="19" fillId="4" borderId="1" applyAlignment="1" pivotButton="0" quotePrefix="0" xfId="12">
      <alignment horizontal="center" vertical="center"/>
    </xf>
    <xf numFmtId="0" fontId="19" fillId="0" borderId="0" applyAlignment="1" pivotButton="0" quotePrefix="0" xfId="12">
      <alignment vertical="center"/>
    </xf>
    <xf numFmtId="14" fontId="19" fillId="4" borderId="1" applyAlignment="1" pivotButton="0" quotePrefix="0" xfId="12">
      <alignment horizontal="center" vertical="center"/>
    </xf>
    <xf numFmtId="14" fontId="19" fillId="4" borderId="4" applyAlignment="1" pivotButton="0" quotePrefix="0" xfId="12">
      <alignment horizontal="center" vertical="center"/>
    </xf>
    <xf numFmtId="14" fontId="19" fillId="0" borderId="0" applyAlignment="1" pivotButton="0" quotePrefix="0" xfId="12">
      <alignment vertical="center"/>
    </xf>
    <xf numFmtId="3" fontId="13" fillId="0" borderId="3" applyAlignment="1" pivotButton="0" quotePrefix="0" xfId="12">
      <alignment horizontal="center" vertical="center"/>
    </xf>
    <xf numFmtId="3" fontId="13" fillId="0" borderId="1" applyAlignment="1" pivotButton="0" quotePrefix="0" xfId="12">
      <alignment horizontal="center" vertical="center"/>
    </xf>
    <xf numFmtId="43" fontId="19" fillId="0" borderId="17" applyAlignment="1" pivotButton="0" quotePrefix="0" xfId="11">
      <alignment vertical="center"/>
    </xf>
    <xf numFmtId="3" fontId="19" fillId="0" borderId="17" applyAlignment="1" pivotButton="0" quotePrefix="0" xfId="12">
      <alignment horizontal="center" vertical="center"/>
    </xf>
    <xf numFmtId="43" fontId="0" fillId="0" borderId="28" applyAlignment="1" pivotButton="0" quotePrefix="0" xfId="11">
      <alignment vertical="center"/>
    </xf>
    <xf numFmtId="3" fontId="13" fillId="0" borderId="28" applyAlignment="1" pivotButton="0" quotePrefix="0" xfId="12">
      <alignment horizontal="center" vertical="center"/>
    </xf>
    <xf numFmtId="43" fontId="40" fillId="0" borderId="2" applyAlignment="1" pivotButton="0" quotePrefix="0" xfId="11">
      <alignment vertical="center"/>
    </xf>
    <xf numFmtId="43" fontId="40" fillId="0" borderId="1" applyAlignment="1" pivotButton="0" quotePrefix="0" xfId="11">
      <alignment vertical="center"/>
    </xf>
    <xf numFmtId="0" fontId="50" fillId="9" borderId="7" applyAlignment="1" pivotButton="0" quotePrefix="0" xfId="13">
      <alignment horizontal="center" vertical="center"/>
    </xf>
    <xf numFmtId="40" fontId="51" fillId="9" borderId="7" applyAlignment="1" pivotButton="0" quotePrefix="0" xfId="13">
      <alignment horizontal="center" vertical="center"/>
    </xf>
    <xf numFmtId="40" fontId="50" fillId="9" borderId="7" applyAlignment="1" pivotButton="0" quotePrefix="0" xfId="13">
      <alignment horizontal="center" vertical="center"/>
    </xf>
    <xf numFmtId="0" fontId="50" fillId="9" borderId="7" applyAlignment="1" pivotButton="0" quotePrefix="0" xfId="14">
      <alignment horizontal="center" vertical="center" wrapText="1"/>
    </xf>
    <xf numFmtId="40" fontId="53" fillId="0" borderId="0" applyAlignment="1" pivotButton="0" quotePrefix="0" xfId="13">
      <alignment vertical="center"/>
    </xf>
    <xf numFmtId="0" fontId="54" fillId="0" borderId="0" applyAlignment="1" pivotButton="0" quotePrefix="0" xfId="13">
      <alignment horizontal="center" vertical="center"/>
    </xf>
    <xf numFmtId="40" fontId="53" fillId="0" borderId="0" applyAlignment="1" pivotButton="0" quotePrefix="0" xfId="13">
      <alignment horizontal="center" vertical="center"/>
    </xf>
    <xf numFmtId="40" fontId="54" fillId="0" borderId="0" applyAlignment="1" pivotButton="0" quotePrefix="0" xfId="13">
      <alignment horizontal="center" vertical="center"/>
    </xf>
    <xf numFmtId="170" fontId="54" fillId="0" borderId="0" applyAlignment="1" pivotButton="0" quotePrefix="0" xfId="13">
      <alignment horizontal="center" vertical="center"/>
    </xf>
    <xf numFmtId="38" fontId="55" fillId="0" borderId="0" applyAlignment="1" applyProtection="1" pivotButton="0" quotePrefix="0" xfId="14">
      <alignment horizontal="center" vertical="center"/>
      <protection locked="0" hidden="0"/>
    </xf>
    <xf numFmtId="10" fontId="55" fillId="0" borderId="0" applyAlignment="1" applyProtection="1" pivotButton="0" quotePrefix="0" xfId="2">
      <alignment horizontal="center" vertical="center"/>
      <protection locked="0" hidden="0"/>
    </xf>
    <xf numFmtId="43" fontId="55" fillId="0" borderId="0" applyAlignment="1" applyProtection="1" pivotButton="0" quotePrefix="0" xfId="1">
      <alignment horizontal="center" vertical="center"/>
      <protection locked="0" hidden="0"/>
    </xf>
    <xf numFmtId="10" fontId="55" fillId="0" borderId="0" applyAlignment="1" applyProtection="1" pivotButton="0" quotePrefix="0" xfId="14">
      <alignment horizontal="center" vertical="center"/>
      <protection locked="0" hidden="0"/>
    </xf>
    <xf numFmtId="0" fontId="50" fillId="6" borderId="3" applyAlignment="1" pivotButton="0" quotePrefix="0" xfId="13">
      <alignment horizontal="center" vertical="center"/>
    </xf>
    <xf numFmtId="40" fontId="54" fillId="6" borderId="3" applyAlignment="1" pivotButton="0" quotePrefix="0" xfId="13">
      <alignment horizontal="center" vertical="center"/>
    </xf>
    <xf numFmtId="40" fontId="56" fillId="6" borderId="3" applyAlignment="1" pivotButton="0" quotePrefix="0" xfId="13">
      <alignment horizontal="center" vertical="center"/>
    </xf>
    <xf numFmtId="170" fontId="50" fillId="6" borderId="3" applyAlignment="1" pivotButton="0" quotePrefix="0" xfId="13">
      <alignment horizontal="center" vertical="center"/>
    </xf>
    <xf numFmtId="38" fontId="57" fillId="6" borderId="3" applyAlignment="1" applyProtection="1" pivotButton="0" quotePrefix="0" xfId="14">
      <alignment horizontal="center" vertical="center"/>
      <protection locked="0" hidden="0"/>
    </xf>
    <xf numFmtId="10" fontId="57" fillId="6" borderId="3" applyAlignment="1" applyProtection="1" pivotButton="0" quotePrefix="0" xfId="2">
      <alignment horizontal="center" vertical="center"/>
      <protection locked="0" hidden="0"/>
    </xf>
    <xf numFmtId="40" fontId="56" fillId="0" borderId="0" applyAlignment="1" pivotButton="0" quotePrefix="0" xfId="13">
      <alignment vertical="center"/>
    </xf>
    <xf numFmtId="0" fontId="50" fillId="6" borderId="0" applyAlignment="1" pivotButton="0" quotePrefix="0" xfId="13">
      <alignment horizontal="center" vertical="center"/>
    </xf>
    <xf numFmtId="40" fontId="56" fillId="6" borderId="0" applyAlignment="1" pivotButton="0" quotePrefix="0" xfId="13">
      <alignment horizontal="center" vertical="center"/>
    </xf>
    <xf numFmtId="170" fontId="50" fillId="6" borderId="0" applyAlignment="1" pivotButton="0" quotePrefix="0" xfId="13">
      <alignment horizontal="center" vertical="center"/>
    </xf>
    <xf numFmtId="38" fontId="57" fillId="6" borderId="0" applyAlignment="1" applyProtection="1" pivotButton="0" quotePrefix="0" xfId="14">
      <alignment horizontal="center" vertical="center"/>
      <protection locked="0" hidden="0"/>
    </xf>
    <xf numFmtId="10" fontId="57" fillId="6" borderId="0" applyAlignment="1" applyProtection="1" pivotButton="0" quotePrefix="0" xfId="2">
      <alignment horizontal="center" vertical="center"/>
      <protection locked="0" hidden="0"/>
    </xf>
    <xf numFmtId="40" fontId="60" fillId="0" borderId="0" applyAlignment="1" pivotButton="0" quotePrefix="0" xfId="13">
      <alignment horizontal="center"/>
    </xf>
    <xf numFmtId="0" fontId="61" fillId="0" borderId="0" applyAlignment="1" pivotButton="0" quotePrefix="0" xfId="13">
      <alignment horizontal="center" vertical="center"/>
    </xf>
    <xf numFmtId="40" fontId="61" fillId="0" borderId="0" applyAlignment="1" pivotButton="0" quotePrefix="0" xfId="13">
      <alignment horizontal="center" vertical="center"/>
    </xf>
    <xf numFmtId="40" fontId="61" fillId="0" borderId="0" applyAlignment="1" pivotButton="0" quotePrefix="0" xfId="13">
      <alignment horizontal="center"/>
    </xf>
    <xf numFmtId="40" fontId="53" fillId="0" borderId="0" applyAlignment="1" pivotButton="0" quotePrefix="0" xfId="15">
      <alignment horizontal="center"/>
    </xf>
    <xf numFmtId="10" fontId="60" fillId="0" borderId="0" applyAlignment="1" pivotButton="0" quotePrefix="0" xfId="13">
      <alignment horizontal="center"/>
    </xf>
    <xf numFmtId="40" fontId="60" fillId="0" borderId="0" pivotButton="0" quotePrefix="0" xfId="13"/>
    <xf numFmtId="49" fontId="60" fillId="0" borderId="0" applyAlignment="1" pivotButton="0" quotePrefix="0" xfId="13">
      <alignment horizontal="center"/>
    </xf>
    <xf numFmtId="0" fontId="50" fillId="10" borderId="3" applyAlignment="1" pivotButton="0" quotePrefix="0" xfId="13">
      <alignment horizontal="center" vertical="center"/>
    </xf>
    <xf numFmtId="40" fontId="56" fillId="10" borderId="3" applyAlignment="1" pivotButton="0" quotePrefix="0" xfId="13">
      <alignment horizontal="center" vertical="center"/>
    </xf>
    <xf numFmtId="40" fontId="50" fillId="10" borderId="3" applyAlignment="1" pivotButton="0" quotePrefix="0" xfId="13">
      <alignment horizontal="center" vertical="center"/>
    </xf>
    <xf numFmtId="38" fontId="58" fillId="10" borderId="3" applyAlignment="1" applyProtection="1" pivotButton="0" quotePrefix="0" xfId="14">
      <alignment horizontal="center" vertical="center"/>
      <protection locked="0" hidden="0"/>
    </xf>
    <xf numFmtId="40" fontId="59" fillId="10" borderId="3" applyAlignment="1" pivotButton="0" quotePrefix="0" xfId="13">
      <alignment horizontal="center"/>
    </xf>
    <xf numFmtId="40" fontId="31" fillId="10" borderId="3" applyAlignment="1" pivotButton="0" quotePrefix="0" xfId="13">
      <alignment horizontal="center"/>
    </xf>
    <xf numFmtId="39" fontId="60" fillId="0" borderId="0" applyAlignment="1" pivotButton="0" quotePrefix="0" xfId="1">
      <alignment horizontal="center" vertical="center"/>
    </xf>
    <xf numFmtId="167" fontId="24" fillId="0" borderId="11" applyAlignment="1" pivotButton="0" quotePrefix="0" xfId="3">
      <alignment horizontal="center" vertical="center"/>
    </xf>
    <xf numFmtId="0" fontId="63" fillId="11" borderId="0" applyAlignment="1" pivotButton="0" quotePrefix="0" xfId="0">
      <alignment vertical="center"/>
    </xf>
    <xf numFmtId="37" fontId="63" fillId="11" borderId="0" applyAlignment="1" pivotButton="0" quotePrefix="0" xfId="0">
      <alignment horizontal="center" vertical="center"/>
    </xf>
    <xf numFmtId="0" fontId="63" fillId="11" borderId="0" applyAlignment="1" pivotButton="0" quotePrefix="0" xfId="0">
      <alignment horizontal="center" vertical="center"/>
    </xf>
    <xf numFmtId="37" fontId="64" fillId="12" borderId="23" applyAlignment="1" pivotButton="0" quotePrefix="0" xfId="0">
      <alignment horizontal="center" vertical="center"/>
    </xf>
    <xf numFmtId="0" fontId="64" fillId="12" borderId="40" applyAlignment="1" pivotButton="0" quotePrefix="0" xfId="0">
      <alignment horizontal="center" vertical="center"/>
    </xf>
    <xf numFmtId="0" fontId="65" fillId="11" borderId="0" applyAlignment="1" pivotButton="0" quotePrefix="0" xfId="0">
      <alignment vertical="center"/>
    </xf>
    <xf numFmtId="43" fontId="65" fillId="11" borderId="27" applyAlignment="1" pivotButton="0" quotePrefix="0" xfId="1">
      <alignment vertical="center"/>
    </xf>
    <xf numFmtId="43" fontId="65" fillId="11" borderId="28" applyAlignment="1" pivotButton="0" quotePrefix="0" xfId="1">
      <alignment vertical="center"/>
    </xf>
    <xf numFmtId="0" fontId="65" fillId="11" borderId="28" applyAlignment="1" pivotButton="0" quotePrefix="0" xfId="0">
      <alignment vertical="center"/>
    </xf>
    <xf numFmtId="37" fontId="65" fillId="11" borderId="28" applyAlignment="1" pivotButton="0" quotePrefix="0" xfId="0">
      <alignment horizontal="center" vertical="center"/>
    </xf>
    <xf numFmtId="37" fontId="65" fillId="11" borderId="27" applyAlignment="1" pivotButton="0" quotePrefix="0" xfId="0">
      <alignment horizontal="center" vertical="center"/>
    </xf>
    <xf numFmtId="37" fontId="65" fillId="13" borderId="41" applyAlignment="1" pivotButton="0" quotePrefix="0" xfId="0">
      <alignment horizontal="center" vertical="center"/>
    </xf>
    <xf numFmtId="0" fontId="65" fillId="11" borderId="25" applyAlignment="1" pivotButton="0" quotePrefix="0" xfId="0">
      <alignment vertical="center"/>
    </xf>
    <xf numFmtId="43" fontId="63" fillId="11" borderId="0" applyAlignment="1" pivotButton="0" quotePrefix="0" xfId="1">
      <alignment vertical="center"/>
    </xf>
    <xf numFmtId="37" fontId="63" fillId="11" borderId="25" applyAlignment="1" pivotButton="0" quotePrefix="0" xfId="0">
      <alignment horizontal="center" vertical="center"/>
    </xf>
    <xf numFmtId="37" fontId="63" fillId="13" borderId="42" applyAlignment="1" pivotButton="0" quotePrefix="0" xfId="0">
      <alignment horizontal="center" vertical="center"/>
    </xf>
    <xf numFmtId="0" fontId="63" fillId="11" borderId="25" applyAlignment="1" pivotButton="0" quotePrefix="0" xfId="0">
      <alignment vertical="center"/>
    </xf>
    <xf numFmtId="0" fontId="66" fillId="11" borderId="43" applyAlignment="1" pivotButton="0" quotePrefix="0" xfId="0">
      <alignment vertical="center"/>
    </xf>
    <xf numFmtId="43" fontId="66" fillId="11" borderId="35" applyAlignment="1" pivotButton="0" quotePrefix="0" xfId="1">
      <alignment vertical="center"/>
    </xf>
    <xf numFmtId="0" fontId="66" fillId="11" borderId="35" applyAlignment="1" pivotButton="0" quotePrefix="0" xfId="0">
      <alignment vertical="center"/>
    </xf>
    <xf numFmtId="37" fontId="66" fillId="11" borderId="35" applyAlignment="1" pivotButton="0" quotePrefix="0" xfId="0">
      <alignment horizontal="center" vertical="center"/>
    </xf>
    <xf numFmtId="37" fontId="66" fillId="11" borderId="43" applyAlignment="1" pivotButton="0" quotePrefix="0" xfId="0">
      <alignment horizontal="center" vertical="center"/>
    </xf>
    <xf numFmtId="37" fontId="66" fillId="13" borderId="44" applyAlignment="1" pivotButton="0" quotePrefix="0" xfId="0">
      <alignment horizontal="center" vertical="center"/>
    </xf>
    <xf numFmtId="43" fontId="66" fillId="11" borderId="0" applyAlignment="1" pivotButton="0" quotePrefix="0" xfId="1">
      <alignment vertical="center"/>
    </xf>
    <xf numFmtId="43" fontId="65" fillId="11" borderId="0" applyAlignment="1" pivotButton="0" quotePrefix="0" xfId="1">
      <alignment vertical="center"/>
    </xf>
    <xf numFmtId="37" fontId="65" fillId="11" borderId="0" applyAlignment="1" pivotButton="0" quotePrefix="0" xfId="0">
      <alignment horizontal="center" vertical="center"/>
    </xf>
    <xf numFmtId="0" fontId="66" fillId="11" borderId="45" applyAlignment="1" pivotButton="0" quotePrefix="0" xfId="0">
      <alignment vertical="center"/>
    </xf>
    <xf numFmtId="43" fontId="66" fillId="11" borderId="3" applyAlignment="1" pivotButton="0" quotePrefix="0" xfId="1">
      <alignment vertical="center"/>
    </xf>
    <xf numFmtId="0" fontId="66" fillId="11" borderId="3" applyAlignment="1" pivotButton="0" quotePrefix="0" xfId="0">
      <alignment vertical="center"/>
    </xf>
    <xf numFmtId="37" fontId="66" fillId="11" borderId="3" applyAlignment="1" pivotButton="0" quotePrefix="0" xfId="0">
      <alignment horizontal="center" vertical="center"/>
    </xf>
    <xf numFmtId="37" fontId="66" fillId="11" borderId="45" applyAlignment="1" pivotButton="0" quotePrefix="0" xfId="0">
      <alignment horizontal="center" vertical="center"/>
    </xf>
    <xf numFmtId="37" fontId="66" fillId="13" borderId="46" applyAlignment="1" pivotButton="0" quotePrefix="0" xfId="0">
      <alignment horizontal="center" vertical="center"/>
    </xf>
    <xf numFmtId="0" fontId="63" fillId="6" borderId="25" applyAlignment="1" pivotButton="0" quotePrefix="0" xfId="0">
      <alignment vertical="center"/>
    </xf>
    <xf numFmtId="43" fontId="63" fillId="6" borderId="0" applyAlignment="1" pivotButton="0" quotePrefix="0" xfId="1">
      <alignment vertical="center"/>
    </xf>
    <xf numFmtId="0" fontId="63" fillId="6" borderId="0" applyAlignment="1" pivotButton="0" quotePrefix="0" xfId="0">
      <alignment vertical="center"/>
    </xf>
    <xf numFmtId="37" fontId="63" fillId="6" borderId="0" applyAlignment="1" pivotButton="0" quotePrefix="0" xfId="0">
      <alignment horizontal="center" vertical="center"/>
    </xf>
    <xf numFmtId="37" fontId="63" fillId="6" borderId="25" applyAlignment="1" pivotButton="0" quotePrefix="0" xfId="0">
      <alignment horizontal="center" vertical="center"/>
    </xf>
    <xf numFmtId="43" fontId="65" fillId="14" borderId="22" applyAlignment="1" pivotButton="0" quotePrefix="0" xfId="1">
      <alignment vertical="center"/>
    </xf>
    <xf numFmtId="43" fontId="65" fillId="14" borderId="23" applyAlignment="1" pivotButton="0" quotePrefix="0" xfId="1">
      <alignment vertical="center"/>
    </xf>
    <xf numFmtId="0" fontId="65" fillId="14" borderId="23" applyAlignment="1" pivotButton="0" quotePrefix="0" xfId="0">
      <alignment vertical="center"/>
    </xf>
    <xf numFmtId="37" fontId="65" fillId="14" borderId="23" applyAlignment="1" pivotButton="0" quotePrefix="0" xfId="0">
      <alignment horizontal="center" vertical="center"/>
    </xf>
    <xf numFmtId="37" fontId="65" fillId="14" borderId="22" applyAlignment="1" pivotButton="0" quotePrefix="0" xfId="0">
      <alignment horizontal="center" vertical="center"/>
    </xf>
    <xf numFmtId="37" fontId="65" fillId="14" borderId="40" applyAlignment="1" pivotButton="0" quotePrefix="0" xfId="0">
      <alignment horizontal="center" vertical="center"/>
    </xf>
    <xf numFmtId="43" fontId="63" fillId="11" borderId="0" applyAlignment="1" pivotButton="0" quotePrefix="0" xfId="1">
      <alignment vertical="center"/>
    </xf>
    <xf numFmtId="43" fontId="63" fillId="11" borderId="0" applyAlignment="1" pivotButton="0" quotePrefix="0" xfId="1">
      <alignment horizontal="center" vertical="center"/>
    </xf>
    <xf numFmtId="17" fontId="64" fillId="12" borderId="22" applyAlignment="1" pivotButton="0" quotePrefix="0" xfId="0">
      <alignment horizontal="center" vertical="center"/>
    </xf>
    <xf numFmtId="37" fontId="66" fillId="11" borderId="0" applyAlignment="1" pivotButton="0" quotePrefix="0" xfId="0">
      <alignment horizontal="center" vertical="center"/>
    </xf>
    <xf numFmtId="37" fontId="63" fillId="11" borderId="25" applyAlignment="1" pivotButton="0" quotePrefix="0" xfId="1">
      <alignment horizontal="center" vertical="center"/>
    </xf>
    <xf numFmtId="37" fontId="63" fillId="8" borderId="42" applyAlignment="1" pivotButton="0" quotePrefix="0" xfId="0">
      <alignment horizontal="center" vertical="center"/>
    </xf>
    <xf numFmtId="164" fontId="15" fillId="0" borderId="0" pivotButton="0" quotePrefix="0" xfId="17"/>
    <xf numFmtId="0" fontId="15" fillId="0" borderId="0" pivotButton="0" quotePrefix="0" xfId="17"/>
    <xf numFmtId="164" fontId="15" fillId="0" borderId="54" applyAlignment="1" pivotButton="0" quotePrefix="0" xfId="18">
      <alignment wrapText="1"/>
    </xf>
    <xf numFmtId="164" fontId="15" fillId="0" borderId="0" applyAlignment="1" pivotButton="0" quotePrefix="0" xfId="18">
      <alignment wrapText="1"/>
    </xf>
    <xf numFmtId="0" fontId="23" fillId="0" borderId="0" pivotButton="0" quotePrefix="0" xfId="17"/>
    <xf numFmtId="37" fontId="23" fillId="0" borderId="0" applyAlignment="1" pivotButton="0" quotePrefix="0" xfId="20">
      <alignment horizontal="right"/>
    </xf>
    <xf numFmtId="0" fontId="68" fillId="0" borderId="0" pivotButton="0" quotePrefix="0" xfId="20"/>
    <xf numFmtId="164" fontId="14" fillId="0" borderId="0" pivotButton="0" quotePrefix="0" xfId="20"/>
    <xf numFmtId="37" fontId="14" fillId="0" borderId="0" pivotButton="0" quotePrefix="0" xfId="20"/>
    <xf numFmtId="164" fontId="67" fillId="0" borderId="0" pivotButton="0" quotePrefix="0" xfId="20"/>
    <xf numFmtId="0" fontId="14" fillId="0" borderId="0" pivotButton="0" quotePrefix="0" xfId="20"/>
    <xf numFmtId="0" fontId="14" fillId="0" borderId="0" applyAlignment="1" pivotButton="0" quotePrefix="0" xfId="20">
      <alignment horizontal="center"/>
    </xf>
    <xf numFmtId="171" fontId="14" fillId="0" borderId="0" pivotButton="0" quotePrefix="0" xfId="20"/>
    <xf numFmtId="0" fontId="67" fillId="0" borderId="0" pivotButton="0" quotePrefix="0" xfId="20"/>
    <xf numFmtId="164" fontId="69" fillId="0" borderId="0" pivotButton="0" quotePrefix="0" xfId="20"/>
    <xf numFmtId="164" fontId="70" fillId="0" borderId="0" pivotButton="0" quotePrefix="0" xfId="20"/>
    <xf numFmtId="37" fontId="70" fillId="0" borderId="0" pivotButton="0" quotePrefix="0" xfId="20"/>
    <xf numFmtId="0" fontId="70" fillId="0" borderId="0" pivotButton="0" quotePrefix="0" xfId="20"/>
    <xf numFmtId="0" fontId="70" fillId="0" borderId="0" applyAlignment="1" pivotButton="0" quotePrefix="0" xfId="20">
      <alignment horizontal="center"/>
    </xf>
    <xf numFmtId="164" fontId="71" fillId="0" borderId="0" pivotButton="0" quotePrefix="0" xfId="20"/>
    <xf numFmtId="164" fontId="72" fillId="0" borderId="0" applyAlignment="1" pivotButton="0" quotePrefix="0" xfId="20">
      <alignment horizontal="right"/>
    </xf>
    <xf numFmtId="164" fontId="26" fillId="0" borderId="50" pivotButton="0" quotePrefix="0" xfId="20"/>
    <xf numFmtId="164" fontId="26" fillId="0" borderId="51" applyAlignment="1" pivotButton="0" quotePrefix="0" xfId="20">
      <alignment horizontal="center" vertical="top"/>
    </xf>
    <xf numFmtId="164" fontId="26" fillId="0" borderId="52" applyAlignment="1" pivotButton="0" quotePrefix="0" xfId="20">
      <alignment horizontal="center" vertical="top"/>
    </xf>
    <xf numFmtId="164" fontId="26" fillId="0" borderId="53" pivotButton="0" quotePrefix="0" xfId="20"/>
    <xf numFmtId="164" fontId="14" fillId="0" borderId="1" pivotButton="0" quotePrefix="0" xfId="20"/>
    <xf numFmtId="164" fontId="14" fillId="0" borderId="54" pivotButton="0" quotePrefix="0" xfId="20"/>
    <xf numFmtId="164" fontId="14" fillId="0" borderId="53" pivotButton="0" quotePrefix="0" xfId="20"/>
    <xf numFmtId="37" fontId="0" fillId="0" borderId="0" pivotButton="0" quotePrefix="0" xfId="21"/>
    <xf numFmtId="38" fontId="14" fillId="0" borderId="0" pivotButton="0" quotePrefix="0" xfId="20"/>
    <xf numFmtId="38" fontId="14" fillId="0" borderId="0" applyAlignment="1" pivotButton="0" quotePrefix="0" xfId="20">
      <alignment horizontal="center"/>
    </xf>
    <xf numFmtId="164" fontId="67" fillId="0" borderId="53" pivotButton="0" quotePrefix="0" xfId="20"/>
    <xf numFmtId="164" fontId="67" fillId="0" borderId="1" pivotButton="0" quotePrefix="0" xfId="20"/>
    <xf numFmtId="164" fontId="67" fillId="0" borderId="54" pivotButton="0" quotePrefix="0" xfId="20"/>
    <xf numFmtId="37" fontId="73" fillId="0" borderId="0" pivotButton="0" quotePrefix="0" xfId="21"/>
    <xf numFmtId="38" fontId="73" fillId="0" borderId="0" pivotButton="0" quotePrefix="0" xfId="20"/>
    <xf numFmtId="38" fontId="73" fillId="0" borderId="0" applyAlignment="1" pivotButton="0" quotePrefix="0" xfId="20">
      <alignment horizontal="center"/>
    </xf>
    <xf numFmtId="0" fontId="73" fillId="0" borderId="0" pivotButton="0" quotePrefix="0" xfId="20"/>
    <xf numFmtId="0" fontId="73" fillId="0" borderId="0" applyAlignment="1" pivotButton="0" quotePrefix="0" xfId="20">
      <alignment horizontal="center"/>
    </xf>
    <xf numFmtId="164" fontId="23" fillId="0" borderId="53" pivotButton="0" quotePrefix="0" xfId="20"/>
    <xf numFmtId="164" fontId="23" fillId="0" borderId="1" pivotButton="0" quotePrefix="0" xfId="20"/>
    <xf numFmtId="164" fontId="23" fillId="0" borderId="54" pivotButton="0" quotePrefix="0" xfId="20"/>
    <xf numFmtId="37" fontId="74" fillId="0" borderId="0" pivotButton="0" quotePrefix="0" xfId="21"/>
    <xf numFmtId="172" fontId="74" fillId="0" borderId="0" pivotButton="0" quotePrefix="0" xfId="20"/>
    <xf numFmtId="172" fontId="74" fillId="0" borderId="0" applyAlignment="1" pivotButton="0" quotePrefix="0" xfId="20">
      <alignment horizontal="center"/>
    </xf>
    <xf numFmtId="0" fontId="74" fillId="0" borderId="0" applyAlignment="1" pivotButton="0" quotePrefix="0" xfId="20">
      <alignment horizontal="center"/>
    </xf>
    <xf numFmtId="0" fontId="74" fillId="0" borderId="0" pivotButton="0" quotePrefix="0" xfId="20"/>
    <xf numFmtId="37" fontId="67" fillId="0" borderId="0" pivotButton="0" quotePrefix="0" xfId="20"/>
    <xf numFmtId="37" fontId="74" fillId="0" borderId="0" pivotButton="0" quotePrefix="0" xfId="20"/>
    <xf numFmtId="164" fontId="26" fillId="0" borderId="55" pivotButton="0" quotePrefix="0" xfId="20"/>
    <xf numFmtId="164" fontId="26" fillId="0" borderId="56" pivotButton="0" quotePrefix="0" xfId="20"/>
    <xf numFmtId="164" fontId="26" fillId="0" borderId="57" pivotButton="0" quotePrefix="0" xfId="20"/>
    <xf numFmtId="37" fontId="23" fillId="0" borderId="0" pivotButton="0" quotePrefix="0" xfId="20"/>
    <xf numFmtId="0" fontId="26" fillId="0" borderId="0" pivotButton="0" quotePrefix="0" xfId="20"/>
    <xf numFmtId="0" fontId="26" fillId="0" borderId="0" applyAlignment="1" pivotButton="0" quotePrefix="0" xfId="20">
      <alignment horizontal="center"/>
    </xf>
    <xf numFmtId="164" fontId="76" fillId="0" borderId="0" pivotButton="0" quotePrefix="0" xfId="20"/>
    <xf numFmtId="164" fontId="77" fillId="0" borderId="0" pivotButton="0" quotePrefix="0" xfId="20"/>
    <xf numFmtId="164" fontId="78" fillId="0" borderId="0" pivotButton="0" quotePrefix="0" xfId="20"/>
    <xf numFmtId="37" fontId="79" fillId="0" borderId="0" pivotButton="0" quotePrefix="0" xfId="20"/>
    <xf numFmtId="0" fontId="78" fillId="0" borderId="0" pivotButton="0" quotePrefix="0" xfId="20"/>
    <xf numFmtId="164" fontId="14" fillId="0" borderId="0" applyAlignment="1" pivotButton="0" quotePrefix="0" xfId="20">
      <alignment horizontal="center"/>
    </xf>
    <xf numFmtId="173" fontId="14" fillId="0" borderId="0" pivotButton="0" quotePrefix="0" xfId="20"/>
    <xf numFmtId="164" fontId="23" fillId="0" borderId="50" applyAlignment="1" pivotButton="0" quotePrefix="0" xfId="21">
      <alignment wrapText="1"/>
    </xf>
    <xf numFmtId="164" fontId="15" fillId="0" borderId="51" applyAlignment="1" pivotButton="0" quotePrefix="0" xfId="21">
      <alignment horizontal="center" wrapText="1"/>
    </xf>
    <xf numFmtId="164" fontId="15" fillId="0" borderId="51" applyAlignment="1" pivotButton="0" quotePrefix="0" xfId="20">
      <alignment horizontal="center"/>
    </xf>
    <xf numFmtId="164" fontId="15" fillId="0" borderId="52" applyAlignment="1" pivotButton="0" quotePrefix="0" xfId="20">
      <alignment horizontal="center"/>
    </xf>
    <xf numFmtId="164" fontId="15" fillId="0" borderId="0" pivotButton="0" quotePrefix="0" xfId="20"/>
    <xf numFmtId="0" fontId="15" fillId="0" borderId="0" pivotButton="0" quotePrefix="0" xfId="20"/>
    <xf numFmtId="164" fontId="15" fillId="0" borderId="1" pivotButton="0" quotePrefix="0" xfId="21"/>
    <xf numFmtId="164" fontId="15" fillId="0" borderId="54" applyAlignment="1" pivotButton="0" quotePrefix="0" xfId="21">
      <alignment wrapText="1"/>
    </xf>
    <xf numFmtId="164" fontId="15" fillId="0" borderId="53" pivotButton="0" quotePrefix="0" xfId="20"/>
    <xf numFmtId="164" fontId="15" fillId="0" borderId="1" pivotButton="0" quotePrefix="0" xfId="20"/>
    <xf numFmtId="164" fontId="35" fillId="0" borderId="1" pivotButton="0" quotePrefix="0" xfId="20"/>
    <xf numFmtId="164" fontId="23" fillId="0" borderId="1" applyAlignment="1" pivotButton="0" quotePrefix="0" xfId="21">
      <alignment wrapText="1"/>
    </xf>
    <xf numFmtId="164" fontId="23" fillId="0" borderId="2" applyAlignment="1" pivotButton="0" quotePrefix="0" xfId="21">
      <alignment wrapText="1"/>
    </xf>
    <xf numFmtId="164" fontId="23" fillId="0" borderId="25" pivotButton="0" quotePrefix="0" xfId="20"/>
    <xf numFmtId="164" fontId="23" fillId="0" borderId="0" pivotButton="0" quotePrefix="0" xfId="20"/>
    <xf numFmtId="0" fontId="23" fillId="0" borderId="0" pivotButton="0" quotePrefix="0" xfId="20"/>
    <xf numFmtId="164" fontId="15" fillId="0" borderId="53" applyAlignment="1" pivotButton="0" quotePrefix="0" xfId="21">
      <alignment wrapText="1"/>
    </xf>
    <xf numFmtId="164" fontId="15" fillId="0" borderId="1" applyAlignment="1" pivotButton="0" quotePrefix="0" xfId="21">
      <alignment wrapText="1"/>
    </xf>
    <xf numFmtId="164" fontId="80" fillId="0" borderId="1" applyAlignment="1" pivotButton="0" quotePrefix="0" xfId="20">
      <alignment wrapText="1"/>
    </xf>
    <xf numFmtId="164" fontId="14" fillId="0" borderId="1" applyAlignment="1" pivotButton="0" quotePrefix="0" xfId="20">
      <alignment wrapText="1"/>
    </xf>
    <xf numFmtId="164" fontId="67" fillId="0" borderId="1" applyAlignment="1" pivotButton="0" quotePrefix="0" xfId="20">
      <alignment wrapText="1"/>
    </xf>
    <xf numFmtId="164" fontId="23" fillId="0" borderId="54" applyAlignment="1" pivotButton="0" quotePrefix="0" xfId="21">
      <alignment wrapText="1"/>
    </xf>
    <xf numFmtId="164" fontId="23" fillId="0" borderId="53" applyAlignment="1" pivotButton="0" quotePrefix="0" xfId="21">
      <alignment wrapText="1"/>
    </xf>
    <xf numFmtId="164" fontId="35" fillId="0" borderId="1" pivotButton="0" quotePrefix="0" xfId="21"/>
    <xf numFmtId="164" fontId="81" fillId="0" borderId="1" pivotButton="0" quotePrefix="0" xfId="21"/>
    <xf numFmtId="164" fontId="82" fillId="0" borderId="1" pivotButton="0" quotePrefix="0" xfId="20"/>
    <xf numFmtId="164" fontId="23" fillId="0" borderId="55" pivotButton="0" quotePrefix="0" xfId="20"/>
    <xf numFmtId="164" fontId="23" fillId="0" borderId="56" applyAlignment="1" pivotButton="0" quotePrefix="0" xfId="21">
      <alignment wrapText="1"/>
    </xf>
    <xf numFmtId="164" fontId="15" fillId="0" borderId="57" applyAlignment="1" pivotButton="0" quotePrefix="0" xfId="21">
      <alignment wrapText="1"/>
    </xf>
    <xf numFmtId="0" fontId="84" fillId="0" borderId="0" pivotButton="0" quotePrefix="0" xfId="20"/>
    <xf numFmtId="164" fontId="85" fillId="0" borderId="0" pivotButton="0" quotePrefix="0" xfId="20"/>
    <xf numFmtId="0" fontId="83" fillId="0" borderId="0" applyAlignment="1" pivotButton="0" quotePrefix="0" xfId="20">
      <alignment vertical="center" wrapText="1"/>
    </xf>
    <xf numFmtId="164" fontId="83" fillId="0" borderId="0" pivotButton="0" quotePrefix="0" xfId="20"/>
    <xf numFmtId="164" fontId="86" fillId="0" borderId="0" pivotButton="0" quotePrefix="0" xfId="20"/>
    <xf numFmtId="174" fontId="83" fillId="0" borderId="0" pivotButton="0" quotePrefix="0" xfId="20"/>
    <xf numFmtId="0" fontId="87" fillId="0" borderId="0" applyAlignment="1" pivotButton="0" quotePrefix="0" xfId="20">
      <alignment vertical="center" wrapText="1"/>
    </xf>
    <xf numFmtId="0" fontId="85" fillId="0" borderId="0" pivotButton="0" quotePrefix="0" xfId="20"/>
    <xf numFmtId="0" fontId="83" fillId="0" borderId="0" pivotButton="0" quotePrefix="0" xfId="20"/>
    <xf numFmtId="164" fontId="88" fillId="0" borderId="0" pivotButton="0" quotePrefix="0" xfId="20"/>
    <xf numFmtId="0" fontId="86" fillId="0" borderId="0" pivotButton="0" quotePrefix="0" xfId="20"/>
    <xf numFmtId="0" fontId="87" fillId="0" borderId="1" pivotButton="0" quotePrefix="0" xfId="20"/>
    <xf numFmtId="164" fontId="87" fillId="0" borderId="0" pivotButton="0" quotePrefix="0" xfId="20"/>
    <xf numFmtId="164" fontId="89" fillId="0" borderId="0" pivotButton="0" quotePrefix="0" xfId="20"/>
    <xf numFmtId="0" fontId="79" fillId="0" borderId="0" applyAlignment="1" pivotButton="0" quotePrefix="0" xfId="20">
      <alignment vertical="center" wrapText="1"/>
    </xf>
    <xf numFmtId="38" fontId="15" fillId="0" borderId="0" pivotButton="0" quotePrefix="0" xfId="20"/>
    <xf numFmtId="164" fontId="0" fillId="0" borderId="53" pivotButton="0" quotePrefix="0" xfId="17"/>
    <xf numFmtId="0" fontId="90" fillId="12" borderId="40" applyAlignment="1" pivotButton="0" quotePrefix="0" xfId="0">
      <alignment horizontal="center" vertical="center"/>
    </xf>
    <xf numFmtId="43" fontId="91" fillId="11" borderId="27" applyAlignment="1" pivotButton="0" quotePrefix="0" xfId="1">
      <alignment vertical="center"/>
    </xf>
    <xf numFmtId="43" fontId="91" fillId="11" borderId="28" applyAlignment="1" pivotButton="0" quotePrefix="0" xfId="1">
      <alignment vertical="center"/>
    </xf>
    <xf numFmtId="0" fontId="91" fillId="11" borderId="28" applyAlignment="1" pivotButton="0" quotePrefix="0" xfId="0">
      <alignment vertical="center"/>
    </xf>
    <xf numFmtId="37" fontId="91" fillId="11" borderId="27" applyAlignment="1" pivotButton="0" quotePrefix="0" xfId="0">
      <alignment horizontal="center" vertical="center"/>
    </xf>
    <xf numFmtId="37" fontId="91" fillId="13" borderId="41" applyAlignment="1" pivotButton="0" quotePrefix="0" xfId="0">
      <alignment horizontal="center" vertical="center"/>
    </xf>
    <xf numFmtId="0" fontId="91" fillId="11" borderId="25" applyAlignment="1" pivotButton="0" quotePrefix="0" xfId="0">
      <alignment vertical="center"/>
    </xf>
    <xf numFmtId="43" fontId="91" fillId="11" borderId="0" applyAlignment="1" pivotButton="0" quotePrefix="0" xfId="1">
      <alignment vertical="center"/>
    </xf>
    <xf numFmtId="0" fontId="92" fillId="11" borderId="0" applyAlignment="1" pivotButton="0" quotePrefix="0" xfId="0">
      <alignment vertical="center"/>
    </xf>
    <xf numFmtId="37" fontId="92" fillId="11" borderId="25" applyAlignment="1" pivotButton="0" quotePrefix="0" xfId="0">
      <alignment horizontal="center" vertical="center"/>
    </xf>
    <xf numFmtId="37" fontId="92" fillId="13" borderId="42" applyAlignment="1" pivotButton="0" quotePrefix="0" xfId="0">
      <alignment horizontal="center" vertical="center"/>
    </xf>
    <xf numFmtId="0" fontId="92" fillId="11" borderId="25" applyAlignment="1" pivotButton="0" quotePrefix="0" xfId="0">
      <alignment vertical="center"/>
    </xf>
    <xf numFmtId="0" fontId="93" fillId="11" borderId="43" applyAlignment="1" pivotButton="0" quotePrefix="0" xfId="0">
      <alignment vertical="center"/>
    </xf>
    <xf numFmtId="43" fontId="93" fillId="11" borderId="35" applyAlignment="1" pivotButton="0" quotePrefix="0" xfId="1">
      <alignment vertical="center"/>
    </xf>
    <xf numFmtId="0" fontId="93" fillId="11" borderId="35" applyAlignment="1" pivotButton="0" quotePrefix="0" xfId="0">
      <alignment vertical="center"/>
    </xf>
    <xf numFmtId="37" fontId="93" fillId="11" borderId="43" applyAlignment="1" pivotButton="0" quotePrefix="0" xfId="0">
      <alignment horizontal="center" vertical="center"/>
    </xf>
    <xf numFmtId="37" fontId="93" fillId="13" borderId="44" applyAlignment="1" pivotButton="0" quotePrefix="0" xfId="0">
      <alignment horizontal="center" vertical="center"/>
    </xf>
    <xf numFmtId="43" fontId="93" fillId="11" borderId="0" applyAlignment="1" pivotButton="0" quotePrefix="0" xfId="1">
      <alignment vertical="center"/>
    </xf>
    <xf numFmtId="37" fontId="93" fillId="11" borderId="25" applyAlignment="1" pivotButton="0" quotePrefix="0" xfId="0">
      <alignment horizontal="center" vertical="center"/>
    </xf>
    <xf numFmtId="37" fontId="93" fillId="13" borderId="42" applyAlignment="1" pivotButton="0" quotePrefix="0" xfId="0">
      <alignment horizontal="center" vertical="center"/>
    </xf>
    <xf numFmtId="37" fontId="92" fillId="0" borderId="25" applyAlignment="1" pivotButton="0" quotePrefix="0" xfId="0">
      <alignment horizontal="center" vertical="center"/>
    </xf>
    <xf numFmtId="43" fontId="92" fillId="11" borderId="25" applyAlignment="1" pivotButton="0" quotePrefix="0" xfId="1">
      <alignment horizontal="center" vertical="center"/>
    </xf>
    <xf numFmtId="0" fontId="93" fillId="11" borderId="45" applyAlignment="1" pivotButton="0" quotePrefix="0" xfId="0">
      <alignment vertical="center"/>
    </xf>
    <xf numFmtId="43" fontId="93" fillId="11" borderId="3" applyAlignment="1" pivotButton="0" quotePrefix="0" xfId="1">
      <alignment vertical="center"/>
    </xf>
    <xf numFmtId="0" fontId="93" fillId="11" borderId="3" applyAlignment="1" pivotButton="0" quotePrefix="0" xfId="0">
      <alignment vertical="center"/>
    </xf>
    <xf numFmtId="37" fontId="93" fillId="11" borderId="45" applyAlignment="1" pivotButton="0" quotePrefix="0" xfId="0">
      <alignment horizontal="center" vertical="center"/>
    </xf>
    <xf numFmtId="37" fontId="93" fillId="13" borderId="47" applyAlignment="1" pivotButton="0" quotePrefix="0" xfId="0">
      <alignment horizontal="center" vertical="center"/>
    </xf>
    <xf numFmtId="0" fontId="92" fillId="6" borderId="25" applyAlignment="1" pivotButton="0" quotePrefix="0" xfId="0">
      <alignment vertical="center"/>
    </xf>
    <xf numFmtId="43" fontId="94" fillId="6" borderId="0" applyAlignment="1" pivotButton="0" quotePrefix="0" xfId="1">
      <alignment vertical="center"/>
    </xf>
    <xf numFmtId="0" fontId="92" fillId="6" borderId="0" applyAlignment="1" pivotButton="0" quotePrefix="0" xfId="0">
      <alignment vertical="center"/>
    </xf>
    <xf numFmtId="37" fontId="92" fillId="6" borderId="25" applyAlignment="1" pivotButton="0" quotePrefix="0" xfId="0">
      <alignment horizontal="center" vertical="center"/>
    </xf>
    <xf numFmtId="37" fontId="92" fillId="6" borderId="40" applyAlignment="1" pivotButton="0" quotePrefix="0" xfId="0">
      <alignment horizontal="center" vertical="center"/>
    </xf>
    <xf numFmtId="43" fontId="91" fillId="14" borderId="22" applyAlignment="1" pivotButton="0" quotePrefix="0" xfId="1">
      <alignment vertical="center"/>
    </xf>
    <xf numFmtId="43" fontId="91" fillId="14" borderId="23" applyAlignment="1" pivotButton="0" quotePrefix="0" xfId="1">
      <alignment vertical="center"/>
    </xf>
    <xf numFmtId="0" fontId="91" fillId="14" borderId="23" applyAlignment="1" pivotButton="0" quotePrefix="0" xfId="0">
      <alignment vertical="center"/>
    </xf>
    <xf numFmtId="37" fontId="91" fillId="14" borderId="22" applyAlignment="1" pivotButton="0" quotePrefix="0" xfId="0">
      <alignment horizontal="center" vertical="center"/>
    </xf>
    <xf numFmtId="37" fontId="91" fillId="14" borderId="40" applyAlignment="1" pivotButton="0" quotePrefix="0" xfId="0">
      <alignment horizontal="center" vertical="center"/>
    </xf>
    <xf numFmtId="0" fontId="14" fillId="0" borderId="0" applyAlignment="1" pivotButton="0" quotePrefix="0" xfId="20">
      <alignment horizontal="right"/>
    </xf>
    <xf numFmtId="164" fontId="14" fillId="0" borderId="0" pivotButton="0" quotePrefix="0" xfId="1"/>
    <xf numFmtId="10" fontId="14" fillId="0" borderId="0" pivotButton="0" quotePrefix="0" xfId="2"/>
    <xf numFmtId="10" fontId="15" fillId="0" borderId="0" applyAlignment="1" pivotButton="0" quotePrefix="0" xfId="2">
      <alignment horizontal="right"/>
    </xf>
    <xf numFmtId="37" fontId="92" fillId="11" borderId="0" applyAlignment="1" pivotButton="0" quotePrefix="0" xfId="0">
      <alignment horizontal="center" vertical="center"/>
    </xf>
    <xf numFmtId="37" fontId="92" fillId="11" borderId="25" applyAlignment="1" pivotButton="0" quotePrefix="0" xfId="1">
      <alignment horizontal="center" vertical="center"/>
    </xf>
    <xf numFmtId="37" fontId="93" fillId="11" borderId="0" applyAlignment="1" pivotButton="0" quotePrefix="0" xfId="0">
      <alignment horizontal="center" vertical="center"/>
    </xf>
    <xf numFmtId="37" fontId="91" fillId="11" borderId="0" applyAlignment="1" pivotButton="0" quotePrefix="0" xfId="0">
      <alignment horizontal="center" vertical="center"/>
    </xf>
    <xf numFmtId="0" fontId="64" fillId="11" borderId="0" applyAlignment="1" pivotButton="0" quotePrefix="0" xfId="0">
      <alignment horizontal="center" vertical="center"/>
    </xf>
    <xf numFmtId="0" fontId="95" fillId="11" borderId="0" applyAlignment="1" pivotButton="0" quotePrefix="0" xfId="0">
      <alignment horizontal="center" vertical="center"/>
    </xf>
    <xf numFmtId="43" fontId="64" fillId="11" borderId="0" applyAlignment="1" pivotButton="0" quotePrefix="0" xfId="1">
      <alignment horizontal="center" vertical="center"/>
    </xf>
    <xf numFmtId="0" fontId="96" fillId="0" borderId="0" applyAlignment="1" pivotButton="0" quotePrefix="0" xfId="20">
      <alignment horizontal="center"/>
    </xf>
    <xf numFmtId="10" fontId="18" fillId="6" borderId="1" applyAlignment="1" pivotButton="0" quotePrefix="0" xfId="2">
      <alignment horizontal="center"/>
    </xf>
    <xf numFmtId="3" fontId="12" fillId="0" borderId="1" applyAlignment="1" pivotButton="0" quotePrefix="0" xfId="22">
      <alignment horizontal="center" vertical="center"/>
    </xf>
    <xf numFmtId="3" fontId="75" fillId="0" borderId="0" applyAlignment="1" pivotButton="0" quotePrefix="0" xfId="3">
      <alignment horizontal="center" vertical="center"/>
    </xf>
    <xf numFmtId="43" fontId="32" fillId="4" borderId="7" pivotButton="0" quotePrefix="0" xfId="1"/>
    <xf numFmtId="165" fontId="31" fillId="4" borderId="9" applyAlignment="1" pivotButton="0" quotePrefix="0" xfId="1">
      <alignment vertical="top"/>
    </xf>
    <xf numFmtId="43" fontId="32" fillId="3" borderId="7" pivotButton="0" quotePrefix="0" xfId="1"/>
    <xf numFmtId="43" fontId="32" fillId="3" borderId="8" pivotButton="0" quotePrefix="0" xfId="1"/>
    <xf numFmtId="43" fontId="32" fillId="2" borderId="7" pivotButton="0" quotePrefix="0" xfId="1"/>
    <xf numFmtId="43" fontId="32" fillId="2" borderId="8" pivotButton="0" quotePrefix="0" xfId="1"/>
    <xf numFmtId="43" fontId="32" fillId="4" borderId="8" pivotButton="0" quotePrefix="0" xfId="1"/>
    <xf numFmtId="0" fontId="90" fillId="12" borderId="22" applyAlignment="1" pivotButton="0" quotePrefix="0" xfId="0">
      <alignment horizontal="center" vertical="center"/>
    </xf>
    <xf numFmtId="0" fontId="35" fillId="0" borderId="0" applyAlignment="1" pivotButton="0" quotePrefix="0" xfId="17">
      <alignment horizontal="center"/>
    </xf>
    <xf numFmtId="0" fontId="97" fillId="0" borderId="0" applyAlignment="1" pivotButton="0" quotePrefix="0" xfId="17">
      <alignment horizontal="left"/>
    </xf>
    <xf numFmtId="175" fontId="15" fillId="0" borderId="0" pivotButton="0" quotePrefix="0" xfId="17"/>
    <xf numFmtId="164" fontId="98" fillId="0" borderId="0" pivotButton="0" quotePrefix="0" xfId="17"/>
    <xf numFmtId="164" fontId="99" fillId="0" borderId="0" pivotButton="0" quotePrefix="0" xfId="17"/>
    <xf numFmtId="43" fontId="15" fillId="0" borderId="0" pivotButton="0" quotePrefix="0" xfId="17"/>
    <xf numFmtId="176" fontId="15" fillId="0" borderId="0" pivotButton="0" quotePrefix="0" xfId="17"/>
    <xf numFmtId="164" fontId="23" fillId="0" borderId="0" pivotButton="0" quotePrefix="0" xfId="17"/>
    <xf numFmtId="164" fontId="33" fillId="0" borderId="0" pivotButton="0" quotePrefix="0" xfId="17"/>
    <xf numFmtId="164" fontId="33" fillId="0" borderId="0" applyAlignment="1" pivotButton="0" quotePrefix="0" xfId="17">
      <alignment horizontal="right"/>
    </xf>
    <xf numFmtId="164" fontId="23" fillId="0" borderId="50" applyAlignment="1" pivotButton="0" quotePrefix="0" xfId="18">
      <alignment wrapText="1"/>
    </xf>
    <xf numFmtId="164" fontId="23" fillId="0" borderId="0" applyAlignment="1" pivotButton="0" quotePrefix="0" xfId="18">
      <alignment wrapText="1"/>
    </xf>
    <xf numFmtId="164" fontId="15" fillId="0" borderId="51" applyAlignment="1" pivotButton="0" quotePrefix="0" xfId="18">
      <alignment horizontal="center" wrapText="1"/>
    </xf>
    <xf numFmtId="164" fontId="15" fillId="0" borderId="51" applyAlignment="1" pivotButton="0" quotePrefix="0" xfId="17">
      <alignment horizontal="center"/>
    </xf>
    <xf numFmtId="164" fontId="15" fillId="0" borderId="52" applyAlignment="1" pivotButton="0" quotePrefix="0" xfId="17">
      <alignment horizontal="center"/>
    </xf>
    <xf numFmtId="164" fontId="23" fillId="0" borderId="53" pivotButton="0" quotePrefix="0" xfId="17"/>
    <xf numFmtId="164" fontId="15" fillId="0" borderId="1" pivotButton="0" quotePrefix="0" xfId="18"/>
    <xf numFmtId="164" fontId="15" fillId="0" borderId="53" pivotButton="0" quotePrefix="0" xfId="17"/>
    <xf numFmtId="164" fontId="15" fillId="0" borderId="1" pivotButton="0" quotePrefix="0" xfId="17"/>
    <xf numFmtId="164" fontId="15" fillId="0" borderId="25" pivotButton="0" quotePrefix="0" xfId="17"/>
    <xf numFmtId="164" fontId="35" fillId="0" borderId="0" pivotButton="0" quotePrefix="0" xfId="17"/>
    <xf numFmtId="164" fontId="100" fillId="0" borderId="0" pivotButton="0" quotePrefix="0" xfId="17"/>
    <xf numFmtId="164" fontId="23" fillId="0" borderId="1" applyAlignment="1" pivotButton="0" quotePrefix="0" xfId="18">
      <alignment wrapText="1"/>
    </xf>
    <xf numFmtId="164" fontId="23" fillId="0" borderId="54" applyAlignment="1" pivotButton="0" quotePrefix="0" xfId="18">
      <alignment wrapText="1"/>
    </xf>
    <xf numFmtId="164" fontId="15" fillId="0" borderId="53" applyAlignment="1" pivotButton="0" quotePrefix="0" xfId="18">
      <alignment wrapText="1"/>
    </xf>
    <xf numFmtId="164" fontId="101" fillId="0" borderId="1" applyAlignment="1" pivotButton="0" quotePrefix="0" xfId="18">
      <alignment wrapText="1"/>
    </xf>
    <xf numFmtId="164" fontId="15" fillId="0" borderId="1" applyAlignment="1" pivotButton="0" quotePrefix="0" xfId="18">
      <alignment wrapText="1"/>
    </xf>
    <xf numFmtId="164" fontId="0" fillId="0" borderId="53" pivotButton="0" quotePrefix="0" xfId="19"/>
    <xf numFmtId="164" fontId="14" fillId="0" borderId="53" pivotButton="0" quotePrefix="0" xfId="19"/>
    <xf numFmtId="164" fontId="15" fillId="0" borderId="0" applyAlignment="1" pivotButton="0" quotePrefix="0" xfId="17">
      <alignment horizontal="center"/>
    </xf>
    <xf numFmtId="164" fontId="23" fillId="0" borderId="53" applyAlignment="1" pivotButton="0" quotePrefix="0" xfId="18">
      <alignment wrapText="1"/>
    </xf>
    <xf numFmtId="164" fontId="0" fillId="0" borderId="53" applyAlignment="1" pivotButton="0" quotePrefix="0" xfId="18">
      <alignment wrapText="1"/>
    </xf>
    <xf numFmtId="164" fontId="15" fillId="8" borderId="1" pivotButton="0" quotePrefix="0" xfId="17"/>
    <xf numFmtId="164" fontId="102" fillId="0" borderId="0" pivotButton="0" quotePrefix="0" xfId="17"/>
    <xf numFmtId="164" fontId="102" fillId="0" borderId="1" pivotButton="0" quotePrefix="0" xfId="17"/>
    <xf numFmtId="164" fontId="102" fillId="0" borderId="54" applyAlignment="1" pivotButton="0" quotePrefix="0" xfId="18">
      <alignment wrapText="1"/>
    </xf>
    <xf numFmtId="43" fontId="67" fillId="0" borderId="0" pivotButton="0" quotePrefix="0" xfId="17"/>
    <xf numFmtId="164" fontId="14" fillId="0" borderId="53" pivotButton="0" quotePrefix="0" xfId="17"/>
    <xf numFmtId="164" fontId="67" fillId="0" borderId="0" pivotButton="0" quotePrefix="0" xfId="17"/>
    <xf numFmtId="164" fontId="102" fillId="0" borderId="53" pivotButton="0" quotePrefix="0" xfId="17"/>
    <xf numFmtId="164" fontId="14" fillId="0" borderId="0" pivotButton="0" quotePrefix="0" xfId="17"/>
    <xf numFmtId="164" fontId="14" fillId="0" borderId="54" pivotButton="0" quotePrefix="0" xfId="17"/>
    <xf numFmtId="164" fontId="103" fillId="0" borderId="53" applyAlignment="1" pivotButton="0" quotePrefix="0" xfId="18">
      <alignment wrapText="1"/>
    </xf>
    <xf numFmtId="164" fontId="104" fillId="0" borderId="54" applyAlignment="1" pivotButton="0" quotePrefix="0" xfId="18">
      <alignment wrapText="1"/>
    </xf>
    <xf numFmtId="164" fontId="67" fillId="0" borderId="1" pivotButton="0" quotePrefix="0" xfId="17"/>
    <xf numFmtId="164" fontId="35" fillId="0" borderId="1" pivotButton="0" quotePrefix="0" xfId="17"/>
    <xf numFmtId="0" fontId="35" fillId="0" borderId="0" pivotButton="0" quotePrefix="0" xfId="17"/>
    <xf numFmtId="164" fontId="23" fillId="0" borderId="55" pivotButton="0" quotePrefix="0" xfId="17"/>
    <xf numFmtId="164" fontId="23" fillId="0" borderId="56" applyAlignment="1" pivotButton="0" quotePrefix="0" xfId="18">
      <alignment wrapText="1"/>
    </xf>
    <xf numFmtId="164" fontId="15" fillId="0" borderId="57" applyAlignment="1" pivotButton="0" quotePrefix="0" xfId="18">
      <alignment wrapText="1"/>
    </xf>
    <xf numFmtId="0" fontId="0" fillId="0" borderId="0" applyAlignment="1" pivotButton="0" quotePrefix="0" xfId="17">
      <alignment horizontal="center"/>
    </xf>
    <xf numFmtId="38" fontId="15" fillId="0" borderId="0" pivotButton="0" quotePrefix="0" xfId="17"/>
    <xf numFmtId="4" fontId="15" fillId="0" borderId="0" applyAlignment="1" pivotButton="0" quotePrefix="0" xfId="17">
      <alignment horizontal="center"/>
    </xf>
    <xf numFmtId="38" fontId="15" fillId="0" borderId="35" pivotButton="0" quotePrefix="0" xfId="17"/>
    <xf numFmtId="10" fontId="15" fillId="0" borderId="0" applyAlignment="1" pivotButton="0" quotePrefix="0" xfId="2">
      <alignment horizontal="center"/>
    </xf>
    <xf numFmtId="177" fontId="16" fillId="0" borderId="0" pivotButton="0" quotePrefix="0" xfId="0"/>
    <xf numFmtId="0" fontId="106" fillId="11" borderId="0" applyAlignment="1" pivotButton="0" quotePrefix="0" xfId="0">
      <alignment vertical="center"/>
    </xf>
    <xf numFmtId="0" fontId="119" fillId="0" borderId="0" applyAlignment="1" pivotButton="0" quotePrefix="0" xfId="20">
      <alignment horizontal="center"/>
    </xf>
    <xf numFmtId="0" fontId="67" fillId="0" borderId="0" applyAlignment="1" pivotButton="0" quotePrefix="0" xfId="20">
      <alignment horizontal="center"/>
    </xf>
    <xf numFmtId="0" fontId="119" fillId="0" borderId="0" applyAlignment="1" pivotButton="0" quotePrefix="0" xfId="20">
      <alignment horizontal="center" vertical="top"/>
    </xf>
    <xf numFmtId="0" fontId="83" fillId="0" borderId="0" applyAlignment="1" pivotButton="0" quotePrefix="0" xfId="20">
      <alignment horizontal="center"/>
    </xf>
    <xf numFmtId="0" fontId="85" fillId="0" borderId="0" applyAlignment="1" pivotButton="0" quotePrefix="0" xfId="20">
      <alignment horizontal="center"/>
    </xf>
    <xf numFmtId="0" fontId="87" fillId="0" borderId="0" applyAlignment="1" pivotButton="0" quotePrefix="0" xfId="20">
      <alignment horizontal="center"/>
    </xf>
    <xf numFmtId="0" fontId="67" fillId="0" borderId="0" applyAlignment="1" pivotButton="0" quotePrefix="0" xfId="17">
      <alignment horizontal="center"/>
    </xf>
    <xf numFmtId="10" fontId="16" fillId="0" borderId="0" pivotButton="0" quotePrefix="0" xfId="2"/>
    <xf numFmtId="169" fontId="38" fillId="0" borderId="36" applyAlignment="1" pivotButton="0" quotePrefix="0" xfId="6">
      <alignment vertical="center"/>
    </xf>
    <xf numFmtId="168" fontId="38" fillId="0" borderId="36" applyAlignment="1" pivotButton="0" quotePrefix="0" xfId="0">
      <alignment horizontal="center" vertical="center"/>
    </xf>
    <xf numFmtId="168" fontId="38" fillId="0" borderId="48" applyAlignment="1" pivotButton="0" quotePrefix="0" xfId="0">
      <alignment horizontal="center" vertical="center"/>
    </xf>
    <xf numFmtId="10" fontId="38" fillId="0" borderId="37" applyAlignment="1" pivotButton="0" quotePrefix="0" xfId="0">
      <alignment horizontal="center" vertical="center"/>
    </xf>
    <xf numFmtId="37" fontId="38" fillId="0" borderId="48" applyAlignment="1" pivotButton="0" quotePrefix="0" xfId="0">
      <alignment horizontal="center" vertical="center"/>
    </xf>
    <xf numFmtId="0" fontId="64" fillId="12" borderId="22" applyAlignment="1" pivotButton="0" quotePrefix="0" xfId="0">
      <alignment horizontal="center" vertical="center"/>
    </xf>
    <xf numFmtId="0" fontId="90" fillId="12" borderId="25" applyAlignment="1" pivotButton="0" quotePrefix="0" xfId="0">
      <alignment horizontal="center" vertical="center"/>
    </xf>
    <xf numFmtId="37" fontId="92" fillId="11" borderId="0" applyAlignment="1" pivotButton="0" quotePrefix="0" xfId="1">
      <alignment horizontal="center" vertical="center"/>
    </xf>
    <xf numFmtId="43" fontId="92" fillId="11" borderId="0" applyAlignment="1" pivotButton="0" quotePrefix="0" xfId="1">
      <alignment horizontal="right" vertical="center"/>
    </xf>
    <xf numFmtId="43" fontId="94" fillId="11" borderId="0" applyAlignment="1" pivotButton="0" quotePrefix="0" xfId="1">
      <alignment horizontal="center" vertical="center"/>
    </xf>
    <xf numFmtId="37" fontId="91" fillId="3" borderId="41" applyAlignment="1" pivotButton="0" quotePrefix="0" xfId="0">
      <alignment horizontal="center" vertical="center"/>
    </xf>
    <xf numFmtId="37" fontId="91" fillId="4" borderId="41" applyAlignment="1" pivotButton="0" quotePrefix="0" xfId="0">
      <alignment horizontal="center" vertical="center"/>
    </xf>
    <xf numFmtId="37" fontId="92" fillId="18" borderId="42" applyAlignment="1" pivotButton="0" quotePrefix="0" xfId="0">
      <alignment horizontal="center" vertical="center"/>
    </xf>
    <xf numFmtId="37" fontId="93" fillId="18" borderId="44" applyAlignment="1" pivotButton="0" quotePrefix="0" xfId="0">
      <alignment horizontal="center" vertical="center"/>
    </xf>
    <xf numFmtId="37" fontId="93" fillId="18" borderId="42" applyAlignment="1" pivotButton="0" quotePrefix="0" xfId="0">
      <alignment horizontal="center" vertical="center"/>
    </xf>
    <xf numFmtId="37" fontId="93" fillId="18" borderId="47" applyAlignment="1" pivotButton="0" quotePrefix="0" xfId="0">
      <alignment horizontal="center" vertical="center"/>
    </xf>
    <xf numFmtId="37" fontId="92" fillId="18" borderId="40" applyAlignment="1" pivotButton="0" quotePrefix="0" xfId="0">
      <alignment horizontal="center" vertical="center"/>
    </xf>
    <xf numFmtId="37" fontId="91" fillId="18" borderId="40" applyAlignment="1" pivotButton="0" quotePrefix="0" xfId="0">
      <alignment horizontal="center" vertical="center"/>
    </xf>
    <xf numFmtId="37" fontId="92" fillId="8" borderId="25" applyAlignment="1" pivotButton="0" quotePrefix="0" xfId="0">
      <alignment horizontal="center" vertical="center"/>
    </xf>
    <xf numFmtId="37" fontId="91" fillId="8" borderId="40" applyAlignment="1" pivotButton="0" quotePrefix="0" xfId="0">
      <alignment horizontal="center" vertical="center"/>
    </xf>
    <xf numFmtId="43" fontId="120" fillId="11" borderId="27" applyAlignment="1" pivotButton="0" quotePrefix="0" xfId="1">
      <alignment vertical="center"/>
    </xf>
    <xf numFmtId="43" fontId="120" fillId="11" borderId="28" applyAlignment="1" pivotButton="0" quotePrefix="0" xfId="1">
      <alignment vertical="center"/>
    </xf>
    <xf numFmtId="0" fontId="120" fillId="11" borderId="28" applyAlignment="1" pivotButton="0" quotePrefix="0" xfId="0">
      <alignment vertical="center"/>
    </xf>
    <xf numFmtId="0" fontId="120" fillId="11" borderId="25" applyAlignment="1" pivotButton="0" quotePrefix="0" xfId="0">
      <alignment vertical="center"/>
    </xf>
    <xf numFmtId="43" fontId="94" fillId="11" borderId="0" applyAlignment="1" pivotButton="0" quotePrefix="0" xfId="1">
      <alignment vertical="center"/>
    </xf>
    <xf numFmtId="0" fontId="94" fillId="11" borderId="0" applyAlignment="1" pivotButton="0" quotePrefix="0" xfId="0">
      <alignment vertical="center"/>
    </xf>
    <xf numFmtId="0" fontId="94" fillId="11" borderId="25" applyAlignment="1" pivotButton="0" quotePrefix="0" xfId="0">
      <alignment vertical="center"/>
    </xf>
    <xf numFmtId="0" fontId="121" fillId="11" borderId="43" applyAlignment="1" pivotButton="0" quotePrefix="0" xfId="0">
      <alignment vertical="center"/>
    </xf>
    <xf numFmtId="43" fontId="121" fillId="11" borderId="35" applyAlignment="1" pivotButton="0" quotePrefix="0" xfId="1">
      <alignment vertical="center"/>
    </xf>
    <xf numFmtId="0" fontId="121" fillId="11" borderId="35" applyAlignment="1" pivotButton="0" quotePrefix="0" xfId="0">
      <alignment vertical="center"/>
    </xf>
    <xf numFmtId="43" fontId="121" fillId="11" borderId="0" applyAlignment="1" pivotButton="0" quotePrefix="0" xfId="1">
      <alignment vertical="center"/>
    </xf>
    <xf numFmtId="43" fontId="120" fillId="11" borderId="0" applyAlignment="1" pivotButton="0" quotePrefix="0" xfId="1">
      <alignment vertical="center"/>
    </xf>
    <xf numFmtId="0" fontId="121" fillId="11" borderId="45" applyAlignment="1" pivotButton="0" quotePrefix="0" xfId="0">
      <alignment vertical="center"/>
    </xf>
    <xf numFmtId="43" fontId="121" fillId="11" borderId="3" applyAlignment="1" pivotButton="0" quotePrefix="0" xfId="1">
      <alignment vertical="center"/>
    </xf>
    <xf numFmtId="0" fontId="121" fillId="11" borderId="3" applyAlignment="1" pivotButton="0" quotePrefix="0" xfId="0">
      <alignment vertical="center"/>
    </xf>
    <xf numFmtId="0" fontId="94" fillId="6" borderId="25" applyAlignment="1" pivotButton="0" quotePrefix="0" xfId="0">
      <alignment vertical="center"/>
    </xf>
    <xf numFmtId="0" fontId="94" fillId="6" borderId="0" applyAlignment="1" pivotButton="0" quotePrefix="0" xfId="0">
      <alignment vertical="center"/>
    </xf>
    <xf numFmtId="43" fontId="120" fillId="14" borderId="22" applyAlignment="1" pivotButton="0" quotePrefix="0" xfId="1">
      <alignment vertical="center"/>
    </xf>
    <xf numFmtId="43" fontId="120" fillId="14" borderId="23" applyAlignment="1" pivotButton="0" quotePrefix="0" xfId="1">
      <alignment vertical="center"/>
    </xf>
    <xf numFmtId="0" fontId="120" fillId="14" borderId="23" applyAlignment="1" pivotButton="0" quotePrefix="0" xfId="0">
      <alignment vertical="center"/>
    </xf>
    <xf numFmtId="164" fontId="106" fillId="11" borderId="0" applyAlignment="1" pivotButton="0" quotePrefix="0" xfId="1">
      <alignment vertical="center"/>
    </xf>
    <xf numFmtId="43" fontId="65" fillId="11" borderId="0" applyAlignment="1" pivotButton="0" quotePrefix="0" xfId="1">
      <alignment vertical="center"/>
    </xf>
    <xf numFmtId="0" fontId="63" fillId="0" borderId="0" applyAlignment="1" pivotButton="0" quotePrefix="0" xfId="0">
      <alignment horizontal="center" vertical="center"/>
    </xf>
    <xf numFmtId="0" fontId="64" fillId="0" borderId="0" applyAlignment="1" pivotButton="0" quotePrefix="0" xfId="0">
      <alignment horizontal="center" vertical="center"/>
    </xf>
    <xf numFmtId="37" fontId="91" fillId="0" borderId="0" applyAlignment="1" pivotButton="0" quotePrefix="0" xfId="0">
      <alignment horizontal="center" vertical="center"/>
    </xf>
    <xf numFmtId="37" fontId="92" fillId="0" borderId="0" applyAlignment="1" pivotButton="0" quotePrefix="0" xfId="0">
      <alignment horizontal="center" vertical="center"/>
    </xf>
    <xf numFmtId="37" fontId="93" fillId="0" borderId="0" applyAlignment="1" pivotButton="0" quotePrefix="0" xfId="0">
      <alignment horizontal="center" vertical="center"/>
    </xf>
    <xf numFmtId="43" fontId="63" fillId="0" borderId="0" applyAlignment="1" pivotButton="0" quotePrefix="0" xfId="1">
      <alignment horizontal="center" vertical="center"/>
    </xf>
    <xf numFmtId="0" fontId="63" fillId="0" borderId="0" applyAlignment="1" pivotButton="0" quotePrefix="0" xfId="0">
      <alignment vertical="center"/>
    </xf>
    <xf numFmtId="0" fontId="65" fillId="0" borderId="0" applyAlignment="1" pivotButton="0" quotePrefix="0" xfId="0">
      <alignment vertical="center"/>
    </xf>
    <xf numFmtId="37" fontId="92" fillId="0" borderId="42" applyAlignment="1" pivotButton="0" quotePrefix="0" xfId="0">
      <alignment horizontal="center" vertical="center"/>
    </xf>
    <xf numFmtId="37" fontId="93" fillId="0" borderId="42" applyAlignment="1" pivotButton="0" quotePrefix="0" xfId="0">
      <alignment horizontal="center" vertical="center"/>
    </xf>
    <xf numFmtId="0" fontId="90" fillId="0" borderId="0" applyAlignment="1" pivotButton="0" quotePrefix="0" xfId="0">
      <alignment horizontal="center" vertical="center"/>
    </xf>
    <xf numFmtId="37" fontId="92" fillId="0" borderId="0" applyAlignment="1" pivotButton="0" quotePrefix="0" xfId="1">
      <alignment horizontal="center" vertical="center"/>
    </xf>
    <xf numFmtId="0" fontId="90" fillId="0" borderId="42" applyAlignment="1" pivotButton="0" quotePrefix="0" xfId="0">
      <alignment horizontal="center" vertical="center"/>
    </xf>
    <xf numFmtId="37" fontId="91" fillId="0" borderId="42" applyAlignment="1" pivotButton="0" quotePrefix="0" xfId="0">
      <alignment horizontal="center" vertical="center"/>
    </xf>
    <xf numFmtId="37" fontId="91" fillId="19" borderId="41" applyAlignment="1" pivotButton="0" quotePrefix="0" xfId="0">
      <alignment horizontal="center" vertical="center"/>
    </xf>
    <xf numFmtId="37" fontId="92" fillId="11" borderId="42" applyAlignment="1" pivotButton="0" quotePrefix="0" xfId="0">
      <alignment horizontal="center" vertical="center"/>
    </xf>
    <xf numFmtId="37" fontId="92" fillId="11" borderId="40" applyAlignment="1" pivotButton="0" quotePrefix="0" xfId="0">
      <alignment horizontal="center" vertical="center"/>
    </xf>
    <xf numFmtId="37" fontId="91" fillId="11" borderId="40" applyAlignment="1" pivotButton="0" quotePrefix="0" xfId="0">
      <alignment horizontal="center" vertical="center"/>
    </xf>
    <xf numFmtId="37" fontId="122" fillId="11" borderId="42" applyAlignment="1" pivotButton="0" quotePrefix="0" xfId="0">
      <alignment horizontal="center" vertical="center"/>
    </xf>
    <xf numFmtId="37" fontId="92" fillId="11" borderId="44" applyAlignment="1" pivotButton="0" quotePrefix="0" xfId="0">
      <alignment horizontal="center" vertical="center"/>
    </xf>
    <xf numFmtId="37" fontId="92" fillId="11" borderId="47" applyAlignment="1" pivotButton="0" quotePrefix="0" xfId="0">
      <alignment horizontal="center" vertical="center"/>
    </xf>
    <xf numFmtId="0" fontId="63" fillId="11" borderId="26" applyAlignment="1" pivotButton="0" quotePrefix="0" xfId="0">
      <alignment vertical="center"/>
    </xf>
    <xf numFmtId="0" fontId="63" fillId="11" borderId="21" applyAlignment="1" pivotButton="0" quotePrefix="0" xfId="0">
      <alignment vertical="center"/>
    </xf>
    <xf numFmtId="0" fontId="63" fillId="11" borderId="39" applyAlignment="1" pivotButton="0" quotePrefix="0" xfId="0">
      <alignment vertical="center"/>
    </xf>
    <xf numFmtId="37" fontId="123" fillId="11" borderId="25" applyAlignment="1" pivotButton="0" quotePrefix="0" xfId="0">
      <alignment vertical="center"/>
    </xf>
    <xf numFmtId="37" fontId="123" fillId="11" borderId="0" applyAlignment="1" pivotButton="0" quotePrefix="0" xfId="0">
      <alignment vertical="center"/>
    </xf>
    <xf numFmtId="37" fontId="123" fillId="11" borderId="26" applyAlignment="1" pivotButton="0" quotePrefix="0" xfId="0">
      <alignment vertical="center"/>
    </xf>
    <xf numFmtId="0" fontId="124" fillId="11" borderId="0" applyAlignment="1" pivotButton="0" quotePrefix="0" xfId="0">
      <alignment vertical="center"/>
    </xf>
    <xf numFmtId="0" fontId="124" fillId="11" borderId="26" applyAlignment="1" pivotButton="0" quotePrefix="0" xfId="0">
      <alignment vertical="center"/>
    </xf>
    <xf numFmtId="37" fontId="125" fillId="11" borderId="25" applyAlignment="1" pivotButton="0" quotePrefix="0" xfId="0">
      <alignment horizontal="center" vertical="center"/>
    </xf>
    <xf numFmtId="37" fontId="125" fillId="11" borderId="38" applyAlignment="1" pivotButton="0" quotePrefix="0" xfId="0">
      <alignment horizontal="center" vertical="center"/>
    </xf>
    <xf numFmtId="0" fontId="124" fillId="11" borderId="21" applyAlignment="1" pivotButton="0" quotePrefix="0" xfId="0">
      <alignment vertical="center"/>
    </xf>
    <xf numFmtId="0" fontId="124" fillId="11" borderId="39" applyAlignment="1" pivotButton="0" quotePrefix="0" xfId="0">
      <alignment vertical="center"/>
    </xf>
    <xf numFmtId="37" fontId="123" fillId="11" borderId="36" applyAlignment="1" pivotButton="0" quotePrefix="0" xfId="0">
      <alignment vertical="center"/>
    </xf>
    <xf numFmtId="37" fontId="123" fillId="11" borderId="48" applyAlignment="1" pivotButton="0" quotePrefix="0" xfId="0">
      <alignment vertical="center"/>
    </xf>
    <xf numFmtId="37" fontId="123" fillId="11" borderId="37" applyAlignment="1" pivotButton="0" quotePrefix="0" xfId="0">
      <alignment vertical="center"/>
    </xf>
    <xf numFmtId="37" fontId="92" fillId="11" borderId="38" applyAlignment="1" pivotButton="0" quotePrefix="0" xfId="0">
      <alignment horizontal="center" vertical="center"/>
    </xf>
    <xf numFmtId="0" fontId="124" fillId="11" borderId="0" applyAlignment="1" pivotButton="0" quotePrefix="0" xfId="0">
      <alignment horizontal="left" vertical="center"/>
    </xf>
    <xf numFmtId="0" fontId="124" fillId="11" borderId="26" applyAlignment="1" pivotButton="0" quotePrefix="0" xfId="0">
      <alignment horizontal="left" vertical="center"/>
    </xf>
    <xf numFmtId="0" fontId="63" fillId="11" borderId="21" applyAlignment="1" pivotButton="0" quotePrefix="0" xfId="0">
      <alignment horizontal="left" vertical="center"/>
    </xf>
    <xf numFmtId="0" fontId="63" fillId="11" borderId="39" applyAlignment="1" pivotButton="0" quotePrefix="0" xfId="0">
      <alignment horizontal="left" vertical="center"/>
    </xf>
    <xf numFmtId="37" fontId="123" fillId="11" borderId="25" applyAlignment="1" pivotButton="0" quotePrefix="0" xfId="0">
      <alignment horizontal="left" vertical="center"/>
    </xf>
    <xf numFmtId="37" fontId="123" fillId="11" borderId="38" applyAlignment="1" pivotButton="0" quotePrefix="0" xfId="0">
      <alignment horizontal="left" vertical="center"/>
    </xf>
    <xf numFmtId="0" fontId="123" fillId="11" borderId="25" applyAlignment="1" pivotButton="0" quotePrefix="0" xfId="0">
      <alignment horizontal="left" vertical="center"/>
    </xf>
    <xf numFmtId="0" fontId="123" fillId="11" borderId="25" applyAlignment="1" pivotButton="0" quotePrefix="0" xfId="0">
      <alignment vertical="center"/>
    </xf>
    <xf numFmtId="0" fontId="63" fillId="11" borderId="0" applyAlignment="1" pivotButton="0" quotePrefix="0" xfId="0">
      <alignment horizontal="left" vertical="center"/>
    </xf>
    <xf numFmtId="0" fontId="63" fillId="11" borderId="26" applyAlignment="1" pivotButton="0" quotePrefix="0" xfId="0">
      <alignment horizontal="left" vertical="center"/>
    </xf>
    <xf numFmtId="37" fontId="92" fillId="18" borderId="41" applyAlignment="1" pivotButton="0" quotePrefix="0" xfId="0">
      <alignment horizontal="center" vertical="center"/>
    </xf>
    <xf numFmtId="0" fontId="40" fillId="0" borderId="0" applyAlignment="1" pivotButton="0" quotePrefix="0" xfId="0">
      <alignment horizontal="center" vertical="center"/>
    </xf>
    <xf numFmtId="0" fontId="40" fillId="0" borderId="0" applyAlignment="1" pivotButton="0" quotePrefix="0" xfId="0">
      <alignment horizontal="right" vertical="center"/>
    </xf>
    <xf numFmtId="0" fontId="127" fillId="0" borderId="3" applyAlignment="1" pivotButton="0" quotePrefix="0" xfId="0">
      <alignment vertical="center"/>
    </xf>
    <xf numFmtId="0" fontId="40" fillId="0" borderId="3" applyAlignment="1" pivotButton="0" quotePrefix="0" xfId="0">
      <alignment horizontal="center" vertical="center"/>
    </xf>
    <xf numFmtId="0" fontId="40" fillId="0" borderId="14" applyAlignment="1" pivotButton="0" quotePrefix="0" xfId="0">
      <alignment vertical="center"/>
    </xf>
    <xf numFmtId="38" fontId="40" fillId="0" borderId="14" applyAlignment="1" pivotButton="0" quotePrefix="0" xfId="0">
      <alignment horizontal="center" vertical="center"/>
    </xf>
    <xf numFmtId="38" fontId="40" fillId="0" borderId="0" applyAlignment="1" pivotButton="0" quotePrefix="0" xfId="0">
      <alignment horizontal="center" vertical="center"/>
    </xf>
    <xf numFmtId="37" fontId="40" fillId="0" borderId="35" applyAlignment="1" pivotButton="0" quotePrefix="0" xfId="0">
      <alignment horizontal="left" vertical="center"/>
    </xf>
    <xf numFmtId="38" fontId="40" fillId="0" borderId="35" applyAlignment="1" pivotButton="0" quotePrefix="0" xfId="0">
      <alignment horizontal="center" vertical="center"/>
    </xf>
    <xf numFmtId="178" fontId="17" fillId="0" borderId="1" pivotButton="0" quotePrefix="0" xfId="0"/>
    <xf numFmtId="0" fontId="16" fillId="0" borderId="0" applyAlignment="1" pivotButton="0" quotePrefix="0" xfId="0">
      <alignment horizontal="center" wrapText="1"/>
    </xf>
    <xf numFmtId="43" fontId="83" fillId="0" borderId="0" pivotButton="0" quotePrefix="0" xfId="1"/>
    <xf numFmtId="164" fontId="16" fillId="4" borderId="7" pivotButton="0" quotePrefix="0" xfId="1"/>
    <xf numFmtId="165" fontId="18" fillId="6" borderId="1" pivotButton="0" quotePrefix="0" xfId="1"/>
    <xf numFmtId="179" fontId="31" fillId="0" borderId="0" applyAlignment="1" pivotButton="0" quotePrefix="0" xfId="58805">
      <alignment horizontal="left"/>
    </xf>
    <xf numFmtId="179" fontId="128" fillId="0" borderId="0" applyAlignment="1" pivotButton="0" quotePrefix="0" xfId="58805">
      <alignment horizontal="left"/>
    </xf>
    <xf numFmtId="179" fontId="128" fillId="0" borderId="0" applyAlignment="1" pivotButton="0" quotePrefix="0" xfId="58805">
      <alignment horizontal="center"/>
    </xf>
    <xf numFmtId="0" fontId="129" fillId="0" borderId="0" pivotButton="0" quotePrefix="0" xfId="58805"/>
    <xf numFmtId="179" fontId="128" fillId="0" borderId="0" applyAlignment="1" pivotButton="0" quotePrefix="0" xfId="58805">
      <alignment horizontal="right"/>
    </xf>
    <xf numFmtId="179" fontId="128" fillId="6" borderId="56" applyAlignment="1" pivotButton="0" quotePrefix="0" xfId="58805">
      <alignment horizontal="center"/>
    </xf>
    <xf numFmtId="179" fontId="128" fillId="6" borderId="57" applyAlignment="1" pivotButton="0" quotePrefix="0" xfId="58805">
      <alignment horizontal="center"/>
    </xf>
    <xf numFmtId="179" fontId="129" fillId="0" borderId="42" applyAlignment="1" pivotButton="0" quotePrefix="0" xfId="58805">
      <alignment horizontal="left" indent="1"/>
    </xf>
    <xf numFmtId="38" fontId="129" fillId="0" borderId="65" pivotButton="0" quotePrefix="0" xfId="58807"/>
    <xf numFmtId="38" fontId="129" fillId="0" borderId="66" pivotButton="0" quotePrefix="0" xfId="58807"/>
    <xf numFmtId="38" fontId="129" fillId="0" borderId="0" pivotButton="0" quotePrefix="0" xfId="58805"/>
    <xf numFmtId="38" fontId="129" fillId="0" borderId="67" pivotButton="0" quotePrefix="0" xfId="58807"/>
    <xf numFmtId="38" fontId="129" fillId="0" borderId="9" pivotButton="0" quotePrefix="0" xfId="58807"/>
    <xf numFmtId="38" fontId="129" fillId="0" borderId="68" pivotButton="0" quotePrefix="0" xfId="58807"/>
    <xf numFmtId="38" fontId="129" fillId="0" borderId="11" pivotButton="0" quotePrefix="0" xfId="58807"/>
    <xf numFmtId="179" fontId="128" fillId="0" borderId="42" applyAlignment="1" pivotButton="0" quotePrefix="0" xfId="58805">
      <alignment horizontal="left"/>
    </xf>
    <xf numFmtId="38" fontId="128" fillId="0" borderId="67" pivotButton="0" quotePrefix="0" xfId="58807"/>
    <xf numFmtId="38" fontId="128" fillId="0" borderId="9" pivotButton="0" quotePrefix="0" xfId="58807"/>
    <xf numFmtId="38" fontId="129" fillId="0" borderId="67" pivotButton="0" quotePrefix="0" xfId="58807"/>
    <xf numFmtId="38" fontId="129" fillId="0" borderId="9" pivotButton="0" quotePrefix="0" xfId="58807"/>
    <xf numFmtId="38" fontId="129" fillId="0" borderId="68" pivotButton="0" quotePrefix="0" xfId="58807"/>
    <xf numFmtId="38" fontId="129" fillId="0" borderId="11" pivotButton="0" quotePrefix="0" xfId="58807"/>
    <xf numFmtId="179" fontId="128" fillId="0" borderId="42" pivotButton="0" quotePrefix="0" xfId="58805"/>
    <xf numFmtId="38" fontId="128" fillId="0" borderId="67" pivotButton="0" quotePrefix="0" xfId="58807"/>
    <xf numFmtId="38" fontId="128" fillId="0" borderId="9" pivotButton="0" quotePrefix="0" xfId="58807"/>
    <xf numFmtId="179" fontId="128" fillId="0" borderId="41" pivotButton="0" quotePrefix="0" xfId="58805"/>
    <xf numFmtId="38" fontId="128" fillId="0" borderId="69" pivotButton="0" quotePrefix="0" xfId="58807"/>
    <xf numFmtId="38" fontId="128" fillId="0" borderId="8" pivotButton="0" quotePrefix="0" xfId="58807"/>
    <xf numFmtId="179" fontId="130" fillId="0" borderId="49" applyAlignment="1" pivotButton="0" quotePrefix="0" xfId="58805">
      <alignment horizontal="left"/>
    </xf>
    <xf numFmtId="38" fontId="130" fillId="0" borderId="70" pivotButton="0" quotePrefix="0" xfId="58807"/>
    <xf numFmtId="38" fontId="130" fillId="0" borderId="71" pivotButton="0" quotePrefix="0" xfId="58807"/>
    <xf numFmtId="0" fontId="129" fillId="0" borderId="0" applyAlignment="1" pivotButton="0" quotePrefix="0" xfId="58805">
      <alignment horizontal="left" indent="1"/>
    </xf>
    <xf numFmtId="0" fontId="129" fillId="4" borderId="0" applyAlignment="1" pivotButton="0" quotePrefix="0" xfId="58805">
      <alignment horizontal="left" indent="1"/>
    </xf>
    <xf numFmtId="38" fontId="129" fillId="4" borderId="0" pivotButton="0" quotePrefix="0" xfId="58805"/>
    <xf numFmtId="0" fontId="129" fillId="14" borderId="0" applyAlignment="1" pivotButton="0" quotePrefix="0" xfId="58805">
      <alignment horizontal="left" indent="1"/>
    </xf>
    <xf numFmtId="38" fontId="129" fillId="14" borderId="0" pivotButton="0" quotePrefix="0" xfId="58805"/>
    <xf numFmtId="0" fontId="128" fillId="8" borderId="0" applyAlignment="1" pivotButton="0" quotePrefix="0" xfId="58805">
      <alignment horizontal="left" indent="1"/>
    </xf>
    <xf numFmtId="38" fontId="128" fillId="8" borderId="0" pivotButton="0" quotePrefix="0" xfId="58805"/>
    <xf numFmtId="0" fontId="129" fillId="20" borderId="0" applyAlignment="1" pivotButton="0" quotePrefix="0" xfId="58805">
      <alignment horizontal="right" indent="1"/>
    </xf>
    <xf numFmtId="164" fontId="129" fillId="20" borderId="0" pivotButton="0" quotePrefix="0" xfId="58805"/>
    <xf numFmtId="179" fontId="128" fillId="0" borderId="0" applyAlignment="1" pivotButton="0" quotePrefix="0" xfId="58805">
      <alignment horizontal="centerContinuous"/>
    </xf>
    <xf numFmtId="3" fontId="19" fillId="4" borderId="7" applyAlignment="1" pivotButton="0" quotePrefix="0" xfId="12">
      <alignment horizontal="center" vertical="center"/>
    </xf>
    <xf numFmtId="3" fontId="19" fillId="4" borderId="8" applyAlignment="1" pivotButton="0" quotePrefix="0" xfId="12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19" fillId="0" borderId="0" applyAlignment="1" pivotButton="0" quotePrefix="0" xfId="0">
      <alignment horizontal="center" vertical="center"/>
    </xf>
    <xf numFmtId="3" fontId="19" fillId="4" borderId="1" applyAlignment="1" pivotButton="0" quotePrefix="0" xfId="0">
      <alignment horizontal="center" vertical="center"/>
    </xf>
    <xf numFmtId="14" fontId="19" fillId="4" borderId="4" applyAlignment="1" pivotButton="0" quotePrefix="0" xfId="0">
      <alignment horizontal="center" vertical="center"/>
    </xf>
    <xf numFmtId="3" fontId="0" fillId="0" borderId="4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3" fontId="19" fillId="0" borderId="17" applyAlignment="1" pivotButton="0" quotePrefix="0" xfId="0">
      <alignment horizontal="center" vertical="center"/>
    </xf>
    <xf numFmtId="3" fontId="0" fillId="0" borderId="28" applyAlignment="1" pivotButton="0" quotePrefix="0" xfId="0">
      <alignment horizontal="center" vertical="center"/>
    </xf>
    <xf numFmtId="3" fontId="8" fillId="0" borderId="0" applyAlignment="1" pivotButton="0" quotePrefix="0" xfId="12">
      <alignment horizontal="center" vertical="center"/>
    </xf>
    <xf numFmtId="180" fontId="336" fillId="0" borderId="0" pivotButton="0" quotePrefix="0" xfId="4"/>
    <xf numFmtId="181" fontId="336" fillId="0" borderId="0" pivotButton="0" quotePrefix="0" xfId="4"/>
    <xf numFmtId="0" fontId="26" fillId="8" borderId="1" applyAlignment="1" pivotButton="0" quotePrefix="0" xfId="3">
      <alignment horizontal="center" vertical="center"/>
    </xf>
    <xf numFmtId="3" fontId="26" fillId="8" borderId="1" applyAlignment="1" pivotButton="0" quotePrefix="0" xfId="3">
      <alignment horizontal="center" vertical="center"/>
    </xf>
    <xf numFmtId="0" fontId="26" fillId="0" borderId="8" applyAlignment="1" pivotButton="0" quotePrefix="0" xfId="3">
      <alignment horizontal="center" vertical="center"/>
    </xf>
    <xf numFmtId="0" fontId="26" fillId="0" borderId="12" applyAlignment="1" pivotButton="0" quotePrefix="0" xfId="3">
      <alignment vertical="center"/>
    </xf>
    <xf numFmtId="0" fontId="26" fillId="0" borderId="12" applyAlignment="1" pivotButton="0" quotePrefix="0" xfId="3">
      <alignment horizontal="center" vertical="center"/>
    </xf>
    <xf numFmtId="43" fontId="17" fillId="4" borderId="7" pivotButton="0" quotePrefix="0" xfId="1"/>
    <xf numFmtId="182" fontId="336" fillId="0" borderId="0" pivotButton="0" quotePrefix="0" xfId="4"/>
    <xf numFmtId="165" fontId="101" fillId="0" borderId="0" pivotButton="0" quotePrefix="0" xfId="1"/>
    <xf numFmtId="43" fontId="45" fillId="0" borderId="0" applyAlignment="1" pivotButton="0" quotePrefix="0" xfId="1">
      <alignment vertical="center"/>
    </xf>
    <xf numFmtId="169" fontId="44" fillId="0" borderId="0" applyAlignment="1" pivotButton="0" quotePrefix="0" xfId="6">
      <alignment vertical="center"/>
    </xf>
    <xf numFmtId="0" fontId="33" fillId="0" borderId="23" applyAlignment="1" pivotButton="0" quotePrefix="0" xfId="0">
      <alignment horizontal="center" vertical="center"/>
    </xf>
    <xf numFmtId="2" fontId="16" fillId="0" borderId="0" pivotButton="0" quotePrefix="0" xfId="0"/>
    <xf numFmtId="168" fontId="23" fillId="0" borderId="0" applyAlignment="1" pivotButton="0" quotePrefix="0" xfId="1">
      <alignment horizontal="center" vertical="center"/>
    </xf>
    <xf numFmtId="0" fontId="26" fillId="0" borderId="105" applyAlignment="1" pivotButton="0" quotePrefix="0" xfId="3">
      <alignment vertical="center"/>
    </xf>
    <xf numFmtId="0" fontId="24" fillId="0" borderId="11" pivotButton="0" quotePrefix="0" xfId="3"/>
    <xf numFmtId="0" fontId="26" fillId="0" borderId="105" applyAlignment="1" pivotButton="0" quotePrefix="0" xfId="3">
      <alignment horizontal="center" vertical="center"/>
    </xf>
    <xf numFmtId="167" fontId="26" fillId="0" borderId="9" applyAlignment="1" pivotButton="0" quotePrefix="0" xfId="3">
      <alignment horizontal="center" vertical="center"/>
    </xf>
    <xf numFmtId="167" fontId="23" fillId="0" borderId="12" applyAlignment="1" pivotButton="0" quotePrefix="0" xfId="4">
      <alignment horizontal="center" vertical="center"/>
    </xf>
    <xf numFmtId="14" fontId="16" fillId="96" borderId="9" applyAlignment="1" pivotButton="0" quotePrefix="0" xfId="0">
      <alignment horizontal="center" vertical="center"/>
    </xf>
    <xf numFmtId="14" fontId="16" fillId="96" borderId="0" applyAlignment="1" pivotButton="0" quotePrefix="0" xfId="0">
      <alignment horizontal="center" vertical="center"/>
    </xf>
    <xf numFmtId="10" fontId="16" fillId="0" borderId="9" applyAlignment="1" pivotButton="0" quotePrefix="0" xfId="2">
      <alignment horizontal="center"/>
    </xf>
    <xf numFmtId="165" fontId="16" fillId="0" borderId="9" pivotButton="0" quotePrefix="0" xfId="1"/>
    <xf numFmtId="0" fontId="16" fillId="0" borderId="1" applyAlignment="1" pivotButton="0" quotePrefix="0" xfId="0">
      <alignment horizontal="center"/>
    </xf>
    <xf numFmtId="0" fontId="16" fillId="0" borderId="1" pivotButton="0" quotePrefix="0" xfId="0"/>
    <xf numFmtId="164" fontId="18" fillId="6" borderId="1" pivotButton="0" quotePrefix="0" xfId="1"/>
    <xf numFmtId="165" fontId="32" fillId="3" borderId="7" pivotButton="0" quotePrefix="0" xfId="1"/>
    <xf numFmtId="0" fontId="32" fillId="2" borderId="7" pivotButton="0" quotePrefix="0" xfId="0"/>
    <xf numFmtId="165" fontId="32" fillId="2" borderId="7" pivotButton="0" quotePrefix="0" xfId="1"/>
    <xf numFmtId="0" fontId="32" fillId="2" borderId="8" pivotButton="0" quotePrefix="0" xfId="0"/>
    <xf numFmtId="164" fontId="32" fillId="2" borderId="8" pivotButton="0" quotePrefix="0" xfId="1"/>
    <xf numFmtId="10" fontId="32" fillId="2" borderId="8" pivotButton="0" quotePrefix="0" xfId="2"/>
    <xf numFmtId="165" fontId="32" fillId="4" borderId="7" pivotButton="0" quotePrefix="0" xfId="1"/>
    <xf numFmtId="164" fontId="32" fillId="4" borderId="7" pivotButton="0" quotePrefix="0" xfId="1"/>
    <xf numFmtId="165" fontId="32" fillId="0" borderId="0" pivotButton="0" quotePrefix="0" xfId="1"/>
    <xf numFmtId="167" fontId="67" fillId="0" borderId="12" applyAlignment="1" pivotButton="0" quotePrefix="0" xfId="3">
      <alignment horizontal="center" vertical="center"/>
    </xf>
    <xf numFmtId="0" fontId="67" fillId="0" borderId="11" pivotButton="0" quotePrefix="0" xfId="3"/>
    <xf numFmtId="0" fontId="338" fillId="0" borderId="0" applyAlignment="1" pivotButton="0" quotePrefix="0" xfId="0">
      <alignment vertical="center"/>
    </xf>
    <xf numFmtId="164" fontId="338" fillId="0" borderId="0" applyAlignment="1" pivotButton="0" quotePrefix="0" xfId="1">
      <alignment vertical="center"/>
    </xf>
    <xf numFmtId="0" fontId="339" fillId="0" borderId="40" applyAlignment="1" pivotButton="0" quotePrefix="0" xfId="0">
      <alignment horizontal="center" vertical="center"/>
    </xf>
    <xf numFmtId="0" fontId="339" fillId="0" borderId="23" applyAlignment="1" pivotButton="0" quotePrefix="0" xfId="0">
      <alignment horizontal="center" vertical="center" wrapText="1"/>
    </xf>
    <xf numFmtId="0" fontId="339" fillId="0" borderId="40" applyAlignment="1" pivotButton="0" quotePrefix="1" xfId="0">
      <alignment horizontal="center" vertical="center"/>
    </xf>
    <xf numFmtId="0" fontId="339" fillId="0" borderId="0" applyAlignment="1" pivotButton="0" quotePrefix="0" xfId="0">
      <alignment horizontal="center" vertical="center"/>
    </xf>
    <xf numFmtId="164" fontId="338" fillId="0" borderId="36" applyAlignment="1" pivotButton="0" quotePrefix="0" xfId="1">
      <alignment vertical="center"/>
    </xf>
    <xf numFmtId="164" fontId="338" fillId="0" borderId="37" applyAlignment="1" pivotButton="0" quotePrefix="0" xfId="1">
      <alignment vertical="center"/>
    </xf>
    <xf numFmtId="3" fontId="338" fillId="0" borderId="62" applyAlignment="1" pivotButton="0" quotePrefix="0" xfId="1">
      <alignment horizontal="center" vertical="center"/>
    </xf>
    <xf numFmtId="3" fontId="338" fillId="0" borderId="48" applyAlignment="1" pivotButton="0" quotePrefix="0" xfId="1">
      <alignment horizontal="center" vertical="center"/>
    </xf>
    <xf numFmtId="167" fontId="338" fillId="0" borderId="62" applyAlignment="1" pivotButton="0" quotePrefix="0" xfId="0">
      <alignment horizontal="center" vertical="center"/>
    </xf>
    <xf numFmtId="167" fontId="338" fillId="0" borderId="37" applyAlignment="1" pivotButton="0" quotePrefix="0" xfId="1">
      <alignment horizontal="center" vertical="center"/>
    </xf>
    <xf numFmtId="9" fontId="338" fillId="0" borderId="37" applyAlignment="1" pivotButton="0" quotePrefix="0" xfId="2">
      <alignment horizontal="center" vertical="center"/>
    </xf>
    <xf numFmtId="164" fontId="338" fillId="0" borderId="25" applyAlignment="1" pivotButton="0" quotePrefix="0" xfId="1">
      <alignment vertical="center"/>
    </xf>
    <xf numFmtId="164" fontId="338" fillId="0" borderId="26" applyAlignment="1" pivotButton="0" quotePrefix="0" xfId="1">
      <alignment vertical="center"/>
    </xf>
    <xf numFmtId="3" fontId="338" fillId="0" borderId="42" applyAlignment="1" pivotButton="0" quotePrefix="0" xfId="1">
      <alignment horizontal="center" vertical="center"/>
    </xf>
    <xf numFmtId="3" fontId="338" fillId="0" borderId="0" applyAlignment="1" pivotButton="0" quotePrefix="0" xfId="1">
      <alignment horizontal="center" vertical="center"/>
    </xf>
    <xf numFmtId="167" fontId="338" fillId="0" borderId="42" applyAlignment="1" pivotButton="0" quotePrefix="0" xfId="0">
      <alignment horizontal="center" vertical="center"/>
    </xf>
    <xf numFmtId="167" fontId="338" fillId="0" borderId="26" applyAlignment="1" pivotButton="0" quotePrefix="0" xfId="1">
      <alignment horizontal="center" vertical="center"/>
    </xf>
    <xf numFmtId="9" fontId="338" fillId="0" borderId="26" applyAlignment="1" pivotButton="0" quotePrefix="0" xfId="2">
      <alignment horizontal="center" vertical="center"/>
    </xf>
    <xf numFmtId="9" fontId="339" fillId="0" borderId="24" applyAlignment="1" pivotButton="0" quotePrefix="0" xfId="2">
      <alignment horizontal="center" vertical="center"/>
    </xf>
    <xf numFmtId="0" fontId="339" fillId="0" borderId="0" applyAlignment="1" pivotButton="0" quotePrefix="0" xfId="0">
      <alignment vertical="center"/>
    </xf>
    <xf numFmtId="0" fontId="338" fillId="0" borderId="22" applyAlignment="1" pivotButton="0" quotePrefix="0" xfId="0">
      <alignment vertical="center"/>
    </xf>
    <xf numFmtId="0" fontId="338" fillId="0" borderId="23" applyAlignment="1" pivotButton="0" quotePrefix="0" xfId="0">
      <alignment vertical="center"/>
    </xf>
    <xf numFmtId="164" fontId="339" fillId="0" borderId="24" applyAlignment="1" pivotButton="0" quotePrefix="0" xfId="1">
      <alignment horizontal="center" vertical="center"/>
    </xf>
    <xf numFmtId="0" fontId="338" fillId="0" borderId="36" applyAlignment="1" pivotButton="0" quotePrefix="0" xfId="0">
      <alignment vertical="center"/>
    </xf>
    <xf numFmtId="0" fontId="338" fillId="0" borderId="48" applyAlignment="1" pivotButton="0" quotePrefix="0" xfId="0">
      <alignment vertical="center"/>
    </xf>
    <xf numFmtId="168" fontId="339" fillId="0" borderId="37" applyAlignment="1" pivotButton="0" quotePrefix="0" xfId="1">
      <alignment horizontal="center" vertical="center"/>
    </xf>
    <xf numFmtId="9" fontId="339" fillId="0" borderId="37" applyAlignment="1" pivotButton="0" quotePrefix="0" xfId="2">
      <alignment horizontal="center" vertical="center"/>
    </xf>
    <xf numFmtId="0" fontId="338" fillId="0" borderId="25" applyAlignment="1" pivotButton="0" quotePrefix="0" xfId="0">
      <alignment vertical="center"/>
    </xf>
    <xf numFmtId="168" fontId="339" fillId="0" borderId="26" applyAlignment="1" pivotButton="0" quotePrefix="0" xfId="1">
      <alignment horizontal="center" vertical="center"/>
    </xf>
    <xf numFmtId="9" fontId="339" fillId="0" borderId="26" applyAlignment="1" pivotButton="0" quotePrefix="0" xfId="2">
      <alignment horizontal="center" vertical="center"/>
    </xf>
    <xf numFmtId="0" fontId="339" fillId="0" borderId="35" applyAlignment="1" pivotButton="0" quotePrefix="0" xfId="0">
      <alignment vertical="center"/>
    </xf>
    <xf numFmtId="164" fontId="339" fillId="0" borderId="0" applyAlignment="1" pivotButton="0" quotePrefix="0" xfId="1">
      <alignment vertical="center"/>
    </xf>
    <xf numFmtId="164" fontId="339" fillId="0" borderId="0" applyAlignment="1" pivotButton="0" quotePrefix="0" xfId="1">
      <alignment vertical="center"/>
    </xf>
    <xf numFmtId="0" fontId="129" fillId="0" borderId="0" pivotButton="0" quotePrefix="0" xfId="59855"/>
    <xf numFmtId="38" fontId="129" fillId="0" borderId="0" pivotButton="0" quotePrefix="0" xfId="59855"/>
    <xf numFmtId="179" fontId="31" fillId="0" borderId="0" applyAlignment="1" pivotButton="0" quotePrefix="0" xfId="59855">
      <alignment horizontal="left"/>
    </xf>
    <xf numFmtId="179" fontId="128" fillId="0" borderId="0" applyAlignment="1" pivotButton="0" quotePrefix="0" xfId="59855">
      <alignment horizontal="left"/>
    </xf>
    <xf numFmtId="179" fontId="128" fillId="0" borderId="0" applyAlignment="1" pivotButton="0" quotePrefix="0" xfId="59855">
      <alignment horizontal="centerContinuous"/>
    </xf>
    <xf numFmtId="179" fontId="128" fillId="0" borderId="0" applyAlignment="1" pivotButton="0" quotePrefix="0" xfId="59855">
      <alignment horizontal="right"/>
    </xf>
    <xf numFmtId="179" fontId="128" fillId="5" borderId="56" applyAlignment="1" pivotButton="0" quotePrefix="0" xfId="59855">
      <alignment horizontal="center"/>
    </xf>
    <xf numFmtId="179" fontId="128" fillId="5" borderId="39" applyAlignment="1" pivotButton="0" quotePrefix="0" xfId="59855">
      <alignment horizontal="center"/>
    </xf>
    <xf numFmtId="179" fontId="129" fillId="0" borderId="42" applyAlignment="1" pivotButton="0" quotePrefix="0" xfId="59855">
      <alignment horizontal="left" indent="1"/>
    </xf>
    <xf numFmtId="38" fontId="129" fillId="0" borderId="6" pivotButton="0" quotePrefix="0" xfId="59392"/>
    <xf numFmtId="38" fontId="129" fillId="0" borderId="9" pivotButton="0" quotePrefix="0" xfId="59392"/>
    <xf numFmtId="38" fontId="129" fillId="0" borderId="26" pivotButton="0" quotePrefix="0" xfId="59392"/>
    <xf numFmtId="38" fontId="129" fillId="0" borderId="6" pivotButton="0" quotePrefix="0" xfId="59392"/>
    <xf numFmtId="38" fontId="129" fillId="0" borderId="9" pivotButton="0" quotePrefix="0" xfId="59392"/>
    <xf numFmtId="38" fontId="129" fillId="0" borderId="26" pivotButton="0" quotePrefix="0" xfId="59392"/>
    <xf numFmtId="38" fontId="129" fillId="0" borderId="67" pivotButton="0" quotePrefix="0" xfId="59392"/>
    <xf numFmtId="38" fontId="129" fillId="0" borderId="68" pivotButton="0" quotePrefix="0" xfId="59392"/>
    <xf numFmtId="38" fontId="129" fillId="0" borderId="11" pivotButton="0" quotePrefix="0" xfId="59392"/>
    <xf numFmtId="38" fontId="129" fillId="0" borderId="107" pivotButton="0" quotePrefix="0" xfId="59392"/>
    <xf numFmtId="179" fontId="128" fillId="0" borderId="42" applyAlignment="1" pivotButton="0" quotePrefix="0" xfId="59855">
      <alignment horizontal="left"/>
    </xf>
    <xf numFmtId="38" fontId="128" fillId="0" borderId="6" pivotButton="0" quotePrefix="0" xfId="59392"/>
    <xf numFmtId="38" fontId="128" fillId="0" borderId="9" pivotButton="0" quotePrefix="0" xfId="59392"/>
    <xf numFmtId="38" fontId="128" fillId="0" borderId="26" pivotButton="0" quotePrefix="0" xfId="59392"/>
    <xf numFmtId="38" fontId="129" fillId="0" borderId="67" pivotButton="0" quotePrefix="0" xfId="59392"/>
    <xf numFmtId="38" fontId="129" fillId="0" borderId="68" pivotButton="0" quotePrefix="0" xfId="59392"/>
    <xf numFmtId="38" fontId="129" fillId="0" borderId="11" pivotButton="0" quotePrefix="0" xfId="59392"/>
    <xf numFmtId="38" fontId="129" fillId="0" borderId="107" pivotButton="0" quotePrefix="0" xfId="59392"/>
    <xf numFmtId="179" fontId="128" fillId="0" borderId="42" pivotButton="0" quotePrefix="0" xfId="59855"/>
    <xf numFmtId="38" fontId="128" fillId="0" borderId="67" pivotButton="0" quotePrefix="0" xfId="59392"/>
    <xf numFmtId="38" fontId="128" fillId="0" borderId="9" pivotButton="0" quotePrefix="0" xfId="59392"/>
    <xf numFmtId="38" fontId="128" fillId="0" borderId="26" pivotButton="0" quotePrefix="0" xfId="59392"/>
    <xf numFmtId="179" fontId="128" fillId="0" borderId="41" pivotButton="0" quotePrefix="0" xfId="59855"/>
    <xf numFmtId="38" fontId="128" fillId="0" borderId="69" pivotButton="0" quotePrefix="0" xfId="59392"/>
    <xf numFmtId="38" fontId="128" fillId="0" borderId="8" pivotButton="0" quotePrefix="0" xfId="59392"/>
    <xf numFmtId="38" fontId="128" fillId="0" borderId="29" pivotButton="0" quotePrefix="0" xfId="59392"/>
    <xf numFmtId="179" fontId="130" fillId="0" borderId="49" applyAlignment="1" pivotButton="0" quotePrefix="0" xfId="59855">
      <alignment horizontal="left"/>
    </xf>
    <xf numFmtId="38" fontId="130" fillId="0" borderId="70" pivotButton="0" quotePrefix="0" xfId="59392"/>
    <xf numFmtId="38" fontId="130" fillId="0" borderId="71" pivotButton="0" quotePrefix="0" xfId="59392"/>
    <xf numFmtId="38" fontId="130" fillId="0" borderId="39" pivotButton="0" quotePrefix="0" xfId="59392"/>
    <xf numFmtId="0" fontId="129" fillId="0" borderId="0" applyAlignment="1" pivotButton="0" quotePrefix="0" xfId="59855">
      <alignment horizontal="left" indent="1"/>
    </xf>
    <xf numFmtId="0" fontId="129" fillId="4" borderId="0" applyAlignment="1" pivotButton="0" quotePrefix="0" xfId="59855">
      <alignment horizontal="left" indent="1"/>
    </xf>
    <xf numFmtId="38" fontId="129" fillId="4" borderId="0" pivotButton="0" quotePrefix="0" xfId="59855"/>
    <xf numFmtId="0" fontId="129" fillId="14" borderId="0" applyAlignment="1" pivotButton="0" quotePrefix="0" xfId="59855">
      <alignment horizontal="left" indent="1"/>
    </xf>
    <xf numFmtId="38" fontId="129" fillId="14" borderId="0" pivotButton="0" quotePrefix="0" xfId="59855"/>
    <xf numFmtId="0" fontId="129" fillId="9" borderId="0" applyAlignment="1" pivotButton="0" quotePrefix="0" xfId="59855">
      <alignment horizontal="left" indent="1"/>
    </xf>
    <xf numFmtId="38" fontId="129" fillId="9" borderId="0" pivotButton="0" quotePrefix="0" xfId="59855"/>
    <xf numFmtId="0" fontId="129" fillId="20" borderId="0" applyAlignment="1" pivotButton="0" quotePrefix="0" xfId="59855">
      <alignment horizontal="right" indent="1"/>
    </xf>
    <xf numFmtId="38" fontId="129" fillId="20" borderId="0" pivotButton="0" quotePrefix="0" xfId="59855"/>
    <xf numFmtId="43" fontId="129" fillId="20" borderId="0" pivotButton="0" quotePrefix="0" xfId="1"/>
    <xf numFmtId="0" fontId="35" fillId="0" borderId="0" applyAlignment="1" pivotButton="0" quotePrefix="0" xfId="0">
      <alignment horizontal="center"/>
    </xf>
    <xf numFmtId="0" fontId="35" fillId="0" borderId="2" applyAlignment="1" pivotButton="0" quotePrefix="0" xfId="0">
      <alignment horizontal="center" vertical="center" wrapText="1"/>
    </xf>
    <xf numFmtId="0" fontId="35" fillId="0" borderId="3" applyAlignment="1" pivotButton="0" quotePrefix="0" xfId="0">
      <alignment horizontal="center" vertical="center" wrapText="1"/>
    </xf>
    <xf numFmtId="0" fontId="35" fillId="0" borderId="4" applyAlignment="1" pivotButton="0" quotePrefix="0" xfId="0">
      <alignment horizontal="center" vertical="center" wrapText="1"/>
    </xf>
    <xf numFmtId="0" fontId="35" fillId="0" borderId="6" applyAlignment="1" pivotButton="0" quotePrefix="0" xfId="0">
      <alignment horizontal="center"/>
    </xf>
    <xf numFmtId="167" fontId="35" fillId="0" borderId="18" applyAlignment="1" pivotButton="0" quotePrefix="0" xfId="0">
      <alignment horizontal="center"/>
    </xf>
    <xf numFmtId="167" fontId="35" fillId="0" borderId="0" applyAlignment="1" pivotButton="0" quotePrefix="0" xfId="0">
      <alignment horizontal="center"/>
    </xf>
    <xf numFmtId="168" fontId="35" fillId="0" borderId="6" applyAlignment="1" pivotButton="0" quotePrefix="0" xfId="0">
      <alignment horizontal="center"/>
    </xf>
    <xf numFmtId="37" fontId="35" fillId="0" borderId="18" applyAlignment="1" pivotButton="0" quotePrefix="0" xfId="0">
      <alignment horizontal="center"/>
    </xf>
    <xf numFmtId="37" fontId="35" fillId="0" borderId="0" applyAlignment="1" pivotButton="0" quotePrefix="0" xfId="0">
      <alignment horizontal="center"/>
    </xf>
    <xf numFmtId="9" fontId="35" fillId="0" borderId="0" applyAlignment="1" pivotButton="0" quotePrefix="0" xfId="2">
      <alignment horizontal="center"/>
    </xf>
    <xf numFmtId="0" fontId="35" fillId="0" borderId="10" applyAlignment="1" pivotButton="0" quotePrefix="0" xfId="0">
      <alignment horizontal="center"/>
    </xf>
    <xf numFmtId="167" fontId="35" fillId="0" borderId="20" applyAlignment="1" pivotButton="0" quotePrefix="0" xfId="0">
      <alignment horizontal="center"/>
    </xf>
    <xf numFmtId="167" fontId="35" fillId="0" borderId="28" applyAlignment="1" pivotButton="0" quotePrefix="0" xfId="0">
      <alignment horizontal="center"/>
    </xf>
    <xf numFmtId="168" fontId="35" fillId="0" borderId="10" applyAlignment="1" pivotButton="0" quotePrefix="0" xfId="0">
      <alignment horizontal="center"/>
    </xf>
    <xf numFmtId="37" fontId="35" fillId="0" borderId="20" applyAlignment="1" pivotButton="0" quotePrefix="0" xfId="0">
      <alignment horizontal="center"/>
    </xf>
    <xf numFmtId="37" fontId="35" fillId="0" borderId="28" applyAlignment="1" pivotButton="0" quotePrefix="0" xfId="0">
      <alignment horizontal="center"/>
    </xf>
    <xf numFmtId="2" fontId="35" fillId="0" borderId="0" pivotButton="0" quotePrefix="0" xfId="0"/>
    <xf numFmtId="14" fontId="35" fillId="0" borderId="2" applyAlignment="1" pivotButton="0" quotePrefix="0" xfId="0">
      <alignment horizontal="center" vertical="center"/>
    </xf>
    <xf numFmtId="14" fontId="35" fillId="0" borderId="4" applyAlignment="1" pivotButton="0" quotePrefix="0" xfId="0">
      <alignment horizontal="center" vertical="center"/>
    </xf>
    <xf numFmtId="0" fontId="33" fillId="0" borderId="1" applyAlignment="1" pivotButton="0" quotePrefix="0" xfId="0">
      <alignment horizontal="center" vertical="center"/>
    </xf>
    <xf numFmtId="0" fontId="35" fillId="0" borderId="12" applyAlignment="1" pivotButton="0" quotePrefix="0" xfId="0">
      <alignment horizontal="center" vertical="center"/>
    </xf>
    <xf numFmtId="0" fontId="35" fillId="0" borderId="13" applyAlignment="1" pivotButton="0" quotePrefix="0" xfId="0">
      <alignment horizontal="center" vertical="center"/>
    </xf>
    <xf numFmtId="183" fontId="340" fillId="0" borderId="0" applyAlignment="1" pivotButton="0" quotePrefix="0" xfId="0">
      <alignment horizontal="center" vertical="center"/>
    </xf>
    <xf numFmtId="0" fontId="340" fillId="0" borderId="0" applyAlignment="1" pivotButton="0" quotePrefix="0" xfId="0">
      <alignment horizontal="center" vertical="center"/>
    </xf>
    <xf numFmtId="183" fontId="340" fillId="0" borderId="16" applyAlignment="1" pivotButton="0" quotePrefix="0" xfId="0">
      <alignment horizontal="center" vertical="center"/>
    </xf>
    <xf numFmtId="183" fontId="340" fillId="0" borderId="12" applyAlignment="1" pivotButton="0" quotePrefix="0" xfId="0">
      <alignment horizontal="center" vertical="center"/>
    </xf>
    <xf numFmtId="4" fontId="340" fillId="0" borderId="75" applyAlignment="1" pivotButton="0" quotePrefix="0" xfId="0">
      <alignment horizontal="center" vertical="center"/>
    </xf>
    <xf numFmtId="4" fontId="340" fillId="0" borderId="76" applyAlignment="1" pivotButton="0" quotePrefix="0" xfId="0">
      <alignment horizontal="center" vertical="center"/>
    </xf>
    <xf numFmtId="37" fontId="340" fillId="0" borderId="77" applyAlignment="1" pivotButton="0" quotePrefix="0" xfId="0">
      <alignment horizontal="center" vertical="center"/>
    </xf>
    <xf numFmtId="3" fontId="340" fillId="0" borderId="12" applyAlignment="1" pivotButton="0" quotePrefix="0" xfId="0">
      <alignment horizontal="center" vertical="center"/>
    </xf>
    <xf numFmtId="0" fontId="341" fillId="0" borderId="0" applyAlignment="1" pivotButton="0" quotePrefix="0" xfId="0">
      <alignment horizontal="center" vertical="center"/>
    </xf>
    <xf numFmtId="183" fontId="342" fillId="0" borderId="1" applyAlignment="1" pivotButton="0" quotePrefix="0" xfId="0">
      <alignment horizontal="center" vertical="center"/>
    </xf>
    <xf numFmtId="0" fontId="342" fillId="0" borderId="2" applyAlignment="1" pivotButton="0" quotePrefix="0" xfId="0">
      <alignment horizontal="center" vertical="center"/>
    </xf>
    <xf numFmtId="0" fontId="342" fillId="0" borderId="3" applyAlignment="1" pivotButton="0" quotePrefix="0" xfId="0">
      <alignment horizontal="center" vertical="center"/>
    </xf>
    <xf numFmtId="0" fontId="342" fillId="0" borderId="4" applyAlignment="1" pivotButton="0" quotePrefix="0" xfId="0">
      <alignment horizontal="center" vertical="center"/>
    </xf>
    <xf numFmtId="0" fontId="342" fillId="0" borderId="1" applyAlignment="1" pivotButton="0" quotePrefix="0" xfId="0">
      <alignment horizontal="center" vertical="center"/>
    </xf>
    <xf numFmtId="43" fontId="341" fillId="0" borderId="0" applyAlignment="1" pivotButton="0" quotePrefix="0" xfId="1">
      <alignment horizontal="left" vertical="center"/>
    </xf>
    <xf numFmtId="4" fontId="343" fillId="0" borderId="76" applyAlignment="1" pivotButton="0" quotePrefix="0" xfId="0">
      <alignment horizontal="center" vertical="center"/>
    </xf>
    <xf numFmtId="0" fontId="344" fillId="0" borderId="0" applyAlignment="1" pivotButton="0" quotePrefix="0" xfId="0">
      <alignment horizontal="center" vertical="center"/>
    </xf>
    <xf numFmtId="4" fontId="124" fillId="0" borderId="73" applyAlignment="1" pivotButton="0" quotePrefix="0" xfId="0">
      <alignment horizontal="center" vertical="center"/>
    </xf>
    <xf numFmtId="4" fontId="124" fillId="0" borderId="72" applyAlignment="1" pivotButton="0" quotePrefix="0" xfId="0">
      <alignment horizontal="center" vertical="center"/>
    </xf>
    <xf numFmtId="4" fontId="343" fillId="0" borderId="75" applyAlignment="1" pivotButton="0" quotePrefix="0" xfId="0">
      <alignment horizontal="center" vertical="center"/>
    </xf>
    <xf numFmtId="37" fontId="124" fillId="0" borderId="74" applyAlignment="1" pivotButton="0" quotePrefix="0" xfId="0">
      <alignment horizontal="center" vertical="center"/>
    </xf>
    <xf numFmtId="3" fontId="124" fillId="0" borderId="16" applyAlignment="1" pivotButton="0" quotePrefix="0" xfId="0">
      <alignment horizontal="center" vertical="center"/>
    </xf>
    <xf numFmtId="167" fontId="46" fillId="0" borderId="13" applyAlignment="1" pivotButton="0" quotePrefix="0" xfId="4">
      <alignment horizontal="center" vertical="center"/>
    </xf>
    <xf numFmtId="0" fontId="46" fillId="0" borderId="12" pivotButton="0" quotePrefix="0" xfId="3"/>
    <xf numFmtId="3" fontId="46" fillId="0" borderId="9" applyAlignment="1" pivotButton="0" quotePrefix="0" xfId="4">
      <alignment horizontal="center" vertical="center"/>
    </xf>
    <xf numFmtId="184" fontId="16" fillId="0" borderId="0" pivotButton="0" quotePrefix="0" xfId="0"/>
    <xf numFmtId="4" fontId="340" fillId="0" borderId="0" applyAlignment="1" pivotButton="0" quotePrefix="0" xfId="0">
      <alignment horizontal="center" vertical="center"/>
    </xf>
    <xf numFmtId="164" fontId="339" fillId="0" borderId="24" applyAlignment="1" pivotButton="0" quotePrefix="0" xfId="1">
      <alignment horizontal="center" vertical="center" wrapText="1"/>
    </xf>
    <xf numFmtId="39" fontId="124" fillId="0" borderId="74" applyAlignment="1" pivotButton="0" quotePrefix="0" xfId="0">
      <alignment horizontal="center" vertical="center"/>
    </xf>
    <xf numFmtId="168" fontId="35" fillId="0" borderId="16" applyAlignment="1" pivotButton="0" quotePrefix="0" xfId="0">
      <alignment horizontal="center" vertical="center"/>
    </xf>
    <xf numFmtId="168" fontId="35" fillId="0" borderId="12" applyAlignment="1" pivotButton="0" quotePrefix="0" xfId="0">
      <alignment horizontal="center" vertical="center"/>
    </xf>
    <xf numFmtId="168" fontId="35" fillId="0" borderId="12" applyAlignment="1" pivotButton="0" quotePrefix="0" xfId="1">
      <alignment horizontal="center" vertical="center"/>
    </xf>
    <xf numFmtId="168" fontId="35" fillId="0" borderId="13" applyAlignment="1" pivotButton="0" quotePrefix="0" xfId="0">
      <alignment horizontal="center" vertical="center"/>
    </xf>
    <xf numFmtId="0" fontId="339" fillId="0" borderId="43" applyAlignment="1" pivotButton="0" quotePrefix="0" xfId="0">
      <alignment vertical="center"/>
    </xf>
    <xf numFmtId="3" fontId="339" fillId="0" borderId="35" applyAlignment="1" pivotButton="0" quotePrefix="0" xfId="0">
      <alignment horizontal="center" vertical="center"/>
    </xf>
    <xf numFmtId="167" fontId="339" fillId="0" borderId="108" applyAlignment="1" pivotButton="0" quotePrefix="0" xfId="1">
      <alignment horizontal="center" vertical="center"/>
    </xf>
    <xf numFmtId="9" fontId="339" fillId="0" borderId="108" applyAlignment="1" pivotButton="0" quotePrefix="0" xfId="2">
      <alignment horizontal="center" vertical="center"/>
    </xf>
    <xf numFmtId="0" fontId="339" fillId="0" borderId="109" applyAlignment="1" pivotButton="0" quotePrefix="0" xfId="0">
      <alignment vertical="center"/>
    </xf>
    <xf numFmtId="3" fontId="339" fillId="0" borderId="109" applyAlignment="1" pivotButton="0" quotePrefix="0" xfId="0">
      <alignment horizontal="center" vertical="center"/>
    </xf>
    <xf numFmtId="167" fontId="339" fillId="0" borderId="109" applyAlignment="1" pivotButton="0" quotePrefix="0" xfId="1">
      <alignment horizontal="center" vertical="center"/>
    </xf>
    <xf numFmtId="9" fontId="339" fillId="0" borderId="109" applyAlignment="1" pivotButton="0" quotePrefix="0" xfId="2">
      <alignment horizontal="center" vertical="center"/>
    </xf>
    <xf numFmtId="164" fontId="339" fillId="0" borderId="40" applyAlignment="1" pivotButton="0" quotePrefix="0" xfId="1">
      <alignment horizontal="center" vertical="center"/>
    </xf>
    <xf numFmtId="168" fontId="339" fillId="0" borderId="62" applyAlignment="1" pivotButton="0" quotePrefix="0" xfId="1">
      <alignment horizontal="center" vertical="center"/>
    </xf>
    <xf numFmtId="168" fontId="339" fillId="0" borderId="42" applyAlignment="1" pivotButton="0" quotePrefix="0" xfId="1">
      <alignment horizontal="center" vertical="center"/>
    </xf>
    <xf numFmtId="0" fontId="338" fillId="0" borderId="35" applyAlignment="1" pivotButton="0" quotePrefix="0" xfId="0">
      <alignment vertical="center"/>
    </xf>
    <xf numFmtId="168" fontId="339" fillId="0" borderId="44" applyAlignment="1" pivotButton="0" quotePrefix="0" xfId="1">
      <alignment horizontal="center" vertical="center"/>
    </xf>
    <xf numFmtId="168" fontId="339" fillId="0" borderId="108" applyAlignment="1" pivotButton="0" quotePrefix="0" xfId="1">
      <alignment horizontal="center" vertical="center"/>
    </xf>
    <xf numFmtId="0" fontId="338" fillId="0" borderId="109" applyAlignment="1" pivotButton="0" quotePrefix="0" xfId="0">
      <alignment vertical="center"/>
    </xf>
    <xf numFmtId="168" fontId="339" fillId="0" borderId="109" applyAlignment="1" pivotButton="0" quotePrefix="0" xfId="1">
      <alignment horizontal="center" vertical="center"/>
    </xf>
    <xf numFmtId="164" fontId="339" fillId="0" borderId="24" applyAlignment="1" pivotButton="0" quotePrefix="0" xfId="2">
      <alignment horizontal="center" vertical="center"/>
    </xf>
    <xf numFmtId="37" fontId="338" fillId="0" borderId="23" applyAlignment="1" pivotButton="0" quotePrefix="0" xfId="0">
      <alignment horizontal="center" vertical="center"/>
    </xf>
    <xf numFmtId="37" fontId="339" fillId="0" borderId="24" applyAlignment="1" pivotButton="0" quotePrefix="0" xfId="0">
      <alignment horizontal="center" vertical="center"/>
    </xf>
    <xf numFmtId="37" fontId="338" fillId="0" borderId="0" applyAlignment="1" pivotButton="0" quotePrefix="0" xfId="0">
      <alignment horizontal="center" vertical="center"/>
    </xf>
    <xf numFmtId="37" fontId="338" fillId="0" borderId="0" applyAlignment="1" pivotButton="0" quotePrefix="0" xfId="1">
      <alignment horizontal="center" vertical="center"/>
    </xf>
    <xf numFmtId="37" fontId="338" fillId="0" borderId="35" applyAlignment="1" pivotButton="0" quotePrefix="0" xfId="0">
      <alignment horizontal="center" vertical="center"/>
    </xf>
    <xf numFmtId="37" fontId="339" fillId="0" borderId="35" applyAlignment="1" pivotButton="0" quotePrefix="0" xfId="1">
      <alignment horizontal="center" vertical="center"/>
    </xf>
    <xf numFmtId="37" fontId="339" fillId="0" borderId="0" applyAlignment="1" pivotButton="0" quotePrefix="0" xfId="1">
      <alignment horizontal="center" vertical="center"/>
    </xf>
    <xf numFmtId="37" fontId="339" fillId="0" borderId="0" applyAlignment="1" pivotButton="0" quotePrefix="1" xfId="0">
      <alignment horizontal="center" vertical="center"/>
    </xf>
    <xf numFmtId="168" fontId="338" fillId="8" borderId="0" applyAlignment="1" pivotButton="0" quotePrefix="0" xfId="1">
      <alignment horizontal="center" vertical="center"/>
    </xf>
    <xf numFmtId="37" fontId="338" fillId="8" borderId="0" applyAlignment="1" pivotButton="0" quotePrefix="0" xfId="1">
      <alignment horizontal="center" vertical="center"/>
    </xf>
    <xf numFmtId="0" fontId="338" fillId="0" borderId="28" applyAlignment="1" pivotButton="0" quotePrefix="0" xfId="0">
      <alignment vertical="center"/>
    </xf>
    <xf numFmtId="37" fontId="339" fillId="0" borderId="35" applyAlignment="1" pivotButton="0" quotePrefix="0" xfId="0">
      <alignment horizontal="center" vertical="center"/>
    </xf>
    <xf numFmtId="9" fontId="339" fillId="0" borderId="0" applyAlignment="1" pivotButton="0" quotePrefix="0" xfId="2">
      <alignment horizontal="center" vertical="center"/>
    </xf>
    <xf numFmtId="168" fontId="338" fillId="8" borderId="28" applyAlignment="1" pivotButton="0" quotePrefix="0" xfId="1">
      <alignment horizontal="center" vertical="center"/>
    </xf>
    <xf numFmtId="37" fontId="338" fillId="8" borderId="28" applyAlignment="1" pivotButton="0" quotePrefix="0" xfId="1">
      <alignment horizontal="center" vertical="center"/>
    </xf>
    <xf numFmtId="14" fontId="35" fillId="0" borderId="18" applyAlignment="1" pivotButton="0" quotePrefix="0" xfId="0">
      <alignment horizontal="center"/>
    </xf>
    <xf numFmtId="0" fontId="35" fillId="0" borderId="18" applyAlignment="1" pivotButton="0" quotePrefix="0" xfId="0">
      <alignment horizontal="center"/>
    </xf>
    <xf numFmtId="0" fontId="35" fillId="0" borderId="20" applyAlignment="1" pivotButton="0" quotePrefix="0" xfId="0">
      <alignment horizontal="center"/>
    </xf>
    <xf numFmtId="0" fontId="35" fillId="0" borderId="35" applyAlignment="1" pivotButton="0" quotePrefix="0" xfId="0">
      <alignment horizontal="center"/>
    </xf>
    <xf numFmtId="0" fontId="35" fillId="0" borderId="35" applyAlignment="1" pivotButton="0" quotePrefix="0" xfId="0">
      <alignment horizontal="left"/>
    </xf>
    <xf numFmtId="168" fontId="339" fillId="0" borderId="0" applyAlignment="1" pivotButton="0" quotePrefix="0" xfId="1">
      <alignment horizontal="center" vertical="center"/>
    </xf>
    <xf numFmtId="14" fontId="35" fillId="0" borderId="16" applyAlignment="1" pivotButton="0" quotePrefix="0" xfId="0">
      <alignment horizontal="center" vertical="center"/>
    </xf>
    <xf numFmtId="168" fontId="337" fillId="0" borderId="0" applyAlignment="1" pivotButton="0" quotePrefix="0" xfId="0">
      <alignment horizontal="center"/>
    </xf>
    <xf numFmtId="168" fontId="337" fillId="0" borderId="28" applyAlignment="1" pivotButton="0" quotePrefix="0" xfId="0">
      <alignment horizontal="center"/>
    </xf>
    <xf numFmtId="168" fontId="29" fillId="0" borderId="16" applyAlignment="1" pivotButton="0" quotePrefix="0" xfId="0">
      <alignment horizontal="center" vertical="center"/>
    </xf>
    <xf numFmtId="168" fontId="29" fillId="0" borderId="12" applyAlignment="1" pivotButton="0" quotePrefix="0" xfId="0">
      <alignment horizontal="center" vertical="center"/>
    </xf>
    <xf numFmtId="168" fontId="29" fillId="0" borderId="13" applyAlignment="1" pivotButton="0" quotePrefix="0" xfId="0">
      <alignment horizontal="center" vertical="center"/>
    </xf>
    <xf numFmtId="0" fontId="33" fillId="0" borderId="13" applyAlignment="1" pivotButton="0" quotePrefix="0" xfId="0">
      <alignment horizontal="center" vertical="center"/>
    </xf>
    <xf numFmtId="37" fontId="347" fillId="0" borderId="6" applyAlignment="1" pivotButton="0" quotePrefix="0" xfId="0">
      <alignment horizontal="center"/>
    </xf>
    <xf numFmtId="37" fontId="347" fillId="0" borderId="10" applyAlignment="1" pivotButton="0" quotePrefix="0" xfId="0">
      <alignment horizontal="center"/>
    </xf>
    <xf numFmtId="37" fontId="347" fillId="0" borderId="35" applyAlignment="1" pivotButton="0" quotePrefix="0" xfId="0">
      <alignment horizontal="center"/>
    </xf>
    <xf numFmtId="0" fontId="340" fillId="0" borderId="0" applyAlignment="1" pivotButton="0" quotePrefix="0" xfId="0">
      <alignment vertical="center"/>
    </xf>
    <xf numFmtId="0" fontId="340" fillId="0" borderId="0" applyAlignment="1" pivotButton="0" quotePrefix="0" xfId="0">
      <alignment horizontal="right" vertical="center"/>
    </xf>
    <xf numFmtId="0" fontId="340" fillId="0" borderId="0" applyAlignment="1" pivotButton="0" quotePrefix="0" xfId="0">
      <alignment horizontal="left" vertical="center"/>
    </xf>
    <xf numFmtId="0" fontId="340" fillId="0" borderId="19" applyAlignment="1" pivotButton="0" quotePrefix="0" xfId="0">
      <alignment horizontal="right" vertical="center"/>
    </xf>
    <xf numFmtId="165" fontId="340" fillId="5" borderId="5" applyAlignment="1" pivotButton="0" quotePrefix="0" xfId="1">
      <alignment vertical="center"/>
    </xf>
    <xf numFmtId="0" fontId="340" fillId="0" borderId="1" applyAlignment="1" pivotButton="0" quotePrefix="0" xfId="0">
      <alignment horizontal="center" vertical="center"/>
    </xf>
    <xf numFmtId="168" fontId="340" fillId="0" borderId="1" applyAlignment="1" pivotButton="0" quotePrefix="0" xfId="0">
      <alignment horizontal="center" vertical="center"/>
    </xf>
    <xf numFmtId="168" fontId="340" fillId="0" borderId="0" applyAlignment="1" pivotButton="0" quotePrefix="0" xfId="0">
      <alignment horizontal="center" vertical="center"/>
    </xf>
    <xf numFmtId="165" fontId="16" fillId="4" borderId="8" pivotButton="0" quotePrefix="0" xfId="1"/>
    <xf numFmtId="185" fontId="340" fillId="0" borderId="1" applyAlignment="1" pivotButton="0" quotePrefix="0" xfId="0">
      <alignment horizontal="center" vertical="center"/>
    </xf>
    <xf numFmtId="0" fontId="126" fillId="0" borderId="0" applyAlignment="1" pivotButton="0" quotePrefix="0" xfId="61888">
      <alignment vertical="center"/>
    </xf>
    <xf numFmtId="0" fontId="348" fillId="0" borderId="0" applyAlignment="1" pivotButton="0" quotePrefix="0" xfId="61888">
      <alignment horizontal="center" vertical="center"/>
    </xf>
    <xf numFmtId="49" fontId="348" fillId="0" borderId="0" applyAlignment="1" pivotButton="0" quotePrefix="0" xfId="61888">
      <alignment horizontal="center" vertical="center"/>
    </xf>
    <xf numFmtId="0" fontId="349" fillId="0" borderId="0" pivotButton="0" quotePrefix="0" xfId="61888"/>
    <xf numFmtId="0" fontId="349" fillId="0" borderId="0" applyAlignment="1" pivotButton="0" quotePrefix="0" xfId="61888">
      <alignment horizontal="center" vertical="center"/>
    </xf>
    <xf numFmtId="0" fontId="349" fillId="0" borderId="0" pivotButton="0" quotePrefix="0" xfId="0"/>
    <xf numFmtId="14" fontId="126" fillId="8" borderId="0" applyAlignment="1" pivotButton="0" quotePrefix="0" xfId="61888">
      <alignment horizontal="center" vertical="center"/>
    </xf>
    <xf numFmtId="0" fontId="126" fillId="0" borderId="0" applyAlignment="1" pivotButton="0" quotePrefix="0" xfId="61888">
      <alignment horizontal="right" vertical="center"/>
    </xf>
    <xf numFmtId="2" fontId="126" fillId="0" borderId="0" applyAlignment="1" pivotButton="0" quotePrefix="0" xfId="61888">
      <alignment horizontal="center" vertical="center"/>
    </xf>
    <xf numFmtId="0" fontId="126" fillId="0" borderId="0" applyAlignment="1" pivotButton="0" quotePrefix="0" xfId="61888">
      <alignment horizontal="left" vertical="center"/>
    </xf>
    <xf numFmtId="0" fontId="348" fillId="7" borderId="1" applyAlignment="1" pivotButton="0" quotePrefix="0" xfId="61888">
      <alignment horizontal="center" vertical="center"/>
    </xf>
    <xf numFmtId="43" fontId="348" fillId="0" borderId="16" applyAlignment="1" pivotButton="0" quotePrefix="0" xfId="1">
      <alignment vertical="center"/>
    </xf>
    <xf numFmtId="3" fontId="348" fillId="0" borderId="16" applyAlignment="1" pivotButton="0" quotePrefix="0" xfId="61888">
      <alignment horizontal="center" vertical="center"/>
    </xf>
    <xf numFmtId="3" fontId="349" fillId="0" borderId="16" applyAlignment="1" pivotButton="0" quotePrefix="0" xfId="4">
      <alignment horizontal="center" vertical="center"/>
    </xf>
    <xf numFmtId="43" fontId="348" fillId="0" borderId="12" applyAlignment="1" pivotButton="0" quotePrefix="0" xfId="1">
      <alignment vertical="center"/>
    </xf>
    <xf numFmtId="3" fontId="348" fillId="0" borderId="12" applyAlignment="1" pivotButton="0" quotePrefix="0" xfId="61888">
      <alignment horizontal="center" vertical="center"/>
    </xf>
    <xf numFmtId="3" fontId="349" fillId="0" borderId="12" applyAlignment="1" pivotButton="0" quotePrefix="0" xfId="4">
      <alignment horizontal="center" vertical="center"/>
    </xf>
    <xf numFmtId="43" fontId="348" fillId="0" borderId="13" applyAlignment="1" pivotButton="0" quotePrefix="0" xfId="1">
      <alignment vertical="center"/>
    </xf>
    <xf numFmtId="3" fontId="348" fillId="0" borderId="13" applyAlignment="1" pivotButton="0" quotePrefix="0" xfId="61888">
      <alignment horizontal="center" vertical="center"/>
    </xf>
    <xf numFmtId="3" fontId="349" fillId="0" borderId="13" applyAlignment="1" pivotButton="0" quotePrefix="0" xfId="4">
      <alignment horizontal="center" vertical="center"/>
    </xf>
    <xf numFmtId="43" fontId="348" fillId="97" borderId="7" applyAlignment="1" pivotButton="0" quotePrefix="0" xfId="1">
      <alignment horizontal="left" vertical="center"/>
    </xf>
    <xf numFmtId="3" fontId="348" fillId="97" borderId="7" applyAlignment="1" pivotButton="0" quotePrefix="0" xfId="4">
      <alignment horizontal="center" vertical="center"/>
    </xf>
    <xf numFmtId="43" fontId="348" fillId="0" borderId="17" applyAlignment="1" pivotButton="0" quotePrefix="0" xfId="1">
      <alignment horizontal="left" vertical="center" wrapText="1"/>
    </xf>
    <xf numFmtId="37" fontId="348" fillId="0" borderId="17" applyAlignment="1" pivotButton="0" quotePrefix="0" xfId="4">
      <alignment horizontal="center" vertical="center"/>
    </xf>
    <xf numFmtId="43" fontId="348" fillId="0" borderId="111" applyAlignment="1" pivotButton="0" quotePrefix="0" xfId="1">
      <alignment horizontal="left" vertical="center"/>
    </xf>
    <xf numFmtId="37" fontId="348" fillId="0" borderId="11" applyAlignment="1" pivotButton="0" quotePrefix="0" xfId="4">
      <alignment horizontal="center" vertical="center"/>
    </xf>
    <xf numFmtId="43" fontId="348" fillId="0" borderId="11" applyAlignment="1" pivotButton="0" quotePrefix="0" xfId="1">
      <alignment horizontal="left" vertical="center"/>
    </xf>
    <xf numFmtId="37" fontId="348" fillId="0" borderId="11" applyAlignment="1" pivotButton="0" quotePrefix="0" xfId="61888">
      <alignment horizontal="center" vertical="center"/>
    </xf>
    <xf numFmtId="37" fontId="349" fillId="0" borderId="11" applyAlignment="1" pivotButton="0" quotePrefix="0" xfId="4">
      <alignment horizontal="center" vertical="center"/>
    </xf>
    <xf numFmtId="43" fontId="348" fillId="97" borderId="17" applyAlignment="1" pivotButton="0" quotePrefix="0" xfId="1">
      <alignment horizontal="left" vertical="center"/>
    </xf>
    <xf numFmtId="37" fontId="348" fillId="97" borderId="17" applyAlignment="1" pivotButton="0" quotePrefix="0" xfId="4">
      <alignment horizontal="center" vertical="center"/>
    </xf>
    <xf numFmtId="37" fontId="348" fillId="97" borderId="17" applyAlignment="1" pivotButton="0" quotePrefix="0" xfId="61888">
      <alignment horizontal="center" vertical="center"/>
    </xf>
    <xf numFmtId="43" fontId="348" fillId="19" borderId="17" applyAlignment="1" pivotButton="0" quotePrefix="0" xfId="1">
      <alignment horizontal="left" vertical="center"/>
    </xf>
    <xf numFmtId="37" fontId="348" fillId="19" borderId="17" applyAlignment="1" pivotButton="0" quotePrefix="0" xfId="4">
      <alignment horizontal="center" vertical="center"/>
    </xf>
    <xf numFmtId="37" fontId="348" fillId="19" borderId="17" applyAlignment="1" pivotButton="0" quotePrefix="0" xfId="61888">
      <alignment horizontal="center" vertical="center"/>
    </xf>
    <xf numFmtId="0" fontId="350" fillId="0" borderId="0" pivotButton="0" quotePrefix="0" xfId="0"/>
    <xf numFmtId="43" fontId="47" fillId="0" borderId="0" pivotButton="0" quotePrefix="0" xfId="1"/>
    <xf numFmtId="43" fontId="28" fillId="0" borderId="0" pivotButton="0" quotePrefix="0" xfId="1"/>
    <xf numFmtId="43" fontId="33" fillId="0" borderId="14" pivotButton="0" quotePrefix="0" xfId="1"/>
    <xf numFmtId="43" fontId="33" fillId="0" borderId="15" pivotButton="0" quotePrefix="0" xfId="1"/>
    <xf numFmtId="43" fontId="0" fillId="0" borderId="0" pivotButton="0" quotePrefix="0" xfId="1"/>
    <xf numFmtId="165" fontId="0" fillId="0" borderId="0" pivotButton="0" quotePrefix="0" xfId="1"/>
    <xf numFmtId="43" fontId="23" fillId="0" borderId="14" pivotButton="0" quotePrefix="0" xfId="1"/>
    <xf numFmtId="165" fontId="23" fillId="0" borderId="14" pivotButton="0" quotePrefix="0" xfId="1"/>
    <xf numFmtId="43" fontId="23" fillId="0" borderId="15" pivotButton="0" quotePrefix="0" xfId="1"/>
    <xf numFmtId="165" fontId="23" fillId="0" borderId="15" pivotButton="0" quotePrefix="0" xfId="1"/>
    <xf numFmtId="186" fontId="13" fillId="0" borderId="0" applyAlignment="1" pivotButton="0" quotePrefix="0" xfId="12">
      <alignment horizontal="center" vertical="center"/>
    </xf>
    <xf numFmtId="43" fontId="13" fillId="0" borderId="0" applyAlignment="1" pivotButton="0" quotePrefix="0" xfId="1">
      <alignment horizontal="center" vertical="center"/>
    </xf>
    <xf numFmtId="0" fontId="2" fillId="0" borderId="0" applyAlignment="1" pivotButton="0" quotePrefix="0" xfId="61889">
      <alignment horizontal="center" vertical="center"/>
    </xf>
    <xf numFmtId="0" fontId="19" fillId="0" borderId="0" applyAlignment="1" pivotButton="0" quotePrefix="0" xfId="61889">
      <alignment horizontal="center" vertical="center"/>
    </xf>
    <xf numFmtId="0" fontId="19" fillId="6" borderId="21" applyAlignment="1" pivotButton="0" quotePrefix="0" xfId="61889">
      <alignment horizontal="center" vertical="center"/>
    </xf>
    <xf numFmtId="0" fontId="19" fillId="0" borderId="1" applyAlignment="1" pivotButton="0" quotePrefix="0" xfId="61889">
      <alignment horizontal="center" vertical="center"/>
    </xf>
    <xf numFmtId="3" fontId="351" fillId="0" borderId="14" applyAlignment="1" pivotButton="0" quotePrefix="0" xfId="61889">
      <alignment horizontal="center" vertical="center"/>
    </xf>
    <xf numFmtId="3" fontId="351" fillId="0" borderId="5" applyAlignment="1" pivotButton="0" quotePrefix="0" xfId="61889">
      <alignment horizontal="center" vertical="center"/>
    </xf>
    <xf numFmtId="3" fontId="351" fillId="0" borderId="7" applyAlignment="1" pivotButton="0" quotePrefix="0" xfId="61889">
      <alignment horizontal="center" vertical="center"/>
    </xf>
    <xf numFmtId="3" fontId="351" fillId="0" borderId="114" applyAlignment="1" pivotButton="0" quotePrefix="0" xfId="61889">
      <alignment horizontal="center" vertical="center"/>
    </xf>
    <xf numFmtId="3" fontId="341" fillId="3" borderId="115" applyAlignment="1" pivotButton="0" quotePrefix="0" xfId="61889">
      <alignment horizontal="center" vertical="center"/>
    </xf>
    <xf numFmtId="3" fontId="341" fillId="3" borderId="35" applyAlignment="1" pivotButton="0" quotePrefix="0" xfId="61889">
      <alignment horizontal="center" vertical="center"/>
    </xf>
    <xf numFmtId="3" fontId="341" fillId="3" borderId="110" applyAlignment="1" pivotButton="0" quotePrefix="0" xfId="61889">
      <alignment horizontal="center" vertical="center"/>
    </xf>
    <xf numFmtId="3" fontId="341" fillId="3" borderId="17" applyAlignment="1" pivotButton="0" quotePrefix="0" xfId="61889">
      <alignment horizontal="center" vertical="center"/>
    </xf>
    <xf numFmtId="43" fontId="19" fillId="0" borderId="0" applyAlignment="1" pivotButton="0" quotePrefix="0" xfId="61890">
      <alignment horizontal="center" vertical="center"/>
    </xf>
    <xf numFmtId="179" fontId="128" fillId="6" borderId="55" applyAlignment="1" pivotButton="0" quotePrefix="0" xfId="58805">
      <alignment horizontal="center"/>
    </xf>
    <xf numFmtId="164" fontId="17" fillId="13" borderId="9" applyAlignment="1" pivotButton="0" quotePrefix="0" xfId="1">
      <alignment horizontal="center" vertical="center"/>
    </xf>
    <xf numFmtId="164" fontId="18" fillId="6" borderId="1" applyAlignment="1" pivotButton="0" quotePrefix="0" xfId="1">
      <alignment horizontal="center" vertical="center"/>
    </xf>
    <xf numFmtId="183" fontId="4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4" fontId="0" fillId="0" borderId="0" pivotButton="0" quotePrefix="0" xfId="0"/>
    <xf numFmtId="2" fontId="0" fillId="0" borderId="0" pivotButton="0" quotePrefix="0" xfId="0"/>
    <xf numFmtId="187" fontId="0" fillId="0" borderId="0" pivotButton="0" quotePrefix="0" xfId="0"/>
    <xf numFmtId="167" fontId="0" fillId="0" borderId="0" pivotButton="0" quotePrefix="0" xfId="0"/>
    <xf numFmtId="0" fontId="23" fillId="0" borderId="0" pivotButton="0" quotePrefix="0" xfId="0"/>
    <xf numFmtId="188" fontId="67" fillId="0" borderId="0" pivotButton="0" quotePrefix="0" xfId="0"/>
    <xf numFmtId="189" fontId="67" fillId="0" borderId="0" applyAlignment="1" pivotButton="0" quotePrefix="0" xfId="0">
      <alignment vertical="center"/>
    </xf>
    <xf numFmtId="43" fontId="0" fillId="0" borderId="0" pivotButton="0" quotePrefix="0" xfId="0"/>
    <xf numFmtId="43" fontId="35" fillId="0" borderId="0" pivotButton="0" quotePrefix="0" xfId="0"/>
    <xf numFmtId="38" fontId="129" fillId="0" borderId="112" pivotButton="0" quotePrefix="0" xfId="58807"/>
    <xf numFmtId="38" fontId="129" fillId="0" borderId="117" pivotButton="0" quotePrefix="0" xfId="58807"/>
    <xf numFmtId="38" fontId="129" fillId="0" borderId="118" pivotButton="0" quotePrefix="0" xfId="58807"/>
    <xf numFmtId="38" fontId="128" fillId="0" borderId="117" pivotButton="0" quotePrefix="0" xfId="58807"/>
    <xf numFmtId="38" fontId="129" fillId="0" borderId="117" pivotButton="0" quotePrefix="0" xfId="58807"/>
    <xf numFmtId="38" fontId="129" fillId="0" borderId="118" pivotButton="0" quotePrefix="0" xfId="58807"/>
    <xf numFmtId="38" fontId="128" fillId="0" borderId="117" pivotButton="0" quotePrefix="0" xfId="58807"/>
    <xf numFmtId="38" fontId="128" fillId="0" borderId="116" pivotButton="0" quotePrefix="0" xfId="58807"/>
    <xf numFmtId="38" fontId="130" fillId="0" borderId="113" pivotButton="0" quotePrefix="0" xfId="58807"/>
    <xf numFmtId="167" fontId="353" fillId="0" borderId="13" applyAlignment="1" pivotButton="0" quotePrefix="0" xfId="4">
      <alignment horizontal="center" vertical="center"/>
    </xf>
    <xf numFmtId="14" fontId="18" fillId="5" borderId="7" applyAlignment="1" pivotButton="0" quotePrefix="0" xfId="0">
      <alignment horizontal="center"/>
    </xf>
    <xf numFmtId="43" fontId="16" fillId="0" borderId="0" applyAlignment="1" pivotButton="0" quotePrefix="0" xfId="0">
      <alignment horizontal="center" wrapText="1"/>
    </xf>
    <xf numFmtId="183" fontId="47" fillId="0" borderId="0" applyAlignment="1" pivotButton="0" quotePrefix="0" xfId="0">
      <alignment horizontal="right"/>
    </xf>
    <xf numFmtId="43" fontId="34" fillId="0" borderId="0" applyAlignment="1" pivotButton="0" quotePrefix="0" xfId="1">
      <alignment horizontal="right"/>
    </xf>
    <xf numFmtId="165" fontId="33" fillId="0" borderId="14" applyAlignment="1" pivotButton="0" quotePrefix="0" xfId="1">
      <alignment horizontal="right"/>
    </xf>
    <xf numFmtId="165" fontId="33" fillId="0" borderId="15" applyAlignment="1" pivotButton="0" quotePrefix="0" xfId="1">
      <alignment horizontal="right"/>
    </xf>
    <xf numFmtId="165" fontId="35" fillId="0" borderId="0" applyAlignment="1" pivotButton="0" quotePrefix="0" xfId="1">
      <alignment horizontal="right"/>
    </xf>
    <xf numFmtId="0" fontId="0" fillId="0" borderId="0" applyAlignment="1" pivotButton="0" quotePrefix="0" xfId="0">
      <alignment horizontal="right"/>
    </xf>
    <xf numFmtId="164" fontId="129" fillId="0" borderId="0" pivotButton="0" quotePrefix="0" xfId="1"/>
    <xf numFmtId="179" fontId="128" fillId="3" borderId="50" applyAlignment="1" pivotButton="0" quotePrefix="0" xfId="58805">
      <alignment horizontal="center"/>
    </xf>
    <xf numFmtId="179" fontId="128" fillId="3" borderId="51" applyAlignment="1" pivotButton="0" quotePrefix="0" xfId="58805">
      <alignment horizontal="center"/>
    </xf>
    <xf numFmtId="14" fontId="354" fillId="0" borderId="0" applyAlignment="1" pivotButton="0" quotePrefix="0" xfId="0">
      <alignment vertical="center"/>
    </xf>
    <xf numFmtId="168" fontId="42" fillId="0" borderId="36" applyAlignment="1" pivotButton="0" quotePrefix="0" xfId="0">
      <alignment horizontal="center" vertical="center"/>
    </xf>
    <xf numFmtId="168" fontId="42" fillId="0" borderId="48" applyAlignment="1" pivotButton="0" quotePrefix="0" xfId="0">
      <alignment horizontal="center" vertical="center"/>
    </xf>
    <xf numFmtId="0" fontId="38" fillId="18" borderId="22" applyAlignment="1" pivotButton="0" quotePrefix="0" xfId="0">
      <alignment horizontal="center" vertical="center"/>
    </xf>
    <xf numFmtId="0" fontId="38" fillId="18" borderId="23" applyAlignment="1" pivotButton="0" quotePrefix="0" xfId="0">
      <alignment horizontal="center" vertical="center"/>
    </xf>
    <xf numFmtId="0" fontId="38" fillId="18" borderId="24" applyAlignment="1" pivotButton="0" quotePrefix="0" xfId="0">
      <alignment horizontal="center" vertical="center"/>
    </xf>
    <xf numFmtId="0" fontId="38" fillId="18" borderId="38" applyAlignment="1" pivotButton="0" quotePrefix="0" xfId="0">
      <alignment horizontal="center" vertical="center"/>
    </xf>
    <xf numFmtId="0" fontId="38" fillId="18" borderId="21" applyAlignment="1" pivotButton="0" quotePrefix="0" xfId="0">
      <alignment horizontal="center" vertical="center"/>
    </xf>
    <xf numFmtId="0" fontId="43" fillId="0" borderId="0" applyAlignment="1" pivotButton="0" quotePrefix="0" xfId="0">
      <alignment vertical="center"/>
    </xf>
    <xf numFmtId="169" fontId="38" fillId="13" borderId="36" applyAlignment="1" pivotButton="0" quotePrefix="0" xfId="6">
      <alignment vertical="center"/>
    </xf>
    <xf numFmtId="0" fontId="38" fillId="13" borderId="37" applyAlignment="1" pivotButton="0" quotePrefix="0" xfId="0">
      <alignment vertical="center"/>
    </xf>
    <xf numFmtId="37" fontId="38" fillId="13" borderId="36" applyAlignment="1" pivotButton="0" quotePrefix="0" xfId="0">
      <alignment horizontal="center" vertical="center"/>
    </xf>
    <xf numFmtId="37" fontId="38" fillId="13" borderId="48" applyAlignment="1" pivotButton="0" quotePrefix="0" xfId="0">
      <alignment horizontal="center" vertical="center"/>
    </xf>
    <xf numFmtId="10" fontId="38" fillId="13" borderId="37" applyAlignment="1" pivotButton="0" quotePrefix="0" xfId="0">
      <alignment horizontal="center" vertical="center"/>
    </xf>
    <xf numFmtId="169" fontId="38" fillId="13" borderId="25" applyAlignment="1" pivotButton="0" quotePrefix="0" xfId="6">
      <alignment vertical="center"/>
    </xf>
    <xf numFmtId="0" fontId="38" fillId="13" borderId="26" applyAlignment="1" pivotButton="0" quotePrefix="0" xfId="0">
      <alignment vertical="center"/>
    </xf>
    <xf numFmtId="37" fontId="38" fillId="13" borderId="25" applyAlignment="1" pivotButton="0" quotePrefix="0" xfId="0">
      <alignment horizontal="center" vertical="center"/>
    </xf>
    <xf numFmtId="37" fontId="38" fillId="13" borderId="0" applyAlignment="1" pivotButton="0" quotePrefix="0" xfId="0">
      <alignment horizontal="center" vertical="center"/>
    </xf>
    <xf numFmtId="10" fontId="38" fillId="13" borderId="26" applyAlignment="1" pivotButton="0" quotePrefix="0" xfId="0">
      <alignment horizontal="center" vertical="center"/>
    </xf>
    <xf numFmtId="169" fontId="38" fillId="8" borderId="38" applyAlignment="1" pivotButton="0" quotePrefix="0" xfId="6">
      <alignment vertical="center"/>
    </xf>
    <xf numFmtId="0" fontId="38" fillId="8" borderId="39" applyAlignment="1" pivotButton="0" quotePrefix="0" xfId="0">
      <alignment vertical="center"/>
    </xf>
    <xf numFmtId="37" fontId="38" fillId="8" borderId="38" applyAlignment="1" pivotButton="0" quotePrefix="0" xfId="0">
      <alignment horizontal="center" vertical="center"/>
    </xf>
    <xf numFmtId="37" fontId="38" fillId="8" borderId="21" applyAlignment="1" pivotButton="0" quotePrefix="0" xfId="0">
      <alignment horizontal="center" vertical="center"/>
    </xf>
    <xf numFmtId="10" fontId="38" fillId="8" borderId="39" applyAlignment="1" pivotButton="0" quotePrefix="0" xfId="0">
      <alignment horizontal="center" vertical="center"/>
    </xf>
    <xf numFmtId="169" fontId="38" fillId="13" borderId="38" applyAlignment="1" pivotButton="0" quotePrefix="0" xfId="6">
      <alignment vertical="center"/>
    </xf>
    <xf numFmtId="0" fontId="38" fillId="13" borderId="39" applyAlignment="1" pivotButton="0" quotePrefix="0" xfId="0">
      <alignment vertical="center"/>
    </xf>
    <xf numFmtId="10" fontId="38" fillId="13" borderId="39" applyAlignment="1" pivotButton="0" quotePrefix="0" xfId="0">
      <alignment horizontal="center" vertical="center"/>
    </xf>
    <xf numFmtId="0" fontId="355" fillId="0" borderId="0" applyAlignment="1" pivotButton="0" quotePrefix="0" xfId="61889">
      <alignment horizontal="left" vertical="center"/>
    </xf>
    <xf numFmtId="0" fontId="19" fillId="6" borderId="48" applyAlignment="1" pivotButton="0" quotePrefix="0" xfId="61889">
      <alignment horizontal="center" vertical="center"/>
    </xf>
    <xf numFmtId="0" fontId="20" fillId="0" borderId="27" applyAlignment="1" pivotButton="0" quotePrefix="0" xfId="61889">
      <alignment horizontal="center" vertical="center"/>
    </xf>
    <xf numFmtId="0" fontId="20" fillId="0" borderId="8" applyAlignment="1" pivotButton="0" quotePrefix="0" xfId="61889">
      <alignment horizontal="center" vertical="center"/>
    </xf>
    <xf numFmtId="3" fontId="356" fillId="0" borderId="63" applyAlignment="1" pivotButton="0" quotePrefix="0" xfId="61889">
      <alignment horizontal="center" vertical="center"/>
    </xf>
    <xf numFmtId="3" fontId="356" fillId="0" borderId="104" applyAlignment="1" pivotButton="0" quotePrefix="0" xfId="61889">
      <alignment horizontal="center" vertical="center"/>
    </xf>
    <xf numFmtId="3" fontId="356" fillId="0" borderId="51" applyAlignment="1" pivotButton="0" quotePrefix="0" xfId="61889">
      <alignment horizontal="center" vertical="center"/>
    </xf>
    <xf numFmtId="3" fontId="356" fillId="0" borderId="52" applyAlignment="1" pivotButton="0" quotePrefix="0" xfId="61889">
      <alignment horizontal="center" vertical="center"/>
    </xf>
    <xf numFmtId="0" fontId="20" fillId="0" borderId="1" applyAlignment="1" pivotButton="0" quotePrefix="0" xfId="61889">
      <alignment horizontal="center" vertical="center"/>
    </xf>
    <xf numFmtId="3" fontId="356" fillId="0" borderId="3" applyAlignment="1" pivotButton="0" quotePrefix="0" xfId="61889">
      <alignment horizontal="center" vertical="center"/>
    </xf>
    <xf numFmtId="3" fontId="356" fillId="0" borderId="4" applyAlignment="1" pivotButton="0" quotePrefix="0" xfId="61889">
      <alignment horizontal="center" vertical="center"/>
    </xf>
    <xf numFmtId="3" fontId="356" fillId="0" borderId="1" applyAlignment="1" pivotButton="0" quotePrefix="0" xfId="61889">
      <alignment horizontal="center" vertical="center"/>
    </xf>
    <xf numFmtId="3" fontId="356" fillId="0" borderId="54" applyAlignment="1" pivotButton="0" quotePrefix="0" xfId="61889">
      <alignment horizontal="center" vertical="center"/>
    </xf>
    <xf numFmtId="0" fontId="19" fillId="0" borderId="25" applyAlignment="1" pivotButton="0" quotePrefix="0" xfId="61889">
      <alignment horizontal="center" vertical="center"/>
    </xf>
    <xf numFmtId="0" fontId="19" fillId="0" borderId="9" applyAlignment="1" pivotButton="0" quotePrefix="0" xfId="61889">
      <alignment horizontal="center" vertical="center"/>
    </xf>
    <xf numFmtId="3" fontId="351" fillId="0" borderId="0" applyAlignment="1" pivotButton="0" quotePrefix="0" xfId="61889">
      <alignment horizontal="center" vertical="center"/>
    </xf>
    <xf numFmtId="3" fontId="351" fillId="0" borderId="6" applyAlignment="1" pivotButton="0" quotePrefix="0" xfId="61889">
      <alignment horizontal="center" vertical="center"/>
    </xf>
    <xf numFmtId="3" fontId="351" fillId="0" borderId="9" applyAlignment="1" pivotButton="0" quotePrefix="0" xfId="61889">
      <alignment horizontal="center" vertical="center"/>
    </xf>
    <xf numFmtId="3" fontId="351" fillId="0" borderId="117" applyAlignment="1" pivotButton="0" quotePrefix="0" xfId="61889">
      <alignment horizontal="center" vertical="center"/>
    </xf>
    <xf numFmtId="0" fontId="19" fillId="0" borderId="30" applyAlignment="1" pivotButton="0" quotePrefix="0" xfId="61889">
      <alignment horizontal="center" vertical="center"/>
    </xf>
    <xf numFmtId="0" fontId="20" fillId="0" borderId="119" applyAlignment="1" pivotButton="0" quotePrefix="0" xfId="61889">
      <alignment horizontal="center" vertical="center"/>
    </xf>
    <xf numFmtId="0" fontId="20" fillId="2" borderId="119" applyAlignment="1" pivotButton="0" quotePrefix="0" xfId="61889">
      <alignment horizontal="center" vertical="center"/>
    </xf>
    <xf numFmtId="0" fontId="20" fillId="2" borderId="1" applyAlignment="1" pivotButton="0" quotePrefix="0" xfId="61889">
      <alignment horizontal="center" vertical="center"/>
    </xf>
    <xf numFmtId="3" fontId="356" fillId="2" borderId="63" applyAlignment="1" pivotButton="0" quotePrefix="0" xfId="61889">
      <alignment horizontal="center" vertical="center"/>
    </xf>
    <xf numFmtId="3" fontId="356" fillId="2" borderId="104" applyAlignment="1" pivotButton="0" quotePrefix="0" xfId="61889">
      <alignment horizontal="center" vertical="center"/>
    </xf>
    <xf numFmtId="3" fontId="356" fillId="2" borderId="51" applyAlignment="1" pivotButton="0" quotePrefix="0" xfId="61889">
      <alignment horizontal="center" vertical="center"/>
    </xf>
    <xf numFmtId="3" fontId="356" fillId="2" borderId="52" applyAlignment="1" pivotButton="0" quotePrefix="0" xfId="61889">
      <alignment horizontal="center" vertical="center"/>
    </xf>
    <xf numFmtId="0" fontId="20" fillId="2" borderId="45" applyAlignment="1" pivotButton="0" quotePrefix="0" xfId="61889">
      <alignment horizontal="center" vertical="center"/>
    </xf>
    <xf numFmtId="3" fontId="356" fillId="2" borderId="3" applyAlignment="1" pivotButton="0" quotePrefix="0" xfId="61889">
      <alignment horizontal="center" vertical="center"/>
    </xf>
    <xf numFmtId="3" fontId="356" fillId="2" borderId="4" applyAlignment="1" pivotButton="0" quotePrefix="0" xfId="61889">
      <alignment horizontal="center" vertical="center"/>
    </xf>
    <xf numFmtId="3" fontId="356" fillId="2" borderId="1" applyAlignment="1" pivotButton="0" quotePrefix="0" xfId="61889">
      <alignment horizontal="center" vertical="center"/>
    </xf>
    <xf numFmtId="3" fontId="356" fillId="2" borderId="54" applyAlignment="1" pivotButton="0" quotePrefix="0" xfId="61889">
      <alignment horizontal="center" vertical="center"/>
    </xf>
    <xf numFmtId="0" fontId="19" fillId="2" borderId="25" applyAlignment="1" pivotButton="0" quotePrefix="0" xfId="61889">
      <alignment horizontal="center" vertical="center"/>
    </xf>
    <xf numFmtId="0" fontId="19" fillId="2" borderId="9" applyAlignment="1" pivotButton="0" quotePrefix="0" xfId="61889">
      <alignment horizontal="center" vertical="center"/>
    </xf>
    <xf numFmtId="3" fontId="351" fillId="2" borderId="0" applyAlignment="1" pivotButton="0" quotePrefix="0" xfId="61889">
      <alignment horizontal="center" vertical="center"/>
    </xf>
    <xf numFmtId="3" fontId="351" fillId="2" borderId="6" applyAlignment="1" pivotButton="0" quotePrefix="0" xfId="61889">
      <alignment horizontal="center" vertical="center"/>
    </xf>
    <xf numFmtId="3" fontId="351" fillId="2" borderId="9" applyAlignment="1" pivotButton="0" quotePrefix="0" xfId="61889">
      <alignment horizontal="center" vertical="center"/>
    </xf>
    <xf numFmtId="3" fontId="351" fillId="2" borderId="117" applyAlignment="1" pivotButton="0" quotePrefix="0" xfId="61889">
      <alignment horizontal="center" vertical="center"/>
    </xf>
    <xf numFmtId="0" fontId="19" fillId="2" borderId="30" applyAlignment="1" pivotButton="0" quotePrefix="0" xfId="61889">
      <alignment horizontal="center" vertical="center"/>
    </xf>
    <xf numFmtId="0" fontId="19" fillId="2" borderId="1" applyAlignment="1" pivotButton="0" quotePrefix="0" xfId="61889">
      <alignment horizontal="center" vertical="center"/>
    </xf>
    <xf numFmtId="3" fontId="351" fillId="2" borderId="14" applyAlignment="1" pivotButton="0" quotePrefix="0" xfId="61889">
      <alignment horizontal="center" vertical="center"/>
    </xf>
    <xf numFmtId="3" fontId="351" fillId="2" borderId="5" applyAlignment="1" pivotButton="0" quotePrefix="0" xfId="61889">
      <alignment horizontal="center" vertical="center"/>
    </xf>
    <xf numFmtId="3" fontId="351" fillId="2" borderId="7" applyAlignment="1" pivotButton="0" quotePrefix="0" xfId="61889">
      <alignment horizontal="center" vertical="center"/>
    </xf>
    <xf numFmtId="3" fontId="351" fillId="2" borderId="114" applyAlignment="1" pivotButton="0" quotePrefix="0" xfId="61889">
      <alignment horizontal="center" vertical="center"/>
    </xf>
    <xf numFmtId="9" fontId="19" fillId="0" borderId="0" applyAlignment="1" pivotButton="0" quotePrefix="0" xfId="2">
      <alignment horizontal="center" vertical="center"/>
    </xf>
    <xf numFmtId="14" fontId="2" fillId="0" borderId="0" applyAlignment="1" pivotButton="0" quotePrefix="0" xfId="61889">
      <alignment horizontal="center" vertical="center"/>
    </xf>
    <xf numFmtId="1" fontId="19" fillId="0" borderId="0" applyAlignment="1" pivotButton="0" quotePrefix="0" xfId="61889">
      <alignment horizontal="center" vertical="center"/>
    </xf>
    <xf numFmtId="179" fontId="128" fillId="3" borderId="52" applyAlignment="1" pivotButton="0" quotePrefix="0" xfId="58805">
      <alignment horizontal="center"/>
    </xf>
    <xf numFmtId="38" fontId="0" fillId="0" borderId="0" pivotButton="0" quotePrefix="0" xfId="0"/>
    <xf numFmtId="164" fontId="131" fillId="0" borderId="0" pivotButton="0" quotePrefix="0" xfId="1"/>
    <xf numFmtId="164" fontId="0" fillId="0" borderId="0" pivotButton="0" quotePrefix="0" xfId="1"/>
    <xf numFmtId="0" fontId="19" fillId="3" borderId="110" applyAlignment="1" pivotButton="0" quotePrefix="0" xfId="61889">
      <alignment horizontal="center" vertical="center"/>
    </xf>
    <xf numFmtId="0" fontId="20" fillId="0" borderId="51" applyAlignment="1" pivotButton="0" quotePrefix="0" xfId="61889">
      <alignment horizontal="center" vertical="center"/>
    </xf>
    <xf numFmtId="3" fontId="344" fillId="0" borderId="51" applyAlignment="1" pivotButton="0" quotePrefix="0" xfId="61889">
      <alignment horizontal="center" vertical="center"/>
    </xf>
    <xf numFmtId="3" fontId="344" fillId="0" borderId="1" applyAlignment="1" pivotButton="0" quotePrefix="0" xfId="61889">
      <alignment horizontal="center" vertical="center"/>
    </xf>
    <xf numFmtId="3" fontId="341" fillId="0" borderId="9" applyAlignment="1" pivotButton="0" quotePrefix="0" xfId="61889">
      <alignment horizontal="center" vertical="center"/>
    </xf>
    <xf numFmtId="0" fontId="19" fillId="0" borderId="5" applyAlignment="1" pivotButton="0" quotePrefix="0" xfId="61889">
      <alignment horizontal="center" vertical="center"/>
    </xf>
    <xf numFmtId="3" fontId="341" fillId="0" borderId="7" applyAlignment="1" pivotButton="0" quotePrefix="0" xfId="61889">
      <alignment horizontal="center" vertical="center"/>
    </xf>
    <xf numFmtId="0" fontId="20" fillId="2" borderId="51" applyAlignment="1" pivotButton="0" quotePrefix="0" xfId="61889">
      <alignment horizontal="center" vertical="center"/>
    </xf>
    <xf numFmtId="3" fontId="344" fillId="2" borderId="51" applyAlignment="1" pivotButton="0" quotePrefix="0" xfId="61889">
      <alignment horizontal="center" vertical="center"/>
    </xf>
    <xf numFmtId="3" fontId="344" fillId="2" borderId="1" applyAlignment="1" pivotButton="0" quotePrefix="0" xfId="61889">
      <alignment horizontal="center" vertical="center"/>
    </xf>
    <xf numFmtId="3" fontId="341" fillId="2" borderId="9" applyAlignment="1" pivotButton="0" quotePrefix="0" xfId="61889">
      <alignment horizontal="center" vertical="center"/>
    </xf>
    <xf numFmtId="0" fontId="19" fillId="2" borderId="5" applyAlignment="1" pivotButton="0" quotePrefix="0" xfId="61889">
      <alignment horizontal="center" vertical="center"/>
    </xf>
    <xf numFmtId="3" fontId="341" fillId="2" borderId="7" applyAlignment="1" pivotButton="0" quotePrefix="0" xfId="61889">
      <alignment horizontal="center" vertical="center"/>
    </xf>
    <xf numFmtId="0" fontId="19" fillId="6" borderId="120" applyAlignment="1" pivotButton="0" quotePrefix="0" xfId="61889">
      <alignment horizontal="center" vertical="center"/>
    </xf>
    <xf numFmtId="0" fontId="19" fillId="6" borderId="121" applyAlignment="1" pivotButton="0" quotePrefix="0" xfId="61889">
      <alignment horizontal="center" vertical="center"/>
    </xf>
    <xf numFmtId="0" fontId="33" fillId="0" borderId="21" applyAlignment="1" pivotButton="0" quotePrefix="0" xfId="0">
      <alignment horizontal="center" vertical="center"/>
    </xf>
    <xf numFmtId="190" fontId="33" fillId="0" borderId="21" applyAlignment="1" pivotButton="0" quotePrefix="0" xfId="6">
      <alignment horizontal="right" vertical="center"/>
    </xf>
    <xf numFmtId="0" fontId="33" fillId="0" borderId="21" applyAlignment="1" pivotButton="0" quotePrefix="0" xfId="0">
      <alignment horizontal="right" vertical="center"/>
    </xf>
    <xf numFmtId="37" fontId="33" fillId="0" borderId="21" applyAlignment="1" pivotButton="0" quotePrefix="0" xfId="0">
      <alignment vertical="center"/>
    </xf>
    <xf numFmtId="10" fontId="33" fillId="0" borderId="21" applyAlignment="1" pivotButton="0" quotePrefix="0" xfId="2">
      <alignment horizontal="center" vertical="center"/>
    </xf>
    <xf numFmtId="3" fontId="33" fillId="0" borderId="21" applyAlignment="1" pivotButton="0" quotePrefix="0" xfId="6">
      <alignment horizontal="center" vertical="center"/>
    </xf>
    <xf numFmtId="9" fontId="33" fillId="0" borderId="0" applyAlignment="1" pivotButton="0" quotePrefix="0" xfId="2">
      <alignment vertical="center"/>
    </xf>
    <xf numFmtId="0" fontId="33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vertical="center"/>
    </xf>
    <xf numFmtId="190" fontId="33" fillId="0" borderId="0" applyAlignment="1" pivotButton="0" quotePrefix="0" xfId="0">
      <alignment vertical="center"/>
    </xf>
    <xf numFmtId="0" fontId="35" fillId="0" borderId="0" applyAlignment="1" pivotButton="0" quotePrefix="0" xfId="0">
      <alignment horizontal="center" vertical="center"/>
    </xf>
    <xf numFmtId="190" fontId="35" fillId="0" borderId="0" applyAlignment="1" pivotButton="0" quotePrefix="0" xfId="6">
      <alignment vertical="center"/>
    </xf>
    <xf numFmtId="37" fontId="35" fillId="0" borderId="0" applyAlignment="1" pivotButton="0" quotePrefix="0" xfId="6">
      <alignment vertical="center"/>
    </xf>
    <xf numFmtId="10" fontId="35" fillId="0" borderId="0" applyAlignment="1" pivotButton="0" quotePrefix="0" xfId="2">
      <alignment horizontal="center" vertical="center"/>
    </xf>
    <xf numFmtId="3" fontId="35" fillId="0" borderId="0" applyAlignment="1" pivotButton="0" quotePrefix="0" xfId="6">
      <alignment horizontal="center" vertical="center"/>
    </xf>
    <xf numFmtId="9" fontId="35" fillId="0" borderId="0" applyAlignment="1" pivotButton="0" quotePrefix="0" xfId="2">
      <alignment vertical="center"/>
    </xf>
    <xf numFmtId="0" fontId="33" fillId="0" borderId="22" applyAlignment="1" pivotButton="0" quotePrefix="0" xfId="0">
      <alignment horizontal="center" vertical="center"/>
    </xf>
    <xf numFmtId="0" fontId="33" fillId="0" borderId="24" applyAlignment="1" pivotButton="0" quotePrefix="0" xfId="0">
      <alignment horizontal="center" vertical="center"/>
    </xf>
    <xf numFmtId="0" fontId="33" fillId="0" borderId="25" applyAlignment="1" pivotButton="0" quotePrefix="0" xfId="0">
      <alignment horizontal="center" vertical="center"/>
    </xf>
    <xf numFmtId="10" fontId="35" fillId="0" borderId="0" applyAlignment="1" pivotButton="0" quotePrefix="0" xfId="2">
      <alignment horizontal="center" vertical="center"/>
    </xf>
    <xf numFmtId="37" fontId="35" fillId="0" borderId="0" applyAlignment="1" pivotButton="0" quotePrefix="0" xfId="0">
      <alignment horizontal="center" vertical="center"/>
    </xf>
    <xf numFmtId="37" fontId="35" fillId="0" borderId="26" applyAlignment="1" pivotButton="0" quotePrefix="0" xfId="0">
      <alignment horizontal="center" vertical="center"/>
    </xf>
    <xf numFmtId="0" fontId="35" fillId="0" borderId="0" applyAlignment="1" pivotButton="0" quotePrefix="0" xfId="0">
      <alignment vertical="center"/>
    </xf>
    <xf numFmtId="0" fontId="33" fillId="0" borderId="27" applyAlignment="1" pivotButton="0" quotePrefix="0" xfId="0">
      <alignment horizontal="center" vertical="center"/>
    </xf>
    <xf numFmtId="0" fontId="35" fillId="0" borderId="28" applyAlignment="1" pivotButton="0" quotePrefix="0" xfId="0">
      <alignment horizontal="center" vertical="center"/>
    </xf>
    <xf numFmtId="10" fontId="35" fillId="0" borderId="28" applyAlignment="1" pivotButton="0" quotePrefix="0" xfId="2">
      <alignment horizontal="center" vertical="center"/>
    </xf>
    <xf numFmtId="37" fontId="35" fillId="0" borderId="28" applyAlignment="1" pivotButton="0" quotePrefix="0" xfId="0">
      <alignment horizontal="center" vertical="center"/>
    </xf>
    <xf numFmtId="37" fontId="35" fillId="0" borderId="29" applyAlignment="1" pivotButton="0" quotePrefix="0" xfId="0">
      <alignment horizontal="center" vertical="center"/>
    </xf>
    <xf numFmtId="10" fontId="33" fillId="0" borderId="0" applyAlignment="1" pivotButton="0" quotePrefix="0" xfId="2">
      <alignment horizontal="center" vertical="center"/>
    </xf>
    <xf numFmtId="37" fontId="33" fillId="0" borderId="0" applyAlignment="1" pivotButton="0" quotePrefix="0" xfId="0">
      <alignment horizontal="center" vertical="center"/>
    </xf>
    <xf numFmtId="37" fontId="33" fillId="0" borderId="26" applyAlignment="1" pivotButton="0" quotePrefix="0" xfId="0">
      <alignment horizontal="center" vertical="center"/>
    </xf>
    <xf numFmtId="0" fontId="33" fillId="0" borderId="30" applyAlignment="1" pivotButton="0" quotePrefix="0" xfId="0">
      <alignment horizontal="center" vertical="center"/>
    </xf>
    <xf numFmtId="0" fontId="35" fillId="0" borderId="14" applyAlignment="1" pivotButton="0" quotePrefix="0" xfId="0">
      <alignment horizontal="center" vertical="center"/>
    </xf>
    <xf numFmtId="10" fontId="35" fillId="0" borderId="14" applyAlignment="1" pivotButton="0" quotePrefix="0" xfId="2">
      <alignment horizontal="center" vertical="center"/>
    </xf>
    <xf numFmtId="37" fontId="35" fillId="0" borderId="14" applyAlignment="1" pivotButton="0" quotePrefix="0" xfId="0">
      <alignment horizontal="center" vertical="center"/>
    </xf>
    <xf numFmtId="37" fontId="35" fillId="0" borderId="31" applyAlignment="1" pivotButton="0" quotePrefix="0" xfId="0">
      <alignment horizontal="center" vertical="center"/>
    </xf>
    <xf numFmtId="10" fontId="33" fillId="0" borderId="28" applyAlignment="1" pivotButton="0" quotePrefix="0" xfId="2">
      <alignment horizontal="center" vertical="center"/>
    </xf>
    <xf numFmtId="37" fontId="33" fillId="0" borderId="29" applyAlignment="1" pivotButton="0" quotePrefix="0" xfId="0">
      <alignment horizontal="center" vertical="center"/>
    </xf>
    <xf numFmtId="10" fontId="33" fillId="0" borderId="14" applyAlignment="1" pivotButton="0" quotePrefix="0" xfId="2">
      <alignment horizontal="center" vertical="center"/>
    </xf>
    <xf numFmtId="37" fontId="33" fillId="0" borderId="31" applyAlignment="1" pivotButton="0" quotePrefix="0" xfId="0">
      <alignment horizontal="center" vertical="center"/>
    </xf>
    <xf numFmtId="37" fontId="35" fillId="0" borderId="0" applyAlignment="1" pivotButton="0" quotePrefix="0" xfId="0">
      <alignment vertical="center"/>
    </xf>
    <xf numFmtId="0" fontId="33" fillId="0" borderId="32" applyAlignment="1" pivotButton="0" quotePrefix="0" xfId="0">
      <alignment horizontal="left" vertical="center"/>
    </xf>
    <xf numFmtId="0" fontId="33" fillId="0" borderId="33" applyAlignment="1" pivotButton="0" quotePrefix="0" xfId="0">
      <alignment horizontal="center" vertical="center"/>
    </xf>
    <xf numFmtId="10" fontId="33" fillId="0" borderId="33" applyAlignment="1" pivotButton="0" quotePrefix="0" xfId="2">
      <alignment horizontal="center" vertical="center"/>
    </xf>
    <xf numFmtId="37" fontId="33" fillId="0" borderId="33" applyAlignment="1" pivotButton="0" quotePrefix="0" xfId="0">
      <alignment horizontal="center" vertical="center"/>
    </xf>
    <xf numFmtId="37" fontId="33" fillId="0" borderId="34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1" fontId="35" fillId="0" borderId="0" pivotButton="0" quotePrefix="0" xfId="0"/>
    <xf numFmtId="190" fontId="33" fillId="0" borderId="35" applyAlignment="1" pivotButton="0" quotePrefix="0" xfId="6">
      <alignment vertical="center"/>
    </xf>
    <xf numFmtId="10" fontId="33" fillId="0" borderId="35" applyAlignment="1" pivotButton="0" quotePrefix="0" xfId="2">
      <alignment horizontal="center" vertical="center"/>
    </xf>
    <xf numFmtId="37" fontId="33" fillId="0" borderId="35" applyAlignment="1" pivotButton="0" quotePrefix="0" xfId="6">
      <alignment horizontal="center" vertical="center"/>
    </xf>
    <xf numFmtId="164" fontId="35" fillId="0" borderId="16" applyAlignment="1" pivotButton="0" quotePrefix="0" xfId="0">
      <alignment horizontal="center" vertical="center"/>
    </xf>
    <xf numFmtId="164" fontId="346" fillId="0" borderId="16" applyAlignment="1" pivotButton="0" quotePrefix="0" xfId="0">
      <alignment horizontal="center" vertical="center"/>
    </xf>
    <xf numFmtId="164" fontId="35" fillId="0" borderId="12" applyAlignment="1" pivotButton="0" quotePrefix="0" xfId="0">
      <alignment horizontal="center" vertical="center"/>
    </xf>
    <xf numFmtId="164" fontId="35" fillId="0" borderId="12" applyAlignment="1" pivotButton="0" quotePrefix="0" xfId="1">
      <alignment horizontal="center" vertical="center"/>
    </xf>
    <xf numFmtId="164" fontId="346" fillId="0" borderId="12" applyAlignment="1" pivotButton="0" quotePrefix="0" xfId="0">
      <alignment horizontal="center" vertical="center"/>
    </xf>
    <xf numFmtId="164" fontId="35" fillId="0" borderId="13" applyAlignment="1" pivotButton="0" quotePrefix="0" xfId="0">
      <alignment horizontal="center" vertical="center"/>
    </xf>
    <xf numFmtId="164" fontId="346" fillId="0" borderId="13" applyAlignment="1" pivotButton="0" quotePrefix="0" xfId="0">
      <alignment horizontal="center" vertical="center"/>
    </xf>
    <xf numFmtId="164" fontId="33" fillId="0" borderId="13" applyAlignment="1" pivotButton="0" quotePrefix="0" xfId="0">
      <alignment horizontal="center" vertical="center"/>
    </xf>
    <xf numFmtId="3" fontId="2" fillId="0" borderId="0" applyAlignment="1" pivotButton="0" quotePrefix="0" xfId="61889">
      <alignment horizontal="center" vertical="center"/>
    </xf>
    <xf numFmtId="164" fontId="42" fillId="0" borderId="25" applyAlignment="1" pivotButton="0" quotePrefix="0" xfId="1">
      <alignment horizontal="center" vertical="center"/>
    </xf>
    <xf numFmtId="164" fontId="42" fillId="0" borderId="0" applyAlignment="1" pivotButton="0" quotePrefix="0" xfId="1">
      <alignment horizontal="center" vertical="center"/>
    </xf>
    <xf numFmtId="164" fontId="38" fillId="0" borderId="27" applyAlignment="1" pivotButton="0" quotePrefix="0" xfId="1">
      <alignment horizontal="center" vertical="center"/>
    </xf>
    <xf numFmtId="164" fontId="38" fillId="0" borderId="28" applyAlignment="1" pivotButton="0" quotePrefix="0" xfId="1">
      <alignment horizontal="center" vertical="center"/>
    </xf>
    <xf numFmtId="164" fontId="38" fillId="13" borderId="48" applyAlignment="1" pivotButton="0" quotePrefix="0" xfId="1">
      <alignment horizontal="center" vertical="center"/>
    </xf>
    <xf numFmtId="164" fontId="38" fillId="13" borderId="0" applyAlignment="1" pivotButton="0" quotePrefix="0" xfId="1">
      <alignment horizontal="center" vertical="center"/>
    </xf>
    <xf numFmtId="164" fontId="38" fillId="8" borderId="21" applyAlignment="1" pivotButton="0" quotePrefix="0" xfId="1">
      <alignment horizontal="center" vertical="center"/>
    </xf>
    <xf numFmtId="188" fontId="38" fillId="13" borderId="36" applyAlignment="1" pivotButton="0" quotePrefix="0" xfId="0">
      <alignment horizontal="center" vertical="center"/>
    </xf>
    <xf numFmtId="188" fontId="38" fillId="13" borderId="48" applyAlignment="1" pivotButton="0" quotePrefix="0" xfId="0">
      <alignment horizontal="center" vertical="center"/>
    </xf>
    <xf numFmtId="188" fontId="38" fillId="13" borderId="25" applyAlignment="1" pivotButton="0" quotePrefix="0" xfId="0">
      <alignment horizontal="center" vertical="center"/>
    </xf>
    <xf numFmtId="188" fontId="38" fillId="13" borderId="0" applyAlignment="1" pivotButton="0" quotePrefix="0" xfId="0">
      <alignment horizontal="center" vertical="center"/>
    </xf>
    <xf numFmtId="188" fontId="38" fillId="13" borderId="38" applyAlignment="1" pivotButton="0" quotePrefix="0" xfId="0">
      <alignment horizontal="center" vertical="center"/>
    </xf>
    <xf numFmtId="188" fontId="38" fillId="13" borderId="21" applyAlignment="1" pivotButton="0" quotePrefix="0" xfId="0">
      <alignment horizontal="center" vertical="center"/>
    </xf>
    <xf numFmtId="3" fontId="356" fillId="0" borderId="124" applyAlignment="1" pivotButton="0" quotePrefix="0" xfId="61889">
      <alignment horizontal="center" vertical="center"/>
    </xf>
    <xf numFmtId="3" fontId="356" fillId="0" borderId="2" applyAlignment="1" pivotButton="0" quotePrefix="0" xfId="61889">
      <alignment horizontal="center" vertical="center"/>
    </xf>
    <xf numFmtId="3" fontId="351" fillId="0" borderId="18" applyAlignment="1" pivotButton="0" quotePrefix="0" xfId="61889">
      <alignment horizontal="center" vertical="center"/>
    </xf>
    <xf numFmtId="3" fontId="351" fillId="0" borderId="19" applyAlignment="1" pivotButton="0" quotePrefix="0" xfId="61889">
      <alignment horizontal="center" vertical="center"/>
    </xf>
    <xf numFmtId="3" fontId="341" fillId="3" borderId="125" applyAlignment="1" pivotButton="0" quotePrefix="0" xfId="61889">
      <alignment horizontal="center" vertical="center"/>
    </xf>
    <xf numFmtId="3" fontId="356" fillId="2" borderId="124" applyAlignment="1" pivotButton="0" quotePrefix="0" xfId="61889">
      <alignment horizontal="center" vertical="center"/>
    </xf>
    <xf numFmtId="3" fontId="356" fillId="2" borderId="2" applyAlignment="1" pivotButton="0" quotePrefix="0" xfId="61889">
      <alignment horizontal="center" vertical="center"/>
    </xf>
    <xf numFmtId="3" fontId="351" fillId="2" borderId="18" applyAlignment="1" pivotButton="0" quotePrefix="0" xfId="61889">
      <alignment horizontal="center" vertical="center"/>
    </xf>
    <xf numFmtId="3" fontId="351" fillId="2" borderId="19" applyAlignment="1" pivotButton="0" quotePrefix="0" xfId="61889">
      <alignment horizontal="center" vertical="center"/>
    </xf>
    <xf numFmtId="0" fontId="35" fillId="0" borderId="0" applyAlignment="1" pivotButton="0" quotePrefix="0" xfId="0">
      <alignment horizontal="left" vertical="center"/>
    </xf>
    <xf numFmtId="167" fontId="0" fillId="0" borderId="13" applyAlignment="1" pivotButton="0" quotePrefix="0" xfId="4">
      <alignment horizontal="center" vertical="center"/>
    </xf>
    <xf numFmtId="191" fontId="24" fillId="0" borderId="0" applyAlignment="1" pivotButton="0" quotePrefix="0" xfId="3">
      <alignment horizontal="center" vertical="center"/>
    </xf>
    <xf numFmtId="191" fontId="1" fillId="0" borderId="0" applyAlignment="1" pivotButton="0" quotePrefix="0" xfId="3">
      <alignment horizontal="center" vertical="center"/>
    </xf>
    <xf numFmtId="3" fontId="337" fillId="0" borderId="12" applyAlignment="1" pivotButton="0" quotePrefix="0" xfId="4">
      <alignment horizontal="center" vertical="center"/>
    </xf>
    <xf numFmtId="167" fontId="337" fillId="0" borderId="12" applyAlignment="1" pivotButton="0" quotePrefix="0" xfId="3">
      <alignment horizontal="center" vertical="center"/>
    </xf>
    <xf numFmtId="167" fontId="337" fillId="0" borderId="105" applyAlignment="1" pivotButton="0" quotePrefix="0" xfId="4">
      <alignment horizontal="center" vertical="center"/>
    </xf>
    <xf numFmtId="3" fontId="46" fillId="0" borderId="12" applyAlignment="1" pivotButton="0" quotePrefix="0" xfId="4">
      <alignment horizontal="center" vertical="center"/>
    </xf>
    <xf numFmtId="4" fontId="46" fillId="0" borderId="12" applyAlignment="1" pivotButton="0" quotePrefix="0" xfId="4">
      <alignment horizontal="center" vertical="center"/>
    </xf>
    <xf numFmtId="167" fontId="46" fillId="0" borderId="8" applyAlignment="1" pivotButton="0" quotePrefix="0" xfId="4">
      <alignment horizontal="center" vertical="center"/>
    </xf>
    <xf numFmtId="3" fontId="46" fillId="0" borderId="8" applyAlignment="1" pivotButton="0" quotePrefix="0" xfId="4">
      <alignment horizontal="center" vertical="center"/>
    </xf>
    <xf numFmtId="165" fontId="23" fillId="0" borderId="0" pivotButton="0" quotePrefix="0" xfId="1"/>
    <xf numFmtId="165" fontId="33" fillId="0" borderId="0" pivotButton="0" quotePrefix="0" xfId="1"/>
    <xf numFmtId="165" fontId="33" fillId="0" borderId="0" applyAlignment="1" pivotButton="0" quotePrefix="0" xfId="1">
      <alignment horizontal="right"/>
    </xf>
    <xf numFmtId="167" fontId="359" fillId="0" borderId="12" applyAlignment="1" pivotButton="0" quotePrefix="0" xfId="3">
      <alignment horizontal="center" vertical="center"/>
    </xf>
    <xf numFmtId="14" fontId="360" fillId="13" borderId="9" applyAlignment="1" pivotButton="0" quotePrefix="0" xfId="0">
      <alignment horizontal="center" vertical="center"/>
    </xf>
    <xf numFmtId="14" fontId="360" fillId="13" borderId="0" applyAlignment="1" pivotButton="0" quotePrefix="0" xfId="0">
      <alignment horizontal="center" vertical="center"/>
    </xf>
    <xf numFmtId="10" fontId="360" fillId="13" borderId="9" applyAlignment="1" pivotButton="0" quotePrefix="0" xfId="2">
      <alignment horizontal="center"/>
    </xf>
    <xf numFmtId="164" fontId="360" fillId="13" borderId="9" pivotButton="0" quotePrefix="0" xfId="1"/>
    <xf numFmtId="165" fontId="360" fillId="13" borderId="9" pivotButton="0" quotePrefix="0" xfId="1"/>
    <xf numFmtId="3" fontId="358" fillId="0" borderId="13" applyAlignment="1" pivotButton="0" quotePrefix="0" xfId="4">
      <alignment horizontal="center" vertical="center"/>
    </xf>
    <xf numFmtId="40" fontId="35" fillId="0" borderId="0" applyAlignment="1" applyProtection="1" pivotButton="0" quotePrefix="0" xfId="14">
      <alignment horizontal="center" vertical="center"/>
      <protection locked="0" hidden="0"/>
    </xf>
    <xf numFmtId="165" fontId="18" fillId="6" borderId="1" applyAlignment="1" pivotButton="0" quotePrefix="0" xfId="1">
      <alignment horizontal="left"/>
    </xf>
    <xf numFmtId="4" fontId="26" fillId="0" borderId="105" applyAlignment="1" pivotButton="0" quotePrefix="0" xfId="3">
      <alignment horizontal="center" vertical="center"/>
    </xf>
    <xf numFmtId="167" fontId="363" fillId="0" borderId="12" applyAlignment="1" pivotButton="0" quotePrefix="0" xfId="3">
      <alignment horizontal="center" vertical="center"/>
    </xf>
    <xf numFmtId="164" fontId="128" fillId="0" borderId="0" applyAlignment="1" pivotButton="0" quotePrefix="0" xfId="61893">
      <alignment horizontal="right" indent="1"/>
    </xf>
    <xf numFmtId="164" fontId="129" fillId="0" borderId="0" applyAlignment="1" pivotButton="0" quotePrefix="0" xfId="61893">
      <alignment horizontal="right" indent="1"/>
    </xf>
    <xf numFmtId="164" fontId="129" fillId="0" borderId="0" pivotButton="0" quotePrefix="0" xfId="61893"/>
    <xf numFmtId="164" fontId="131" fillId="0" borderId="0" pivotButton="0" quotePrefix="0" xfId="61893"/>
    <xf numFmtId="164" fontId="129" fillId="0" borderId="0" pivotButton="0" quotePrefix="0" xfId="61893"/>
    <xf numFmtId="167" fontId="365" fillId="0" borderId="8" applyAlignment="1" pivotButton="0" quotePrefix="0" xfId="4">
      <alignment horizontal="center" vertical="center"/>
    </xf>
    <xf numFmtId="167" fontId="364" fillId="0" borderId="13" applyAlignment="1" pivotButton="0" quotePrefix="0" xfId="4">
      <alignment horizontal="center" vertical="center"/>
    </xf>
    <xf numFmtId="4" fontId="364" fillId="0" borderId="105" applyAlignment="1" pivotButton="0" quotePrefix="0" xfId="4">
      <alignment horizontal="center" vertical="center"/>
    </xf>
    <xf numFmtId="177" fontId="16" fillId="0" borderId="0" applyAlignment="1" pivotButton="0" quotePrefix="0" xfId="0">
      <alignment wrapText="1"/>
    </xf>
    <xf numFmtId="43" fontId="35" fillId="0" borderId="0" applyAlignment="1" pivotButton="0" quotePrefix="0" xfId="1">
      <alignment horizontal="center" vertical="center"/>
    </xf>
    <xf numFmtId="43" fontId="35" fillId="0" borderId="0" applyAlignment="1" pivotButton="0" quotePrefix="0" xfId="1">
      <alignment vertical="center"/>
    </xf>
    <xf numFmtId="192" fontId="35" fillId="0" borderId="0" applyAlignment="1" pivotButton="0" quotePrefix="0" xfId="1">
      <alignment vertical="center"/>
    </xf>
    <xf numFmtId="43" fontId="35" fillId="0" borderId="35" applyAlignment="1" pivotButton="0" quotePrefix="0" xfId="0">
      <alignment vertical="center"/>
    </xf>
    <xf numFmtId="43" fontId="35" fillId="0" borderId="0" applyAlignment="1" pivotButton="0" quotePrefix="0" xfId="0">
      <alignment vertical="center"/>
    </xf>
    <xf numFmtId="169" fontId="35" fillId="0" borderId="0" applyAlignment="1" pivotButton="0" quotePrefix="0" xfId="0">
      <alignment vertical="center"/>
    </xf>
    <xf numFmtId="3" fontId="356" fillId="0" borderId="58" applyAlignment="1" pivotButton="0" quotePrefix="0" xfId="61889">
      <alignment horizontal="center" vertical="center"/>
    </xf>
    <xf numFmtId="179" fontId="31" fillId="0" borderId="0" applyAlignment="1" pivotButton="0" quotePrefix="0" xfId="61894">
      <alignment horizontal="left"/>
    </xf>
    <xf numFmtId="179" fontId="128" fillId="0" borderId="0" applyAlignment="1" pivotButton="0" quotePrefix="0" xfId="61894">
      <alignment horizontal="left"/>
    </xf>
    <xf numFmtId="179" fontId="128" fillId="0" borderId="0" applyAlignment="1" pivotButton="0" quotePrefix="0" xfId="61894">
      <alignment horizontal="centerContinuous"/>
    </xf>
    <xf numFmtId="0" fontId="129" fillId="0" borderId="0" pivotButton="0" quotePrefix="0" xfId="61894"/>
    <xf numFmtId="179" fontId="128" fillId="0" borderId="0" applyAlignment="1" pivotButton="0" quotePrefix="0" xfId="61894">
      <alignment horizontal="right"/>
    </xf>
    <xf numFmtId="179" fontId="128" fillId="5" borderId="63" pivotButton="0" quotePrefix="0" xfId="61894"/>
    <xf numFmtId="179" fontId="128" fillId="5" borderId="63" applyAlignment="1" pivotButton="0" quotePrefix="0" xfId="61894">
      <alignment horizontal="left"/>
    </xf>
    <xf numFmtId="179" fontId="128" fillId="5" borderId="106" pivotButton="0" quotePrefix="0" xfId="61894"/>
    <xf numFmtId="179" fontId="128" fillId="5" borderId="56" applyAlignment="1" pivotButton="0" quotePrefix="0" xfId="61894">
      <alignment horizontal="center"/>
    </xf>
    <xf numFmtId="179" fontId="128" fillId="5" borderId="39" applyAlignment="1" pivotButton="0" quotePrefix="0" xfId="61894">
      <alignment horizontal="center"/>
    </xf>
    <xf numFmtId="179" fontId="129" fillId="0" borderId="42" applyAlignment="1" pivotButton="0" quotePrefix="0" xfId="61894">
      <alignment horizontal="left" indent="1"/>
    </xf>
    <xf numFmtId="38" fontId="129" fillId="0" borderId="6" pivotButton="0" quotePrefix="0" xfId="61892"/>
    <xf numFmtId="38" fontId="129" fillId="0" borderId="9" pivotButton="0" quotePrefix="0" xfId="61892"/>
    <xf numFmtId="38" fontId="129" fillId="0" borderId="26" pivotButton="0" quotePrefix="0" xfId="61892"/>
    <xf numFmtId="38" fontId="129" fillId="0" borderId="6" pivotButton="0" quotePrefix="0" xfId="61892"/>
    <xf numFmtId="38" fontId="129" fillId="0" borderId="9" pivotButton="0" quotePrefix="0" xfId="61892"/>
    <xf numFmtId="38" fontId="129" fillId="0" borderId="26" pivotButton="0" quotePrefix="0" xfId="61892"/>
    <xf numFmtId="38" fontId="129" fillId="0" borderId="67" pivotButton="0" quotePrefix="0" xfId="61892"/>
    <xf numFmtId="38" fontId="129" fillId="0" borderId="68" pivotButton="0" quotePrefix="0" xfId="61892"/>
    <xf numFmtId="38" fontId="129" fillId="0" borderId="11" pivotButton="0" quotePrefix="0" xfId="61892"/>
    <xf numFmtId="38" fontId="129" fillId="0" borderId="107" pivotButton="0" quotePrefix="0" xfId="61892"/>
    <xf numFmtId="179" fontId="128" fillId="0" borderId="42" applyAlignment="1" pivotButton="0" quotePrefix="0" xfId="61894">
      <alignment horizontal="left"/>
    </xf>
    <xf numFmtId="38" fontId="128" fillId="0" borderId="6" pivotButton="0" quotePrefix="0" xfId="61892"/>
    <xf numFmtId="38" fontId="128" fillId="0" borderId="9" pivotButton="0" quotePrefix="0" xfId="61892"/>
    <xf numFmtId="38" fontId="128" fillId="0" borderId="26" pivotButton="0" quotePrefix="0" xfId="61892"/>
    <xf numFmtId="38" fontId="129" fillId="0" borderId="0" pivotButton="0" quotePrefix="0" xfId="61894"/>
    <xf numFmtId="38" fontId="129" fillId="0" borderId="11" pivotButton="0" quotePrefix="0" xfId="61892"/>
    <xf numFmtId="38" fontId="129" fillId="0" borderId="67" pivotButton="0" quotePrefix="0" xfId="61892"/>
    <xf numFmtId="38" fontId="129" fillId="0" borderId="68" pivotButton="0" quotePrefix="0" xfId="61892"/>
    <xf numFmtId="38" fontId="129" fillId="0" borderId="107" pivotButton="0" quotePrefix="0" xfId="61892"/>
    <xf numFmtId="179" fontId="128" fillId="0" borderId="42" pivotButton="0" quotePrefix="0" xfId="61894"/>
    <xf numFmtId="38" fontId="128" fillId="0" borderId="67" pivotButton="0" quotePrefix="0" xfId="61892"/>
    <xf numFmtId="38" fontId="128" fillId="0" borderId="9" pivotButton="0" quotePrefix="0" xfId="61892"/>
    <xf numFmtId="38" fontId="128" fillId="0" borderId="26" pivotButton="0" quotePrefix="0" xfId="61892"/>
    <xf numFmtId="179" fontId="128" fillId="0" borderId="41" pivotButton="0" quotePrefix="0" xfId="61894"/>
    <xf numFmtId="38" fontId="128" fillId="0" borderId="69" pivotButton="0" quotePrefix="0" xfId="61892"/>
    <xf numFmtId="38" fontId="128" fillId="0" borderId="8" pivotButton="0" quotePrefix="0" xfId="61892"/>
    <xf numFmtId="38" fontId="128" fillId="0" borderId="29" pivotButton="0" quotePrefix="0" xfId="61892"/>
    <xf numFmtId="179" fontId="130" fillId="0" borderId="49" applyAlignment="1" pivotButton="0" quotePrefix="0" xfId="61894">
      <alignment horizontal="left"/>
    </xf>
    <xf numFmtId="38" fontId="130" fillId="0" borderId="70" pivotButton="0" quotePrefix="0" xfId="61892"/>
    <xf numFmtId="38" fontId="130" fillId="0" borderId="71" pivotButton="0" quotePrefix="0" xfId="61892"/>
    <xf numFmtId="38" fontId="130" fillId="0" borderId="39" pivotButton="0" quotePrefix="0" xfId="61892"/>
    <xf numFmtId="0" fontId="129" fillId="0" borderId="0" applyAlignment="1" pivotButton="0" quotePrefix="0" xfId="61894">
      <alignment horizontal="left" indent="1"/>
    </xf>
    <xf numFmtId="0" fontId="129" fillId="4" borderId="0" applyAlignment="1" pivotButton="0" quotePrefix="0" xfId="61894">
      <alignment horizontal="left" indent="1"/>
    </xf>
    <xf numFmtId="38" fontId="129" fillId="4" borderId="0" pivotButton="0" quotePrefix="0" xfId="61894"/>
    <xf numFmtId="0" fontId="129" fillId="14" borderId="0" applyAlignment="1" pivotButton="0" quotePrefix="0" xfId="61894">
      <alignment horizontal="left" indent="1"/>
    </xf>
    <xf numFmtId="38" fontId="129" fillId="14" borderId="0" pivotButton="0" quotePrefix="0" xfId="61894"/>
    <xf numFmtId="0" fontId="129" fillId="9" borderId="0" applyAlignment="1" pivotButton="0" quotePrefix="0" xfId="61894">
      <alignment horizontal="left" indent="1"/>
    </xf>
    <xf numFmtId="38" fontId="129" fillId="9" borderId="0" pivotButton="0" quotePrefix="0" xfId="61894"/>
    <xf numFmtId="0" fontId="129" fillId="20" borderId="0" applyAlignment="1" pivotButton="0" quotePrefix="0" xfId="61894">
      <alignment horizontal="right" indent="1"/>
    </xf>
    <xf numFmtId="38" fontId="129" fillId="20" borderId="0" pivotButton="0" quotePrefix="0" xfId="61894"/>
    <xf numFmtId="0" fontId="32" fillId="0" borderId="0" pivotButton="0" quotePrefix="0" xfId="59965"/>
    <xf numFmtId="193" fontId="32" fillId="0" borderId="0" pivotButton="0" quotePrefix="0" xfId="59965"/>
    <xf numFmtId="38" fontId="32" fillId="0" borderId="0" pivotButton="0" quotePrefix="0" xfId="59965"/>
    <xf numFmtId="193" fontId="32" fillId="0" borderId="15" pivotButton="0" quotePrefix="0" xfId="59965"/>
    <xf numFmtId="43" fontId="129" fillId="0" borderId="0" pivotButton="0" quotePrefix="0" xfId="1"/>
    <xf numFmtId="14" fontId="16" fillId="96" borderId="8" applyAlignment="1" pivotButton="0" quotePrefix="0" xfId="0">
      <alignment horizontal="center" vertical="center"/>
    </xf>
    <xf numFmtId="0" fontId="19" fillId="6" borderId="37" applyAlignment="1" pivotButton="0" quotePrefix="0" xfId="61889">
      <alignment horizontal="center" vertical="center"/>
    </xf>
    <xf numFmtId="0" fontId="19" fillId="6" borderId="39" applyAlignment="1" pivotButton="0" quotePrefix="0" xfId="61889">
      <alignment horizontal="center" vertical="center"/>
    </xf>
    <xf numFmtId="3" fontId="356" fillId="0" borderId="106" applyAlignment="1" pivotButton="0" quotePrefix="0" xfId="61889">
      <alignment horizontal="center" vertical="center"/>
    </xf>
    <xf numFmtId="3" fontId="356" fillId="0" borderId="126" applyAlignment="1" pivotButton="0" quotePrefix="0" xfId="61889">
      <alignment horizontal="center" vertical="center"/>
    </xf>
    <xf numFmtId="3" fontId="351" fillId="0" borderId="26" applyAlignment="1" pivotButton="0" quotePrefix="0" xfId="61889">
      <alignment horizontal="center" vertical="center"/>
    </xf>
    <xf numFmtId="3" fontId="351" fillId="0" borderId="31" applyAlignment="1" pivotButton="0" quotePrefix="0" xfId="61889">
      <alignment horizontal="center" vertical="center"/>
    </xf>
    <xf numFmtId="3" fontId="341" fillId="3" borderId="108" applyAlignment="1" pivotButton="0" quotePrefix="0" xfId="61889">
      <alignment horizontal="center" vertical="center"/>
    </xf>
    <xf numFmtId="3" fontId="356" fillId="2" borderId="106" applyAlignment="1" pivotButton="0" quotePrefix="0" xfId="61889">
      <alignment horizontal="center" vertical="center"/>
    </xf>
    <xf numFmtId="3" fontId="356" fillId="2" borderId="126" applyAlignment="1" pivotButton="0" quotePrefix="0" xfId="61889">
      <alignment horizontal="center" vertical="center"/>
    </xf>
    <xf numFmtId="3" fontId="351" fillId="2" borderId="26" applyAlignment="1" pivotButton="0" quotePrefix="0" xfId="61889">
      <alignment horizontal="center" vertical="center"/>
    </xf>
    <xf numFmtId="3" fontId="351" fillId="2" borderId="31" applyAlignment="1" pivotButton="0" quotePrefix="0" xfId="61889">
      <alignment horizontal="center" vertical="center"/>
    </xf>
    <xf numFmtId="190" fontId="35" fillId="0" borderId="0" applyAlignment="1" pivotButton="0" quotePrefix="0" xfId="1">
      <alignment vertical="center"/>
    </xf>
    <xf numFmtId="164" fontId="35" fillId="0" borderId="0" applyAlignment="1" pivotButton="0" quotePrefix="0" xfId="1">
      <alignment vertical="center"/>
    </xf>
    <xf numFmtId="14" fontId="35" fillId="0" borderId="0" applyAlignment="1" pivotButton="0" quotePrefix="0" xfId="6">
      <alignment horizontal="center" vertical="center"/>
    </xf>
    <xf numFmtId="164" fontId="35" fillId="0" borderId="0" applyAlignment="1" pivotButton="0" quotePrefix="0" xfId="1">
      <alignment horizontal="center" vertical="center"/>
    </xf>
    <xf numFmtId="190" fontId="35" fillId="0" borderId="0" applyAlignment="1" pivotButton="0" quotePrefix="0" xfId="0">
      <alignment horizontal="center" vertical="center"/>
    </xf>
    <xf numFmtId="190" fontId="35" fillId="0" borderId="0" applyAlignment="1" pivotButton="0" quotePrefix="0" xfId="0">
      <alignment vertical="center"/>
    </xf>
    <xf numFmtId="0" fontId="366" fillId="0" borderId="45" applyAlignment="1" pivotButton="0" quotePrefix="0" xfId="61889">
      <alignment horizontal="center" vertical="center"/>
    </xf>
    <xf numFmtId="0" fontId="366" fillId="0" borderId="25" applyAlignment="1" pivotButton="0" quotePrefix="0" xfId="61889">
      <alignment horizontal="center" vertical="center"/>
    </xf>
    <xf numFmtId="0" fontId="366" fillId="0" borderId="30" applyAlignment="1" pivotButton="0" quotePrefix="0" xfId="61889">
      <alignment horizontal="center" vertical="center"/>
    </xf>
    <xf numFmtId="43" fontId="35" fillId="0" borderId="0" applyAlignment="1" pivotButton="0" quotePrefix="0" xfId="1">
      <alignment horizontal="center" vertical="center"/>
    </xf>
    <xf numFmtId="0" fontId="33" fillId="0" borderId="35" applyAlignment="1" pivotButton="0" quotePrefix="0" xfId="0">
      <alignment horizontal="left" vertical="center"/>
    </xf>
    <xf numFmtId="0" fontId="33" fillId="0" borderId="35" applyAlignment="1" pivotButton="0" quotePrefix="0" xfId="0">
      <alignment horizontal="center" vertical="center"/>
    </xf>
    <xf numFmtId="43" fontId="33" fillId="0" borderId="35" applyAlignment="1" pivotButton="0" quotePrefix="0" xfId="2">
      <alignment horizontal="center" vertical="center"/>
    </xf>
    <xf numFmtId="4" fontId="340" fillId="0" borderId="76" applyAlignment="1" pivotButton="0" quotePrefix="0" xfId="59897">
      <alignment horizontal="center" vertical="center"/>
    </xf>
    <xf numFmtId="194" fontId="26" fillId="0" borderId="0" applyAlignment="1" pivotButton="0" quotePrefix="0" xfId="3">
      <alignment horizontal="center" vertical="center"/>
    </xf>
    <xf numFmtId="195" fontId="26" fillId="0" borderId="0" applyAlignment="1" pivotButton="0" quotePrefix="0" xfId="3">
      <alignment horizontal="center" vertical="center"/>
    </xf>
    <xf numFmtId="10" fontId="33" fillId="0" borderId="21" applyAlignment="1" pivotButton="0" quotePrefix="0" xfId="2">
      <alignment horizontal="center" vertical="center" wrapText="1"/>
    </xf>
    <xf numFmtId="43" fontId="33" fillId="0" borderId="21" applyAlignment="1" pivotButton="0" quotePrefix="0" xfId="1">
      <alignment horizontal="center" vertical="center"/>
    </xf>
    <xf numFmtId="164" fontId="35" fillId="0" borderId="0" applyAlignment="1" pivotButton="0" quotePrefix="0" xfId="1">
      <alignment vertical="center"/>
    </xf>
    <xf numFmtId="14" fontId="35" fillId="0" borderId="0" applyAlignment="1" pivotButton="0" quotePrefix="0" xfId="6">
      <alignment horizontal="center" vertical="center"/>
    </xf>
    <xf numFmtId="164" fontId="33" fillId="0" borderId="35" applyAlignment="1" pivotButton="0" quotePrefix="0" xfId="1">
      <alignment vertical="center"/>
    </xf>
    <xf numFmtId="14" fontId="33" fillId="0" borderId="0" applyAlignment="1" pivotButton="0" quotePrefix="0" xfId="6">
      <alignment horizontal="center" vertical="center"/>
    </xf>
    <xf numFmtId="0" fontId="33" fillId="0" borderId="21" applyAlignment="1" pivotButton="0" quotePrefix="0" xfId="0">
      <alignment horizontal="left" vertical="center"/>
    </xf>
    <xf numFmtId="196" fontId="35" fillId="0" borderId="21" applyAlignment="1" pivotButton="0" quotePrefix="0" xfId="1">
      <alignment horizontal="center" vertical="center"/>
    </xf>
    <xf numFmtId="197" fontId="35" fillId="0" borderId="21" applyAlignment="1" pivotButton="0" quotePrefix="0" xfId="0">
      <alignment vertical="center"/>
    </xf>
    <xf numFmtId="164" fontId="33" fillId="0" borderId="0" applyAlignment="1" pivotButton="0" quotePrefix="0" xfId="1">
      <alignment vertical="center"/>
    </xf>
    <xf numFmtId="198" fontId="35" fillId="0" borderId="0" applyAlignment="1" pivotButton="0" quotePrefix="0" xfId="0">
      <alignment horizontal="center" vertical="center"/>
    </xf>
    <xf numFmtId="1" fontId="35" fillId="0" borderId="0" applyAlignment="1" pivotButton="0" quotePrefix="0" xfId="0">
      <alignment vertical="center"/>
    </xf>
    <xf numFmtId="190" fontId="35" fillId="0" borderId="0" applyAlignment="1" pivotButton="0" quotePrefix="0" xfId="1">
      <alignment horizontal="center" vertical="center"/>
    </xf>
    <xf numFmtId="9" fontId="35" fillId="0" borderId="0" applyAlignment="1" pivotButton="0" quotePrefix="0" xfId="2">
      <alignment vertical="center"/>
    </xf>
    <xf numFmtId="190" fontId="35" fillId="0" borderId="0" applyAlignment="1" pivotButton="0" quotePrefix="0" xfId="1">
      <alignment horizontal="center" vertical="center"/>
    </xf>
    <xf numFmtId="190" fontId="35" fillId="0" borderId="35" applyAlignment="1" pivotButton="0" quotePrefix="0" xfId="0">
      <alignment horizontal="center" vertical="center"/>
    </xf>
    <xf numFmtId="190" fontId="35" fillId="0" borderId="35" applyAlignment="1" pivotButton="0" quotePrefix="0" xfId="0">
      <alignment vertical="center"/>
    </xf>
    <xf numFmtId="0" fontId="35" fillId="0" borderId="35" applyAlignment="1" pivotButton="0" quotePrefix="0" xfId="0">
      <alignment vertical="center"/>
    </xf>
    <xf numFmtId="0" fontId="195" fillId="0" borderId="0" applyAlignment="1" pivotButton="0" quotePrefix="0" xfId="61889">
      <alignment horizontal="left" vertical="center"/>
    </xf>
    <xf numFmtId="1" fontId="19" fillId="8" borderId="0" applyAlignment="1" pivotButton="0" quotePrefix="0" xfId="61889">
      <alignment horizontal="center" vertical="center"/>
    </xf>
    <xf numFmtId="0" fontId="19" fillId="0" borderId="0" applyAlignment="1" pivotButton="0" quotePrefix="0" xfId="61889">
      <alignment horizontal="left" vertical="center"/>
    </xf>
    <xf numFmtId="167" fontId="358" fillId="0" borderId="12" applyAlignment="1" pivotButton="0" quotePrefix="0" xfId="3">
      <alignment horizontal="center" vertical="center"/>
    </xf>
    <xf numFmtId="167" fontId="358" fillId="0" borderId="13" applyAlignment="1" pivotButton="0" quotePrefix="0" xfId="4">
      <alignment horizontal="center" vertical="center"/>
    </xf>
    <xf numFmtId="167" fontId="358" fillId="0" borderId="9" applyAlignment="1" pivotButton="0" quotePrefix="0" xfId="4">
      <alignment horizontal="center" vertical="center"/>
    </xf>
    <xf numFmtId="4" fontId="358" fillId="0" borderId="13" applyAlignment="1" pivotButton="0" quotePrefix="0" xfId="4">
      <alignment horizontal="center" vertical="center"/>
    </xf>
    <xf numFmtId="14" fontId="360" fillId="13" borderId="7" applyAlignment="1" pivotButton="0" quotePrefix="0" xfId="0">
      <alignment horizontal="center" vertical="center"/>
    </xf>
    <xf numFmtId="3" fontId="367" fillId="0" borderId="12" applyAlignment="1" pivotButton="0" quotePrefix="0" xfId="4">
      <alignment horizontal="center" vertical="center"/>
    </xf>
    <xf numFmtId="164" fontId="129" fillId="0" borderId="0" applyAlignment="1" pivotButton="0" quotePrefix="0" xfId="1">
      <alignment horizontal="right" indent="1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64" fontId="35" fillId="0" borderId="0" applyAlignment="1" pivotButton="0" quotePrefix="0" xfId="0">
      <alignment vertical="center"/>
    </xf>
    <xf numFmtId="179" fontId="128" fillId="5" borderId="64" applyAlignment="1" pivotButton="0" quotePrefix="0" xfId="61894">
      <alignment horizontal="center"/>
    </xf>
    <xf numFmtId="4" fontId="337" fillId="0" borderId="105" applyAlignment="1" pivotButton="0" quotePrefix="0" xfId="4">
      <alignment horizontal="center" vertical="center"/>
    </xf>
    <xf numFmtId="178" fontId="17" fillId="98" borderId="1" pivotButton="0" quotePrefix="0" xfId="0"/>
    <xf numFmtId="43" fontId="35" fillId="0" borderId="0" applyAlignment="1" pivotButton="0" quotePrefix="0" xfId="1">
      <alignment vertical="center"/>
    </xf>
    <xf numFmtId="43" fontId="33" fillId="0" borderId="0" applyAlignment="1" pivotButton="0" quotePrefix="0" xfId="1">
      <alignment vertical="center"/>
    </xf>
    <xf numFmtId="43" fontId="35" fillId="0" borderId="0" applyAlignment="1" pivotButton="0" quotePrefix="0" xfId="1">
      <alignment horizontal="center" vertical="center"/>
    </xf>
    <xf numFmtId="43" fontId="368" fillId="0" borderId="0" pivotButton="0" quotePrefix="0" xfId="1"/>
    <xf numFmtId="178" fontId="17" fillId="99" borderId="1" pivotButton="0" quotePrefix="0" xfId="0"/>
    <xf numFmtId="43" fontId="35" fillId="100" borderId="0" applyAlignment="1" pivotButton="0" quotePrefix="0" xfId="1">
      <alignment vertical="center"/>
    </xf>
    <xf numFmtId="3" fontId="356" fillId="8" borderId="63" applyAlignment="1" pivotButton="0" quotePrefix="0" xfId="61889">
      <alignment horizontal="center" vertical="center"/>
    </xf>
    <xf numFmtId="3" fontId="356" fillId="8" borderId="3" applyAlignment="1" pivotButton="0" quotePrefix="0" xfId="61889">
      <alignment horizontal="center" vertical="center"/>
    </xf>
    <xf numFmtId="3" fontId="351" fillId="8" borderId="0" applyAlignment="1" pivotButton="0" quotePrefix="0" xfId="61889">
      <alignment horizontal="center" vertical="center"/>
    </xf>
    <xf numFmtId="3" fontId="351" fillId="8" borderId="14" applyAlignment="1" pivotButton="0" quotePrefix="0" xfId="61889">
      <alignment horizontal="center" vertical="center"/>
    </xf>
    <xf numFmtId="0" fontId="16" fillId="0" borderId="14" applyAlignment="1" pivotButton="0" quotePrefix="0" xfId="0">
      <alignment horizontal="center" wrapText="1"/>
    </xf>
    <xf numFmtId="0" fontId="16" fillId="0" borderId="28" applyAlignment="1" pivotButton="0" quotePrefix="0" xfId="0">
      <alignment horizontal="center" wrapText="1"/>
    </xf>
    <xf numFmtId="0" fontId="16" fillId="0" borderId="0" applyAlignment="1" pivotButton="0" quotePrefix="0" xfId="0">
      <alignment horizontal="center" wrapText="1"/>
    </xf>
    <xf numFmtId="0" fontId="31" fillId="0" borderId="2" applyAlignment="1" pivotButton="0" quotePrefix="0" xfId="0">
      <alignment horizontal="center"/>
    </xf>
    <xf numFmtId="0" fontId="31" fillId="0" borderId="3" applyAlignment="1" pivotButton="0" quotePrefix="0" xfId="0">
      <alignment horizontal="center"/>
    </xf>
    <xf numFmtId="0" fontId="31" fillId="0" borderId="4" applyAlignment="1" pivotButton="0" quotePrefix="0" xfId="0">
      <alignment horizontal="center"/>
    </xf>
    <xf numFmtId="0" fontId="18" fillId="5" borderId="1" applyAlignment="1" pivotButton="0" quotePrefix="0" xfId="0">
      <alignment horizontal="center"/>
    </xf>
    <xf numFmtId="0" fontId="31" fillId="6" borderId="2" applyAlignment="1" pivotButton="0" quotePrefix="0" xfId="0">
      <alignment horizontal="center" vertical="center"/>
    </xf>
    <xf numFmtId="0" fontId="31" fillId="6" borderId="4" applyAlignment="1" pivotButton="0" quotePrefix="0" xfId="0">
      <alignment horizontal="center" vertical="center"/>
    </xf>
    <xf numFmtId="0" fontId="18" fillId="5" borderId="1" applyAlignment="1" pivotButton="0" quotePrefix="0" xfId="0">
      <alignment horizontal="center" wrapText="1"/>
    </xf>
    <xf numFmtId="0" fontId="31" fillId="5" borderId="1" applyAlignment="1" pivotButton="0" quotePrefix="0" xfId="0">
      <alignment horizontal="center"/>
    </xf>
    <xf numFmtId="0" fontId="31" fillId="0" borderId="14" applyAlignment="1" pivotButton="0" quotePrefix="0" xfId="0">
      <alignment horizontal="center" vertical="center"/>
    </xf>
    <xf numFmtId="0" fontId="31" fillId="0" borderId="5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0" fontId="31" fillId="0" borderId="6" applyAlignment="1" pivotButton="0" quotePrefix="0" xfId="0">
      <alignment horizontal="center" vertical="center"/>
    </xf>
    <xf numFmtId="0" fontId="18" fillId="6" borderId="1" applyAlignment="1" pivotButton="0" quotePrefix="0" xfId="0">
      <alignment horizontal="center" vertical="center"/>
    </xf>
    <xf numFmtId="0" fontId="38" fillId="18" borderId="36" applyAlignment="1" pivotButton="0" quotePrefix="0" xfId="0">
      <alignment horizontal="center" vertical="center"/>
    </xf>
    <xf numFmtId="0" fontId="38" fillId="18" borderId="37" applyAlignment="1" pivotButton="0" quotePrefix="0" xfId="0">
      <alignment horizontal="center" vertical="center"/>
    </xf>
    <xf numFmtId="0" fontId="38" fillId="18" borderId="38" applyAlignment="1" pivotButton="0" quotePrefix="0" xfId="0">
      <alignment horizontal="center" vertical="center"/>
    </xf>
    <xf numFmtId="0" fontId="38" fillId="18" borderId="39" applyAlignment="1" pivotButton="0" quotePrefix="0" xfId="0">
      <alignment horizontal="center" vertical="center"/>
    </xf>
    <xf numFmtId="0" fontId="38" fillId="18" borderId="22" applyAlignment="1" pivotButton="0" quotePrefix="0" xfId="0">
      <alignment horizontal="center" vertical="center"/>
    </xf>
    <xf numFmtId="0" fontId="38" fillId="18" borderId="23" applyAlignment="1" pivotButton="0" quotePrefix="0" xfId="0">
      <alignment horizontal="center" vertical="center"/>
    </xf>
    <xf numFmtId="0" fontId="38" fillId="18" borderId="24" applyAlignment="1" pivotButton="0" quotePrefix="0" xfId="0">
      <alignment horizontal="center" vertical="center"/>
    </xf>
    <xf numFmtId="0" fontId="19" fillId="6" borderId="112" applyAlignment="1" pivotButton="0" quotePrefix="0" xfId="61889">
      <alignment horizontal="center" vertical="center"/>
    </xf>
    <xf numFmtId="0" fontId="19" fillId="6" borderId="113" applyAlignment="1" pivotButton="0" quotePrefix="0" xfId="61889">
      <alignment horizontal="center" vertical="center"/>
    </xf>
    <xf numFmtId="0" fontId="19" fillId="3" borderId="43" applyAlignment="1" pivotButton="0" quotePrefix="0" xfId="61889">
      <alignment horizontal="center" vertical="center"/>
    </xf>
    <xf numFmtId="0" fontId="19" fillId="3" borderId="110" applyAlignment="1" pivotButton="0" quotePrefix="0" xfId="61889">
      <alignment horizontal="center" vertical="center"/>
    </xf>
    <xf numFmtId="0" fontId="19" fillId="6" borderId="66" applyAlignment="1" pivotButton="0" quotePrefix="0" xfId="61889">
      <alignment horizontal="center" vertical="center"/>
    </xf>
    <xf numFmtId="0" fontId="19" fillId="6" borderId="71" applyAlignment="1" pivotButton="0" quotePrefix="0" xfId="61889">
      <alignment horizontal="center" vertical="center"/>
    </xf>
    <xf numFmtId="0" fontId="48" fillId="6" borderId="65" applyAlignment="1" pivotButton="0" quotePrefix="0" xfId="61889">
      <alignment horizontal="center" vertical="center"/>
    </xf>
    <xf numFmtId="0" fontId="48" fillId="6" borderId="66" applyAlignment="1" pivotButton="0" quotePrefix="0" xfId="61889">
      <alignment horizontal="center" vertical="center"/>
    </xf>
    <xf numFmtId="0" fontId="48" fillId="6" borderId="70" applyAlignment="1" pivotButton="0" quotePrefix="0" xfId="61889">
      <alignment horizontal="center" vertical="center"/>
    </xf>
    <xf numFmtId="0" fontId="48" fillId="6" borderId="71" applyAlignment="1" pivotButton="0" quotePrefix="0" xfId="61889">
      <alignment horizontal="center" vertical="center"/>
    </xf>
    <xf numFmtId="0" fontId="19" fillId="6" borderId="66" applyAlignment="1" pivotButton="0" quotePrefix="0" xfId="61889">
      <alignment horizontal="center" vertical="center" wrapText="1"/>
    </xf>
    <xf numFmtId="0" fontId="19" fillId="6" borderId="122" applyAlignment="1" pivotButton="0" quotePrefix="0" xfId="61889">
      <alignment horizontal="center" vertical="center"/>
    </xf>
    <xf numFmtId="0" fontId="19" fillId="6" borderId="123" applyAlignment="1" pivotButton="0" quotePrefix="0" xfId="61889">
      <alignment horizontal="center" vertical="center"/>
    </xf>
    <xf numFmtId="0" fontId="340" fillId="5" borderId="2" applyAlignment="1" pivotButton="0" quotePrefix="0" xfId="0">
      <alignment horizontal="center" vertical="center"/>
    </xf>
    <xf numFmtId="0" fontId="340" fillId="5" borderId="3" applyAlignment="1" pivotButton="0" quotePrefix="0" xfId="0">
      <alignment horizontal="center" vertical="center"/>
    </xf>
    <xf numFmtId="0" fontId="340" fillId="5" borderId="4" applyAlignment="1" pivotButton="0" quotePrefix="0" xfId="0">
      <alignment horizontal="center" vertical="center"/>
    </xf>
    <xf numFmtId="0" fontId="33" fillId="0" borderId="2" applyAlignment="1" pivotButton="0" quotePrefix="0" xfId="0">
      <alignment horizontal="center" vertical="center"/>
    </xf>
    <xf numFmtId="0" fontId="33" fillId="0" borderId="3" applyAlignment="1" pivotButton="0" quotePrefix="0" xfId="0">
      <alignment horizontal="center" vertical="center"/>
    </xf>
    <xf numFmtId="0" fontId="33" fillId="0" borderId="4" applyAlignment="1" pivotButton="0" quotePrefix="0" xfId="0">
      <alignment horizontal="center" vertical="center"/>
    </xf>
    <xf numFmtId="0" fontId="339" fillId="0" borderId="22" applyAlignment="1" pivotButton="0" quotePrefix="0" xfId="0">
      <alignment horizontal="center" vertical="center"/>
    </xf>
    <xf numFmtId="0" fontId="339" fillId="0" borderId="24" applyAlignment="1" pivotButton="0" quotePrefix="0" xfId="0">
      <alignment horizontal="center" vertical="center"/>
    </xf>
    <xf numFmtId="164" fontId="339" fillId="0" borderId="22" applyAlignment="1" pivotButton="0" quotePrefix="0" xfId="1">
      <alignment horizontal="center" vertical="center" wrapText="1"/>
    </xf>
    <xf numFmtId="164" fontId="339" fillId="0" borderId="24" applyAlignment="1" pivotButton="0" quotePrefix="0" xfId="1">
      <alignment horizontal="center" vertical="center" wrapText="1"/>
    </xf>
    <xf numFmtId="0" fontId="339" fillId="0" borderId="23" applyAlignment="1" pivotButton="0" quotePrefix="0" xfId="0">
      <alignment horizontal="center" vertical="center"/>
    </xf>
    <xf numFmtId="179" fontId="128" fillId="6" borderId="62" applyAlignment="1" pivotButton="0" quotePrefix="0" xfId="58805">
      <alignment horizontal="center" vertical="center"/>
    </xf>
    <xf numFmtId="179" fontId="128" fillId="6" borderId="49" applyAlignment="1" pivotButton="0" quotePrefix="0" xfId="58805">
      <alignment horizontal="center" vertical="center"/>
    </xf>
    <xf numFmtId="179" fontId="128" fillId="0" borderId="62" applyAlignment="1" pivotButton="0" quotePrefix="0" xfId="59855">
      <alignment horizontal="center" vertical="center"/>
    </xf>
    <xf numFmtId="179" fontId="128" fillId="0" borderId="49" applyAlignment="1" pivotButton="0" quotePrefix="0" xfId="59855">
      <alignment horizontal="center" vertical="center"/>
    </xf>
    <xf numFmtId="179" fontId="128" fillId="5" borderId="63" applyAlignment="1" pivotButton="0" quotePrefix="0" xfId="59855">
      <alignment horizontal="center"/>
    </xf>
    <xf numFmtId="179" fontId="128" fillId="5" borderId="106" applyAlignment="1" pivotButton="0" quotePrefix="0" xfId="59855">
      <alignment horizontal="center"/>
    </xf>
    <xf numFmtId="179" fontId="128" fillId="5" borderId="62" applyAlignment="1" pivotButton="0" quotePrefix="0" xfId="59855">
      <alignment horizontal="center" vertical="center"/>
    </xf>
    <xf numFmtId="179" fontId="128" fillId="5" borderId="49" applyAlignment="1" pivotButton="0" quotePrefix="0" xfId="59855">
      <alignment horizontal="center" vertical="center"/>
    </xf>
    <xf numFmtId="179" fontId="128" fillId="0" borderId="62" applyAlignment="1" pivotButton="0" quotePrefix="0" xfId="61894">
      <alignment horizontal="center" vertical="center"/>
    </xf>
    <xf numFmtId="179" fontId="128" fillId="0" borderId="49" applyAlignment="1" pivotButton="0" quotePrefix="0" xfId="61894">
      <alignment horizontal="center" vertical="center"/>
    </xf>
    <xf numFmtId="3" fontId="8" fillId="0" borderId="58" applyAlignment="1" pivotButton="0" quotePrefix="0" xfId="12">
      <alignment horizontal="center" vertical="center"/>
    </xf>
    <xf numFmtId="43" fontId="19" fillId="4" borderId="7" applyAlignment="1" pivotButton="0" quotePrefix="0" xfId="11">
      <alignment horizontal="center" vertical="center"/>
    </xf>
    <xf numFmtId="43" fontId="19" fillId="4" borderId="8" applyAlignment="1" pivotButton="0" quotePrefix="0" xfId="11">
      <alignment horizontal="center" vertical="center"/>
    </xf>
    <xf numFmtId="3" fontId="19" fillId="4" borderId="7" applyAlignment="1" pivotButton="0" quotePrefix="0" xfId="12">
      <alignment horizontal="center" vertical="center"/>
    </xf>
    <xf numFmtId="3" fontId="19" fillId="4" borderId="8" applyAlignment="1" pivotButton="0" quotePrefix="0" xfId="12">
      <alignment horizontal="center" vertical="center"/>
    </xf>
    <xf numFmtId="3" fontId="19" fillId="4" borderId="7" applyAlignment="1" pivotButton="0" quotePrefix="0" xfId="12">
      <alignment horizontal="center" vertical="center" wrapText="1"/>
    </xf>
    <xf numFmtId="3" fontId="19" fillId="4" borderId="8" applyAlignment="1" pivotButton="0" quotePrefix="0" xfId="12">
      <alignment horizontal="center" vertical="center" wrapText="1"/>
    </xf>
    <xf numFmtId="183" fontId="37" fillId="0" borderId="0" applyAlignment="1" pivotButton="0" quotePrefix="0" xfId="6">
      <alignment horizontal="left" vertical="center"/>
    </xf>
    <xf numFmtId="0" fontId="64" fillId="12" borderId="22" applyAlignment="1" pivotButton="0" quotePrefix="0" xfId="0">
      <alignment horizontal="center" vertical="center"/>
    </xf>
    <xf numFmtId="0" fontId="64" fillId="12" borderId="23" applyAlignment="1" pivotButton="0" quotePrefix="0" xfId="0">
      <alignment horizontal="center" vertical="center"/>
    </xf>
    <xf numFmtId="0" fontId="64" fillId="12" borderId="24" applyAlignment="1" pivotButton="0" quotePrefix="0" xfId="0">
      <alignment horizontal="center" vertical="center"/>
    </xf>
    <xf numFmtId="0" fontId="90" fillId="12" borderId="36" applyAlignment="1" pivotButton="0" quotePrefix="0" xfId="0">
      <alignment horizontal="center" vertical="center"/>
    </xf>
    <xf numFmtId="0" fontId="90" fillId="12" borderId="48" applyAlignment="1" pivotButton="0" quotePrefix="0" xfId="0">
      <alignment horizontal="center" vertical="center"/>
    </xf>
    <xf numFmtId="0" fontId="90" fillId="12" borderId="37" applyAlignment="1" pivotButton="0" quotePrefix="0" xfId="0">
      <alignment horizontal="center" vertical="center"/>
    </xf>
    <xf numFmtId="0" fontId="90" fillId="12" borderId="38" applyAlignment="1" pivotButton="0" quotePrefix="0" xfId="0">
      <alignment horizontal="center" vertical="center"/>
    </xf>
    <xf numFmtId="0" fontId="90" fillId="12" borderId="21" applyAlignment="1" pivotButton="0" quotePrefix="0" xfId="0">
      <alignment horizontal="center" vertical="center"/>
    </xf>
    <xf numFmtId="0" fontId="90" fillId="12" borderId="39" applyAlignment="1" pivotButton="0" quotePrefix="0" xfId="0">
      <alignment horizontal="center" vertical="center"/>
    </xf>
    <xf numFmtId="0" fontId="92" fillId="18" borderId="62" applyAlignment="1" pivotButton="0" quotePrefix="0" xfId="0">
      <alignment horizontal="center" vertical="center"/>
    </xf>
    <xf numFmtId="0" fontId="92" fillId="18" borderId="49" applyAlignment="1" pivotButton="0" quotePrefix="0" xfId="0">
      <alignment horizontal="center" vertical="center"/>
    </xf>
    <xf numFmtId="37" fontId="91" fillId="18" borderId="62" applyAlignment="1" pivotButton="0" quotePrefix="0" xfId="0">
      <alignment horizontal="center" vertical="center"/>
    </xf>
    <xf numFmtId="37" fontId="91" fillId="18" borderId="42" applyAlignment="1" pivotButton="0" quotePrefix="0" xfId="0">
      <alignment horizontal="center" vertical="center"/>
    </xf>
    <xf numFmtId="37" fontId="91" fillId="18" borderId="41" applyAlignment="1" pivotButton="0" quotePrefix="0" xfId="0">
      <alignment horizontal="center" vertical="center"/>
    </xf>
    <xf numFmtId="0" fontId="126" fillId="3" borderId="36" applyAlignment="1" pivotButton="0" quotePrefix="0" xfId="0">
      <alignment horizontal="center" vertical="center"/>
    </xf>
    <xf numFmtId="0" fontId="126" fillId="3" borderId="48" applyAlignment="1" pivotButton="0" quotePrefix="0" xfId="0">
      <alignment horizontal="center" vertical="center"/>
    </xf>
    <xf numFmtId="0" fontId="126" fillId="3" borderId="37" applyAlignment="1" pivotButton="0" quotePrefix="0" xfId="0">
      <alignment horizontal="center" vertical="center"/>
    </xf>
    <xf numFmtId="0" fontId="126" fillId="3" borderId="25" applyAlignment="1" pivotButton="0" quotePrefix="0" xfId="0">
      <alignment horizontal="center" vertical="center"/>
    </xf>
    <xf numFmtId="0" fontId="126" fillId="3" borderId="0" applyAlignment="1" pivotButton="0" quotePrefix="0" xfId="0">
      <alignment horizontal="center" vertical="center"/>
    </xf>
    <xf numFmtId="0" fontId="126" fillId="3" borderId="26" applyAlignment="1" pivotButton="0" quotePrefix="0" xfId="0">
      <alignment horizontal="center" vertical="center"/>
    </xf>
    <xf numFmtId="0" fontId="126" fillId="3" borderId="38" applyAlignment="1" pivotButton="0" quotePrefix="0" xfId="0">
      <alignment horizontal="center" vertical="center"/>
    </xf>
    <xf numFmtId="0" fontId="126" fillId="3" borderId="21" applyAlignment="1" pivotButton="0" quotePrefix="0" xfId="0">
      <alignment horizontal="center" vertical="center"/>
    </xf>
    <xf numFmtId="0" fontId="126" fillId="3" borderId="39" applyAlignment="1" pivotButton="0" quotePrefix="0" xfId="0">
      <alignment horizontal="center" vertical="center"/>
    </xf>
    <xf numFmtId="0" fontId="126" fillId="19" borderId="36" applyAlignment="1" pivotButton="0" quotePrefix="0" xfId="0">
      <alignment horizontal="center" vertical="center"/>
    </xf>
    <xf numFmtId="0" fontId="126" fillId="19" borderId="48" applyAlignment="1" pivotButton="0" quotePrefix="0" xfId="0">
      <alignment horizontal="center" vertical="center"/>
    </xf>
    <xf numFmtId="0" fontId="126" fillId="19" borderId="37" applyAlignment="1" pivotButton="0" quotePrefix="0" xfId="0">
      <alignment horizontal="center" vertical="center"/>
    </xf>
    <xf numFmtId="0" fontId="126" fillId="19" borderId="25" applyAlignment="1" pivotButton="0" quotePrefix="0" xfId="0">
      <alignment horizontal="center" vertical="center"/>
    </xf>
    <xf numFmtId="0" fontId="126" fillId="19" borderId="0" applyAlignment="1" pivotButton="0" quotePrefix="0" xfId="0">
      <alignment horizontal="center" vertical="center"/>
    </xf>
    <xf numFmtId="0" fontId="126" fillId="19" borderId="26" applyAlignment="1" pivotButton="0" quotePrefix="0" xfId="0">
      <alignment horizontal="center" vertical="center"/>
    </xf>
    <xf numFmtId="0" fontId="126" fillId="19" borderId="38" applyAlignment="1" pivotButton="0" quotePrefix="0" xfId="0">
      <alignment horizontal="center" vertical="center"/>
    </xf>
    <xf numFmtId="0" fontId="126" fillId="19" borderId="21" applyAlignment="1" pivotButton="0" quotePrefix="0" xfId="0">
      <alignment horizontal="center" vertical="center"/>
    </xf>
    <xf numFmtId="0" fontId="126" fillId="19" borderId="39" applyAlignment="1" pivotButton="0" quotePrefix="0" xfId="0">
      <alignment horizontal="center" vertical="center"/>
    </xf>
    <xf numFmtId="0" fontId="126" fillId="4" borderId="36" applyAlignment="1" pivotButton="0" quotePrefix="0" xfId="0">
      <alignment horizontal="center" vertical="center"/>
    </xf>
    <xf numFmtId="0" fontId="126" fillId="4" borderId="48" applyAlignment="1" pivotButton="0" quotePrefix="0" xfId="0">
      <alignment horizontal="center" vertical="center"/>
    </xf>
    <xf numFmtId="0" fontId="126" fillId="4" borderId="37" applyAlignment="1" pivotButton="0" quotePrefix="0" xfId="0">
      <alignment horizontal="center" vertical="center"/>
    </xf>
    <xf numFmtId="0" fontId="126" fillId="4" borderId="25" applyAlignment="1" pivotButton="0" quotePrefix="0" xfId="0">
      <alignment horizontal="center" vertical="center"/>
    </xf>
    <xf numFmtId="0" fontId="126" fillId="4" borderId="0" applyAlignment="1" pivotButton="0" quotePrefix="0" xfId="0">
      <alignment horizontal="center" vertical="center"/>
    </xf>
    <xf numFmtId="0" fontId="126" fillId="4" borderId="26" applyAlignment="1" pivotButton="0" quotePrefix="0" xfId="0">
      <alignment horizontal="center" vertical="center"/>
    </xf>
    <xf numFmtId="0" fontId="126" fillId="4" borderId="38" applyAlignment="1" pivotButton="0" quotePrefix="0" xfId="0">
      <alignment horizontal="center" vertical="center"/>
    </xf>
    <xf numFmtId="0" fontId="126" fillId="4" borderId="21" applyAlignment="1" pivotButton="0" quotePrefix="0" xfId="0">
      <alignment horizontal="center" vertical="center"/>
    </xf>
    <xf numFmtId="0" fontId="126" fillId="4" borderId="39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1" fillId="0" borderId="1" applyAlignment="1" pivotButton="0" quotePrefix="0" xfId="0">
      <alignment horizontal="center"/>
    </xf>
    <xf numFmtId="178" fontId="17" fillId="0" borderId="1" pivotButton="0" quotePrefix="0" xfId="0"/>
    <xf numFmtId="178" fontId="17" fillId="98" borderId="1" pivotButton="0" quotePrefix="0" xfId="0"/>
    <xf numFmtId="178" fontId="17" fillId="99" borderId="1" pivotButton="0" quotePrefix="0" xfId="0"/>
    <xf numFmtId="0" fontId="16" fillId="0" borderId="3" applyAlignment="1" pivotButton="0" quotePrefix="0" xfId="0">
      <alignment horizontal="center" wrapText="1"/>
    </xf>
    <xf numFmtId="0" fontId="0" fillId="0" borderId="28" pivotButton="0" quotePrefix="0" xfId="0"/>
    <xf numFmtId="0" fontId="0" fillId="0" borderId="5" pivotButton="0" quotePrefix="0" xfId="0"/>
    <xf numFmtId="169" fontId="17" fillId="0" borderId="1" pivotButton="0" quotePrefix="0" xfId="8"/>
    <xf numFmtId="43" fontId="16" fillId="0" borderId="1" pivotButton="0" quotePrefix="0" xfId="0"/>
    <xf numFmtId="0" fontId="0" fillId="0" borderId="6" pivotButton="0" quotePrefix="0" xfId="0"/>
    <xf numFmtId="165" fontId="16" fillId="3" borderId="7" pivotButton="0" quotePrefix="0" xfId="1"/>
    <xf numFmtId="165" fontId="16" fillId="3" borderId="7" pivotButton="0" quotePrefix="0" xfId="0"/>
    <xf numFmtId="177" fontId="16" fillId="0" borderId="0" pivotButton="0" quotePrefix="0" xfId="0"/>
    <xf numFmtId="165" fontId="32" fillId="3" borderId="7" pivotButton="0" quotePrefix="0" xfId="1"/>
    <xf numFmtId="165" fontId="107" fillId="3" borderId="7" pivotButton="0" quotePrefix="0" xfId="0"/>
    <xf numFmtId="165" fontId="32" fillId="2" borderId="7" pivotButton="0" quotePrefix="0" xfId="1"/>
    <xf numFmtId="165" fontId="107" fillId="2" borderId="7" pivotButton="0" quotePrefix="0" xfId="0"/>
    <xf numFmtId="164" fontId="32" fillId="2" borderId="8" pivotButton="0" quotePrefix="0" xfId="1"/>
    <xf numFmtId="164" fontId="107" fillId="2" borderId="8" pivotButton="0" quotePrefix="0" xfId="0"/>
    <xf numFmtId="10" fontId="107" fillId="2" borderId="8" pivotButton="0" quotePrefix="0" xfId="0"/>
    <xf numFmtId="165" fontId="32" fillId="0" borderId="0" pivotButton="0" quotePrefix="0" xfId="1"/>
    <xf numFmtId="165" fontId="31" fillId="0" borderId="9" applyAlignment="1" pivotButton="0" quotePrefix="0" xfId="1">
      <alignment vertical="center" wrapText="1"/>
    </xf>
    <xf numFmtId="165" fontId="31" fillId="4" borderId="7" applyAlignment="1" pivotButton="0" quotePrefix="0" xfId="1">
      <alignment vertical="top" wrapText="1"/>
    </xf>
    <xf numFmtId="165" fontId="32" fillId="4" borderId="7" pivotButton="0" quotePrefix="0" xfId="1"/>
    <xf numFmtId="164" fontId="32" fillId="4" borderId="7" pivotButton="0" quotePrefix="0" xfId="1"/>
    <xf numFmtId="165" fontId="107" fillId="4" borderId="7" pivotButton="0" quotePrefix="0" xfId="0"/>
    <xf numFmtId="164" fontId="16" fillId="4" borderId="8" pivotButton="0" quotePrefix="0" xfId="1"/>
    <xf numFmtId="164" fontId="16" fillId="4" borderId="8" pivotButton="0" quotePrefix="0" xfId="0"/>
    <xf numFmtId="165" fontId="16" fillId="0" borderId="0" pivotButton="0" quotePrefix="0" xfId="1"/>
    <xf numFmtId="165" fontId="31" fillId="4" borderId="9" applyAlignment="1" pivotButton="0" quotePrefix="0" xfId="1">
      <alignment vertical="top"/>
    </xf>
    <xf numFmtId="165" fontId="16" fillId="4" borderId="7" pivotButton="0" quotePrefix="0" xfId="1"/>
    <xf numFmtId="164" fontId="16" fillId="4" borderId="7" pivotButton="0" quotePrefix="0" xfId="1"/>
    <xf numFmtId="165" fontId="16" fillId="4" borderId="7" pivotButton="0" quotePrefix="0" xfId="0"/>
    <xf numFmtId="10" fontId="16" fillId="4" borderId="8" pivotButton="0" quotePrefix="0" xfId="0"/>
    <xf numFmtId="165" fontId="17" fillId="4" borderId="7" pivotButton="0" quotePrefix="0" xfId="1"/>
    <xf numFmtId="165" fontId="16" fillId="4" borderId="8" pivotButton="0" quotePrefix="0" xfId="1"/>
    <xf numFmtId="165" fontId="16" fillId="4" borderId="8" pivotButton="0" quotePrefix="0" xfId="0"/>
    <xf numFmtId="165" fontId="18" fillId="5" borderId="1" pivotButton="0" quotePrefix="0" xfId="0"/>
    <xf numFmtId="165" fontId="18" fillId="5" borderId="1" applyAlignment="1" pivotButton="0" quotePrefix="0" xfId="0">
      <alignment vertical="center"/>
    </xf>
    <xf numFmtId="10" fontId="18" fillId="5" borderId="1" pivotButton="0" quotePrefix="0" xfId="0"/>
    <xf numFmtId="184" fontId="16" fillId="0" borderId="0" pivotButton="0" quotePrefix="0" xfId="0"/>
    <xf numFmtId="180" fontId="336" fillId="0" borderId="0" pivotButton="0" quotePrefix="0" xfId="4"/>
    <xf numFmtId="181" fontId="336" fillId="0" borderId="0" pivotButton="0" quotePrefix="0" xfId="4"/>
    <xf numFmtId="182" fontId="336" fillId="0" borderId="0" pivotButton="0" quotePrefix="0" xfId="4"/>
    <xf numFmtId="177" fontId="16" fillId="0" borderId="0" applyAlignment="1" pivotButton="0" quotePrefix="0" xfId="0">
      <alignment wrapText="1"/>
    </xf>
    <xf numFmtId="164" fontId="360" fillId="13" borderId="9" pivotButton="0" quotePrefix="0" xfId="1"/>
    <xf numFmtId="164" fontId="17" fillId="13" borderId="9" applyAlignment="1" pivotButton="0" quotePrefix="0" xfId="1">
      <alignment horizontal="center" vertical="center"/>
    </xf>
    <xf numFmtId="0" fontId="31" fillId="6" borderId="1" applyAlignment="1" pivotButton="0" quotePrefix="0" xfId="0">
      <alignment horizontal="center" vertical="center"/>
    </xf>
    <xf numFmtId="164" fontId="18" fillId="6" borderId="1" pivotButton="0" quotePrefix="0" xfId="1"/>
    <xf numFmtId="164" fontId="18" fillId="6" borderId="1" applyAlignment="1" pivotButton="0" quotePrefix="0" xfId="1">
      <alignment horizontal="center" vertical="center"/>
    </xf>
    <xf numFmtId="165" fontId="360" fillId="13" borderId="9" pivotButton="0" quotePrefix="0" xfId="1"/>
    <xf numFmtId="165" fontId="16" fillId="0" borderId="9" pivotButton="0" quotePrefix="0" xfId="1"/>
    <xf numFmtId="165" fontId="18" fillId="6" borderId="1" pivotButton="0" quotePrefix="0" xfId="1"/>
    <xf numFmtId="165" fontId="18" fillId="6" borderId="1" applyAlignment="1" pivotButton="0" quotePrefix="0" xfId="1">
      <alignment horizontal="left"/>
    </xf>
    <xf numFmtId="168" fontId="23" fillId="0" borderId="0" applyAlignment="1" pivotButton="0" quotePrefix="0" xfId="1">
      <alignment horizontal="center" vertical="center"/>
    </xf>
    <xf numFmtId="168" fontId="23" fillId="0" borderId="18" applyAlignment="1" pivotButton="0" quotePrefix="0" xfId="1">
      <alignment horizontal="center" vertical="center"/>
    </xf>
    <xf numFmtId="168" fontId="29" fillId="0" borderId="18" applyAlignment="1" pivotButton="0" quotePrefix="0" xfId="1">
      <alignment horizontal="center" vertical="center"/>
    </xf>
    <xf numFmtId="167" fontId="0" fillId="0" borderId="13" applyAlignment="1" pivotButton="0" quotePrefix="0" xfId="4">
      <alignment horizontal="center" vertical="center"/>
    </xf>
    <xf numFmtId="166" fontId="23" fillId="0" borderId="17" applyAlignment="1" pivotButton="0" quotePrefix="0" xfId="4">
      <alignment horizontal="center" vertical="center"/>
    </xf>
    <xf numFmtId="167" fontId="26" fillId="0" borderId="16" applyAlignment="1" pivotButton="0" quotePrefix="0" xfId="3">
      <alignment horizontal="center" vertical="center"/>
    </xf>
    <xf numFmtId="167" fontId="0" fillId="0" borderId="16" applyAlignment="1" pivotButton="0" quotePrefix="0" xfId="4">
      <alignment horizontal="center" vertical="center"/>
    </xf>
    <xf numFmtId="167" fontId="15" fillId="0" borderId="16" applyAlignment="1" pivotButton="0" quotePrefix="0" xfId="4">
      <alignment horizontal="center" vertical="center"/>
    </xf>
    <xf numFmtId="167" fontId="26" fillId="0" borderId="11" applyAlignment="1" pivotButton="0" quotePrefix="0" xfId="3">
      <alignment horizontal="center" vertical="center"/>
    </xf>
    <xf numFmtId="167" fontId="0" fillId="0" borderId="11" applyAlignment="1" pivotButton="0" quotePrefix="0" xfId="4">
      <alignment horizontal="center" vertical="center"/>
    </xf>
    <xf numFmtId="167" fontId="15" fillId="0" borderId="11" applyAlignment="1" pivotButton="0" quotePrefix="0" xfId="4">
      <alignment horizontal="center" vertical="center"/>
    </xf>
    <xf numFmtId="167" fontId="26" fillId="0" borderId="13" applyAlignment="1" pivotButton="0" quotePrefix="0" xfId="3">
      <alignment horizontal="center" vertical="center"/>
    </xf>
    <xf numFmtId="167" fontId="23" fillId="0" borderId="17" applyAlignment="1" pivotButton="0" quotePrefix="0" xfId="4">
      <alignment horizontal="center" vertical="center"/>
    </xf>
    <xf numFmtId="167" fontId="23" fillId="0" borderId="17" applyAlignment="1" pivotButton="0" quotePrefix="0" xfId="3">
      <alignment horizontal="center" vertical="center"/>
    </xf>
    <xf numFmtId="167" fontId="23" fillId="0" borderId="0" applyAlignment="1" pivotButton="0" quotePrefix="0" xfId="4">
      <alignment horizontal="center" vertical="center"/>
    </xf>
    <xf numFmtId="167" fontId="23" fillId="0" borderId="0" applyAlignment="1" pivotButton="0" quotePrefix="0" xfId="3">
      <alignment horizontal="center" vertical="center"/>
    </xf>
    <xf numFmtId="167" fontId="24" fillId="0" borderId="12" applyAlignment="1" pivotButton="0" quotePrefix="0" xfId="3">
      <alignment horizontal="center" vertical="center"/>
    </xf>
    <xf numFmtId="167" fontId="26" fillId="0" borderId="12" applyAlignment="1" pivotButton="0" quotePrefix="0" xfId="3">
      <alignment horizontal="center" vertical="center"/>
    </xf>
    <xf numFmtId="167" fontId="46" fillId="0" borderId="12" applyAlignment="1" pivotButton="0" quotePrefix="0" xfId="3">
      <alignment horizontal="center" vertical="center"/>
    </xf>
    <xf numFmtId="167" fontId="365" fillId="0" borderId="8" applyAlignment="1" pivotButton="0" quotePrefix="0" xfId="4">
      <alignment horizontal="center" vertical="center"/>
    </xf>
    <xf numFmtId="167" fontId="46" fillId="0" borderId="8" applyAlignment="1" pivotButton="0" quotePrefix="0" xfId="4">
      <alignment horizontal="center" vertical="center"/>
    </xf>
    <xf numFmtId="166" fontId="0" fillId="0" borderId="13" applyAlignment="1" pivotButton="0" quotePrefix="0" xfId="4">
      <alignment vertical="center"/>
    </xf>
    <xf numFmtId="166" fontId="0" fillId="0" borderId="13" applyAlignment="1" pivotButton="0" quotePrefix="0" xfId="4">
      <alignment horizontal="center" vertical="center"/>
    </xf>
    <xf numFmtId="167" fontId="24" fillId="0" borderId="11" applyAlignment="1" pivotButton="0" quotePrefix="0" xfId="3">
      <alignment horizontal="center" vertical="center"/>
    </xf>
    <xf numFmtId="167" fontId="67" fillId="0" borderId="12" applyAlignment="1" pivotButton="0" quotePrefix="0" xfId="3">
      <alignment horizontal="center" vertical="center"/>
    </xf>
    <xf numFmtId="167" fontId="364" fillId="0" borderId="13" applyAlignment="1" pivotButton="0" quotePrefix="0" xfId="4">
      <alignment horizontal="center" vertical="center"/>
    </xf>
    <xf numFmtId="167" fontId="353" fillId="0" borderId="13" applyAlignment="1" pivotButton="0" quotePrefix="0" xfId="4">
      <alignment horizontal="center" vertical="center"/>
    </xf>
    <xf numFmtId="166" fontId="23" fillId="0" borderId="12" applyAlignment="1" pivotButton="0" quotePrefix="0" xfId="4">
      <alignment vertical="center"/>
    </xf>
    <xf numFmtId="166" fontId="23" fillId="0" borderId="13" applyAlignment="1" pivotButton="0" quotePrefix="0" xfId="4">
      <alignment vertical="center"/>
    </xf>
    <xf numFmtId="167" fontId="358" fillId="0" borderId="12" applyAlignment="1" pivotButton="0" quotePrefix="0" xfId="3">
      <alignment horizontal="center" vertical="center"/>
    </xf>
    <xf numFmtId="167" fontId="337" fillId="0" borderId="12" applyAlignment="1" pivotButton="0" quotePrefix="0" xfId="3">
      <alignment horizontal="center" vertical="center"/>
    </xf>
    <xf numFmtId="167" fontId="363" fillId="0" borderId="12" applyAlignment="1" pivotButton="0" quotePrefix="0" xfId="3">
      <alignment horizontal="center" vertical="center"/>
    </xf>
    <xf numFmtId="167" fontId="337" fillId="0" borderId="105" applyAlignment="1" pivotButton="0" quotePrefix="0" xfId="4">
      <alignment horizontal="center" vertical="center"/>
    </xf>
    <xf numFmtId="167" fontId="358" fillId="0" borderId="13" applyAlignment="1" pivotButton="0" quotePrefix="0" xfId="4">
      <alignment horizontal="center" vertical="center"/>
    </xf>
    <xf numFmtId="167" fontId="23" fillId="0" borderId="12" applyAlignment="1" pivotButton="0" quotePrefix="0" xfId="4">
      <alignment horizontal="center" vertical="center"/>
    </xf>
    <xf numFmtId="167" fontId="359" fillId="0" borderId="12" applyAlignment="1" pivotButton="0" quotePrefix="0" xfId="3">
      <alignment horizontal="center" vertical="center"/>
    </xf>
    <xf numFmtId="167" fontId="26" fillId="0" borderId="9" applyAlignment="1" pivotButton="0" quotePrefix="0" xfId="3">
      <alignment horizontal="center" vertical="center"/>
    </xf>
    <xf numFmtId="167" fontId="358" fillId="0" borderId="9" applyAlignment="1" pivotButton="0" quotePrefix="0" xfId="4">
      <alignment horizontal="center" vertical="center"/>
    </xf>
    <xf numFmtId="167" fontId="46" fillId="0" borderId="13" applyAlignment="1" pivotButton="0" quotePrefix="0" xfId="4">
      <alignment horizontal="center" vertical="center"/>
    </xf>
    <xf numFmtId="194" fontId="26" fillId="0" borderId="0" applyAlignment="1" pivotButton="0" quotePrefix="0" xfId="3">
      <alignment horizontal="center" vertical="center"/>
    </xf>
    <xf numFmtId="195" fontId="26" fillId="0" borderId="0" applyAlignment="1" pivotButton="0" quotePrefix="0" xfId="3">
      <alignment horizontal="center" vertical="center"/>
    </xf>
    <xf numFmtId="191" fontId="24" fillId="0" borderId="0" applyAlignment="1" pivotButton="0" quotePrefix="0" xfId="3">
      <alignment horizontal="center" vertical="center"/>
    </xf>
    <xf numFmtId="191" fontId="1" fillId="0" borderId="0" applyAlignment="1" pivotButton="0" quotePrefix="0" xfId="3">
      <alignment horizontal="center" vertical="center"/>
    </xf>
    <xf numFmtId="183" fontId="47" fillId="0" borderId="0" pivotButton="0" quotePrefix="0" xfId="0"/>
    <xf numFmtId="183" fontId="47" fillId="0" borderId="0" applyAlignment="1" pivotButton="0" quotePrefix="0" xfId="0">
      <alignment horizontal="right"/>
    </xf>
    <xf numFmtId="43" fontId="34" fillId="0" borderId="0" applyAlignment="1" pivotButton="0" quotePrefix="0" xfId="0">
      <alignment horizontal="right"/>
    </xf>
    <xf numFmtId="165" fontId="33" fillId="0" borderId="14" pivotButton="0" quotePrefix="0" xfId="1"/>
    <xf numFmtId="165" fontId="33" fillId="0" borderId="14" applyAlignment="1" pivotButton="0" quotePrefix="0" xfId="1">
      <alignment horizontal="right"/>
    </xf>
    <xf numFmtId="165" fontId="33" fillId="0" borderId="14" applyAlignment="1" pivotButton="0" quotePrefix="0" xfId="0">
      <alignment horizontal="right"/>
    </xf>
    <xf numFmtId="165" fontId="33" fillId="0" borderId="15" pivotButton="0" quotePrefix="0" xfId="1"/>
    <xf numFmtId="165" fontId="33" fillId="0" borderId="15" applyAlignment="1" pivotButton="0" quotePrefix="0" xfId="1">
      <alignment horizontal="right"/>
    </xf>
    <xf numFmtId="165" fontId="33" fillId="0" borderId="15" applyAlignment="1" pivotButton="0" quotePrefix="0" xfId="0">
      <alignment horizontal="right"/>
    </xf>
    <xf numFmtId="165" fontId="0" fillId="0" borderId="0" pivotButton="0" quotePrefix="0" xfId="1"/>
    <xf numFmtId="165" fontId="35" fillId="0" borderId="0" pivotButton="0" quotePrefix="0" xfId="1"/>
    <xf numFmtId="165" fontId="101" fillId="0" borderId="0" pivotButton="0" quotePrefix="0" xfId="1"/>
    <xf numFmtId="187" fontId="0" fillId="0" borderId="0" pivotButton="0" quotePrefix="0" xfId="0"/>
    <xf numFmtId="167" fontId="0" fillId="0" borderId="0" pivotButton="0" quotePrefix="0" xfId="0"/>
    <xf numFmtId="167" fontId="15" fillId="0" borderId="0" pivotButton="0" quotePrefix="0" xfId="0"/>
    <xf numFmtId="165" fontId="23" fillId="0" borderId="14" pivotButton="0" quotePrefix="0" xfId="1"/>
    <xf numFmtId="165" fontId="23" fillId="0" borderId="15" pivotButton="0" quotePrefix="0" xfId="1"/>
    <xf numFmtId="165" fontId="23" fillId="0" borderId="0" pivotButton="0" quotePrefix="0" xfId="1"/>
    <xf numFmtId="165" fontId="33" fillId="0" borderId="0" pivotButton="0" quotePrefix="0" xfId="1"/>
    <xf numFmtId="165" fontId="33" fillId="0" borderId="0" applyAlignment="1" pivotButton="0" quotePrefix="0" xfId="1">
      <alignment horizontal="right"/>
    </xf>
    <xf numFmtId="165" fontId="35" fillId="0" borderId="0" pivotButton="0" quotePrefix="0" xfId="0"/>
    <xf numFmtId="188" fontId="67" fillId="0" borderId="0" pivotButton="0" quotePrefix="0" xfId="0"/>
    <xf numFmtId="165" fontId="35" fillId="0" borderId="0" applyAlignment="1" pivotButton="0" quotePrefix="0" xfId="1">
      <alignment horizontal="right"/>
    </xf>
    <xf numFmtId="165" fontId="35" fillId="0" borderId="0" applyAlignment="1" pivotButton="0" quotePrefix="0" xfId="0">
      <alignment horizontal="right"/>
    </xf>
    <xf numFmtId="189" fontId="67" fillId="0" borderId="0" applyAlignment="1" pivotButton="0" quotePrefix="0" xfId="0">
      <alignment vertical="center"/>
    </xf>
    <xf numFmtId="183" fontId="340" fillId="0" borderId="0" applyAlignment="1" pivotButton="0" quotePrefix="0" xfId="0">
      <alignment horizontal="center" vertical="center"/>
    </xf>
    <xf numFmtId="183" fontId="342" fillId="0" borderId="1" applyAlignment="1" pivotButton="0" quotePrefix="0" xfId="0">
      <alignment horizontal="center" vertical="center"/>
    </xf>
    <xf numFmtId="183" fontId="340" fillId="0" borderId="16" applyAlignment="1" pivotButton="0" quotePrefix="0" xfId="0">
      <alignment horizontal="center" vertical="center"/>
    </xf>
    <xf numFmtId="183" fontId="340" fillId="0" borderId="12" applyAlignment="1" pivotButton="0" quotePrefix="0" xfId="0">
      <alignment horizontal="center" vertical="center"/>
    </xf>
    <xf numFmtId="169" fontId="0" fillId="0" borderId="0" applyAlignment="1" pivotButton="0" quotePrefix="0" xfId="6">
      <alignment vertical="center"/>
    </xf>
    <xf numFmtId="169" fontId="37" fillId="0" borderId="0" applyAlignment="1" pivotButton="0" quotePrefix="0" xfId="6">
      <alignment horizontal="left" vertical="center"/>
    </xf>
    <xf numFmtId="0" fontId="38" fillId="18" borderId="40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38" pivotButton="0" quotePrefix="0" xfId="0"/>
    <xf numFmtId="0" fontId="0" fillId="0" borderId="39" pivotButton="0" quotePrefix="0" xfId="0"/>
    <xf numFmtId="169" fontId="38" fillId="0" borderId="36" applyAlignment="1" pivotButton="0" quotePrefix="0" xfId="6">
      <alignment vertical="center"/>
    </xf>
    <xf numFmtId="164" fontId="42" fillId="0" borderId="25" applyAlignment="1" pivotButton="0" quotePrefix="0" xfId="1">
      <alignment horizontal="center" vertical="center"/>
    </xf>
    <xf numFmtId="164" fontId="42" fillId="0" borderId="0" applyAlignment="1" pivotButton="0" quotePrefix="0" xfId="1">
      <alignment horizontal="center" vertical="center"/>
    </xf>
    <xf numFmtId="169" fontId="38" fillId="0" borderId="25" applyAlignment="1" pivotButton="0" quotePrefix="0" xfId="6">
      <alignment vertical="center"/>
    </xf>
    <xf numFmtId="169" fontId="38" fillId="0" borderId="27" applyAlignment="1" pivotButton="0" quotePrefix="0" xfId="6">
      <alignment vertical="center"/>
    </xf>
    <xf numFmtId="164" fontId="38" fillId="0" borderId="27" applyAlignment="1" pivotButton="0" quotePrefix="0" xfId="1">
      <alignment horizontal="center" vertical="center"/>
    </xf>
    <xf numFmtId="164" fontId="38" fillId="0" borderId="28" applyAlignment="1" pivotButton="0" quotePrefix="0" xfId="1">
      <alignment horizontal="center" vertical="center"/>
    </xf>
    <xf numFmtId="169" fontId="38" fillId="13" borderId="36" applyAlignment="1" pivotButton="0" quotePrefix="0" xfId="6">
      <alignment vertical="center"/>
    </xf>
    <xf numFmtId="164" fontId="38" fillId="13" borderId="48" applyAlignment="1" pivotButton="0" quotePrefix="0" xfId="1">
      <alignment horizontal="center" vertical="center"/>
    </xf>
    <xf numFmtId="169" fontId="38" fillId="13" borderId="25" applyAlignment="1" pivotButton="0" quotePrefix="0" xfId="6">
      <alignment vertical="center"/>
    </xf>
    <xf numFmtId="164" fontId="38" fillId="13" borderId="0" applyAlignment="1" pivotButton="0" quotePrefix="0" xfId="1">
      <alignment horizontal="center" vertical="center"/>
    </xf>
    <xf numFmtId="169" fontId="38" fillId="8" borderId="38" applyAlignment="1" pivotButton="0" quotePrefix="0" xfId="6">
      <alignment vertical="center"/>
    </xf>
    <xf numFmtId="164" fontId="38" fillId="8" borderId="21" applyAlignment="1" pivotButton="0" quotePrefix="0" xfId="1">
      <alignment horizontal="center" vertical="center"/>
    </xf>
    <xf numFmtId="169" fontId="43" fillId="0" borderId="0" applyAlignment="1" pivotButton="0" quotePrefix="0" xfId="6">
      <alignment vertical="center"/>
    </xf>
    <xf numFmtId="169" fontId="44" fillId="0" borderId="0" applyAlignment="1" pivotButton="0" quotePrefix="0" xfId="6">
      <alignment vertical="center"/>
    </xf>
    <xf numFmtId="168" fontId="42" fillId="0" borderId="36" applyAlignment="1" pivotButton="0" quotePrefix="0" xfId="0">
      <alignment horizontal="center" vertical="center"/>
    </xf>
    <xf numFmtId="168" fontId="42" fillId="0" borderId="48" applyAlignment="1" pivotButton="0" quotePrefix="0" xfId="0">
      <alignment horizontal="center" vertical="center"/>
    </xf>
    <xf numFmtId="168" fontId="38" fillId="0" borderId="36" applyAlignment="1" pivotButton="0" quotePrefix="0" xfId="0">
      <alignment horizontal="center" vertical="center"/>
    </xf>
    <xf numFmtId="168" fontId="38" fillId="0" borderId="48" applyAlignment="1" pivotButton="0" quotePrefix="0" xfId="0">
      <alignment horizontal="center" vertical="center"/>
    </xf>
    <xf numFmtId="168" fontId="42" fillId="0" borderId="25" applyAlignment="1" pivotButton="0" quotePrefix="0" xfId="0">
      <alignment horizontal="center" vertical="center"/>
    </xf>
    <xf numFmtId="168" fontId="42" fillId="0" borderId="0" applyAlignment="1" pivotButton="0" quotePrefix="0" xfId="0">
      <alignment horizontal="center" vertical="center"/>
    </xf>
    <xf numFmtId="168" fontId="38" fillId="0" borderId="25" applyAlignment="1" pivotButton="0" quotePrefix="0" xfId="0">
      <alignment horizontal="center" vertical="center"/>
    </xf>
    <xf numFmtId="168" fontId="38" fillId="0" borderId="0" applyAlignment="1" pivotButton="0" quotePrefix="0" xfId="0">
      <alignment horizontal="center" vertical="center"/>
    </xf>
    <xf numFmtId="168" fontId="38" fillId="0" borderId="27" applyAlignment="1" pivotButton="0" quotePrefix="0" xfId="0">
      <alignment horizontal="center" vertical="center"/>
    </xf>
    <xf numFmtId="168" fontId="38" fillId="0" borderId="28" applyAlignment="1" pivotButton="0" quotePrefix="0" xfId="0">
      <alignment horizontal="center" vertical="center"/>
    </xf>
    <xf numFmtId="168" fontId="42" fillId="0" borderId="0" applyAlignment="1" pivotButton="0" quotePrefix="0" xfId="6">
      <alignment horizontal="center" vertical="center"/>
    </xf>
    <xf numFmtId="188" fontId="38" fillId="13" borderId="36" applyAlignment="1" pivotButton="0" quotePrefix="0" xfId="0">
      <alignment horizontal="center" vertical="center"/>
    </xf>
    <xf numFmtId="188" fontId="38" fillId="13" borderId="48" applyAlignment="1" pivotButton="0" quotePrefix="0" xfId="0">
      <alignment horizontal="center" vertical="center"/>
    </xf>
    <xf numFmtId="188" fontId="38" fillId="13" borderId="25" applyAlignment="1" pivotButton="0" quotePrefix="0" xfId="0">
      <alignment horizontal="center" vertical="center"/>
    </xf>
    <xf numFmtId="188" fontId="38" fillId="13" borderId="0" applyAlignment="1" pivotButton="0" quotePrefix="0" xfId="0">
      <alignment horizontal="center" vertical="center"/>
    </xf>
    <xf numFmtId="169" fontId="38" fillId="13" borderId="38" applyAlignment="1" pivotButton="0" quotePrefix="0" xfId="6">
      <alignment vertical="center"/>
    </xf>
    <xf numFmtId="188" fontId="38" fillId="13" borderId="38" applyAlignment="1" pivotButton="0" quotePrefix="0" xfId="0">
      <alignment horizontal="center" vertical="center"/>
    </xf>
    <xf numFmtId="188" fontId="38" fillId="13" borderId="21" applyAlignment="1" pivotButton="0" quotePrefix="0" xfId="0">
      <alignment horizontal="center" vertical="center"/>
    </xf>
    <xf numFmtId="190" fontId="35" fillId="0" borderId="0" applyAlignment="1" pivotButton="0" quotePrefix="0" xfId="6">
      <alignment vertical="center"/>
    </xf>
    <xf numFmtId="164" fontId="35" fillId="0" borderId="0" applyAlignment="1" pivotButton="0" quotePrefix="0" xfId="1">
      <alignment horizontal="center" vertical="center"/>
    </xf>
    <xf numFmtId="164" fontId="35" fillId="0" borderId="0" applyAlignment="1" pivotButton="0" quotePrefix="0" xfId="1">
      <alignment vertical="center"/>
    </xf>
    <xf numFmtId="190" fontId="33" fillId="0" borderId="21" applyAlignment="1" pivotButton="0" quotePrefix="0" xfId="6">
      <alignment horizontal="right" vertical="center"/>
    </xf>
    <xf numFmtId="196" fontId="35" fillId="0" borderId="21" applyAlignment="1" pivotButton="0" quotePrefix="0" xfId="1">
      <alignment horizontal="center" vertical="center"/>
    </xf>
    <xf numFmtId="197" fontId="35" fillId="0" borderId="21" applyAlignment="1" pivotButton="0" quotePrefix="0" xfId="0">
      <alignment vertical="center"/>
    </xf>
    <xf numFmtId="164" fontId="33" fillId="0" borderId="0" applyAlignment="1" pivotButton="0" quotePrefix="0" xfId="1">
      <alignment vertical="center"/>
    </xf>
    <xf numFmtId="190" fontId="35" fillId="0" borderId="0" applyAlignment="1" pivotButton="0" quotePrefix="0" xfId="0">
      <alignment horizontal="center" vertical="center"/>
    </xf>
    <xf numFmtId="198" fontId="35" fillId="0" borderId="0" applyAlignment="1" pivotButton="0" quotePrefix="0" xfId="0">
      <alignment horizontal="center" vertical="center"/>
    </xf>
    <xf numFmtId="190" fontId="35" fillId="0" borderId="0" applyAlignment="1" pivotButton="0" quotePrefix="0" xfId="0">
      <alignment vertical="center"/>
    </xf>
    <xf numFmtId="190" fontId="35" fillId="0" borderId="0" applyAlignment="1" pivotButton="0" quotePrefix="0" xfId="1">
      <alignment vertical="center"/>
    </xf>
    <xf numFmtId="190" fontId="35" fillId="0" borderId="0" applyAlignment="1" pivotButton="0" quotePrefix="0" xfId="1">
      <alignment horizontal="center" vertical="center"/>
    </xf>
    <xf numFmtId="192" fontId="35" fillId="0" borderId="0" applyAlignment="1" pivotButton="0" quotePrefix="0" xfId="1">
      <alignment vertical="center"/>
    </xf>
    <xf numFmtId="190" fontId="33" fillId="0" borderId="35" applyAlignment="1" pivotButton="0" quotePrefix="0" xfId="6">
      <alignment vertical="center"/>
    </xf>
    <xf numFmtId="164" fontId="33" fillId="0" borderId="35" applyAlignment="1" pivotButton="0" quotePrefix="0" xfId="1">
      <alignment vertical="center"/>
    </xf>
    <xf numFmtId="190" fontId="35" fillId="0" borderId="35" applyAlignment="1" pivotButton="0" quotePrefix="0" xfId="0">
      <alignment horizontal="center" vertical="center"/>
    </xf>
    <xf numFmtId="190" fontId="35" fillId="0" borderId="35" applyAlignment="1" pivotButton="0" quotePrefix="0" xfId="0">
      <alignment vertical="center"/>
    </xf>
    <xf numFmtId="164" fontId="35" fillId="0" borderId="0" applyAlignment="1" pivotButton="0" quotePrefix="0" xfId="0">
      <alignment vertical="center"/>
    </xf>
    <xf numFmtId="169" fontId="35" fillId="0" borderId="0" applyAlignment="1" pivotButton="0" quotePrefix="0" xfId="0">
      <alignment vertical="center"/>
    </xf>
    <xf numFmtId="0" fontId="48" fillId="6" borderId="131" applyAlignment="1" pivotButton="0" quotePrefix="0" xfId="61889">
      <alignment horizontal="center" vertical="center"/>
    </xf>
    <xf numFmtId="0" fontId="0" fillId="0" borderId="122" pivotButton="0" quotePrefix="0" xfId="0"/>
    <xf numFmtId="0" fontId="48" fillId="6" borderId="127" applyAlignment="1" pivotButton="0" quotePrefix="0" xfId="61889">
      <alignment horizontal="center" vertical="center"/>
    </xf>
    <xf numFmtId="0" fontId="19" fillId="6" borderId="127" applyAlignment="1" pivotButton="0" quotePrefix="0" xfId="61889">
      <alignment horizontal="center" vertical="center" wrapText="1"/>
    </xf>
    <xf numFmtId="0" fontId="19" fillId="6" borderId="132" applyAlignment="1" pivotButton="0" quotePrefix="0" xfId="61889">
      <alignment horizontal="center" vertical="center"/>
    </xf>
    <xf numFmtId="0" fontId="19" fillId="6" borderId="127" applyAlignment="1" pivotButton="0" quotePrefix="0" xfId="61889">
      <alignment horizontal="center" vertical="center"/>
    </xf>
    <xf numFmtId="0" fontId="19" fillId="6" borderId="130" applyAlignment="1" pivotButton="0" quotePrefix="0" xfId="61889">
      <alignment horizontal="center" vertical="center"/>
    </xf>
    <xf numFmtId="0" fontId="0" fillId="0" borderId="123" pivotButton="0" quotePrefix="0" xfId="0"/>
    <xf numFmtId="0" fontId="0" fillId="0" borderId="71" pivotButton="0" quotePrefix="0" xfId="0"/>
    <xf numFmtId="0" fontId="0" fillId="0" borderId="113" pivotButton="0" quotePrefix="0" xfId="0"/>
    <xf numFmtId="0" fontId="19" fillId="3" borderId="128" applyAlignment="1" pivotButton="0" quotePrefix="0" xfId="61889">
      <alignment horizontal="center" vertical="center"/>
    </xf>
    <xf numFmtId="0" fontId="0" fillId="0" borderId="110" pivotButton="0" quotePrefix="0" xfId="0"/>
    <xf numFmtId="0" fontId="340" fillId="5" borderId="1" applyAlignment="1" pivotButton="0" quotePrefix="0" xfId="0">
      <alignment horizontal="center" vertical="center"/>
    </xf>
    <xf numFmtId="165" fontId="340" fillId="5" borderId="5" applyAlignment="1" pivotButton="0" quotePrefix="0" xfId="1">
      <alignment vertical="center"/>
    </xf>
    <xf numFmtId="185" fontId="340" fillId="0" borderId="1" applyAlignment="1" pivotButton="0" quotePrefix="0" xfId="0">
      <alignment horizontal="center" vertical="center"/>
    </xf>
    <xf numFmtId="168" fontId="340" fillId="0" borderId="1" applyAlignment="1" pivotButton="0" quotePrefix="0" xfId="0">
      <alignment horizontal="center" vertical="center"/>
    </xf>
    <xf numFmtId="168" fontId="340" fillId="0" borderId="0" applyAlignment="1" pivotButton="0" quotePrefix="0" xfId="0">
      <alignment horizontal="center" vertical="center"/>
    </xf>
    <xf numFmtId="167" fontId="35" fillId="0" borderId="0" applyAlignment="1" pivotButton="0" quotePrefix="0" xfId="0">
      <alignment horizontal="center"/>
    </xf>
    <xf numFmtId="167" fontId="35" fillId="0" borderId="18" applyAlignment="1" pivotButton="0" quotePrefix="0" xfId="0">
      <alignment horizontal="center"/>
    </xf>
    <xf numFmtId="168" fontId="337" fillId="0" borderId="0" applyAlignment="1" pivotButton="0" quotePrefix="0" xfId="0">
      <alignment horizontal="center"/>
    </xf>
    <xf numFmtId="168" fontId="35" fillId="0" borderId="6" applyAlignment="1" pivotButton="0" quotePrefix="0" xfId="0">
      <alignment horizontal="center"/>
    </xf>
    <xf numFmtId="167" fontId="35" fillId="0" borderId="20" applyAlignment="1" pivotButton="0" quotePrefix="0" xfId="0">
      <alignment horizontal="center"/>
    </xf>
    <xf numFmtId="167" fontId="35" fillId="0" borderId="28" applyAlignment="1" pivotButton="0" quotePrefix="0" xfId="0">
      <alignment horizontal="center"/>
    </xf>
    <xf numFmtId="168" fontId="337" fillId="0" borderId="28" applyAlignment="1" pivotButton="0" quotePrefix="0" xfId="0">
      <alignment horizontal="center"/>
    </xf>
    <xf numFmtId="168" fontId="35" fillId="0" borderId="10" applyAlignment="1" pivotButton="0" quotePrefix="0" xfId="0">
      <alignment horizontal="center"/>
    </xf>
    <xf numFmtId="168" fontId="35" fillId="0" borderId="16" applyAlignment="1" pivotButton="0" quotePrefix="0" xfId="0">
      <alignment horizontal="center" vertical="center"/>
    </xf>
    <xf numFmtId="168" fontId="29" fillId="0" borderId="16" applyAlignment="1" pivotButton="0" quotePrefix="0" xfId="0">
      <alignment horizontal="center" vertical="center"/>
    </xf>
    <xf numFmtId="168" fontId="35" fillId="0" borderId="12" applyAlignment="1" pivotButton="0" quotePrefix="0" xfId="0">
      <alignment horizontal="center" vertical="center"/>
    </xf>
    <xf numFmtId="168" fontId="35" fillId="0" borderId="12" applyAlignment="1" pivotButton="0" quotePrefix="0" xfId="1">
      <alignment horizontal="center" vertical="center"/>
    </xf>
    <xf numFmtId="168" fontId="29" fillId="0" borderId="12" applyAlignment="1" pivotButton="0" quotePrefix="0" xfId="0">
      <alignment horizontal="center" vertical="center"/>
    </xf>
    <xf numFmtId="168" fontId="35" fillId="0" borderId="13" applyAlignment="1" pivotButton="0" quotePrefix="0" xfId="0">
      <alignment horizontal="center" vertical="center"/>
    </xf>
    <xf numFmtId="168" fontId="29" fillId="0" borderId="13" applyAlignment="1" pivotButton="0" quotePrefix="0" xfId="0">
      <alignment horizontal="center" vertical="center"/>
    </xf>
    <xf numFmtId="164" fontId="35" fillId="0" borderId="16" applyAlignment="1" pivotButton="0" quotePrefix="0" xfId="0">
      <alignment horizontal="center" vertical="center"/>
    </xf>
    <xf numFmtId="164" fontId="346" fillId="0" borderId="16" applyAlignment="1" pivotButton="0" quotePrefix="0" xfId="0">
      <alignment horizontal="center" vertical="center"/>
    </xf>
    <xf numFmtId="164" fontId="35" fillId="0" borderId="12" applyAlignment="1" pivotButton="0" quotePrefix="0" xfId="0">
      <alignment horizontal="center" vertical="center"/>
    </xf>
    <xf numFmtId="164" fontId="35" fillId="0" borderId="12" applyAlignment="1" pivotButton="0" quotePrefix="0" xfId="1">
      <alignment horizontal="center" vertical="center"/>
    </xf>
    <xf numFmtId="164" fontId="346" fillId="0" borderId="12" applyAlignment="1" pivotButton="0" quotePrefix="0" xfId="0">
      <alignment horizontal="center" vertical="center"/>
    </xf>
    <xf numFmtId="164" fontId="35" fillId="0" borderId="13" applyAlignment="1" pivotButton="0" quotePrefix="0" xfId="0">
      <alignment horizontal="center" vertical="center"/>
    </xf>
    <xf numFmtId="164" fontId="346" fillId="0" borderId="13" applyAlignment="1" pivotButton="0" quotePrefix="0" xfId="0">
      <alignment horizontal="center" vertical="center"/>
    </xf>
    <xf numFmtId="164" fontId="33" fillId="0" borderId="13" applyAlignment="1" pivotButton="0" quotePrefix="0" xfId="0">
      <alignment horizontal="center" vertical="center"/>
    </xf>
    <xf numFmtId="164" fontId="338" fillId="0" borderId="0" applyAlignment="1" pivotButton="0" quotePrefix="0" xfId="1">
      <alignment vertical="center"/>
    </xf>
    <xf numFmtId="167" fontId="339" fillId="0" borderId="109" applyAlignment="1" pivotButton="0" quotePrefix="0" xfId="1">
      <alignment horizontal="center" vertical="center"/>
    </xf>
    <xf numFmtId="164" fontId="339" fillId="0" borderId="40" applyAlignment="1" pivotButton="0" quotePrefix="0" xfId="1">
      <alignment horizontal="center" vertical="center"/>
    </xf>
    <xf numFmtId="164" fontId="339" fillId="0" borderId="24" applyAlignment="1" pivotButton="0" quotePrefix="0" xfId="1">
      <alignment horizontal="center" vertical="center"/>
    </xf>
    <xf numFmtId="168" fontId="339" fillId="0" borderId="62" applyAlignment="1" pivotButton="0" quotePrefix="0" xfId="1">
      <alignment horizontal="center" vertical="center"/>
    </xf>
    <xf numFmtId="168" fontId="339" fillId="0" borderId="37" applyAlignment="1" pivotButton="0" quotePrefix="0" xfId="1">
      <alignment horizontal="center" vertical="center"/>
    </xf>
    <xf numFmtId="168" fontId="339" fillId="0" borderId="42" applyAlignment="1" pivotButton="0" quotePrefix="0" xfId="1">
      <alignment horizontal="center" vertical="center"/>
    </xf>
    <xf numFmtId="168" fontId="339" fillId="0" borderId="26" applyAlignment="1" pivotButton="0" quotePrefix="0" xfId="1">
      <alignment horizontal="center" vertical="center"/>
    </xf>
    <xf numFmtId="168" fontId="339" fillId="0" borderId="44" applyAlignment="1" pivotButton="0" quotePrefix="0" xfId="1">
      <alignment horizontal="center" vertical="center"/>
    </xf>
    <xf numFmtId="168" fontId="339" fillId="0" borderId="108" applyAlignment="1" pivotButton="0" quotePrefix="0" xfId="1">
      <alignment horizontal="center" vertical="center"/>
    </xf>
    <xf numFmtId="168" fontId="339" fillId="0" borderId="109" applyAlignment="1" pivotButton="0" quotePrefix="0" xfId="1">
      <alignment horizontal="center" vertical="center"/>
    </xf>
    <xf numFmtId="164" fontId="339" fillId="0" borderId="24" applyAlignment="1" pivotButton="0" quotePrefix="0" xfId="1">
      <alignment horizontal="center" vertical="center" wrapText="1"/>
    </xf>
    <xf numFmtId="164" fontId="339" fillId="0" borderId="40" applyAlignment="1" pivotButton="0" quotePrefix="0" xfId="1">
      <alignment horizontal="center" vertical="center" wrapText="1"/>
    </xf>
    <xf numFmtId="164" fontId="338" fillId="0" borderId="36" applyAlignment="1" pivotButton="0" quotePrefix="0" xfId="1">
      <alignment vertical="center"/>
    </xf>
    <xf numFmtId="164" fontId="338" fillId="0" borderId="37" applyAlignment="1" pivotButton="0" quotePrefix="0" xfId="1">
      <alignment vertical="center"/>
    </xf>
    <xf numFmtId="167" fontId="338" fillId="0" borderId="62" applyAlignment="1" pivotButton="0" quotePrefix="0" xfId="0">
      <alignment horizontal="center" vertical="center"/>
    </xf>
    <xf numFmtId="167" fontId="338" fillId="0" borderId="37" applyAlignment="1" pivotButton="0" quotePrefix="0" xfId="1">
      <alignment horizontal="center" vertical="center"/>
    </xf>
    <xf numFmtId="164" fontId="338" fillId="0" borderId="25" applyAlignment="1" pivotButton="0" quotePrefix="0" xfId="1">
      <alignment vertical="center"/>
    </xf>
    <xf numFmtId="164" fontId="338" fillId="0" borderId="26" applyAlignment="1" pivotButton="0" quotePrefix="0" xfId="1">
      <alignment vertical="center"/>
    </xf>
    <xf numFmtId="167" fontId="338" fillId="0" borderId="42" applyAlignment="1" pivotButton="0" quotePrefix="0" xfId="0">
      <alignment horizontal="center" vertical="center"/>
    </xf>
    <xf numFmtId="167" fontId="338" fillId="0" borderId="26" applyAlignment="1" pivotButton="0" quotePrefix="0" xfId="1">
      <alignment horizontal="center" vertical="center"/>
    </xf>
    <xf numFmtId="167" fontId="339" fillId="0" borderId="108" applyAlignment="1" pivotButton="0" quotePrefix="0" xfId="1">
      <alignment horizontal="center" vertical="center"/>
    </xf>
    <xf numFmtId="168" fontId="339" fillId="0" borderId="0" applyAlignment="1" pivotButton="0" quotePrefix="0" xfId="1">
      <alignment horizontal="center" vertical="center"/>
    </xf>
    <xf numFmtId="164" fontId="339" fillId="0" borderId="24" applyAlignment="1" pivotButton="0" quotePrefix="0" xfId="2">
      <alignment horizontal="center" vertical="center"/>
    </xf>
    <xf numFmtId="164" fontId="339" fillId="0" borderId="0" applyAlignment="1" pivotButton="0" quotePrefix="0" xfId="1">
      <alignment vertical="center"/>
    </xf>
    <xf numFmtId="168" fontId="338" fillId="8" borderId="0" applyAlignment="1" pivotButton="0" quotePrefix="0" xfId="1">
      <alignment horizontal="center" vertical="center"/>
    </xf>
    <xf numFmtId="168" fontId="338" fillId="8" borderId="28" applyAlignment="1" pivotButton="0" quotePrefix="0" xfId="1">
      <alignment horizontal="center" vertical="center"/>
    </xf>
    <xf numFmtId="190" fontId="33" fillId="0" borderId="0" applyAlignment="1" pivotButton="0" quotePrefix="0" xfId="0">
      <alignment vertical="center"/>
    </xf>
    <xf numFmtId="179" fontId="31" fillId="0" borderId="0" applyAlignment="1" pivotButton="0" quotePrefix="0" xfId="58805">
      <alignment horizontal="left"/>
    </xf>
    <xf numFmtId="179" fontId="128" fillId="0" borderId="0" applyAlignment="1" pivotButton="0" quotePrefix="0" xfId="58805">
      <alignment horizontal="left"/>
    </xf>
    <xf numFmtId="179" fontId="128" fillId="0" borderId="0" applyAlignment="1" pivotButton="0" quotePrefix="0" xfId="58805">
      <alignment horizontal="center"/>
    </xf>
    <xf numFmtId="179" fontId="128" fillId="0" borderId="0" applyAlignment="1" pivotButton="0" quotePrefix="0" xfId="58805">
      <alignment horizontal="right"/>
    </xf>
    <xf numFmtId="179" fontId="128" fillId="6" borderId="40" applyAlignment="1" pivotButton="0" quotePrefix="0" xfId="58805">
      <alignment horizontal="center" vertical="center"/>
    </xf>
    <xf numFmtId="179" fontId="128" fillId="3" borderId="50" applyAlignment="1" pivotButton="0" quotePrefix="0" xfId="58805">
      <alignment horizontal="center"/>
    </xf>
    <xf numFmtId="179" fontId="128" fillId="3" borderId="51" applyAlignment="1" pivotButton="0" quotePrefix="0" xfId="58805">
      <alignment horizontal="center"/>
    </xf>
    <xf numFmtId="179" fontId="128" fillId="3" borderId="52" applyAlignment="1" pivotButton="0" quotePrefix="0" xfId="58805">
      <alignment horizontal="center"/>
    </xf>
    <xf numFmtId="0" fontId="0" fillId="0" borderId="49" pivotButton="0" quotePrefix="0" xfId="0"/>
    <xf numFmtId="179" fontId="128" fillId="6" borderId="55" applyAlignment="1" pivotButton="0" quotePrefix="0" xfId="58805">
      <alignment horizontal="center"/>
    </xf>
    <xf numFmtId="179" fontId="128" fillId="6" borderId="56" applyAlignment="1" pivotButton="0" quotePrefix="0" xfId="58805">
      <alignment horizontal="center"/>
    </xf>
    <xf numFmtId="179" fontId="128" fillId="6" borderId="57" applyAlignment="1" pivotButton="0" quotePrefix="0" xfId="58805">
      <alignment horizontal="center"/>
    </xf>
    <xf numFmtId="164" fontId="128" fillId="0" borderId="0" applyAlignment="1" pivotButton="0" quotePrefix="0" xfId="61893">
      <alignment horizontal="right" indent="1"/>
    </xf>
    <xf numFmtId="179" fontId="129" fillId="0" borderId="42" applyAlignment="1" pivotButton="0" quotePrefix="0" xfId="58805">
      <alignment horizontal="left" indent="1"/>
    </xf>
    <xf numFmtId="179" fontId="128" fillId="0" borderId="42" applyAlignment="1" pivotButton="0" quotePrefix="0" xfId="58805">
      <alignment horizontal="left"/>
    </xf>
    <xf numFmtId="179" fontId="128" fillId="0" borderId="42" pivotButton="0" quotePrefix="0" xfId="58805"/>
    <xf numFmtId="179" fontId="128" fillId="0" borderId="41" pivotButton="0" quotePrefix="0" xfId="58805"/>
    <xf numFmtId="179" fontId="130" fillId="0" borderId="49" applyAlignment="1" pivotButton="0" quotePrefix="0" xfId="58805">
      <alignment horizontal="left"/>
    </xf>
    <xf numFmtId="164" fontId="129" fillId="20" borderId="0" pivotButton="0" quotePrefix="0" xfId="58805"/>
    <xf numFmtId="164" fontId="129" fillId="0" borderId="0" applyAlignment="1" pivotButton="0" quotePrefix="0" xfId="61893">
      <alignment horizontal="right" indent="1"/>
    </xf>
    <xf numFmtId="164" fontId="129" fillId="0" borderId="0" pivotButton="0" quotePrefix="0" xfId="61893"/>
    <xf numFmtId="164" fontId="131" fillId="0" borderId="0" pivotButton="0" quotePrefix="0" xfId="61893"/>
    <xf numFmtId="164" fontId="0" fillId="0" borderId="0" pivotButton="0" quotePrefix="0" xfId="1"/>
    <xf numFmtId="179" fontId="128" fillId="0" borderId="0" applyAlignment="1" pivotButton="0" quotePrefix="0" xfId="58805">
      <alignment horizontal="centerContinuous"/>
    </xf>
    <xf numFmtId="164" fontId="129" fillId="0" borderId="0" pivotButton="0" quotePrefix="0" xfId="1"/>
    <xf numFmtId="164" fontId="129" fillId="0" borderId="0" applyAlignment="1" pivotButton="0" quotePrefix="0" xfId="1">
      <alignment horizontal="right" indent="1"/>
    </xf>
    <xf numFmtId="164" fontId="131" fillId="0" borderId="0" pivotButton="0" quotePrefix="0" xfId="1"/>
    <xf numFmtId="179" fontId="31" fillId="0" borderId="0" applyAlignment="1" pivotButton="0" quotePrefix="0" xfId="59855">
      <alignment horizontal="left"/>
    </xf>
    <xf numFmtId="179" fontId="128" fillId="0" borderId="0" applyAlignment="1" pivotButton="0" quotePrefix="0" xfId="59855">
      <alignment horizontal="left"/>
    </xf>
    <xf numFmtId="179" fontId="128" fillId="0" borderId="0" applyAlignment="1" pivotButton="0" quotePrefix="0" xfId="59855">
      <alignment horizontal="centerContinuous"/>
    </xf>
    <xf numFmtId="179" fontId="128" fillId="0" borderId="0" applyAlignment="1" pivotButton="0" quotePrefix="0" xfId="59855">
      <alignment horizontal="right"/>
    </xf>
    <xf numFmtId="179" fontId="128" fillId="0" borderId="40" applyAlignment="1" pivotButton="0" quotePrefix="0" xfId="59855">
      <alignment horizontal="center" vertical="center"/>
    </xf>
    <xf numFmtId="179" fontId="128" fillId="5" borderId="106" applyAlignment="1" pivotButton="0" quotePrefix="0" xfId="59855">
      <alignment horizontal="center"/>
    </xf>
    <xf numFmtId="0" fontId="0" fillId="0" borderId="63" pivotButton="0" quotePrefix="0" xfId="0"/>
    <xf numFmtId="0" fontId="0" fillId="0" borderId="106" pivotButton="0" quotePrefix="0" xfId="0"/>
    <xf numFmtId="179" fontId="128" fillId="5" borderId="40" applyAlignment="1" pivotButton="0" quotePrefix="0" xfId="59855">
      <alignment horizontal="center" vertical="center"/>
    </xf>
    <xf numFmtId="179" fontId="128" fillId="5" borderId="56" applyAlignment="1" pivotButton="0" quotePrefix="0" xfId="59855">
      <alignment horizontal="center"/>
    </xf>
    <xf numFmtId="179" fontId="128" fillId="5" borderId="39" applyAlignment="1" pivotButton="0" quotePrefix="0" xfId="59855">
      <alignment horizontal="center"/>
    </xf>
    <xf numFmtId="179" fontId="129" fillId="0" borderId="42" applyAlignment="1" pivotButton="0" quotePrefix="0" xfId="59855">
      <alignment horizontal="left" indent="1"/>
    </xf>
    <xf numFmtId="179" fontId="128" fillId="0" borderId="42" applyAlignment="1" pivotButton="0" quotePrefix="0" xfId="59855">
      <alignment horizontal="left"/>
    </xf>
    <xf numFmtId="179" fontId="128" fillId="0" borderId="42" pivotButton="0" quotePrefix="0" xfId="59855"/>
    <xf numFmtId="179" fontId="128" fillId="0" borderId="41" pivotButton="0" quotePrefix="0" xfId="59855"/>
    <xf numFmtId="179" fontId="130" fillId="0" borderId="49" applyAlignment="1" pivotButton="0" quotePrefix="0" xfId="59855">
      <alignment horizontal="left"/>
    </xf>
    <xf numFmtId="179" fontId="31" fillId="0" borderId="0" applyAlignment="1" pivotButton="0" quotePrefix="0" xfId="61894">
      <alignment horizontal="left"/>
    </xf>
    <xf numFmtId="179" fontId="128" fillId="0" borderId="0" applyAlignment="1" pivotButton="0" quotePrefix="0" xfId="61894">
      <alignment horizontal="left"/>
    </xf>
    <xf numFmtId="179" fontId="128" fillId="0" borderId="0" applyAlignment="1" pivotButton="0" quotePrefix="0" xfId="61894">
      <alignment horizontal="centerContinuous"/>
    </xf>
    <xf numFmtId="179" fontId="128" fillId="0" borderId="0" applyAlignment="1" pivotButton="0" quotePrefix="0" xfId="61894">
      <alignment horizontal="right"/>
    </xf>
    <xf numFmtId="179" fontId="128" fillId="0" borderId="40" applyAlignment="1" pivotButton="0" quotePrefix="0" xfId="61894">
      <alignment horizontal="center" vertical="center"/>
    </xf>
    <xf numFmtId="179" fontId="128" fillId="5" borderId="63" pivotButton="0" quotePrefix="0" xfId="61894"/>
    <xf numFmtId="179" fontId="128" fillId="5" borderId="63" applyAlignment="1" pivotButton="0" quotePrefix="0" xfId="61894">
      <alignment horizontal="left"/>
    </xf>
    <xf numFmtId="179" fontId="128" fillId="5" borderId="106" pivotButton="0" quotePrefix="0" xfId="61894"/>
    <xf numFmtId="179" fontId="128" fillId="5" borderId="64" applyAlignment="1" pivotButton="0" quotePrefix="0" xfId="61894">
      <alignment horizontal="center"/>
    </xf>
    <xf numFmtId="179" fontId="128" fillId="5" borderId="56" applyAlignment="1" pivotButton="0" quotePrefix="0" xfId="61894">
      <alignment horizontal="center"/>
    </xf>
    <xf numFmtId="179" fontId="128" fillId="5" borderId="39" applyAlignment="1" pivotButton="0" quotePrefix="0" xfId="61894">
      <alignment horizontal="center"/>
    </xf>
    <xf numFmtId="179" fontId="129" fillId="0" borderId="42" applyAlignment="1" pivotButton="0" quotePrefix="0" xfId="61894">
      <alignment horizontal="left" indent="1"/>
    </xf>
    <xf numFmtId="179" fontId="128" fillId="0" borderId="42" applyAlignment="1" pivotButton="0" quotePrefix="0" xfId="61894">
      <alignment horizontal="left"/>
    </xf>
    <xf numFmtId="179" fontId="128" fillId="0" borderId="42" pivotButton="0" quotePrefix="0" xfId="61894"/>
    <xf numFmtId="179" fontId="128" fillId="0" borderId="41" pivotButton="0" quotePrefix="0" xfId="61894"/>
    <xf numFmtId="179" fontId="130" fillId="0" borderId="49" applyAlignment="1" pivotButton="0" quotePrefix="0" xfId="61894">
      <alignment horizontal="left"/>
    </xf>
    <xf numFmtId="193" fontId="32" fillId="0" borderId="0" pivotButton="0" quotePrefix="0" xfId="59965"/>
    <xf numFmtId="193" fontId="32" fillId="0" borderId="15" pivotButton="0" quotePrefix="0" xfId="59965"/>
    <xf numFmtId="43" fontId="19" fillId="4" borderId="1" applyAlignment="1" pivotButton="0" quotePrefix="0" xfId="11">
      <alignment horizontal="center" vertical="center"/>
    </xf>
    <xf numFmtId="3" fontId="19" fillId="4" borderId="1" applyAlignment="1" pivotButton="0" quotePrefix="0" xfId="12">
      <alignment horizontal="center" vertical="center" wrapText="1"/>
    </xf>
    <xf numFmtId="0" fontId="0" fillId="0" borderId="8" pivotButton="0" quotePrefix="0" xfId="0"/>
    <xf numFmtId="0" fontId="0" fillId="0" borderId="58" pivotButton="0" quotePrefix="0" xfId="0"/>
    <xf numFmtId="186" fontId="13" fillId="0" borderId="0" applyAlignment="1" pivotButton="0" quotePrefix="0" xfId="12">
      <alignment horizontal="center" vertical="center"/>
    </xf>
    <xf numFmtId="183" fontId="37" fillId="0" borderId="0" applyAlignment="1" pivotButton="0" quotePrefix="0" xfId="6">
      <alignment horizontal="left" vertical="center"/>
    </xf>
    <xf numFmtId="170" fontId="54" fillId="0" borderId="0" applyAlignment="1" pivotButton="0" quotePrefix="0" xfId="13">
      <alignment horizontal="center" vertical="center"/>
    </xf>
    <xf numFmtId="170" fontId="50" fillId="6" borderId="0" applyAlignment="1" pivotButton="0" quotePrefix="0" xfId="13">
      <alignment horizontal="center" vertical="center"/>
    </xf>
    <xf numFmtId="170" fontId="50" fillId="6" borderId="3" applyAlignment="1" pivotButton="0" quotePrefix="0" xfId="13">
      <alignment horizontal="center" vertical="center"/>
    </xf>
    <xf numFmtId="164" fontId="106" fillId="11" borderId="0" applyAlignment="1" pivotButton="0" quotePrefix="0" xfId="1">
      <alignment vertical="center"/>
    </xf>
    <xf numFmtId="0" fontId="0" fillId="0" borderId="48" pivotButton="0" quotePrefix="0" xfId="0"/>
    <xf numFmtId="0" fontId="92" fillId="18" borderId="40" applyAlignment="1" pivotButton="0" quotePrefix="0" xfId="0">
      <alignment horizontal="center" vertical="center"/>
    </xf>
    <xf numFmtId="37" fontId="91" fillId="18" borderId="133" applyAlignment="1" pivotButton="0" quotePrefix="0" xfId="0">
      <alignment horizontal="center" vertical="center"/>
    </xf>
    <xf numFmtId="0" fontId="126" fillId="4" borderId="40" applyAlignment="1" pivotButton="0" quotePrefix="0" xfId="0">
      <alignment horizontal="center" vertical="center"/>
    </xf>
    <xf numFmtId="0" fontId="126" fillId="3" borderId="40" applyAlignment="1" pivotButton="0" quotePrefix="0" xfId="0">
      <alignment horizontal="center" vertical="center"/>
    </xf>
    <xf numFmtId="0" fontId="126" fillId="19" borderId="40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42" pivotButton="0" quotePrefix="0" xfId="0"/>
    <xf numFmtId="0" fontId="0" fillId="0" borderId="41" pivotButton="0" quotePrefix="0" xfId="0"/>
    <xf numFmtId="0" fontId="0" fillId="0" borderId="25" pivotButton="0" quotePrefix="0" xfId="0"/>
    <xf numFmtId="0" fontId="0" fillId="0" borderId="26" pivotButton="0" quotePrefix="0" xfId="0"/>
    <xf numFmtId="164" fontId="15" fillId="0" borderId="0" pivotButton="0" quotePrefix="0" xfId="17"/>
    <xf numFmtId="175" fontId="15" fillId="0" borderId="0" pivotButton="0" quotePrefix="0" xfId="17"/>
    <xf numFmtId="164" fontId="98" fillId="0" borderId="0" pivotButton="0" quotePrefix="0" xfId="17"/>
    <xf numFmtId="164" fontId="99" fillId="0" borderId="0" pivotButton="0" quotePrefix="0" xfId="17"/>
    <xf numFmtId="176" fontId="15" fillId="0" borderId="0" pivotButton="0" quotePrefix="0" xfId="17"/>
    <xf numFmtId="164" fontId="23" fillId="0" borderId="0" pivotButton="0" quotePrefix="0" xfId="17"/>
    <xf numFmtId="164" fontId="33" fillId="0" borderId="0" pivotButton="0" quotePrefix="0" xfId="17"/>
    <xf numFmtId="164" fontId="33" fillId="0" borderId="0" applyAlignment="1" pivotButton="0" quotePrefix="0" xfId="17">
      <alignment horizontal="right"/>
    </xf>
    <xf numFmtId="164" fontId="23" fillId="0" borderId="50" applyAlignment="1" pivotButton="0" quotePrefix="0" xfId="18">
      <alignment wrapText="1"/>
    </xf>
    <xf numFmtId="164" fontId="23" fillId="0" borderId="0" applyAlignment="1" pivotButton="0" quotePrefix="0" xfId="18">
      <alignment wrapText="1"/>
    </xf>
    <xf numFmtId="164" fontId="15" fillId="0" borderId="51" applyAlignment="1" pivotButton="0" quotePrefix="0" xfId="18">
      <alignment horizontal="center" wrapText="1"/>
    </xf>
    <xf numFmtId="164" fontId="15" fillId="0" borderId="51" applyAlignment="1" pivotButton="0" quotePrefix="0" xfId="17">
      <alignment horizontal="center"/>
    </xf>
    <xf numFmtId="164" fontId="15" fillId="0" borderId="52" applyAlignment="1" pivotButton="0" quotePrefix="0" xfId="17">
      <alignment horizontal="center"/>
    </xf>
    <xf numFmtId="164" fontId="23" fillId="0" borderId="53" pivotButton="0" quotePrefix="0" xfId="17"/>
    <xf numFmtId="164" fontId="15" fillId="0" borderId="1" pivotButton="0" quotePrefix="0" xfId="18"/>
    <xf numFmtId="164" fontId="15" fillId="0" borderId="54" applyAlignment="1" pivotButton="0" quotePrefix="0" xfId="18">
      <alignment wrapText="1"/>
    </xf>
    <xf numFmtId="164" fontId="15" fillId="0" borderId="53" pivotButton="0" quotePrefix="0" xfId="17"/>
    <xf numFmtId="164" fontId="15" fillId="0" borderId="1" pivotButton="0" quotePrefix="0" xfId="17"/>
    <xf numFmtId="164" fontId="15" fillId="0" borderId="25" pivotButton="0" quotePrefix="0" xfId="17"/>
    <xf numFmtId="164" fontId="35" fillId="0" borderId="0" pivotButton="0" quotePrefix="0" xfId="17"/>
    <xf numFmtId="164" fontId="100" fillId="0" borderId="0" pivotButton="0" quotePrefix="0" xfId="17"/>
    <xf numFmtId="164" fontId="23" fillId="0" borderId="1" applyAlignment="1" pivotButton="0" quotePrefix="0" xfId="18">
      <alignment wrapText="1"/>
    </xf>
    <xf numFmtId="164" fontId="23" fillId="0" borderId="54" applyAlignment="1" pivotButton="0" quotePrefix="0" xfId="18">
      <alignment wrapText="1"/>
    </xf>
    <xf numFmtId="164" fontId="15" fillId="0" borderId="53" applyAlignment="1" pivotButton="0" quotePrefix="0" xfId="18">
      <alignment wrapText="1"/>
    </xf>
    <xf numFmtId="164" fontId="15" fillId="0" borderId="0" applyAlignment="1" pivotButton="0" quotePrefix="0" xfId="18">
      <alignment wrapText="1"/>
    </xf>
    <xf numFmtId="164" fontId="101" fillId="0" borderId="1" applyAlignment="1" pivotButton="0" quotePrefix="0" xfId="18">
      <alignment wrapText="1"/>
    </xf>
    <xf numFmtId="164" fontId="15" fillId="0" borderId="1" applyAlignment="1" pivotButton="0" quotePrefix="0" xfId="18">
      <alignment wrapText="1"/>
    </xf>
    <xf numFmtId="164" fontId="0" fillId="0" borderId="53" pivotButton="0" quotePrefix="0" xfId="19"/>
    <xf numFmtId="164" fontId="14" fillId="0" borderId="53" pivotButton="0" quotePrefix="0" xfId="19"/>
    <xf numFmtId="164" fontId="15" fillId="0" borderId="0" applyAlignment="1" pivotButton="0" quotePrefix="0" xfId="17">
      <alignment horizontal="center"/>
    </xf>
    <xf numFmtId="164" fontId="23" fillId="0" borderId="53" applyAlignment="1" pivotButton="0" quotePrefix="0" xfId="18">
      <alignment wrapText="1"/>
    </xf>
    <xf numFmtId="164" fontId="0" fillId="0" borderId="53" applyAlignment="1" pivotButton="0" quotePrefix="0" xfId="18">
      <alignment wrapText="1"/>
    </xf>
    <xf numFmtId="164" fontId="15" fillId="8" borderId="1" pivotButton="0" quotePrefix="0" xfId="17"/>
    <xf numFmtId="164" fontId="102" fillId="0" borderId="0" pivotButton="0" quotePrefix="0" xfId="17"/>
    <xf numFmtId="164" fontId="102" fillId="0" borderId="1" pivotButton="0" quotePrefix="0" xfId="17"/>
    <xf numFmtId="164" fontId="102" fillId="0" borderId="54" applyAlignment="1" pivotButton="0" quotePrefix="0" xfId="18">
      <alignment wrapText="1"/>
    </xf>
    <xf numFmtId="164" fontId="0" fillId="0" borderId="53" pivotButton="0" quotePrefix="0" xfId="17"/>
    <xf numFmtId="164" fontId="14" fillId="0" borderId="53" pivotButton="0" quotePrefix="0" xfId="17"/>
    <xf numFmtId="164" fontId="67" fillId="0" borderId="0" pivotButton="0" quotePrefix="0" xfId="17"/>
    <xf numFmtId="164" fontId="102" fillId="0" borderId="53" pivotButton="0" quotePrefix="0" xfId="17"/>
    <xf numFmtId="164" fontId="14" fillId="0" borderId="0" pivotButton="0" quotePrefix="0" xfId="17"/>
    <xf numFmtId="164" fontId="14" fillId="0" borderId="54" pivotButton="0" quotePrefix="0" xfId="17"/>
    <xf numFmtId="164" fontId="103" fillId="0" borderId="53" applyAlignment="1" pivotButton="0" quotePrefix="0" xfId="18">
      <alignment wrapText="1"/>
    </xf>
    <xf numFmtId="164" fontId="104" fillId="0" borderId="54" applyAlignment="1" pivotButton="0" quotePrefix="0" xfId="18">
      <alignment wrapText="1"/>
    </xf>
    <xf numFmtId="164" fontId="67" fillId="0" borderId="1" pivotButton="0" quotePrefix="0" xfId="17"/>
    <xf numFmtId="164" fontId="35" fillId="0" borderId="1" pivotButton="0" quotePrefix="0" xfId="17"/>
    <xf numFmtId="164" fontId="23" fillId="0" borderId="55" pivotButton="0" quotePrefix="0" xfId="17"/>
    <xf numFmtId="164" fontId="23" fillId="0" borderId="56" applyAlignment="1" pivotButton="0" quotePrefix="0" xfId="18">
      <alignment wrapText="1"/>
    </xf>
    <xf numFmtId="164" fontId="15" fillId="0" borderId="57" applyAlignment="1" pivotButton="0" quotePrefix="0" xfId="18">
      <alignment wrapText="1"/>
    </xf>
    <xf numFmtId="173" fontId="14" fillId="0" borderId="0" pivotButton="0" quotePrefix="0" xfId="20"/>
    <xf numFmtId="164" fontId="14" fillId="0" borderId="0" pivotButton="0" quotePrefix="0" xfId="20"/>
    <xf numFmtId="164" fontId="67" fillId="0" borderId="0" pivotButton="0" quotePrefix="0" xfId="20"/>
    <xf numFmtId="171" fontId="14" fillId="0" borderId="0" pivotButton="0" quotePrefix="0" xfId="20"/>
    <xf numFmtId="164" fontId="69" fillId="0" borderId="0" pivotButton="0" quotePrefix="0" xfId="20"/>
    <xf numFmtId="164" fontId="70" fillId="0" borderId="0" pivotButton="0" quotePrefix="0" xfId="20"/>
    <xf numFmtId="164" fontId="71" fillId="0" borderId="0" pivotButton="0" quotePrefix="0" xfId="20"/>
    <xf numFmtId="164" fontId="72" fillId="0" borderId="0" applyAlignment="1" pivotButton="0" quotePrefix="0" xfId="20">
      <alignment horizontal="right"/>
    </xf>
    <xf numFmtId="164" fontId="26" fillId="0" borderId="50" pivotButton="0" quotePrefix="0" xfId="20"/>
    <xf numFmtId="164" fontId="26" fillId="0" borderId="51" applyAlignment="1" pivotButton="0" quotePrefix="0" xfId="20">
      <alignment horizontal="center" vertical="top"/>
    </xf>
    <xf numFmtId="164" fontId="26" fillId="0" borderId="52" applyAlignment="1" pivotButton="0" quotePrefix="0" xfId="20">
      <alignment horizontal="center" vertical="top"/>
    </xf>
    <xf numFmtId="164" fontId="26" fillId="0" borderId="53" pivotButton="0" quotePrefix="0" xfId="20"/>
    <xf numFmtId="164" fontId="14" fillId="0" borderId="1" pivotButton="0" quotePrefix="0" xfId="20"/>
    <xf numFmtId="164" fontId="14" fillId="0" borderId="54" pivotButton="0" quotePrefix="0" xfId="20"/>
    <xf numFmtId="164" fontId="14" fillId="0" borderId="53" pivotButton="0" quotePrefix="0" xfId="20"/>
    <xf numFmtId="164" fontId="67" fillId="0" borderId="53" pivotButton="0" quotePrefix="0" xfId="20"/>
    <xf numFmtId="164" fontId="67" fillId="0" borderId="1" pivotButton="0" quotePrefix="0" xfId="20"/>
    <xf numFmtId="164" fontId="67" fillId="0" borderId="54" pivotButton="0" quotePrefix="0" xfId="20"/>
    <xf numFmtId="164" fontId="23" fillId="0" borderId="53" pivotButton="0" quotePrefix="0" xfId="20"/>
    <xf numFmtId="164" fontId="23" fillId="0" borderId="1" pivotButton="0" quotePrefix="0" xfId="20"/>
    <xf numFmtId="164" fontId="23" fillId="0" borderId="54" pivotButton="0" quotePrefix="0" xfId="20"/>
    <xf numFmtId="172" fontId="74" fillId="0" borderId="0" pivotButton="0" quotePrefix="0" xfId="20"/>
    <xf numFmtId="172" fontId="74" fillId="0" borderId="0" applyAlignment="1" pivotButton="0" quotePrefix="0" xfId="20">
      <alignment horizontal="center"/>
    </xf>
    <xf numFmtId="164" fontId="26" fillId="0" borderId="55" pivotButton="0" quotePrefix="0" xfId="20"/>
    <xf numFmtId="164" fontId="26" fillId="0" borderId="56" pivotButton="0" quotePrefix="0" xfId="20"/>
    <xf numFmtId="164" fontId="26" fillId="0" borderId="57" pivotButton="0" quotePrefix="0" xfId="20"/>
    <xf numFmtId="164" fontId="76" fillId="0" borderId="0" pivotButton="0" quotePrefix="0" xfId="20"/>
    <xf numFmtId="164" fontId="77" fillId="0" borderId="0" pivotButton="0" quotePrefix="0" xfId="20"/>
    <xf numFmtId="164" fontId="78" fillId="0" borderId="0" pivotButton="0" quotePrefix="0" xfId="20"/>
    <xf numFmtId="164" fontId="14" fillId="0" borderId="0" applyAlignment="1" pivotButton="0" quotePrefix="0" xfId="20">
      <alignment horizontal="center"/>
    </xf>
    <xf numFmtId="164" fontId="14" fillId="0" borderId="0" pivotButton="0" quotePrefix="0" xfId="1"/>
    <xf numFmtId="164" fontId="23" fillId="0" borderId="50" applyAlignment="1" pivotButton="0" quotePrefix="0" xfId="21">
      <alignment wrapText="1"/>
    </xf>
    <xf numFmtId="164" fontId="15" fillId="0" borderId="51" applyAlignment="1" pivotButton="0" quotePrefix="0" xfId="21">
      <alignment horizontal="center" wrapText="1"/>
    </xf>
    <xf numFmtId="164" fontId="15" fillId="0" borderId="51" applyAlignment="1" pivotButton="0" quotePrefix="0" xfId="20">
      <alignment horizontal="center"/>
    </xf>
    <xf numFmtId="164" fontId="15" fillId="0" borderId="52" applyAlignment="1" pivotButton="0" quotePrefix="0" xfId="20">
      <alignment horizontal="center"/>
    </xf>
    <xf numFmtId="164" fontId="15" fillId="0" borderId="0" pivotButton="0" quotePrefix="0" xfId="20"/>
    <xf numFmtId="164" fontId="15" fillId="0" borderId="1" pivotButton="0" quotePrefix="0" xfId="21"/>
    <xf numFmtId="164" fontId="15" fillId="0" borderId="54" applyAlignment="1" pivotButton="0" quotePrefix="0" xfId="21">
      <alignment wrapText="1"/>
    </xf>
    <xf numFmtId="164" fontId="15" fillId="0" borderId="53" pivotButton="0" quotePrefix="0" xfId="20"/>
    <xf numFmtId="164" fontId="35" fillId="0" borderId="1" pivotButton="0" quotePrefix="0" xfId="20"/>
    <xf numFmtId="164" fontId="23" fillId="0" borderId="1" applyAlignment="1" pivotButton="0" quotePrefix="0" xfId="21">
      <alignment wrapText="1"/>
    </xf>
    <xf numFmtId="164" fontId="23" fillId="0" borderId="2" applyAlignment="1" pivotButton="0" quotePrefix="0" xfId="21">
      <alignment wrapText="1"/>
    </xf>
    <xf numFmtId="164" fontId="23" fillId="0" borderId="25" pivotButton="0" quotePrefix="0" xfId="20"/>
    <xf numFmtId="164" fontId="15" fillId="0" borderId="53" applyAlignment="1" pivotButton="0" quotePrefix="0" xfId="21">
      <alignment wrapText="1"/>
    </xf>
    <xf numFmtId="164" fontId="15" fillId="0" borderId="1" applyAlignment="1" pivotButton="0" quotePrefix="0" xfId="21">
      <alignment wrapText="1"/>
    </xf>
    <xf numFmtId="164" fontId="80" fillId="0" borderId="1" applyAlignment="1" pivotButton="0" quotePrefix="0" xfId="20">
      <alignment wrapText="1"/>
    </xf>
    <xf numFmtId="164" fontId="14" fillId="0" borderId="1" applyAlignment="1" pivotButton="0" quotePrefix="0" xfId="20">
      <alignment wrapText="1"/>
    </xf>
    <xf numFmtId="164" fontId="67" fillId="0" borderId="1" applyAlignment="1" pivotButton="0" quotePrefix="0" xfId="20">
      <alignment wrapText="1"/>
    </xf>
    <xf numFmtId="164" fontId="23" fillId="0" borderId="54" applyAlignment="1" pivotButton="0" quotePrefix="0" xfId="21">
      <alignment wrapText="1"/>
    </xf>
    <xf numFmtId="164" fontId="23" fillId="0" borderId="53" applyAlignment="1" pivotButton="0" quotePrefix="0" xfId="21">
      <alignment wrapText="1"/>
    </xf>
    <xf numFmtId="164" fontId="23" fillId="0" borderId="0" pivotButton="0" quotePrefix="0" xfId="20"/>
    <xf numFmtId="164" fontId="35" fillId="0" borderId="1" pivotButton="0" quotePrefix="0" xfId="21"/>
    <xf numFmtId="164" fontId="81" fillId="0" borderId="1" pivotButton="0" quotePrefix="0" xfId="21"/>
    <xf numFmtId="164" fontId="15" fillId="0" borderId="1" pivotButton="0" quotePrefix="0" xfId="20"/>
    <xf numFmtId="164" fontId="82" fillId="0" borderId="1" pivotButton="0" quotePrefix="0" xfId="20"/>
    <xf numFmtId="164" fontId="23" fillId="0" borderId="55" pivotButton="0" quotePrefix="0" xfId="20"/>
    <xf numFmtId="164" fontId="23" fillId="0" borderId="56" applyAlignment="1" pivotButton="0" quotePrefix="0" xfId="21">
      <alignment wrapText="1"/>
    </xf>
    <xf numFmtId="164" fontId="15" fillId="0" borderId="57" applyAlignment="1" pivotButton="0" quotePrefix="0" xfId="21">
      <alignment wrapText="1"/>
    </xf>
    <xf numFmtId="164" fontId="85" fillId="0" borderId="0" pivotButton="0" quotePrefix="0" xfId="20"/>
    <xf numFmtId="164" fontId="83" fillId="0" borderId="0" pivotButton="0" quotePrefix="0" xfId="20"/>
    <xf numFmtId="164" fontId="86" fillId="0" borderId="0" pivotButton="0" quotePrefix="0" xfId="20"/>
    <xf numFmtId="174" fontId="83" fillId="0" borderId="0" pivotButton="0" quotePrefix="0" xfId="20"/>
    <xf numFmtId="164" fontId="88" fillId="0" borderId="0" pivotButton="0" quotePrefix="0" xfId="20"/>
    <xf numFmtId="164" fontId="87" fillId="0" borderId="0" pivotButton="0" quotePrefix="0" xfId="20"/>
    <xf numFmtId="164" fontId="89" fillId="0" borderId="0" pivotButton="0" quotePrefix="0" xfId="20"/>
  </cellXfs>
  <cellStyles count="61895">
    <cellStyle name="Normal" xfId="0" builtinId="0"/>
    <cellStyle name="Comma" xfId="1" builtinId="3"/>
    <cellStyle name="Percent" xfId="2" builtinId="5"/>
    <cellStyle name="Normal 2" xfId="3"/>
    <cellStyle name="Финансовый 4" xfId="4"/>
    <cellStyle name="Hyperlink" xfId="5" builtinId="8"/>
    <cellStyle name="Comma 2" xfId="6"/>
    <cellStyle name="Обычный 2" xfId="7"/>
    <cellStyle name="Финансовый 2" xfId="8"/>
    <cellStyle name="Процентный 9" xfId="9"/>
    <cellStyle name="Обычный 3" xfId="10"/>
    <cellStyle name="Comma 3" xfId="11"/>
    <cellStyle name="Normal 3" xfId="12"/>
    <cellStyle name="Normal_cash_flow - เงินกู้ในประเทศ" xfId="13"/>
    <cellStyle name="Normal_เงินกู้จากธนาคาร 2" xfId="14"/>
    <cellStyle name="Normal_Book1" xfId="15"/>
    <cellStyle name="Финансовый [0] 2" xfId="16"/>
    <cellStyle name="Обычный 8" xfId="17"/>
    <cellStyle name="Финансовый 8 2" xfId="18"/>
    <cellStyle name="Обычный 9 2" xfId="19"/>
    <cellStyle name="Normal 23 2" xfId="20"/>
    <cellStyle name="Comma 23 3" xfId="21"/>
    <cellStyle name="Normal 4" xfId="22"/>
    <cellStyle name="Comma 4" xfId="23"/>
    <cellStyle name="Normal 5" xfId="24"/>
    <cellStyle name="20% - Accent1 2" xfId="25"/>
    <cellStyle name="Accent3 2" xfId="26"/>
    <cellStyle name="Accent5 2" xfId="27"/>
    <cellStyle name="Explanatory Text 2" xfId="28"/>
    <cellStyle name="Heading 1 2" xfId="29"/>
    <cellStyle name="Heading 3 2" xfId="30"/>
    <cellStyle name="Heading 4 2" xfId="31"/>
    <cellStyle name="Title 2" xfId="32"/>
    <cellStyle name="Финансовый 2 3" xfId="33"/>
    <cellStyle name="Пояснение 2" xfId="34"/>
    <cellStyle name="Заголовок 4 2" xfId="35"/>
    <cellStyle name="Процентный 2" xfId="36"/>
    <cellStyle name="20% - Акцент1 2" xfId="37"/>
    <cellStyle name="Акцент3 2" xfId="38"/>
    <cellStyle name="Акцент5 2" xfId="39"/>
    <cellStyle name="Пояснение 3" xfId="40"/>
    <cellStyle name="Заголовок 1 2" xfId="41"/>
    <cellStyle name="Заголовок 2 2" xfId="42"/>
    <cellStyle name="Заголовок 3 2" xfId="43"/>
    <cellStyle name="Заголовок 4 3" xfId="44"/>
    <cellStyle name="Название 2" xfId="45"/>
    <cellStyle name="Процентный 3" xfId="46"/>
    <cellStyle name="Финансовый 3" xfId="47"/>
    <cellStyle name="Comma 5" xfId="48"/>
    <cellStyle name="Обычный 4" xfId="49"/>
    <cellStyle name="Процентный 4" xfId="50"/>
    <cellStyle name="Обычный 3 2" xfId="51"/>
    <cellStyle name="Финансовый 3 2" xfId="52"/>
    <cellStyle name="Пояснение 4" xfId="53"/>
    <cellStyle name="Заголовок 4 4" xfId="54"/>
    <cellStyle name="Процентный 3 2" xfId="55"/>
    <cellStyle name="Обычный 4 2" xfId="56"/>
    <cellStyle name="Процентный 4 2" xfId="57"/>
    <cellStyle name="Обычный 4 3" xfId="58"/>
    <cellStyle name="Процентный 4 3" xfId="59"/>
    <cellStyle name="Обычный 5" xfId="60"/>
    <cellStyle name="Процентный 5" xfId="61"/>
    <cellStyle name="Обычный 4 4" xfId="62"/>
    <cellStyle name="Процентный 4 4" xfId="63"/>
    <cellStyle name="Обычный 4 5" xfId="64"/>
    <cellStyle name="Процентный 4 5" xfId="65"/>
    <cellStyle name="Обычный 4 6" xfId="66"/>
    <cellStyle name="Процентный 4 6" xfId="67"/>
    <cellStyle name="Обычный 4 7" xfId="68"/>
    <cellStyle name="Процентный 4 7" xfId="69"/>
    <cellStyle name="Обычный 4 8" xfId="70"/>
    <cellStyle name="Процентный 4 8" xfId="71"/>
    <cellStyle name="Обычный 4 9" xfId="72"/>
    <cellStyle name="Процентный 4 9" xfId="73"/>
    <cellStyle name="Обычный 5 2" xfId="74"/>
    <cellStyle name="Процентный 5 2" xfId="75"/>
    <cellStyle name="Обычный 4 10" xfId="76"/>
    <cellStyle name="Процентный 4 10" xfId="77"/>
    <cellStyle name="Обычный 5 3" xfId="78"/>
    <cellStyle name="Процентный 5 3" xfId="79"/>
    <cellStyle name="Обычный 4 11" xfId="80"/>
    <cellStyle name="Процентный 4 11" xfId="81"/>
    <cellStyle name="Обычный 5 4" xfId="82"/>
    <cellStyle name="Процентный 5 4" xfId="83"/>
    <cellStyle name="Обычный 4 12" xfId="84"/>
    <cellStyle name="Процентный 4 12" xfId="85"/>
    <cellStyle name="Обычный 5 5" xfId="86"/>
    <cellStyle name="Процентный 5 5" xfId="87"/>
    <cellStyle name="Обычный 4 13" xfId="88"/>
    <cellStyle name="Процентный 4 13" xfId="89"/>
    <cellStyle name="Обычный 5 6" xfId="90"/>
    <cellStyle name="Процентный 5 6" xfId="91"/>
    <cellStyle name="Обычный 4 14" xfId="92"/>
    <cellStyle name="Процентный 4 14" xfId="93"/>
    <cellStyle name="Обычный 5 7" xfId="94"/>
    <cellStyle name="Процентный 5 7" xfId="95"/>
    <cellStyle name="Обычный 4 15" xfId="96"/>
    <cellStyle name="Процентный 4 15" xfId="97"/>
    <cellStyle name="Обычный 5 8" xfId="98"/>
    <cellStyle name="Процентный 5 8" xfId="99"/>
    <cellStyle name="Обычный 4 2 2" xfId="100"/>
    <cellStyle name="Процентный 4 2 2" xfId="101"/>
    <cellStyle name="Обычный 5 2 2" xfId="102"/>
    <cellStyle name="Процентный 5 2 2" xfId="103"/>
    <cellStyle name="Обычный 4 16" xfId="104"/>
    <cellStyle name="Процентный 4 16" xfId="105"/>
    <cellStyle name="Обычный 5 9" xfId="106"/>
    <cellStyle name="Процентный 5 9" xfId="107"/>
    <cellStyle name="Обычный 4 2 3" xfId="108"/>
    <cellStyle name="Процентный 4 2 3" xfId="109"/>
    <cellStyle name="Обычный 5 2 3" xfId="110"/>
    <cellStyle name="Процентный 5 2 3" xfId="111"/>
    <cellStyle name="Обычный 4 17" xfId="112"/>
    <cellStyle name="Процентный 4 17" xfId="113"/>
    <cellStyle name="Обычный 5 10" xfId="114"/>
    <cellStyle name="Процентный 5 10" xfId="115"/>
    <cellStyle name="Обычный 4 2 4" xfId="116"/>
    <cellStyle name="Процентный 4 2 4" xfId="117"/>
    <cellStyle name="Обычный 5 2 4" xfId="118"/>
    <cellStyle name="Процентный 5 2 4" xfId="119"/>
    <cellStyle name="Обычный 6" xfId="120"/>
    <cellStyle name="Процентный 6" xfId="121"/>
    <cellStyle name="Обычный 4 18" xfId="122"/>
    <cellStyle name="Процентный 4 18" xfId="123"/>
    <cellStyle name="Обычный 5 11" xfId="124"/>
    <cellStyle name="Процентный 5 11" xfId="125"/>
    <cellStyle name="Обычный 4 2 5" xfId="126"/>
    <cellStyle name="Процентный 4 2 5" xfId="127"/>
    <cellStyle name="Обычный 5 2 5" xfId="128"/>
    <cellStyle name="Процентный 5 2 5" xfId="129"/>
    <cellStyle name="Обычный 6 2" xfId="130"/>
    <cellStyle name="Процентный 6 2" xfId="131"/>
    <cellStyle name="Обычный 4 19" xfId="132"/>
    <cellStyle name="Процентный 4 19" xfId="133"/>
    <cellStyle name="Обычный 5 12" xfId="134"/>
    <cellStyle name="Процентный 5 12" xfId="135"/>
    <cellStyle name="Обычный 4 2 6" xfId="136"/>
    <cellStyle name="Процентный 4 2 6" xfId="137"/>
    <cellStyle name="Обычный 5 2 6" xfId="138"/>
    <cellStyle name="Процентный 5 2 6" xfId="139"/>
    <cellStyle name="Обычный 6 3" xfId="140"/>
    <cellStyle name="Процентный 6 3" xfId="141"/>
    <cellStyle name="Обычный 4 20" xfId="142"/>
    <cellStyle name="Процентный 4 20" xfId="143"/>
    <cellStyle name="Обычный 5 13" xfId="144"/>
    <cellStyle name="Процентный 5 13" xfId="145"/>
    <cellStyle name="Обычный 4 2 7" xfId="146"/>
    <cellStyle name="Процентный 4 2 7" xfId="147"/>
    <cellStyle name="Обычный 5 2 7" xfId="148"/>
    <cellStyle name="Процентный 5 2 7" xfId="149"/>
    <cellStyle name="Обычный 6 4" xfId="150"/>
    <cellStyle name="Процентный 6 4" xfId="151"/>
    <cellStyle name="Обычный 4 21" xfId="152"/>
    <cellStyle name="Процентный 4 21" xfId="153"/>
    <cellStyle name="Обычный 5 14" xfId="154"/>
    <cellStyle name="Процентный 5 14" xfId="155"/>
    <cellStyle name="Обычный 4 2 8" xfId="156"/>
    <cellStyle name="Процентный 4 2 8" xfId="157"/>
    <cellStyle name="Обычный 5 2 8" xfId="158"/>
    <cellStyle name="Процентный 5 2 8" xfId="159"/>
    <cellStyle name="Обычный 6 5" xfId="160"/>
    <cellStyle name="Процентный 6 5" xfId="161"/>
    <cellStyle name="Обычный 4 22" xfId="162"/>
    <cellStyle name="Процентный 4 22" xfId="163"/>
    <cellStyle name="Обычный 5 15" xfId="164"/>
    <cellStyle name="Процентный 5 15" xfId="165"/>
    <cellStyle name="Обычный 4 2 9" xfId="166"/>
    <cellStyle name="Процентный 4 2 9" xfId="167"/>
    <cellStyle name="Обычный 5 2 9" xfId="168"/>
    <cellStyle name="Процентный 5 2 9" xfId="169"/>
    <cellStyle name="Обычный 6 6" xfId="170"/>
    <cellStyle name="Процентный 6 6" xfId="171"/>
    <cellStyle name="Обычный 4 23" xfId="172"/>
    <cellStyle name="Процентный 4 23" xfId="173"/>
    <cellStyle name="Обычный 5 16" xfId="174"/>
    <cellStyle name="Процентный 5 16" xfId="175"/>
    <cellStyle name="Обычный 4 2 10" xfId="176"/>
    <cellStyle name="Процентный 4 2 10" xfId="177"/>
    <cellStyle name="Обычный 5 2 10" xfId="178"/>
    <cellStyle name="Процентный 5 2 10" xfId="179"/>
    <cellStyle name="Обычный 6 7" xfId="180"/>
    <cellStyle name="Процентный 6 7" xfId="181"/>
    <cellStyle name="Обычный 4 24" xfId="182"/>
    <cellStyle name="Процентный 4 24" xfId="183"/>
    <cellStyle name="Обычный 5 17" xfId="184"/>
    <cellStyle name="Процентный 5 17" xfId="185"/>
    <cellStyle name="Обычный 4 2 11" xfId="186"/>
    <cellStyle name="Процентный 4 2 11" xfId="187"/>
    <cellStyle name="Обычный 5 2 11" xfId="188"/>
    <cellStyle name="Процентный 5 2 11" xfId="189"/>
    <cellStyle name="Обычный 6 8" xfId="190"/>
    <cellStyle name="Процентный 6 8" xfId="191"/>
    <cellStyle name="Обычный 4 25" xfId="192"/>
    <cellStyle name="Процентный 4 25" xfId="193"/>
    <cellStyle name="Обычный 5 18" xfId="194"/>
    <cellStyle name="Процентный 5 18" xfId="195"/>
    <cellStyle name="Обычный 4 2 12" xfId="196"/>
    <cellStyle name="Процентный 4 2 12" xfId="197"/>
    <cellStyle name="Обычный 5 2 12" xfId="198"/>
    <cellStyle name="Процентный 5 2 12" xfId="199"/>
    <cellStyle name="Обычный 6 9" xfId="200"/>
    <cellStyle name="Процентный 6 9" xfId="201"/>
    <cellStyle name="Обычный 4 26" xfId="202"/>
    <cellStyle name="Процентный 4 26" xfId="203"/>
    <cellStyle name="Обычный 5 19" xfId="204"/>
    <cellStyle name="Процентный 5 19" xfId="205"/>
    <cellStyle name="Обычный 4 2 13" xfId="206"/>
    <cellStyle name="Процентный 4 2 13" xfId="207"/>
    <cellStyle name="Обычный 5 2 13" xfId="208"/>
    <cellStyle name="Процентный 5 2 13" xfId="209"/>
    <cellStyle name="Обычный 6 10" xfId="210"/>
    <cellStyle name="Процентный 6 10" xfId="211"/>
    <cellStyle name="Обычный 4 27" xfId="212"/>
    <cellStyle name="Процентный 4 27" xfId="213"/>
    <cellStyle name="Обычный 5 20" xfId="214"/>
    <cellStyle name="Процентный 5 20" xfId="215"/>
    <cellStyle name="Обычный 4 2 14" xfId="216"/>
    <cellStyle name="Процентный 4 2 14" xfId="217"/>
    <cellStyle name="Обычный 5 2 14" xfId="218"/>
    <cellStyle name="Процентный 5 2 14" xfId="219"/>
    <cellStyle name="Обычный 6 11" xfId="220"/>
    <cellStyle name="Процентный 6 11" xfId="221"/>
    <cellStyle name="Обычный 4 28" xfId="222"/>
    <cellStyle name="Процентный 4 28" xfId="223"/>
    <cellStyle name="Обычный 5 21" xfId="224"/>
    <cellStyle name="Процентный 5 21" xfId="225"/>
    <cellStyle name="Обычный 4 2 15" xfId="226"/>
    <cellStyle name="Процентный 4 2 15" xfId="227"/>
    <cellStyle name="Обычный 5 2 15" xfId="228"/>
    <cellStyle name="Процентный 5 2 15" xfId="229"/>
    <cellStyle name="Обычный 6 12" xfId="230"/>
    <cellStyle name="Процентный 6 12" xfId="231"/>
    <cellStyle name="Обычный 4 29" xfId="232"/>
    <cellStyle name="Процентный 4 29" xfId="233"/>
    <cellStyle name="Обычный 5 22" xfId="234"/>
    <cellStyle name="Процентный 5 22" xfId="235"/>
    <cellStyle name="Обычный 4 2 16" xfId="236"/>
    <cellStyle name="Процентный 4 2 16" xfId="237"/>
    <cellStyle name="Обычный 5 2 16" xfId="238"/>
    <cellStyle name="Процентный 5 2 16" xfId="239"/>
    <cellStyle name="Обычный 6 13" xfId="240"/>
    <cellStyle name="Процентный 6 13" xfId="241"/>
    <cellStyle name="Обычный 4 30" xfId="242"/>
    <cellStyle name="Процентный 4 30" xfId="243"/>
    <cellStyle name="Обычный 5 23" xfId="244"/>
    <cellStyle name="Процентный 5 23" xfId="245"/>
    <cellStyle name="Обычный 4 2 17" xfId="246"/>
    <cellStyle name="Процентный 4 2 17" xfId="247"/>
    <cellStyle name="Обычный 5 2 17" xfId="248"/>
    <cellStyle name="Процентный 5 2 17" xfId="249"/>
    <cellStyle name="Обычный 6 14" xfId="250"/>
    <cellStyle name="Процентный 6 14" xfId="251"/>
    <cellStyle name="Обычный 4 31" xfId="252"/>
    <cellStyle name="Процентный 4 31" xfId="253"/>
    <cellStyle name="Обычный 5 24" xfId="254"/>
    <cellStyle name="Процентный 5 24" xfId="255"/>
    <cellStyle name="Обычный 4 2 18" xfId="256"/>
    <cellStyle name="Процентный 4 2 18" xfId="257"/>
    <cellStyle name="Обычный 5 2 18" xfId="258"/>
    <cellStyle name="Процентный 5 2 18" xfId="259"/>
    <cellStyle name="Обычный 6 15" xfId="260"/>
    <cellStyle name="Процентный 6 15" xfId="261"/>
    <cellStyle name="Обычный 4 32" xfId="262"/>
    <cellStyle name="Процентный 4 32" xfId="263"/>
    <cellStyle name="Обычный 5 25" xfId="264"/>
    <cellStyle name="Процентный 5 25" xfId="265"/>
    <cellStyle name="Обычный 4 2 19" xfId="266"/>
    <cellStyle name="Процентный 4 2 19" xfId="267"/>
    <cellStyle name="Обычный 5 2 19" xfId="268"/>
    <cellStyle name="Процентный 5 2 19" xfId="269"/>
    <cellStyle name="Обычный 6 16" xfId="270"/>
    <cellStyle name="Процентный 6 16" xfId="271"/>
    <cellStyle name="Обычный 4 33" xfId="272"/>
    <cellStyle name="Процентный 4 33" xfId="273"/>
    <cellStyle name="Обычный 5 26" xfId="274"/>
    <cellStyle name="Процентный 5 26" xfId="275"/>
    <cellStyle name="Обычный 4 2 20" xfId="276"/>
    <cellStyle name="Процентный 4 2 20" xfId="277"/>
    <cellStyle name="Обычный 5 2 20" xfId="278"/>
    <cellStyle name="Процентный 5 2 20" xfId="279"/>
    <cellStyle name="Обычный 6 17" xfId="280"/>
    <cellStyle name="Процентный 6 17" xfId="281"/>
    <cellStyle name="Обычный 4 34" xfId="282"/>
    <cellStyle name="Процентный 4 34" xfId="283"/>
    <cellStyle name="Обычный 5 27" xfId="284"/>
    <cellStyle name="Процентный 5 27" xfId="285"/>
    <cellStyle name="Обычный 4 2 21" xfId="286"/>
    <cellStyle name="Процентный 4 2 21" xfId="287"/>
    <cellStyle name="Обычный 5 2 21" xfId="288"/>
    <cellStyle name="Процентный 5 2 21" xfId="289"/>
    <cellStyle name="Обычный 6 18" xfId="290"/>
    <cellStyle name="Процентный 6 18" xfId="291"/>
    <cellStyle name="Обычный 4 35" xfId="292"/>
    <cellStyle name="Процентный 4 35" xfId="293"/>
    <cellStyle name="Обычный 5 28" xfId="294"/>
    <cellStyle name="Процентный 5 28" xfId="295"/>
    <cellStyle name="Обычный 4 2 22" xfId="296"/>
    <cellStyle name="Процентный 4 2 22" xfId="297"/>
    <cellStyle name="Обычный 5 2 22" xfId="298"/>
    <cellStyle name="Процентный 5 2 22" xfId="299"/>
    <cellStyle name="Обычный 6 19" xfId="300"/>
    <cellStyle name="Процентный 6 19" xfId="301"/>
    <cellStyle name="Обычный 4 36" xfId="302"/>
    <cellStyle name="Процентный 4 36" xfId="303"/>
    <cellStyle name="Обычный 5 29" xfId="304"/>
    <cellStyle name="Процентный 5 29" xfId="305"/>
    <cellStyle name="Обычный 4 2 23" xfId="306"/>
    <cellStyle name="Процентный 4 2 23" xfId="307"/>
    <cellStyle name="Обычный 5 2 23" xfId="308"/>
    <cellStyle name="Процентный 5 2 23" xfId="309"/>
    <cellStyle name="Обычный 6 20" xfId="310"/>
    <cellStyle name="Процентный 6 20" xfId="311"/>
    <cellStyle name="Обычный 4 37" xfId="312"/>
    <cellStyle name="Процентный 4 37" xfId="313"/>
    <cellStyle name="Обычный 5 30" xfId="314"/>
    <cellStyle name="Процентный 5 30" xfId="315"/>
    <cellStyle name="Обычный 4 2 24" xfId="316"/>
    <cellStyle name="Процентный 4 2 24" xfId="317"/>
    <cellStyle name="Обычный 5 2 24" xfId="318"/>
    <cellStyle name="Процентный 5 2 24" xfId="319"/>
    <cellStyle name="Обычный 6 21" xfId="320"/>
    <cellStyle name="Процентный 6 21" xfId="321"/>
    <cellStyle name="Обычный 4 38" xfId="322"/>
    <cellStyle name="Процентный 4 38" xfId="323"/>
    <cellStyle name="Обычный 5 31" xfId="324"/>
    <cellStyle name="Процентный 5 31" xfId="325"/>
    <cellStyle name="Обычный 4 2 25" xfId="326"/>
    <cellStyle name="Процентный 4 2 25" xfId="327"/>
    <cellStyle name="Обычный 5 2 25" xfId="328"/>
    <cellStyle name="Процентный 5 2 25" xfId="329"/>
    <cellStyle name="Обычный 6 22" xfId="330"/>
    <cellStyle name="Процентный 6 22" xfId="331"/>
    <cellStyle name="Обычный 4 39" xfId="332"/>
    <cellStyle name="Процентный 4 39" xfId="333"/>
    <cellStyle name="Обычный 5 32" xfId="334"/>
    <cellStyle name="Процентный 5 32" xfId="335"/>
    <cellStyle name="Обычный 4 2 26" xfId="336"/>
    <cellStyle name="Процентный 4 2 26" xfId="337"/>
    <cellStyle name="Обычный 5 2 26" xfId="338"/>
    <cellStyle name="Процентный 5 2 26" xfId="339"/>
    <cellStyle name="Обычный 6 23" xfId="340"/>
    <cellStyle name="Процентный 6 23" xfId="341"/>
    <cellStyle name="Обычный 4 40" xfId="342"/>
    <cellStyle name="Процентный 4 40" xfId="343"/>
    <cellStyle name="Обычный 5 33" xfId="344"/>
    <cellStyle name="Процентный 5 33" xfId="345"/>
    <cellStyle name="Обычный 4 2 27" xfId="346"/>
    <cellStyle name="Процентный 4 2 27" xfId="347"/>
    <cellStyle name="Обычный 5 2 27" xfId="348"/>
    <cellStyle name="Процентный 5 2 27" xfId="349"/>
    <cellStyle name="Обычный 6 24" xfId="350"/>
    <cellStyle name="Процентный 6 24" xfId="351"/>
    <cellStyle name="Обычный 4 41" xfId="352"/>
    <cellStyle name="Процентный 4 41" xfId="353"/>
    <cellStyle name="Обычный 5 34" xfId="354"/>
    <cellStyle name="Процентный 5 34" xfId="355"/>
    <cellStyle name="Обычный 4 2 28" xfId="356"/>
    <cellStyle name="Процентный 4 2 28" xfId="357"/>
    <cellStyle name="Обычный 5 2 28" xfId="358"/>
    <cellStyle name="Процентный 5 2 28" xfId="359"/>
    <cellStyle name="Обычный 6 25" xfId="360"/>
    <cellStyle name="Процентный 6 25" xfId="361"/>
    <cellStyle name="Обычный 4 42" xfId="362"/>
    <cellStyle name="Процентный 4 42" xfId="363"/>
    <cellStyle name="Обычный 5 35" xfId="364"/>
    <cellStyle name="Процентный 5 35" xfId="365"/>
    <cellStyle name="Обычный 4 2 29" xfId="366"/>
    <cellStyle name="Процентный 4 2 29" xfId="367"/>
    <cellStyle name="Обычный 5 2 29" xfId="368"/>
    <cellStyle name="Процентный 5 2 29" xfId="369"/>
    <cellStyle name="Обычный 6 26" xfId="370"/>
    <cellStyle name="Процентный 6 26" xfId="371"/>
    <cellStyle name="Обычный 4 43" xfId="372"/>
    <cellStyle name="Процентный 4 43" xfId="373"/>
    <cellStyle name="Обычный 5 36" xfId="374"/>
    <cellStyle name="Процентный 5 36" xfId="375"/>
    <cellStyle name="Обычный 4 2 30" xfId="376"/>
    <cellStyle name="Процентный 4 2 30" xfId="377"/>
    <cellStyle name="Обычный 5 2 30" xfId="378"/>
    <cellStyle name="Процентный 5 2 30" xfId="379"/>
    <cellStyle name="Обычный 6 27" xfId="380"/>
    <cellStyle name="Процентный 6 27" xfId="381"/>
    <cellStyle name="Обычный 4 44" xfId="382"/>
    <cellStyle name="Процентный 4 44" xfId="383"/>
    <cellStyle name="Обычный 5 37" xfId="384"/>
    <cellStyle name="Процентный 5 37" xfId="385"/>
    <cellStyle name="Обычный 4 2 31" xfId="386"/>
    <cellStyle name="Процентный 4 2 31" xfId="387"/>
    <cellStyle name="Обычный 5 2 31" xfId="388"/>
    <cellStyle name="Процентный 5 2 31" xfId="389"/>
    <cellStyle name="Обычный 6 28" xfId="390"/>
    <cellStyle name="Процентный 6 28" xfId="391"/>
    <cellStyle name="Обычный 4 45" xfId="392"/>
    <cellStyle name="Процентный 4 45" xfId="393"/>
    <cellStyle name="Обычный 5 38" xfId="394"/>
    <cellStyle name="Процентный 5 38" xfId="395"/>
    <cellStyle name="Обычный 4 2 32" xfId="396"/>
    <cellStyle name="Процентный 4 2 32" xfId="397"/>
    <cellStyle name="Обычный 5 2 32" xfId="398"/>
    <cellStyle name="Процентный 5 2 32" xfId="399"/>
    <cellStyle name="Обычный 6 29" xfId="400"/>
    <cellStyle name="Процентный 6 29" xfId="401"/>
    <cellStyle name="Обычный 4 46" xfId="402"/>
    <cellStyle name="Процентный 4 46" xfId="403"/>
    <cellStyle name="Обычный 5 39" xfId="404"/>
    <cellStyle name="Процентный 5 39" xfId="405"/>
    <cellStyle name="Обычный 4 2 33" xfId="406"/>
    <cellStyle name="Процентный 4 2 33" xfId="407"/>
    <cellStyle name="Обычный 5 2 33" xfId="408"/>
    <cellStyle name="Процентный 5 2 33" xfId="409"/>
    <cellStyle name="Обычный 6 30" xfId="410"/>
    <cellStyle name="Процентный 6 30" xfId="411"/>
    <cellStyle name="Обычный 4 47" xfId="412"/>
    <cellStyle name="Процентный 4 47" xfId="413"/>
    <cellStyle name="Обычный 5 40" xfId="414"/>
    <cellStyle name="Процентный 5 40" xfId="415"/>
    <cellStyle name="Обычный 4 2 34" xfId="416"/>
    <cellStyle name="Процентный 4 2 34" xfId="417"/>
    <cellStyle name="Обычный 5 2 34" xfId="418"/>
    <cellStyle name="Процентный 5 2 34" xfId="419"/>
    <cellStyle name="Обычный 6 31" xfId="420"/>
    <cellStyle name="Процентный 6 31" xfId="421"/>
    <cellStyle name="Обычный 7" xfId="422"/>
    <cellStyle name="Процентный 7" xfId="423"/>
    <cellStyle name="Обычный 4 48" xfId="424"/>
    <cellStyle name="Процентный 4 48" xfId="425"/>
    <cellStyle name="Обычный 5 41" xfId="426"/>
    <cellStyle name="Процентный 5 41" xfId="427"/>
    <cellStyle name="Обычный 4 2 35" xfId="428"/>
    <cellStyle name="Процентный 4 2 35" xfId="429"/>
    <cellStyle name="Обычный 5 2 35" xfId="430"/>
    <cellStyle name="Процентный 5 2 35" xfId="431"/>
    <cellStyle name="Обычный 6 32" xfId="432"/>
    <cellStyle name="Процентный 6 32" xfId="433"/>
    <cellStyle name="Обычный 7 2" xfId="434"/>
    <cellStyle name="Процентный 7 2" xfId="435"/>
    <cellStyle name="Обычный 4 49" xfId="436"/>
    <cellStyle name="Процентный 4 49" xfId="437"/>
    <cellStyle name="Обычный 5 42" xfId="438"/>
    <cellStyle name="Процентный 5 42" xfId="439"/>
    <cellStyle name="Обычный 4 2 36" xfId="440"/>
    <cellStyle name="Процентный 4 2 36" xfId="441"/>
    <cellStyle name="Обычный 5 2 36" xfId="442"/>
    <cellStyle name="Процентный 5 2 36" xfId="443"/>
    <cellStyle name="Обычный 6 33" xfId="444"/>
    <cellStyle name="Процентный 6 33" xfId="445"/>
    <cellStyle name="Обычный 7 3" xfId="446"/>
    <cellStyle name="Процентный 7 3" xfId="447"/>
    <cellStyle name="Обычный 4 50" xfId="448"/>
    <cellStyle name="Процентный 4 50" xfId="449"/>
    <cellStyle name="Обычный 5 43" xfId="450"/>
    <cellStyle name="Процентный 5 43" xfId="451"/>
    <cellStyle name="Обычный 4 2 37" xfId="452"/>
    <cellStyle name="Процентный 4 2 37" xfId="453"/>
    <cellStyle name="Обычный 5 2 37" xfId="454"/>
    <cellStyle name="Процентный 5 2 37" xfId="455"/>
    <cellStyle name="Обычный 6 34" xfId="456"/>
    <cellStyle name="Процентный 6 34" xfId="457"/>
    <cellStyle name="Обычный 7 4" xfId="458"/>
    <cellStyle name="Процентный 7 4" xfId="459"/>
    <cellStyle name="Обычный 4 51" xfId="460"/>
    <cellStyle name="Процентный 4 51" xfId="461"/>
    <cellStyle name="Обычный 5 44" xfId="462"/>
    <cellStyle name="Процентный 5 44" xfId="463"/>
    <cellStyle name="Обычный 4 2 38" xfId="464"/>
    <cellStyle name="Процентный 4 2 38" xfId="465"/>
    <cellStyle name="Обычный 5 2 38" xfId="466"/>
    <cellStyle name="Процентный 5 2 38" xfId="467"/>
    <cellStyle name="Обычный 6 35" xfId="468"/>
    <cellStyle name="Процентный 6 35" xfId="469"/>
    <cellStyle name="Обычный 7 5" xfId="470"/>
    <cellStyle name="Процентный 7 5" xfId="471"/>
    <cellStyle name="Обычный 4 52" xfId="472"/>
    <cellStyle name="Процентный 4 52" xfId="473"/>
    <cellStyle name="Обычный 5 45" xfId="474"/>
    <cellStyle name="Процентный 5 45" xfId="475"/>
    <cellStyle name="Обычный 4 2 39" xfId="476"/>
    <cellStyle name="Процентный 4 2 39" xfId="477"/>
    <cellStyle name="Обычный 5 2 39" xfId="478"/>
    <cellStyle name="Процентный 5 2 39" xfId="479"/>
    <cellStyle name="Обычный 6 36" xfId="480"/>
    <cellStyle name="Процентный 6 36" xfId="481"/>
    <cellStyle name="Обычный 7 6" xfId="482"/>
    <cellStyle name="Процентный 7 6" xfId="483"/>
    <cellStyle name="Обычный 4 53" xfId="484"/>
    <cellStyle name="Процентный 4 53" xfId="485"/>
    <cellStyle name="Обычный 5 46" xfId="486"/>
    <cellStyle name="Процентный 5 46" xfId="487"/>
    <cellStyle name="Обычный 4 2 40" xfId="488"/>
    <cellStyle name="Процентный 4 2 40" xfId="489"/>
    <cellStyle name="Обычный 5 2 40" xfId="490"/>
    <cellStyle name="Процентный 5 2 40" xfId="491"/>
    <cellStyle name="Обычный 6 37" xfId="492"/>
    <cellStyle name="Процентный 6 37" xfId="493"/>
    <cellStyle name="Обычный 7 7" xfId="494"/>
    <cellStyle name="Процентный 7 7" xfId="495"/>
    <cellStyle name="Обычный 4 54" xfId="496"/>
    <cellStyle name="Процентный 4 54" xfId="497"/>
    <cellStyle name="Обычный 5 47" xfId="498"/>
    <cellStyle name="Процентный 5 47" xfId="499"/>
    <cellStyle name="Обычный 4 2 41" xfId="500"/>
    <cellStyle name="Процентный 4 2 41" xfId="501"/>
    <cellStyle name="Обычный 5 2 41" xfId="502"/>
    <cellStyle name="Процентный 5 2 41" xfId="503"/>
    <cellStyle name="Обычный 6 38" xfId="504"/>
    <cellStyle name="Процентный 6 38" xfId="505"/>
    <cellStyle name="Обычный 7 8" xfId="506"/>
    <cellStyle name="Процентный 7 8" xfId="507"/>
    <cellStyle name="Обычный 4 55" xfId="508"/>
    <cellStyle name="Процентный 4 55" xfId="509"/>
    <cellStyle name="Обычный 5 48" xfId="510"/>
    <cellStyle name="Процентный 5 48" xfId="511"/>
    <cellStyle name="Обычный 4 2 42" xfId="512"/>
    <cellStyle name="Процентный 4 2 42" xfId="513"/>
    <cellStyle name="Обычный 5 2 42" xfId="514"/>
    <cellStyle name="Процентный 5 2 42" xfId="515"/>
    <cellStyle name="Обычный 6 39" xfId="516"/>
    <cellStyle name="Процентный 6 39" xfId="517"/>
    <cellStyle name="Обычный 7 9" xfId="518"/>
    <cellStyle name="Процентный 7 9" xfId="519"/>
    <cellStyle name="Обычный 3 3" xfId="520"/>
    <cellStyle name="Обычный 4 56" xfId="521"/>
    <cellStyle name="Процентный 4 56" xfId="522"/>
    <cellStyle name="Обычный 4 2 43" xfId="523"/>
    <cellStyle name="Процентный 4 2 43" xfId="524"/>
    <cellStyle name="Обычный 4 3 2" xfId="525"/>
    <cellStyle name="Процентный 4 3 2" xfId="526"/>
    <cellStyle name="Обычный 5 49" xfId="527"/>
    <cellStyle name="Процентный 5 49" xfId="528"/>
    <cellStyle name="Обычный 4 4 2" xfId="529"/>
    <cellStyle name="Процентный 4 4 2" xfId="530"/>
    <cellStyle name="Обычный 4 5 2" xfId="531"/>
    <cellStyle name="Процентный 4 5 2" xfId="532"/>
    <cellStyle name="Обычный 4 6 2" xfId="533"/>
    <cellStyle name="Процентный 4 6 2" xfId="534"/>
    <cellStyle name="Обычный 4 7 2" xfId="535"/>
    <cellStyle name="Процентный 4 7 2" xfId="536"/>
    <cellStyle name="Обычный 4 8 2" xfId="537"/>
    <cellStyle name="Процентный 4 8 2" xfId="538"/>
    <cellStyle name="Обычный 4 9 2" xfId="539"/>
    <cellStyle name="Процентный 4 9 2" xfId="540"/>
    <cellStyle name="Обычный 5 2 43" xfId="541"/>
    <cellStyle name="Процентный 5 2 43" xfId="542"/>
    <cellStyle name="Обычный 4 10 2" xfId="543"/>
    <cellStyle name="Процентный 4 10 2" xfId="544"/>
    <cellStyle name="Обычный 5 3 2" xfId="545"/>
    <cellStyle name="Процентный 5 3 2" xfId="546"/>
    <cellStyle name="Обычный 4 11 2" xfId="547"/>
    <cellStyle name="Процентный 4 11 2" xfId="548"/>
    <cellStyle name="Обычный 5 4 2" xfId="549"/>
    <cellStyle name="Процентный 5 4 2" xfId="550"/>
    <cellStyle name="Обычный 4 12 2" xfId="551"/>
    <cellStyle name="Процентный 4 12 2" xfId="552"/>
    <cellStyle name="Обычный 5 5 2" xfId="553"/>
    <cellStyle name="Процентный 5 5 2" xfId="554"/>
    <cellStyle name="Обычный 4 13 2" xfId="555"/>
    <cellStyle name="Процентный 4 13 2" xfId="556"/>
    <cellStyle name="Обычный 5 6 2" xfId="557"/>
    <cellStyle name="Процентный 5 6 2" xfId="558"/>
    <cellStyle name="Обычный 4 14 2" xfId="559"/>
    <cellStyle name="Процентный 4 14 2" xfId="560"/>
    <cellStyle name="Обычный 5 7 2" xfId="561"/>
    <cellStyle name="Процентный 5 7 2" xfId="562"/>
    <cellStyle name="Обычный 4 15 2" xfId="563"/>
    <cellStyle name="Процентный 4 15 2" xfId="564"/>
    <cellStyle name="Обычный 5 8 2" xfId="565"/>
    <cellStyle name="Процентный 5 8 2" xfId="566"/>
    <cellStyle name="Обычный 4 2 2 2" xfId="567"/>
    <cellStyle name="Процентный 4 2 2 2" xfId="568"/>
    <cellStyle name="Обычный 5 2 2 2" xfId="569"/>
    <cellStyle name="Процентный 5 2 2 2" xfId="570"/>
    <cellStyle name="Обычный 4 16 2" xfId="571"/>
    <cellStyle name="Процентный 4 16 2" xfId="572"/>
    <cellStyle name="Обычный 5 9 2" xfId="573"/>
    <cellStyle name="Процентный 5 9 2" xfId="574"/>
    <cellStyle name="Обычный 4 2 3 2" xfId="575"/>
    <cellStyle name="Процентный 4 2 3 2" xfId="576"/>
    <cellStyle name="Обычный 5 2 3 2" xfId="577"/>
    <cellStyle name="Процентный 5 2 3 2" xfId="578"/>
    <cellStyle name="Обычный 4 17 2" xfId="579"/>
    <cellStyle name="Процентный 4 17 2" xfId="580"/>
    <cellStyle name="Обычный 5 10 2" xfId="581"/>
    <cellStyle name="Процентный 5 10 2" xfId="582"/>
    <cellStyle name="Обычный 4 2 4 2" xfId="583"/>
    <cellStyle name="Процентный 4 2 4 2" xfId="584"/>
    <cellStyle name="Обычный 5 2 4 2" xfId="585"/>
    <cellStyle name="Процентный 5 2 4 2" xfId="586"/>
    <cellStyle name="Обычный 6 40" xfId="587"/>
    <cellStyle name="Процентный 6 40" xfId="588"/>
    <cellStyle name="Обычный 4 18 2" xfId="589"/>
    <cellStyle name="Процентный 4 18 2" xfId="590"/>
    <cellStyle name="Обычный 5 11 2" xfId="591"/>
    <cellStyle name="Процентный 5 11 2" xfId="592"/>
    <cellStyle name="Обычный 4 2 5 2" xfId="593"/>
    <cellStyle name="Процентный 4 2 5 2" xfId="594"/>
    <cellStyle name="Обычный 5 2 5 2" xfId="595"/>
    <cellStyle name="Процентный 5 2 5 2" xfId="596"/>
    <cellStyle name="Обычный 6 2 2" xfId="597"/>
    <cellStyle name="Процентный 6 2 2" xfId="598"/>
    <cellStyle name="Обычный 4 19 2" xfId="599"/>
    <cellStyle name="Процентный 4 19 2" xfId="600"/>
    <cellStyle name="Обычный 5 12 2" xfId="601"/>
    <cellStyle name="Процентный 5 12 2" xfId="602"/>
    <cellStyle name="Обычный 4 2 6 2" xfId="603"/>
    <cellStyle name="Процентный 4 2 6 2" xfId="604"/>
    <cellStyle name="Обычный 5 2 6 2" xfId="605"/>
    <cellStyle name="Процентный 5 2 6 2" xfId="606"/>
    <cellStyle name="Обычный 6 3 2" xfId="607"/>
    <cellStyle name="Процентный 6 3 2" xfId="608"/>
    <cellStyle name="Обычный 4 20 2" xfId="609"/>
    <cellStyle name="Процентный 4 20 2" xfId="610"/>
    <cellStyle name="Обычный 5 13 2" xfId="611"/>
    <cellStyle name="Процентный 5 13 2" xfId="612"/>
    <cellStyle name="Обычный 4 2 7 2" xfId="613"/>
    <cellStyle name="Процентный 4 2 7 2" xfId="614"/>
    <cellStyle name="Обычный 5 2 7 2" xfId="615"/>
    <cellStyle name="Процентный 5 2 7 2" xfId="616"/>
    <cellStyle name="Обычный 6 4 2" xfId="617"/>
    <cellStyle name="Процентный 6 4 2" xfId="618"/>
    <cellStyle name="Обычный 4 21 2" xfId="619"/>
    <cellStyle name="Процентный 4 21 2" xfId="620"/>
    <cellStyle name="Обычный 5 14 2" xfId="621"/>
    <cellStyle name="Процентный 5 14 2" xfId="622"/>
    <cellStyle name="Обычный 4 2 8 2" xfId="623"/>
    <cellStyle name="Процентный 4 2 8 2" xfId="624"/>
    <cellStyle name="Обычный 5 2 8 2" xfId="625"/>
    <cellStyle name="Процентный 5 2 8 2" xfId="626"/>
    <cellStyle name="Обычный 6 5 2" xfId="627"/>
    <cellStyle name="Процентный 6 5 2" xfId="628"/>
    <cellStyle name="Обычный 4 22 2" xfId="629"/>
    <cellStyle name="Процентный 4 22 2" xfId="630"/>
    <cellStyle name="Обычный 5 15 2" xfId="631"/>
    <cellStyle name="Процентный 5 15 2" xfId="632"/>
    <cellStyle name="Обычный 4 2 9 2" xfId="633"/>
    <cellStyle name="Процентный 4 2 9 2" xfId="634"/>
    <cellStyle name="Обычный 5 2 9 2" xfId="635"/>
    <cellStyle name="Процентный 5 2 9 2" xfId="636"/>
    <cellStyle name="Обычный 6 6 2" xfId="637"/>
    <cellStyle name="Процентный 6 6 2" xfId="638"/>
    <cellStyle name="Обычный 4 23 2" xfId="639"/>
    <cellStyle name="Процентный 4 23 2" xfId="640"/>
    <cellStyle name="Обычный 5 16 2" xfId="641"/>
    <cellStyle name="Процентный 5 16 2" xfId="642"/>
    <cellStyle name="Обычный 4 2 10 2" xfId="643"/>
    <cellStyle name="Процентный 4 2 10 2" xfId="644"/>
    <cellStyle name="Обычный 5 2 10 2" xfId="645"/>
    <cellStyle name="Процентный 5 2 10 2" xfId="646"/>
    <cellStyle name="Обычный 6 7 2" xfId="647"/>
    <cellStyle name="Процентный 6 7 2" xfId="648"/>
    <cellStyle name="Обычный 4 24 2" xfId="649"/>
    <cellStyle name="Процентный 4 24 2" xfId="650"/>
    <cellStyle name="Обычный 5 17 2" xfId="651"/>
    <cellStyle name="Процентный 5 17 2" xfId="652"/>
    <cellStyle name="Обычный 4 2 11 2" xfId="653"/>
    <cellStyle name="Процентный 4 2 11 2" xfId="654"/>
    <cellStyle name="Обычный 5 2 11 2" xfId="655"/>
    <cellStyle name="Процентный 5 2 11 2" xfId="656"/>
    <cellStyle name="Обычный 6 8 2" xfId="657"/>
    <cellStyle name="Процентный 6 8 2" xfId="658"/>
    <cellStyle name="Обычный 4 25 2" xfId="659"/>
    <cellStyle name="Процентный 4 25 2" xfId="660"/>
    <cellStyle name="Обычный 5 18 2" xfId="661"/>
    <cellStyle name="Процентный 5 18 2" xfId="662"/>
    <cellStyle name="Обычный 4 2 12 2" xfId="663"/>
    <cellStyle name="Процентный 4 2 12 2" xfId="664"/>
    <cellStyle name="Обычный 5 2 12 2" xfId="665"/>
    <cellStyle name="Процентный 5 2 12 2" xfId="666"/>
    <cellStyle name="Обычный 6 9 2" xfId="667"/>
    <cellStyle name="Процентный 6 9 2" xfId="668"/>
    <cellStyle name="Обычный 4 26 2" xfId="669"/>
    <cellStyle name="Процентный 4 26 2" xfId="670"/>
    <cellStyle name="Обычный 5 19 2" xfId="671"/>
    <cellStyle name="Процентный 5 19 2" xfId="672"/>
    <cellStyle name="Обычный 4 2 13 2" xfId="673"/>
    <cellStyle name="Процентный 4 2 13 2" xfId="674"/>
    <cellStyle name="Обычный 5 2 13 2" xfId="675"/>
    <cellStyle name="Процентный 5 2 13 2" xfId="676"/>
    <cellStyle name="Обычный 6 10 2" xfId="677"/>
    <cellStyle name="Процентный 6 10 2" xfId="678"/>
    <cellStyle name="Обычный 4 27 2" xfId="679"/>
    <cellStyle name="Процентный 4 27 2" xfId="680"/>
    <cellStyle name="Обычный 5 20 2" xfId="681"/>
    <cellStyle name="Процентный 5 20 2" xfId="682"/>
    <cellStyle name="Обычный 4 2 14 2" xfId="683"/>
    <cellStyle name="Процентный 4 2 14 2" xfId="684"/>
    <cellStyle name="Обычный 5 2 14 2" xfId="685"/>
    <cellStyle name="Процентный 5 2 14 2" xfId="686"/>
    <cellStyle name="Обычный 6 11 2" xfId="687"/>
    <cellStyle name="Процентный 6 11 2" xfId="688"/>
    <cellStyle name="Обычный 4 28 2" xfId="689"/>
    <cellStyle name="Процентный 4 28 2" xfId="690"/>
    <cellStyle name="Обычный 5 21 2" xfId="691"/>
    <cellStyle name="Процентный 5 21 2" xfId="692"/>
    <cellStyle name="Обычный 4 2 15 2" xfId="693"/>
    <cellStyle name="Процентный 4 2 15 2" xfId="694"/>
    <cellStyle name="Обычный 5 2 15 2" xfId="695"/>
    <cellStyle name="Процентный 5 2 15 2" xfId="696"/>
    <cellStyle name="Обычный 6 12 2" xfId="697"/>
    <cellStyle name="Процентный 6 12 2" xfId="698"/>
    <cellStyle name="Обычный 4 29 2" xfId="699"/>
    <cellStyle name="Процентный 4 29 2" xfId="700"/>
    <cellStyle name="Обычный 5 22 2" xfId="701"/>
    <cellStyle name="Процентный 5 22 2" xfId="702"/>
    <cellStyle name="Обычный 4 2 16 2" xfId="703"/>
    <cellStyle name="Процентный 4 2 16 2" xfId="704"/>
    <cellStyle name="Обычный 5 2 16 2" xfId="705"/>
    <cellStyle name="Процентный 5 2 16 2" xfId="706"/>
    <cellStyle name="Обычный 6 13 2" xfId="707"/>
    <cellStyle name="Процентный 6 13 2" xfId="708"/>
    <cellStyle name="Обычный 4 30 2" xfId="709"/>
    <cellStyle name="Процентный 4 30 2" xfId="710"/>
    <cellStyle name="Обычный 5 23 2" xfId="711"/>
    <cellStyle name="Процентный 5 23 2" xfId="712"/>
    <cellStyle name="Обычный 4 2 17 2" xfId="713"/>
    <cellStyle name="Процентный 4 2 17 2" xfId="714"/>
    <cellStyle name="Обычный 5 2 17 2" xfId="715"/>
    <cellStyle name="Процентный 5 2 17 2" xfId="716"/>
    <cellStyle name="Обычный 6 14 2" xfId="717"/>
    <cellStyle name="Процентный 6 14 2" xfId="718"/>
    <cellStyle name="Обычный 4 31 2" xfId="719"/>
    <cellStyle name="Процентный 4 31 2" xfId="720"/>
    <cellStyle name="Обычный 5 24 2" xfId="721"/>
    <cellStyle name="Процентный 5 24 2" xfId="722"/>
    <cellStyle name="Обычный 4 2 18 2" xfId="723"/>
    <cellStyle name="Процентный 4 2 18 2" xfId="724"/>
    <cellStyle name="Обычный 5 2 18 2" xfId="725"/>
    <cellStyle name="Процентный 5 2 18 2" xfId="726"/>
    <cellStyle name="Обычный 6 15 2" xfId="727"/>
    <cellStyle name="Процентный 6 15 2" xfId="728"/>
    <cellStyle name="Обычный 4 32 2" xfId="729"/>
    <cellStyle name="Процентный 4 32 2" xfId="730"/>
    <cellStyle name="Обычный 5 25 2" xfId="731"/>
    <cellStyle name="Процентный 5 25 2" xfId="732"/>
    <cellStyle name="Обычный 4 2 19 2" xfId="733"/>
    <cellStyle name="Процентный 4 2 19 2" xfId="734"/>
    <cellStyle name="Обычный 5 2 19 2" xfId="735"/>
    <cellStyle name="Процентный 5 2 19 2" xfId="736"/>
    <cellStyle name="Обычный 6 16 2" xfId="737"/>
    <cellStyle name="Процентный 6 16 2" xfId="738"/>
    <cellStyle name="Обычный 4 33 2" xfId="739"/>
    <cellStyle name="Процентный 4 33 2" xfId="740"/>
    <cellStyle name="Обычный 5 26 2" xfId="741"/>
    <cellStyle name="Процентный 5 26 2" xfId="742"/>
    <cellStyle name="Обычный 4 2 20 2" xfId="743"/>
    <cellStyle name="Процентный 4 2 20 2" xfId="744"/>
    <cellStyle name="Обычный 5 2 20 2" xfId="745"/>
    <cellStyle name="Процентный 5 2 20 2" xfId="746"/>
    <cellStyle name="Обычный 6 17 2" xfId="747"/>
    <cellStyle name="Процентный 6 17 2" xfId="748"/>
    <cellStyle name="Обычный 4 34 2" xfId="749"/>
    <cellStyle name="Процентный 4 34 2" xfId="750"/>
    <cellStyle name="Обычный 5 27 2" xfId="751"/>
    <cellStyle name="Процентный 5 27 2" xfId="752"/>
    <cellStyle name="Обычный 4 2 21 2" xfId="753"/>
    <cellStyle name="Процентный 4 2 21 2" xfId="754"/>
    <cellStyle name="Обычный 5 2 21 2" xfId="755"/>
    <cellStyle name="Процентный 5 2 21 2" xfId="756"/>
    <cellStyle name="Обычный 6 18 2" xfId="757"/>
    <cellStyle name="Процентный 6 18 2" xfId="758"/>
    <cellStyle name="Обычный 4 35 2" xfId="759"/>
    <cellStyle name="Процентный 4 35 2" xfId="760"/>
    <cellStyle name="Обычный 5 28 2" xfId="761"/>
    <cellStyle name="Процентный 5 28 2" xfId="762"/>
    <cellStyle name="Обычный 4 2 22 2" xfId="763"/>
    <cellStyle name="Процентный 4 2 22 2" xfId="764"/>
    <cellStyle name="Обычный 5 2 22 2" xfId="765"/>
    <cellStyle name="Процентный 5 2 22 2" xfId="766"/>
    <cellStyle name="Обычный 6 19 2" xfId="767"/>
    <cellStyle name="Процентный 6 19 2" xfId="768"/>
    <cellStyle name="Обычный 4 36 2" xfId="769"/>
    <cellStyle name="Процентный 4 36 2" xfId="770"/>
    <cellStyle name="Обычный 5 29 2" xfId="771"/>
    <cellStyle name="Процентный 5 29 2" xfId="772"/>
    <cellStyle name="Обычный 4 2 23 2" xfId="773"/>
    <cellStyle name="Процентный 4 2 23 2" xfId="774"/>
    <cellStyle name="Обычный 5 2 23 2" xfId="775"/>
    <cellStyle name="Процентный 5 2 23 2" xfId="776"/>
    <cellStyle name="Обычный 6 20 2" xfId="777"/>
    <cellStyle name="Процентный 6 20 2" xfId="778"/>
    <cellStyle name="Обычный 4 37 2" xfId="779"/>
    <cellStyle name="Процентный 4 37 2" xfId="780"/>
    <cellStyle name="Обычный 5 30 2" xfId="781"/>
    <cellStyle name="Процентный 5 30 2" xfId="782"/>
    <cellStyle name="Обычный 4 2 24 2" xfId="783"/>
    <cellStyle name="Процентный 4 2 24 2" xfId="784"/>
    <cellStyle name="Обычный 5 2 24 2" xfId="785"/>
    <cellStyle name="Процентный 5 2 24 2" xfId="786"/>
    <cellStyle name="Обычный 6 21 2" xfId="787"/>
    <cellStyle name="Процентный 6 21 2" xfId="788"/>
    <cellStyle name="Обычный 4 38 2" xfId="789"/>
    <cellStyle name="Процентный 4 38 2" xfId="790"/>
    <cellStyle name="Обычный 5 31 2" xfId="791"/>
    <cellStyle name="Процентный 5 31 2" xfId="792"/>
    <cellStyle name="Обычный 4 2 25 2" xfId="793"/>
    <cellStyle name="Процентный 4 2 25 2" xfId="794"/>
    <cellStyle name="Обычный 5 2 25 2" xfId="795"/>
    <cellStyle name="Процентный 5 2 25 2" xfId="796"/>
    <cellStyle name="Обычный 6 22 2" xfId="797"/>
    <cellStyle name="Процентный 6 22 2" xfId="798"/>
    <cellStyle name="Обычный 4 39 2" xfId="799"/>
    <cellStyle name="Процентный 4 39 2" xfId="800"/>
    <cellStyle name="Обычный 5 32 2" xfId="801"/>
    <cellStyle name="Процентный 5 32 2" xfId="802"/>
    <cellStyle name="Обычный 4 2 26 2" xfId="803"/>
    <cellStyle name="Процентный 4 2 26 2" xfId="804"/>
    <cellStyle name="Обычный 5 2 26 2" xfId="805"/>
    <cellStyle name="Процентный 5 2 26 2" xfId="806"/>
    <cellStyle name="Обычный 6 23 2" xfId="807"/>
    <cellStyle name="Процентный 6 23 2" xfId="808"/>
    <cellStyle name="Обычный 4 40 2" xfId="809"/>
    <cellStyle name="Процентный 4 40 2" xfId="810"/>
    <cellStyle name="Обычный 5 33 2" xfId="811"/>
    <cellStyle name="Процентный 5 33 2" xfId="812"/>
    <cellStyle name="Обычный 4 2 27 2" xfId="813"/>
    <cellStyle name="Процентный 4 2 27 2" xfId="814"/>
    <cellStyle name="Обычный 5 2 27 2" xfId="815"/>
    <cellStyle name="Процентный 5 2 27 2" xfId="816"/>
    <cellStyle name="Обычный 6 24 2" xfId="817"/>
    <cellStyle name="Процентный 6 24 2" xfId="818"/>
    <cellStyle name="Обычный 4 41 2" xfId="819"/>
    <cellStyle name="Процентный 4 41 2" xfId="820"/>
    <cellStyle name="Обычный 5 34 2" xfId="821"/>
    <cellStyle name="Процентный 5 34 2" xfId="822"/>
    <cellStyle name="Обычный 4 2 28 2" xfId="823"/>
    <cellStyle name="Процентный 4 2 28 2" xfId="824"/>
    <cellStyle name="Обычный 5 2 28 2" xfId="825"/>
    <cellStyle name="Процентный 5 2 28 2" xfId="826"/>
    <cellStyle name="Обычный 6 25 2" xfId="827"/>
    <cellStyle name="Процентный 6 25 2" xfId="828"/>
    <cellStyle name="Обычный 4 42 2" xfId="829"/>
    <cellStyle name="Процентный 4 42 2" xfId="830"/>
    <cellStyle name="Обычный 5 35 2" xfId="831"/>
    <cellStyle name="Процентный 5 35 2" xfId="832"/>
    <cellStyle name="Обычный 4 2 29 2" xfId="833"/>
    <cellStyle name="Процентный 4 2 29 2" xfId="834"/>
    <cellStyle name="Обычный 5 2 29 2" xfId="835"/>
    <cellStyle name="Процентный 5 2 29 2" xfId="836"/>
    <cellStyle name="Обычный 6 26 2" xfId="837"/>
    <cellStyle name="Процентный 6 26 2" xfId="838"/>
    <cellStyle name="Обычный 4 43 2" xfId="839"/>
    <cellStyle name="Процентный 4 43 2" xfId="840"/>
    <cellStyle name="Обычный 5 36 2" xfId="841"/>
    <cellStyle name="Процентный 5 36 2" xfId="842"/>
    <cellStyle name="Обычный 4 2 30 2" xfId="843"/>
    <cellStyle name="Процентный 4 2 30 2" xfId="844"/>
    <cellStyle name="Обычный 5 2 30 2" xfId="845"/>
    <cellStyle name="Процентный 5 2 30 2" xfId="846"/>
    <cellStyle name="Обычный 6 27 2" xfId="847"/>
    <cellStyle name="Процентный 6 27 2" xfId="848"/>
    <cellStyle name="Обычный 4 44 2" xfId="849"/>
    <cellStyle name="Процентный 4 44 2" xfId="850"/>
    <cellStyle name="Обычный 5 37 2" xfId="851"/>
    <cellStyle name="Процентный 5 37 2" xfId="852"/>
    <cellStyle name="Обычный 4 2 31 2" xfId="853"/>
    <cellStyle name="Процентный 4 2 31 2" xfId="854"/>
    <cellStyle name="Обычный 5 2 31 2" xfId="855"/>
    <cellStyle name="Процентный 5 2 31 2" xfId="856"/>
    <cellStyle name="Обычный 6 28 2" xfId="857"/>
    <cellStyle name="Процентный 6 28 2" xfId="858"/>
    <cellStyle name="Обычный 4 45 2" xfId="859"/>
    <cellStyle name="Процентный 4 45 2" xfId="860"/>
    <cellStyle name="Обычный 5 38 2" xfId="861"/>
    <cellStyle name="Процентный 5 38 2" xfId="862"/>
    <cellStyle name="Обычный 4 2 32 2" xfId="863"/>
    <cellStyle name="Процентный 4 2 32 2" xfId="864"/>
    <cellStyle name="Обычный 5 2 32 2" xfId="865"/>
    <cellStyle name="Процентный 5 2 32 2" xfId="866"/>
    <cellStyle name="Обычный 6 29 2" xfId="867"/>
    <cellStyle name="Процентный 6 29 2" xfId="868"/>
    <cellStyle name="Обычный 4 46 2" xfId="869"/>
    <cellStyle name="Процентный 4 46 2" xfId="870"/>
    <cellStyle name="Обычный 5 39 2" xfId="871"/>
    <cellStyle name="Процентный 5 39 2" xfId="872"/>
    <cellStyle name="Обычный 4 2 33 2" xfId="873"/>
    <cellStyle name="Процентный 4 2 33 2" xfId="874"/>
    <cellStyle name="Обычный 5 2 33 2" xfId="875"/>
    <cellStyle name="Процентный 5 2 33 2" xfId="876"/>
    <cellStyle name="Обычный 6 30 2" xfId="877"/>
    <cellStyle name="Процентный 6 30 2" xfId="878"/>
    <cellStyle name="Обычный 4 47 2" xfId="879"/>
    <cellStyle name="Процентный 4 47 2" xfId="880"/>
    <cellStyle name="Обычный 5 40 2" xfId="881"/>
    <cellStyle name="Процентный 5 40 2" xfId="882"/>
    <cellStyle name="Обычный 4 2 34 2" xfId="883"/>
    <cellStyle name="Процентный 4 2 34 2" xfId="884"/>
    <cellStyle name="Обычный 5 2 34 2" xfId="885"/>
    <cellStyle name="Процентный 5 2 34 2" xfId="886"/>
    <cellStyle name="Обычный 6 31 2" xfId="887"/>
    <cellStyle name="Процентный 6 31 2" xfId="888"/>
    <cellStyle name="Обычный 7 10" xfId="889"/>
    <cellStyle name="Процентный 7 10" xfId="890"/>
    <cellStyle name="Обычный 4 48 2" xfId="891"/>
    <cellStyle name="Процентный 4 48 2" xfId="892"/>
    <cellStyle name="Обычный 5 41 2" xfId="893"/>
    <cellStyle name="Процентный 5 41 2" xfId="894"/>
    <cellStyle name="Обычный 4 2 35 2" xfId="895"/>
    <cellStyle name="Процентный 4 2 35 2" xfId="896"/>
    <cellStyle name="Обычный 5 2 35 2" xfId="897"/>
    <cellStyle name="Процентный 5 2 35 2" xfId="898"/>
    <cellStyle name="Обычный 6 32 2" xfId="899"/>
    <cellStyle name="Процентный 6 32 2" xfId="900"/>
    <cellStyle name="Обычный 7 2 2" xfId="901"/>
    <cellStyle name="Процентный 7 2 2" xfId="902"/>
    <cellStyle name="Обычный 4 49 2" xfId="903"/>
    <cellStyle name="Процентный 4 49 2" xfId="904"/>
    <cellStyle name="Обычный 5 42 2" xfId="905"/>
    <cellStyle name="Процентный 5 42 2" xfId="906"/>
    <cellStyle name="Обычный 4 2 36 2" xfId="907"/>
    <cellStyle name="Процентный 4 2 36 2" xfId="908"/>
    <cellStyle name="Обычный 5 2 36 2" xfId="909"/>
    <cellStyle name="Процентный 5 2 36 2" xfId="910"/>
    <cellStyle name="Обычный 6 33 2" xfId="911"/>
    <cellStyle name="Процентный 6 33 2" xfId="912"/>
    <cellStyle name="Обычный 7 3 2" xfId="913"/>
    <cellStyle name="Процентный 7 3 2" xfId="914"/>
    <cellStyle name="Обычный 4 50 2" xfId="915"/>
    <cellStyle name="Процентный 4 50 2" xfId="916"/>
    <cellStyle name="Обычный 5 43 2" xfId="917"/>
    <cellStyle name="Процентный 5 43 2" xfId="918"/>
    <cellStyle name="Обычный 4 2 37 2" xfId="919"/>
    <cellStyle name="Процентный 4 2 37 2" xfId="920"/>
    <cellStyle name="Обычный 5 2 37 2" xfId="921"/>
    <cellStyle name="Процентный 5 2 37 2" xfId="922"/>
    <cellStyle name="Обычный 6 34 2" xfId="923"/>
    <cellStyle name="Процентный 6 34 2" xfId="924"/>
    <cellStyle name="Обычный 7 4 2" xfId="925"/>
    <cellStyle name="Процентный 7 4 2" xfId="926"/>
    <cellStyle name="Обычный 4 51 2" xfId="927"/>
    <cellStyle name="Процентный 4 51 2" xfId="928"/>
    <cellStyle name="Обычный 5 44 2" xfId="929"/>
    <cellStyle name="Процентный 5 44 2" xfId="930"/>
    <cellStyle name="Обычный 4 2 38 2" xfId="931"/>
    <cellStyle name="Процентный 4 2 38 2" xfId="932"/>
    <cellStyle name="Обычный 5 2 38 2" xfId="933"/>
    <cellStyle name="Процентный 5 2 38 2" xfId="934"/>
    <cellStyle name="Обычный 6 35 2" xfId="935"/>
    <cellStyle name="Процентный 6 35 2" xfId="936"/>
    <cellStyle name="Обычный 7 5 2" xfId="937"/>
    <cellStyle name="Процентный 7 5 2" xfId="938"/>
    <cellStyle name="Обычный 4 52 2" xfId="939"/>
    <cellStyle name="Процентный 4 52 2" xfId="940"/>
    <cellStyle name="Обычный 5 45 2" xfId="941"/>
    <cellStyle name="Процентный 5 45 2" xfId="942"/>
    <cellStyle name="Обычный 4 2 39 2" xfId="943"/>
    <cellStyle name="Процентный 4 2 39 2" xfId="944"/>
    <cellStyle name="Обычный 5 2 39 2" xfId="945"/>
    <cellStyle name="Процентный 5 2 39 2" xfId="946"/>
    <cellStyle name="Обычный 6 36 2" xfId="947"/>
    <cellStyle name="Процентный 6 36 2" xfId="948"/>
    <cellStyle name="Обычный 7 6 2" xfId="949"/>
    <cellStyle name="Процентный 7 6 2" xfId="950"/>
    <cellStyle name="Обычный 4 53 2" xfId="951"/>
    <cellStyle name="Процентный 4 53 2" xfId="952"/>
    <cellStyle name="Обычный 5 46 2" xfId="953"/>
    <cellStyle name="Процентный 5 46 2" xfId="954"/>
    <cellStyle name="Обычный 4 2 40 2" xfId="955"/>
    <cellStyle name="Процентный 4 2 40 2" xfId="956"/>
    <cellStyle name="Обычный 5 2 40 2" xfId="957"/>
    <cellStyle name="Процентный 5 2 40 2" xfId="958"/>
    <cellStyle name="Обычный 6 37 2" xfId="959"/>
    <cellStyle name="Процентный 6 37 2" xfId="960"/>
    <cellStyle name="Обычный 7 7 2" xfId="961"/>
    <cellStyle name="Процентный 7 7 2" xfId="962"/>
    <cellStyle name="Обычный 4 54 2" xfId="963"/>
    <cellStyle name="Процентный 4 54 2" xfId="964"/>
    <cellStyle name="Обычный 5 47 2" xfId="965"/>
    <cellStyle name="Процентный 5 47 2" xfId="966"/>
    <cellStyle name="Обычный 4 2 41 2" xfId="967"/>
    <cellStyle name="Процентный 4 2 41 2" xfId="968"/>
    <cellStyle name="Обычный 5 2 41 2" xfId="969"/>
    <cellStyle name="Процентный 5 2 41 2" xfId="970"/>
    <cellStyle name="Обычный 6 38 2" xfId="971"/>
    <cellStyle name="Процентный 6 38 2" xfId="972"/>
    <cellStyle name="Обычный 7 8 2" xfId="973"/>
    <cellStyle name="Процентный 7 8 2" xfId="974"/>
    <cellStyle name="Обычный 4 55 2" xfId="975"/>
    <cellStyle name="Процентный 4 55 2" xfId="976"/>
    <cellStyle name="Обычный 5 48 2" xfId="977"/>
    <cellStyle name="Процентный 5 48 2" xfId="978"/>
    <cellStyle name="Обычный 4 2 42 2" xfId="979"/>
    <cellStyle name="Процентный 4 2 42 2" xfId="980"/>
    <cellStyle name="Обычный 5 2 42 2" xfId="981"/>
    <cellStyle name="Процентный 5 2 42 2" xfId="982"/>
    <cellStyle name="Обычный 6 39 2" xfId="983"/>
    <cellStyle name="Процентный 6 39 2" xfId="984"/>
    <cellStyle name="Обычный 7 9 2" xfId="985"/>
    <cellStyle name="Процентный 7 9 2" xfId="986"/>
    <cellStyle name="Обычный 4 57" xfId="987"/>
    <cellStyle name="Процентный 4 57" xfId="988"/>
    <cellStyle name="Обычный 5 50" xfId="989"/>
    <cellStyle name="Процентный 5 50" xfId="990"/>
    <cellStyle name="Обычный 4 2 44" xfId="991"/>
    <cellStyle name="Процентный 4 2 44" xfId="992"/>
    <cellStyle name="Обычный 5 2 44" xfId="993"/>
    <cellStyle name="Процентный 5 2 44" xfId="994"/>
    <cellStyle name="Обычный 6 41" xfId="995"/>
    <cellStyle name="Процентный 6 41" xfId="996"/>
    <cellStyle name="Обычный 7 11" xfId="997"/>
    <cellStyle name="Процентный 7 11" xfId="998"/>
    <cellStyle name="Обычный 4 3 3" xfId="999"/>
    <cellStyle name="Процентный 4 3 3" xfId="1000"/>
    <cellStyle name="Обычный 5 3 3" xfId="1001"/>
    <cellStyle name="Процентный 5 3 3" xfId="1002"/>
    <cellStyle name="Обычный 4 2 2 3" xfId="1003"/>
    <cellStyle name="Процентный 4 2 2 3" xfId="1004"/>
    <cellStyle name="Обычный 5 2 2 3" xfId="1005"/>
    <cellStyle name="Процентный 5 2 2 3" xfId="1006"/>
    <cellStyle name="Обычный 6 2 3" xfId="1007"/>
    <cellStyle name="Процентный 6 2 3" xfId="1008"/>
    <cellStyle name="Обычный 7 2 3" xfId="1009"/>
    <cellStyle name="Процентный 7 2 3" xfId="1010"/>
    <cellStyle name="Обычный 4 58" xfId="1011"/>
    <cellStyle name="Процентный 4 58" xfId="1012"/>
    <cellStyle name="Обычный 5 51" xfId="1013"/>
    <cellStyle name="Процентный 5 51" xfId="1014"/>
    <cellStyle name="Обычный 4 2 45" xfId="1015"/>
    <cellStyle name="Процентный 4 2 45" xfId="1016"/>
    <cellStyle name="Обычный 5 2 45" xfId="1017"/>
    <cellStyle name="Процентный 5 2 45" xfId="1018"/>
    <cellStyle name="Обычный 6 42" xfId="1019"/>
    <cellStyle name="Процентный 6 42" xfId="1020"/>
    <cellStyle name="Обычный 7 12" xfId="1021"/>
    <cellStyle name="Процентный 7 12" xfId="1022"/>
    <cellStyle name="Обычный 4 3 4" xfId="1023"/>
    <cellStyle name="Процентный 4 3 4" xfId="1024"/>
    <cellStyle name="Обычный 5 3 4" xfId="1025"/>
    <cellStyle name="Процентный 5 3 4" xfId="1026"/>
    <cellStyle name="Обычный 4 2 2 4" xfId="1027"/>
    <cellStyle name="Процентный 4 2 2 4" xfId="1028"/>
    <cellStyle name="Обычный 5 2 2 4" xfId="1029"/>
    <cellStyle name="Процентный 5 2 2 4" xfId="1030"/>
    <cellStyle name="Обычный 6 2 4" xfId="1031"/>
    <cellStyle name="Процентный 6 2 4" xfId="1032"/>
    <cellStyle name="Обычный 7 2 4" xfId="1033"/>
    <cellStyle name="Процентный 7 2 4" xfId="1034"/>
    <cellStyle name="Обычный 4 59" xfId="1035"/>
    <cellStyle name="Процентный 4 59" xfId="1036"/>
    <cellStyle name="Обычный 5 52" xfId="1037"/>
    <cellStyle name="Процентный 5 52" xfId="1038"/>
    <cellStyle name="Обычный 4 2 46" xfId="1039"/>
    <cellStyle name="Процентный 4 2 46" xfId="1040"/>
    <cellStyle name="Обычный 5 2 46" xfId="1041"/>
    <cellStyle name="Процентный 5 2 46" xfId="1042"/>
    <cellStyle name="Обычный 6 43" xfId="1043"/>
    <cellStyle name="Процентный 6 43" xfId="1044"/>
    <cellStyle name="Обычный 7 13" xfId="1045"/>
    <cellStyle name="Процентный 7 13" xfId="1046"/>
    <cellStyle name="Обычный 4 3 5" xfId="1047"/>
    <cellStyle name="Процентный 4 3 5" xfId="1048"/>
    <cellStyle name="Обычный 5 3 5" xfId="1049"/>
    <cellStyle name="Процентный 5 3 5" xfId="1050"/>
    <cellStyle name="Обычный 4 2 2 5" xfId="1051"/>
    <cellStyle name="Процентный 4 2 2 5" xfId="1052"/>
    <cellStyle name="Обычный 5 2 2 5" xfId="1053"/>
    <cellStyle name="Процентный 5 2 2 5" xfId="1054"/>
    <cellStyle name="Обычный 6 2 5" xfId="1055"/>
    <cellStyle name="Процентный 6 2 5" xfId="1056"/>
    <cellStyle name="Обычный 7 2 5" xfId="1057"/>
    <cellStyle name="Процентный 7 2 5" xfId="1058"/>
    <cellStyle name="Процентный 8" xfId="1059"/>
    <cellStyle name="Обычный 4 60" xfId="1060"/>
    <cellStyle name="Процентный 4 60" xfId="1061"/>
    <cellStyle name="Обычный 5 53" xfId="1062"/>
    <cellStyle name="Процентный 5 53" xfId="1063"/>
    <cellStyle name="Обычный 4 2 47" xfId="1064"/>
    <cellStyle name="Процентный 4 2 47" xfId="1065"/>
    <cellStyle name="Обычный 5 2 47" xfId="1066"/>
    <cellStyle name="Процентный 5 2 47" xfId="1067"/>
    <cellStyle name="Обычный 6 44" xfId="1068"/>
    <cellStyle name="Процентный 6 44" xfId="1069"/>
    <cellStyle name="Обычный 7 14" xfId="1070"/>
    <cellStyle name="Процентный 7 14" xfId="1071"/>
    <cellStyle name="Обычный 4 3 6" xfId="1072"/>
    <cellStyle name="Процентный 4 3 6" xfId="1073"/>
    <cellStyle name="Обычный 5 3 6" xfId="1074"/>
    <cellStyle name="Процентный 5 3 6" xfId="1075"/>
    <cellStyle name="Обычный 4 2 2 6" xfId="1076"/>
    <cellStyle name="Процентный 4 2 2 6" xfId="1077"/>
    <cellStyle name="Обычный 5 2 2 6" xfId="1078"/>
    <cellStyle name="Процентный 5 2 2 6" xfId="1079"/>
    <cellStyle name="Обычный 6 2 6" xfId="1080"/>
    <cellStyle name="Процентный 6 2 6" xfId="1081"/>
    <cellStyle name="Обычный 7 2 6" xfId="1082"/>
    <cellStyle name="Процентный 7 2 6" xfId="1083"/>
    <cellStyle name="Обычный 8 2" xfId="1084"/>
    <cellStyle name="Процентный 8 2" xfId="1085"/>
    <cellStyle name="Обычный 4 61" xfId="1086"/>
    <cellStyle name="Процентный 4 61" xfId="1087"/>
    <cellStyle name="Обычный 5 54" xfId="1088"/>
    <cellStyle name="Процентный 5 54" xfId="1089"/>
    <cellStyle name="Обычный 4 2 48" xfId="1090"/>
    <cellStyle name="Процентный 4 2 48" xfId="1091"/>
    <cellStyle name="Обычный 5 2 48" xfId="1092"/>
    <cellStyle name="Процентный 5 2 48" xfId="1093"/>
    <cellStyle name="Обычный 6 45" xfId="1094"/>
    <cellStyle name="Процентный 6 45" xfId="1095"/>
    <cellStyle name="Обычный 7 15" xfId="1096"/>
    <cellStyle name="Процентный 7 15" xfId="1097"/>
    <cellStyle name="Обычный 4 3 7" xfId="1098"/>
    <cellStyle name="Процентный 4 3 7" xfId="1099"/>
    <cellStyle name="Обычный 5 3 7" xfId="1100"/>
    <cellStyle name="Процентный 5 3 7" xfId="1101"/>
    <cellStyle name="Обычный 4 2 2 7" xfId="1102"/>
    <cellStyle name="Процентный 4 2 2 7" xfId="1103"/>
    <cellStyle name="Обычный 5 2 2 7" xfId="1104"/>
    <cellStyle name="Процентный 5 2 2 7" xfId="1105"/>
    <cellStyle name="Обычный 6 2 7" xfId="1106"/>
    <cellStyle name="Процентный 6 2 7" xfId="1107"/>
    <cellStyle name="Обычный 7 2 7" xfId="1108"/>
    <cellStyle name="Процентный 7 2 7" xfId="1109"/>
    <cellStyle name="Обычный 8 3" xfId="1110"/>
    <cellStyle name="Процентный 8 3" xfId="1111"/>
    <cellStyle name="Обычный 4 62" xfId="1112"/>
    <cellStyle name="Процентный 4 62" xfId="1113"/>
    <cellStyle name="Обычный 5 55" xfId="1114"/>
    <cellStyle name="Процентный 5 55" xfId="1115"/>
    <cellStyle name="Обычный 4 2 49" xfId="1116"/>
    <cellStyle name="Процентный 4 2 49" xfId="1117"/>
    <cellStyle name="Обычный 5 2 49" xfId="1118"/>
    <cellStyle name="Процентный 5 2 49" xfId="1119"/>
    <cellStyle name="Обычный 6 46" xfId="1120"/>
    <cellStyle name="Процентный 6 46" xfId="1121"/>
    <cellStyle name="Обычный 7 16" xfId="1122"/>
    <cellStyle name="Процентный 7 16" xfId="1123"/>
    <cellStyle name="Обычный 4 3 8" xfId="1124"/>
    <cellStyle name="Процентный 4 3 8" xfId="1125"/>
    <cellStyle name="Обычный 5 3 8" xfId="1126"/>
    <cellStyle name="Процентный 5 3 8" xfId="1127"/>
    <cellStyle name="Обычный 4 2 2 8" xfId="1128"/>
    <cellStyle name="Процентный 4 2 2 8" xfId="1129"/>
    <cellStyle name="Обычный 5 2 2 8" xfId="1130"/>
    <cellStyle name="Процентный 5 2 2 8" xfId="1131"/>
    <cellStyle name="Обычный 6 2 8" xfId="1132"/>
    <cellStyle name="Процентный 6 2 8" xfId="1133"/>
    <cellStyle name="Обычный 7 2 8" xfId="1134"/>
    <cellStyle name="Процентный 7 2 8" xfId="1135"/>
    <cellStyle name="Обычный 8 4" xfId="1136"/>
    <cellStyle name="Процентный 8 4" xfId="1137"/>
    <cellStyle name="Обычный 4 63" xfId="1138"/>
    <cellStyle name="Процентный 4 63" xfId="1139"/>
    <cellStyle name="Обычный 5 56" xfId="1140"/>
    <cellStyle name="Процентный 5 56" xfId="1141"/>
    <cellStyle name="Обычный 4 2 50" xfId="1142"/>
    <cellStyle name="Процентный 4 2 50" xfId="1143"/>
    <cellStyle name="Обычный 5 2 50" xfId="1144"/>
    <cellStyle name="Процентный 5 2 50" xfId="1145"/>
    <cellStyle name="Обычный 6 47" xfId="1146"/>
    <cellStyle name="Процентный 6 47" xfId="1147"/>
    <cellStyle name="Обычный 7 17" xfId="1148"/>
    <cellStyle name="Процентный 7 17" xfId="1149"/>
    <cellStyle name="Обычный 4 3 9" xfId="1150"/>
    <cellStyle name="Процентный 4 3 9" xfId="1151"/>
    <cellStyle name="Обычный 5 3 9" xfId="1152"/>
    <cellStyle name="Процентный 5 3 9" xfId="1153"/>
    <cellStyle name="Обычный 4 2 2 9" xfId="1154"/>
    <cellStyle name="Процентный 4 2 2 9" xfId="1155"/>
    <cellStyle name="Обычный 5 2 2 9" xfId="1156"/>
    <cellStyle name="Процентный 5 2 2 9" xfId="1157"/>
    <cellStyle name="Обычный 6 2 9" xfId="1158"/>
    <cellStyle name="Процентный 6 2 9" xfId="1159"/>
    <cellStyle name="Обычный 7 2 9" xfId="1160"/>
    <cellStyle name="Процентный 7 2 9" xfId="1161"/>
    <cellStyle name="Обычный 8 5" xfId="1162"/>
    <cellStyle name="Процентный 8 5" xfId="1163"/>
    <cellStyle name="Обычный 4 64" xfId="1164"/>
    <cellStyle name="Процентный 4 64" xfId="1165"/>
    <cellStyle name="Обычный 5 57" xfId="1166"/>
    <cellStyle name="Процентный 5 57" xfId="1167"/>
    <cellStyle name="Обычный 4 2 51" xfId="1168"/>
    <cellStyle name="Процентный 4 2 51" xfId="1169"/>
    <cellStyle name="Обычный 5 2 51" xfId="1170"/>
    <cellStyle name="Процентный 5 2 51" xfId="1171"/>
    <cellStyle name="Обычный 6 48" xfId="1172"/>
    <cellStyle name="Процентный 6 48" xfId="1173"/>
    <cellStyle name="Обычный 7 18" xfId="1174"/>
    <cellStyle name="Процентный 7 18" xfId="1175"/>
    <cellStyle name="Обычный 4 3 10" xfId="1176"/>
    <cellStyle name="Процентный 4 3 10" xfId="1177"/>
    <cellStyle name="Обычный 5 3 10" xfId="1178"/>
    <cellStyle name="Процентный 5 3 10" xfId="1179"/>
    <cellStyle name="Обычный 4 2 2 10" xfId="1180"/>
    <cellStyle name="Процентный 4 2 2 10" xfId="1181"/>
    <cellStyle name="Обычный 5 2 2 10" xfId="1182"/>
    <cellStyle name="Процентный 5 2 2 10" xfId="1183"/>
    <cellStyle name="Обычный 6 2 10" xfId="1184"/>
    <cellStyle name="Процентный 6 2 10" xfId="1185"/>
    <cellStyle name="Обычный 7 2 10" xfId="1186"/>
    <cellStyle name="Процентный 7 2 10" xfId="1187"/>
    <cellStyle name="Обычный 8 6" xfId="1188"/>
    <cellStyle name="Процентный 8 6" xfId="1189"/>
    <cellStyle name="Обычный 4 65" xfId="1190"/>
    <cellStyle name="Процентный 4 65" xfId="1191"/>
    <cellStyle name="Обычный 5 58" xfId="1192"/>
    <cellStyle name="Процентный 5 58" xfId="1193"/>
    <cellStyle name="Обычный 4 2 52" xfId="1194"/>
    <cellStyle name="Процентный 4 2 52" xfId="1195"/>
    <cellStyle name="Обычный 5 2 52" xfId="1196"/>
    <cellStyle name="Процентный 5 2 52" xfId="1197"/>
    <cellStyle name="Обычный 6 49" xfId="1198"/>
    <cellStyle name="Процентный 6 49" xfId="1199"/>
    <cellStyle name="Обычный 7 19" xfId="1200"/>
    <cellStyle name="Процентный 7 19" xfId="1201"/>
    <cellStyle name="Обычный 4 3 11" xfId="1202"/>
    <cellStyle name="Процентный 4 3 11" xfId="1203"/>
    <cellStyle name="Обычный 5 3 11" xfId="1204"/>
    <cellStyle name="Процентный 5 3 11" xfId="1205"/>
    <cellStyle name="Обычный 4 2 2 11" xfId="1206"/>
    <cellStyle name="Процентный 4 2 2 11" xfId="1207"/>
    <cellStyle name="Обычный 5 2 2 11" xfId="1208"/>
    <cellStyle name="Процентный 5 2 2 11" xfId="1209"/>
    <cellStyle name="Обычный 6 2 11" xfId="1210"/>
    <cellStyle name="Процентный 6 2 11" xfId="1211"/>
    <cellStyle name="Обычный 7 2 11" xfId="1212"/>
    <cellStyle name="Процентный 7 2 11" xfId="1213"/>
    <cellStyle name="Обычный 8 7" xfId="1214"/>
    <cellStyle name="Процентный 8 7" xfId="1215"/>
    <cellStyle name="Обычный 4 66" xfId="1216"/>
    <cellStyle name="Процентный 4 66" xfId="1217"/>
    <cellStyle name="Обычный 5 59" xfId="1218"/>
    <cellStyle name="Процентный 5 59" xfId="1219"/>
    <cellStyle name="Обычный 4 2 53" xfId="1220"/>
    <cellStyle name="Процентный 4 2 53" xfId="1221"/>
    <cellStyle name="Обычный 5 2 53" xfId="1222"/>
    <cellStyle name="Процентный 5 2 53" xfId="1223"/>
    <cellStyle name="Обычный 6 50" xfId="1224"/>
    <cellStyle name="Процентный 6 50" xfId="1225"/>
    <cellStyle name="Обычный 7 20" xfId="1226"/>
    <cellStyle name="Процентный 7 20" xfId="1227"/>
    <cellStyle name="Обычный 4 3 12" xfId="1228"/>
    <cellStyle name="Процентный 4 3 12" xfId="1229"/>
    <cellStyle name="Обычный 5 3 12" xfId="1230"/>
    <cellStyle name="Процентный 5 3 12" xfId="1231"/>
    <cellStyle name="Обычный 4 2 2 12" xfId="1232"/>
    <cellStyle name="Процентный 4 2 2 12" xfId="1233"/>
    <cellStyle name="Обычный 5 2 2 12" xfId="1234"/>
    <cellStyle name="Процентный 5 2 2 12" xfId="1235"/>
    <cellStyle name="Обычный 6 2 12" xfId="1236"/>
    <cellStyle name="Процентный 6 2 12" xfId="1237"/>
    <cellStyle name="Обычный 7 2 12" xfId="1238"/>
    <cellStyle name="Процентный 7 2 12" xfId="1239"/>
    <cellStyle name="Обычный 8 8" xfId="1240"/>
    <cellStyle name="Процентный 8 8" xfId="1241"/>
    <cellStyle name="Обычный 4 67" xfId="1242"/>
    <cellStyle name="Процентный 4 67" xfId="1243"/>
    <cellStyle name="Обычный 5 60" xfId="1244"/>
    <cellStyle name="Процентный 5 60" xfId="1245"/>
    <cellStyle name="Обычный 4 2 54" xfId="1246"/>
    <cellStyle name="Процентный 4 2 54" xfId="1247"/>
    <cellStyle name="Обычный 5 2 54" xfId="1248"/>
    <cellStyle name="Процентный 5 2 54" xfId="1249"/>
    <cellStyle name="Обычный 6 51" xfId="1250"/>
    <cellStyle name="Процентный 6 51" xfId="1251"/>
    <cellStyle name="Обычный 7 21" xfId="1252"/>
    <cellStyle name="Процентный 7 21" xfId="1253"/>
    <cellStyle name="Обычный 4 3 13" xfId="1254"/>
    <cellStyle name="Процентный 4 3 13" xfId="1255"/>
    <cellStyle name="Обычный 5 3 13" xfId="1256"/>
    <cellStyle name="Процентный 5 3 13" xfId="1257"/>
    <cellStyle name="Обычный 4 2 2 13" xfId="1258"/>
    <cellStyle name="Процентный 4 2 2 13" xfId="1259"/>
    <cellStyle name="Обычный 5 2 2 13" xfId="1260"/>
    <cellStyle name="Процентный 5 2 2 13" xfId="1261"/>
    <cellStyle name="Обычный 6 2 13" xfId="1262"/>
    <cellStyle name="Процентный 6 2 13" xfId="1263"/>
    <cellStyle name="Обычный 7 2 13" xfId="1264"/>
    <cellStyle name="Процентный 7 2 13" xfId="1265"/>
    <cellStyle name="Обычный 8 9" xfId="1266"/>
    <cellStyle name="Процентный 8 9" xfId="1267"/>
    <cellStyle name="Обычный 4 68" xfId="1268"/>
    <cellStyle name="Процентный 4 68" xfId="1269"/>
    <cellStyle name="Обычный 5 61" xfId="1270"/>
    <cellStyle name="Процентный 5 61" xfId="1271"/>
    <cellStyle name="Обычный 4 2 55" xfId="1272"/>
    <cellStyle name="Процентный 4 2 55" xfId="1273"/>
    <cellStyle name="Обычный 5 2 55" xfId="1274"/>
    <cellStyle name="Процентный 5 2 55" xfId="1275"/>
    <cellStyle name="Обычный 6 52" xfId="1276"/>
    <cellStyle name="Процентный 6 52" xfId="1277"/>
    <cellStyle name="Обычный 7 22" xfId="1278"/>
    <cellStyle name="Процентный 7 22" xfId="1279"/>
    <cellStyle name="Обычный 4 3 14" xfId="1280"/>
    <cellStyle name="Процентный 4 3 14" xfId="1281"/>
    <cellStyle name="Обычный 5 3 14" xfId="1282"/>
    <cellStyle name="Процентный 5 3 14" xfId="1283"/>
    <cellStyle name="Обычный 4 2 2 14" xfId="1284"/>
    <cellStyle name="Процентный 4 2 2 14" xfId="1285"/>
    <cellStyle name="Обычный 5 2 2 14" xfId="1286"/>
    <cellStyle name="Процентный 5 2 2 14" xfId="1287"/>
    <cellStyle name="Обычный 6 2 14" xfId="1288"/>
    <cellStyle name="Процентный 6 2 14" xfId="1289"/>
    <cellStyle name="Обычный 7 2 14" xfId="1290"/>
    <cellStyle name="Процентный 7 2 14" xfId="1291"/>
    <cellStyle name="Обычный 8 10" xfId="1292"/>
    <cellStyle name="Процентный 8 10" xfId="1293"/>
    <cellStyle name="Обычный 4 69" xfId="1294"/>
    <cellStyle name="Процентный 4 69" xfId="1295"/>
    <cellStyle name="Обычный 5 62" xfId="1296"/>
    <cellStyle name="Процентный 5 62" xfId="1297"/>
    <cellStyle name="Обычный 4 2 56" xfId="1298"/>
    <cellStyle name="Процентный 4 2 56" xfId="1299"/>
    <cellStyle name="Обычный 5 2 56" xfId="1300"/>
    <cellStyle name="Процентный 5 2 56" xfId="1301"/>
    <cellStyle name="Обычный 6 53" xfId="1302"/>
    <cellStyle name="Процентный 6 53" xfId="1303"/>
    <cellStyle name="Обычный 7 23" xfId="1304"/>
    <cellStyle name="Процентный 7 23" xfId="1305"/>
    <cellStyle name="Обычный 4 3 15" xfId="1306"/>
    <cellStyle name="Процентный 4 3 15" xfId="1307"/>
    <cellStyle name="Обычный 5 3 15" xfId="1308"/>
    <cellStyle name="Процентный 5 3 15" xfId="1309"/>
    <cellStyle name="Обычный 4 2 2 15" xfId="1310"/>
    <cellStyle name="Процентный 4 2 2 15" xfId="1311"/>
    <cellStyle name="Обычный 5 2 2 15" xfId="1312"/>
    <cellStyle name="Процентный 5 2 2 15" xfId="1313"/>
    <cellStyle name="Обычный 6 2 15" xfId="1314"/>
    <cellStyle name="Процентный 6 2 15" xfId="1315"/>
    <cellStyle name="Обычный 7 2 15" xfId="1316"/>
    <cellStyle name="Процентный 7 2 15" xfId="1317"/>
    <cellStyle name="Обычный 8 11" xfId="1318"/>
    <cellStyle name="Процентный 8 11" xfId="1319"/>
    <cellStyle name="Обычный 4 70" xfId="1320"/>
    <cellStyle name="Процентный 4 70" xfId="1321"/>
    <cellStyle name="Обычный 5 63" xfId="1322"/>
    <cellStyle name="Процентный 5 63" xfId="1323"/>
    <cellStyle name="Обычный 4 2 57" xfId="1324"/>
    <cellStyle name="Процентный 4 2 57" xfId="1325"/>
    <cellStyle name="Обычный 5 2 57" xfId="1326"/>
    <cellStyle name="Процентный 5 2 57" xfId="1327"/>
    <cellStyle name="Обычный 6 54" xfId="1328"/>
    <cellStyle name="Процентный 6 54" xfId="1329"/>
    <cellStyle name="Обычный 7 24" xfId="1330"/>
    <cellStyle name="Процентный 7 24" xfId="1331"/>
    <cellStyle name="Обычный 4 3 16" xfId="1332"/>
    <cellStyle name="Процентный 4 3 16" xfId="1333"/>
    <cellStyle name="Обычный 5 3 16" xfId="1334"/>
    <cellStyle name="Процентный 5 3 16" xfId="1335"/>
    <cellStyle name="Обычный 4 2 2 16" xfId="1336"/>
    <cellStyle name="Процентный 4 2 2 16" xfId="1337"/>
    <cellStyle name="Обычный 5 2 2 16" xfId="1338"/>
    <cellStyle name="Процентный 5 2 2 16" xfId="1339"/>
    <cellStyle name="Обычный 6 2 16" xfId="1340"/>
    <cellStyle name="Процентный 6 2 16" xfId="1341"/>
    <cellStyle name="Обычный 7 2 16" xfId="1342"/>
    <cellStyle name="Процентный 7 2 16" xfId="1343"/>
    <cellStyle name="Обычный 8 12" xfId="1344"/>
    <cellStyle name="Процентный 8 12" xfId="1345"/>
    <cellStyle name="Обычный 4 71" xfId="1346"/>
    <cellStyle name="Процентный 4 71" xfId="1347"/>
    <cellStyle name="Обычный 5 64" xfId="1348"/>
    <cellStyle name="Процентный 5 64" xfId="1349"/>
    <cellStyle name="Обычный 4 2 58" xfId="1350"/>
    <cellStyle name="Процентный 4 2 58" xfId="1351"/>
    <cellStyle name="Обычный 5 2 58" xfId="1352"/>
    <cellStyle name="Процентный 5 2 58" xfId="1353"/>
    <cellStyle name="Обычный 6 55" xfId="1354"/>
    <cellStyle name="Процентный 6 55" xfId="1355"/>
    <cellStyle name="Обычный 7 25" xfId="1356"/>
    <cellStyle name="Процентный 7 25" xfId="1357"/>
    <cellStyle name="Обычный 4 3 17" xfId="1358"/>
    <cellStyle name="Процентный 4 3 17" xfId="1359"/>
    <cellStyle name="Обычный 5 3 17" xfId="1360"/>
    <cellStyle name="Процентный 5 3 17" xfId="1361"/>
    <cellStyle name="Обычный 4 2 2 17" xfId="1362"/>
    <cellStyle name="Процентный 4 2 2 17" xfId="1363"/>
    <cellStyle name="Обычный 5 2 2 17" xfId="1364"/>
    <cellStyle name="Процентный 5 2 2 17" xfId="1365"/>
    <cellStyle name="Обычный 6 2 17" xfId="1366"/>
    <cellStyle name="Процентный 6 2 17" xfId="1367"/>
    <cellStyle name="Обычный 7 2 17" xfId="1368"/>
    <cellStyle name="Процентный 7 2 17" xfId="1369"/>
    <cellStyle name="Обычный 8 13" xfId="1370"/>
    <cellStyle name="Процентный 8 13" xfId="1371"/>
    <cellStyle name="Обычный 4 72" xfId="1372"/>
    <cellStyle name="Процентный 4 72" xfId="1373"/>
    <cellStyle name="Обычный 5 65" xfId="1374"/>
    <cellStyle name="Процентный 5 65" xfId="1375"/>
    <cellStyle name="Обычный 4 2 59" xfId="1376"/>
    <cellStyle name="Процентный 4 2 59" xfId="1377"/>
    <cellStyle name="Обычный 5 2 59" xfId="1378"/>
    <cellStyle name="Процентный 5 2 59" xfId="1379"/>
    <cellStyle name="Обычный 6 56" xfId="1380"/>
    <cellStyle name="Процентный 6 56" xfId="1381"/>
    <cellStyle name="Обычный 7 26" xfId="1382"/>
    <cellStyle name="Процентный 7 26" xfId="1383"/>
    <cellStyle name="Обычный 4 3 18" xfId="1384"/>
    <cellStyle name="Процентный 4 3 18" xfId="1385"/>
    <cellStyle name="Обычный 5 3 18" xfId="1386"/>
    <cellStyle name="Процентный 5 3 18" xfId="1387"/>
    <cellStyle name="Обычный 4 2 2 18" xfId="1388"/>
    <cellStyle name="Процентный 4 2 2 18" xfId="1389"/>
    <cellStyle name="Обычный 5 2 2 18" xfId="1390"/>
    <cellStyle name="Процентный 5 2 2 18" xfId="1391"/>
    <cellStyle name="Обычный 6 2 18" xfId="1392"/>
    <cellStyle name="Процентный 6 2 18" xfId="1393"/>
    <cellStyle name="Обычный 7 2 18" xfId="1394"/>
    <cellStyle name="Процентный 7 2 18" xfId="1395"/>
    <cellStyle name="Обычный 8 14" xfId="1396"/>
    <cellStyle name="Процентный 8 14" xfId="1397"/>
    <cellStyle name="Обычный 4 73" xfId="1398"/>
    <cellStyle name="Процентный 4 73" xfId="1399"/>
    <cellStyle name="Обычный 5 66" xfId="1400"/>
    <cellStyle name="Процентный 5 66" xfId="1401"/>
    <cellStyle name="Обычный 4 2 60" xfId="1402"/>
    <cellStyle name="Процентный 4 2 60" xfId="1403"/>
    <cellStyle name="Обычный 5 2 60" xfId="1404"/>
    <cellStyle name="Процентный 5 2 60" xfId="1405"/>
    <cellStyle name="Обычный 6 57" xfId="1406"/>
    <cellStyle name="Процентный 6 57" xfId="1407"/>
    <cellStyle name="Обычный 7 27" xfId="1408"/>
    <cellStyle name="Процентный 7 27" xfId="1409"/>
    <cellStyle name="Обычный 4 3 19" xfId="1410"/>
    <cellStyle name="Процентный 4 3 19" xfId="1411"/>
    <cellStyle name="Обычный 5 3 19" xfId="1412"/>
    <cellStyle name="Процентный 5 3 19" xfId="1413"/>
    <cellStyle name="Обычный 4 2 2 19" xfId="1414"/>
    <cellStyle name="Процентный 4 2 2 19" xfId="1415"/>
    <cellStyle name="Обычный 5 2 2 19" xfId="1416"/>
    <cellStyle name="Процентный 5 2 2 19" xfId="1417"/>
    <cellStyle name="Обычный 6 2 19" xfId="1418"/>
    <cellStyle name="Процентный 6 2 19" xfId="1419"/>
    <cellStyle name="Обычный 7 2 19" xfId="1420"/>
    <cellStyle name="Процентный 7 2 19" xfId="1421"/>
    <cellStyle name="Обычный 8 15" xfId="1422"/>
    <cellStyle name="Процентный 8 15" xfId="1423"/>
    <cellStyle name="Обычный 4 74" xfId="1424"/>
    <cellStyle name="Процентный 4 74" xfId="1425"/>
    <cellStyle name="Обычный 5 67" xfId="1426"/>
    <cellStyle name="Процентный 5 67" xfId="1427"/>
    <cellStyle name="Обычный 4 2 61" xfId="1428"/>
    <cellStyle name="Процентный 4 2 61" xfId="1429"/>
    <cellStyle name="Обычный 5 2 61" xfId="1430"/>
    <cellStyle name="Процентный 5 2 61" xfId="1431"/>
    <cellStyle name="Обычный 6 58" xfId="1432"/>
    <cellStyle name="Процентный 6 58" xfId="1433"/>
    <cellStyle name="Обычный 7 28" xfId="1434"/>
    <cellStyle name="Процентный 7 28" xfId="1435"/>
    <cellStyle name="Обычный 4 3 20" xfId="1436"/>
    <cellStyle name="Процентный 4 3 20" xfId="1437"/>
    <cellStyle name="Обычный 5 3 20" xfId="1438"/>
    <cellStyle name="Процентный 5 3 20" xfId="1439"/>
    <cellStyle name="Обычный 4 2 2 20" xfId="1440"/>
    <cellStyle name="Процентный 4 2 2 20" xfId="1441"/>
    <cellStyle name="Обычный 5 2 2 20" xfId="1442"/>
    <cellStyle name="Процентный 5 2 2 20" xfId="1443"/>
    <cellStyle name="Обычный 6 2 20" xfId="1444"/>
    <cellStyle name="Процентный 6 2 20" xfId="1445"/>
    <cellStyle name="Обычный 7 2 20" xfId="1446"/>
    <cellStyle name="Процентный 7 2 20" xfId="1447"/>
    <cellStyle name="Обычный 8 16" xfId="1448"/>
    <cellStyle name="Процентный 8 16" xfId="1449"/>
    <cellStyle name="Обычный 4 75" xfId="1450"/>
    <cellStyle name="Процентный 4 75" xfId="1451"/>
    <cellStyle name="Обычный 5 68" xfId="1452"/>
    <cellStyle name="Процентный 5 68" xfId="1453"/>
    <cellStyle name="Обычный 4 2 62" xfId="1454"/>
    <cellStyle name="Процентный 4 2 62" xfId="1455"/>
    <cellStyle name="Обычный 5 2 62" xfId="1456"/>
    <cellStyle name="Процентный 5 2 62" xfId="1457"/>
    <cellStyle name="Обычный 6 59" xfId="1458"/>
    <cellStyle name="Процентный 6 59" xfId="1459"/>
    <cellStyle name="Обычный 7 29" xfId="1460"/>
    <cellStyle name="Процентный 7 29" xfId="1461"/>
    <cellStyle name="Обычный 4 3 21" xfId="1462"/>
    <cellStyle name="Процентный 4 3 21" xfId="1463"/>
    <cellStyle name="Обычный 5 3 21" xfId="1464"/>
    <cellStyle name="Процентный 5 3 21" xfId="1465"/>
    <cellStyle name="Обычный 4 2 2 21" xfId="1466"/>
    <cellStyle name="Процентный 4 2 2 21" xfId="1467"/>
    <cellStyle name="Обычный 5 2 2 21" xfId="1468"/>
    <cellStyle name="Процентный 5 2 2 21" xfId="1469"/>
    <cellStyle name="Обычный 6 2 21" xfId="1470"/>
    <cellStyle name="Процентный 6 2 21" xfId="1471"/>
    <cellStyle name="Обычный 7 2 21" xfId="1472"/>
    <cellStyle name="Процентный 7 2 21" xfId="1473"/>
    <cellStyle name="Обычный 8 17" xfId="1474"/>
    <cellStyle name="Процентный 8 17" xfId="1475"/>
    <cellStyle name="Обычный 4 76" xfId="1476"/>
    <cellStyle name="Процентный 4 76" xfId="1477"/>
    <cellStyle name="Обычный 5 69" xfId="1478"/>
    <cellStyle name="Процентный 5 69" xfId="1479"/>
    <cellStyle name="Обычный 4 2 63" xfId="1480"/>
    <cellStyle name="Процентный 4 2 63" xfId="1481"/>
    <cellStyle name="Обычный 5 2 63" xfId="1482"/>
    <cellStyle name="Процентный 5 2 63" xfId="1483"/>
    <cellStyle name="Обычный 6 60" xfId="1484"/>
    <cellStyle name="Процентный 6 60" xfId="1485"/>
    <cellStyle name="Обычный 7 30" xfId="1486"/>
    <cellStyle name="Процентный 7 30" xfId="1487"/>
    <cellStyle name="Обычный 4 3 22" xfId="1488"/>
    <cellStyle name="Процентный 4 3 22" xfId="1489"/>
    <cellStyle name="Обычный 5 3 22" xfId="1490"/>
    <cellStyle name="Процентный 5 3 22" xfId="1491"/>
    <cellStyle name="Обычный 4 2 2 22" xfId="1492"/>
    <cellStyle name="Процентный 4 2 2 22" xfId="1493"/>
    <cellStyle name="Обычный 5 2 2 22" xfId="1494"/>
    <cellStyle name="Процентный 5 2 2 22" xfId="1495"/>
    <cellStyle name="Обычный 6 2 22" xfId="1496"/>
    <cellStyle name="Процентный 6 2 22" xfId="1497"/>
    <cellStyle name="Обычный 7 2 22" xfId="1498"/>
    <cellStyle name="Процентный 7 2 22" xfId="1499"/>
    <cellStyle name="Обычный 8 18" xfId="1500"/>
    <cellStyle name="Процентный 8 18" xfId="1501"/>
    <cellStyle name="Обычный 4 77" xfId="1502"/>
    <cellStyle name="Процентный 4 77" xfId="1503"/>
    <cellStyle name="Обычный 5 70" xfId="1504"/>
    <cellStyle name="Процентный 5 70" xfId="1505"/>
    <cellStyle name="Обычный 4 2 64" xfId="1506"/>
    <cellStyle name="Процентный 4 2 64" xfId="1507"/>
    <cellStyle name="Обычный 5 2 64" xfId="1508"/>
    <cellStyle name="Процентный 5 2 64" xfId="1509"/>
    <cellStyle name="Обычный 6 61" xfId="1510"/>
    <cellStyle name="Процентный 6 61" xfId="1511"/>
    <cellStyle name="Обычный 7 31" xfId="1512"/>
    <cellStyle name="Процентный 7 31" xfId="1513"/>
    <cellStyle name="Обычный 4 3 23" xfId="1514"/>
    <cellStyle name="Процентный 4 3 23" xfId="1515"/>
    <cellStyle name="Обычный 5 3 23" xfId="1516"/>
    <cellStyle name="Процентный 5 3 23" xfId="1517"/>
    <cellStyle name="Обычный 4 2 2 23" xfId="1518"/>
    <cellStyle name="Процентный 4 2 2 23" xfId="1519"/>
    <cellStyle name="Обычный 5 2 2 23" xfId="1520"/>
    <cellStyle name="Процентный 5 2 2 23" xfId="1521"/>
    <cellStyle name="Обычный 6 2 23" xfId="1522"/>
    <cellStyle name="Процентный 6 2 23" xfId="1523"/>
    <cellStyle name="Обычный 7 2 23" xfId="1524"/>
    <cellStyle name="Процентный 7 2 23" xfId="1525"/>
    <cellStyle name="Обычный 8 19" xfId="1526"/>
    <cellStyle name="Процентный 8 19" xfId="1527"/>
    <cellStyle name="Обычный 4 78" xfId="1528"/>
    <cellStyle name="Процентный 4 78" xfId="1529"/>
    <cellStyle name="Обычный 5 71" xfId="1530"/>
    <cellStyle name="Процентный 5 71" xfId="1531"/>
    <cellStyle name="Обычный 4 2 65" xfId="1532"/>
    <cellStyle name="Процентный 4 2 65" xfId="1533"/>
    <cellStyle name="Обычный 5 2 65" xfId="1534"/>
    <cellStyle name="Процентный 5 2 65" xfId="1535"/>
    <cellStyle name="Обычный 6 62" xfId="1536"/>
    <cellStyle name="Процентный 6 62" xfId="1537"/>
    <cellStyle name="Обычный 7 32" xfId="1538"/>
    <cellStyle name="Процентный 7 32" xfId="1539"/>
    <cellStyle name="Обычный 4 3 24" xfId="1540"/>
    <cellStyle name="Процентный 4 3 24" xfId="1541"/>
    <cellStyle name="Обычный 5 3 24" xfId="1542"/>
    <cellStyle name="Процентный 5 3 24" xfId="1543"/>
    <cellStyle name="Обычный 4 2 2 24" xfId="1544"/>
    <cellStyle name="Процентный 4 2 2 24" xfId="1545"/>
    <cellStyle name="Обычный 5 2 2 24" xfId="1546"/>
    <cellStyle name="Процентный 5 2 2 24" xfId="1547"/>
    <cellStyle name="Обычный 6 2 24" xfId="1548"/>
    <cellStyle name="Процентный 6 2 24" xfId="1549"/>
    <cellStyle name="Обычный 7 2 24" xfId="1550"/>
    <cellStyle name="Процентный 7 2 24" xfId="1551"/>
    <cellStyle name="Обычный 8 20" xfId="1552"/>
    <cellStyle name="Процентный 8 20" xfId="1553"/>
    <cellStyle name="Обычный 4 79" xfId="1554"/>
    <cellStyle name="Процентный 4 79" xfId="1555"/>
    <cellStyle name="Обычный 5 72" xfId="1556"/>
    <cellStyle name="Процентный 5 72" xfId="1557"/>
    <cellStyle name="Обычный 4 2 66" xfId="1558"/>
    <cellStyle name="Процентный 4 2 66" xfId="1559"/>
    <cellStyle name="Обычный 5 2 66" xfId="1560"/>
    <cellStyle name="Процентный 5 2 66" xfId="1561"/>
    <cellStyle name="Обычный 6 63" xfId="1562"/>
    <cellStyle name="Процентный 6 63" xfId="1563"/>
    <cellStyle name="Обычный 7 33" xfId="1564"/>
    <cellStyle name="Процентный 7 33" xfId="1565"/>
    <cellStyle name="Обычный 4 3 25" xfId="1566"/>
    <cellStyle name="Процентный 4 3 25" xfId="1567"/>
    <cellStyle name="Обычный 5 3 25" xfId="1568"/>
    <cellStyle name="Процентный 5 3 25" xfId="1569"/>
    <cellStyle name="Обычный 4 2 2 25" xfId="1570"/>
    <cellStyle name="Процентный 4 2 2 25" xfId="1571"/>
    <cellStyle name="Обычный 5 2 2 25" xfId="1572"/>
    <cellStyle name="Процентный 5 2 2 25" xfId="1573"/>
    <cellStyle name="Обычный 6 2 25" xfId="1574"/>
    <cellStyle name="Процентный 6 2 25" xfId="1575"/>
    <cellStyle name="Обычный 7 2 25" xfId="1576"/>
    <cellStyle name="Процентный 7 2 25" xfId="1577"/>
    <cellStyle name="Обычный 8 21" xfId="1578"/>
    <cellStyle name="Процентный 8 21" xfId="1579"/>
    <cellStyle name="Обычный 4 80" xfId="1580"/>
    <cellStyle name="Процентный 4 80" xfId="1581"/>
    <cellStyle name="Обычный 5 73" xfId="1582"/>
    <cellStyle name="Процентный 5 73" xfId="1583"/>
    <cellStyle name="Обычный 4 2 67" xfId="1584"/>
    <cellStyle name="Процентный 4 2 67" xfId="1585"/>
    <cellStyle name="Обычный 5 2 67" xfId="1586"/>
    <cellStyle name="Процентный 5 2 67" xfId="1587"/>
    <cellStyle name="Обычный 6 64" xfId="1588"/>
    <cellStyle name="Процентный 6 64" xfId="1589"/>
    <cellStyle name="Обычный 7 34" xfId="1590"/>
    <cellStyle name="Процентный 7 34" xfId="1591"/>
    <cellStyle name="Обычный 4 3 26" xfId="1592"/>
    <cellStyle name="Процентный 4 3 26" xfId="1593"/>
    <cellStyle name="Обычный 5 3 26" xfId="1594"/>
    <cellStyle name="Процентный 5 3 26" xfId="1595"/>
    <cellStyle name="Обычный 4 2 2 26" xfId="1596"/>
    <cellStyle name="Процентный 4 2 2 26" xfId="1597"/>
    <cellStyle name="Обычный 5 2 2 26" xfId="1598"/>
    <cellStyle name="Процентный 5 2 2 26" xfId="1599"/>
    <cellStyle name="Обычный 6 2 26" xfId="1600"/>
    <cellStyle name="Процентный 6 2 26" xfId="1601"/>
    <cellStyle name="Обычный 7 2 26" xfId="1602"/>
    <cellStyle name="Процентный 7 2 26" xfId="1603"/>
    <cellStyle name="Обычный 8 22" xfId="1604"/>
    <cellStyle name="Процентный 8 22" xfId="1605"/>
    <cellStyle name="Обычный 4 81" xfId="1606"/>
    <cellStyle name="Процентный 4 81" xfId="1607"/>
    <cellStyle name="Обычный 5 74" xfId="1608"/>
    <cellStyle name="Процентный 5 74" xfId="1609"/>
    <cellStyle name="Обычный 4 2 68" xfId="1610"/>
    <cellStyle name="Процентный 4 2 68" xfId="1611"/>
    <cellStyle name="Обычный 5 2 68" xfId="1612"/>
    <cellStyle name="Процентный 5 2 68" xfId="1613"/>
    <cellStyle name="Обычный 6 65" xfId="1614"/>
    <cellStyle name="Процентный 6 65" xfId="1615"/>
    <cellStyle name="Обычный 7 35" xfId="1616"/>
    <cellStyle name="Процентный 7 35" xfId="1617"/>
    <cellStyle name="Обычный 4 3 27" xfId="1618"/>
    <cellStyle name="Процентный 4 3 27" xfId="1619"/>
    <cellStyle name="Обычный 5 3 27" xfId="1620"/>
    <cellStyle name="Процентный 5 3 27" xfId="1621"/>
    <cellStyle name="Обычный 4 2 2 27" xfId="1622"/>
    <cellStyle name="Процентный 4 2 2 27" xfId="1623"/>
    <cellStyle name="Обычный 5 2 2 27" xfId="1624"/>
    <cellStyle name="Процентный 5 2 2 27" xfId="1625"/>
    <cellStyle name="Обычный 6 2 27" xfId="1626"/>
    <cellStyle name="Процентный 6 2 27" xfId="1627"/>
    <cellStyle name="Обычный 7 2 27" xfId="1628"/>
    <cellStyle name="Процентный 7 2 27" xfId="1629"/>
    <cellStyle name="Обычный 8 23" xfId="1630"/>
    <cellStyle name="Процентный 8 23" xfId="1631"/>
    <cellStyle name="Обычный 4 82" xfId="1632"/>
    <cellStyle name="Процентный 4 82" xfId="1633"/>
    <cellStyle name="Обычный 5 75" xfId="1634"/>
    <cellStyle name="Процентный 5 75" xfId="1635"/>
    <cellStyle name="Обычный 4 2 69" xfId="1636"/>
    <cellStyle name="Процентный 4 2 69" xfId="1637"/>
    <cellStyle name="Обычный 5 2 69" xfId="1638"/>
    <cellStyle name="Процентный 5 2 69" xfId="1639"/>
    <cellStyle name="Обычный 6 66" xfId="1640"/>
    <cellStyle name="Процентный 6 66" xfId="1641"/>
    <cellStyle name="Обычный 7 36" xfId="1642"/>
    <cellStyle name="Процентный 7 36" xfId="1643"/>
    <cellStyle name="Обычный 4 3 28" xfId="1644"/>
    <cellStyle name="Процентный 4 3 28" xfId="1645"/>
    <cellStyle name="Обычный 5 3 28" xfId="1646"/>
    <cellStyle name="Процентный 5 3 28" xfId="1647"/>
    <cellStyle name="Обычный 4 2 2 28" xfId="1648"/>
    <cellStyle name="Процентный 4 2 2 28" xfId="1649"/>
    <cellStyle name="Обычный 5 2 2 28" xfId="1650"/>
    <cellStyle name="Процентный 5 2 2 28" xfId="1651"/>
    <cellStyle name="Обычный 6 2 28" xfId="1652"/>
    <cellStyle name="Процентный 6 2 28" xfId="1653"/>
    <cellStyle name="Обычный 7 2 28" xfId="1654"/>
    <cellStyle name="Процентный 7 2 28" xfId="1655"/>
    <cellStyle name="Обычный 8 24" xfId="1656"/>
    <cellStyle name="Процентный 8 24" xfId="1657"/>
    <cellStyle name="Обычный 4 83" xfId="1658"/>
    <cellStyle name="Процентный 4 83" xfId="1659"/>
    <cellStyle name="Обычный 5 76" xfId="1660"/>
    <cellStyle name="Процентный 5 76" xfId="1661"/>
    <cellStyle name="Обычный 4 2 70" xfId="1662"/>
    <cellStyle name="Процентный 4 2 70" xfId="1663"/>
    <cellStyle name="Обычный 5 2 70" xfId="1664"/>
    <cellStyle name="Процентный 5 2 70" xfId="1665"/>
    <cellStyle name="Обычный 6 67" xfId="1666"/>
    <cellStyle name="Процентный 6 67" xfId="1667"/>
    <cellStyle name="Обычный 7 37" xfId="1668"/>
    <cellStyle name="Процентный 7 37" xfId="1669"/>
    <cellStyle name="Обычный 4 3 29" xfId="1670"/>
    <cellStyle name="Процентный 4 3 29" xfId="1671"/>
    <cellStyle name="Обычный 5 3 29" xfId="1672"/>
    <cellStyle name="Процентный 5 3 29" xfId="1673"/>
    <cellStyle name="Обычный 4 2 2 29" xfId="1674"/>
    <cellStyle name="Процентный 4 2 2 29" xfId="1675"/>
    <cellStyle name="Обычный 5 2 2 29" xfId="1676"/>
    <cellStyle name="Процентный 5 2 2 29" xfId="1677"/>
    <cellStyle name="Обычный 6 2 29" xfId="1678"/>
    <cellStyle name="Процентный 6 2 29" xfId="1679"/>
    <cellStyle name="Обычный 7 2 29" xfId="1680"/>
    <cellStyle name="Процентный 7 2 29" xfId="1681"/>
    <cellStyle name="Обычный 8 25" xfId="1682"/>
    <cellStyle name="Процентный 8 25" xfId="1683"/>
    <cellStyle name="Обычный 4 84" xfId="1684"/>
    <cellStyle name="Процентный 4 84" xfId="1685"/>
    <cellStyle name="Обычный 5 77" xfId="1686"/>
    <cellStyle name="Процентный 5 77" xfId="1687"/>
    <cellStyle name="Обычный 4 2 71" xfId="1688"/>
    <cellStyle name="Процентный 4 2 71" xfId="1689"/>
    <cellStyle name="Обычный 5 2 71" xfId="1690"/>
    <cellStyle name="Процентный 5 2 71" xfId="1691"/>
    <cellStyle name="Обычный 6 68" xfId="1692"/>
    <cellStyle name="Процентный 6 68" xfId="1693"/>
    <cellStyle name="Обычный 7 38" xfId="1694"/>
    <cellStyle name="Процентный 7 38" xfId="1695"/>
    <cellStyle name="Обычный 4 3 30" xfId="1696"/>
    <cellStyle name="Процентный 4 3 30" xfId="1697"/>
    <cellStyle name="Обычный 5 3 30" xfId="1698"/>
    <cellStyle name="Процентный 5 3 30" xfId="1699"/>
    <cellStyle name="Обычный 4 2 2 30" xfId="1700"/>
    <cellStyle name="Процентный 4 2 2 30" xfId="1701"/>
    <cellStyle name="Обычный 5 2 2 30" xfId="1702"/>
    <cellStyle name="Процентный 5 2 2 30" xfId="1703"/>
    <cellStyle name="Обычный 6 2 30" xfId="1704"/>
    <cellStyle name="Процентный 6 2 30" xfId="1705"/>
    <cellStyle name="Обычный 7 2 30" xfId="1706"/>
    <cellStyle name="Процентный 7 2 30" xfId="1707"/>
    <cellStyle name="Обычный 8 26" xfId="1708"/>
    <cellStyle name="Процентный 8 26" xfId="1709"/>
    <cellStyle name="Обычный 4 85" xfId="1710"/>
    <cellStyle name="Процентный 4 85" xfId="1711"/>
    <cellStyle name="Обычный 5 78" xfId="1712"/>
    <cellStyle name="Процентный 5 78" xfId="1713"/>
    <cellStyle name="Обычный 4 2 72" xfId="1714"/>
    <cellStyle name="Процентный 4 2 72" xfId="1715"/>
    <cellStyle name="Обычный 5 2 72" xfId="1716"/>
    <cellStyle name="Процентный 5 2 72" xfId="1717"/>
    <cellStyle name="Обычный 6 69" xfId="1718"/>
    <cellStyle name="Процентный 6 69" xfId="1719"/>
    <cellStyle name="Обычный 7 39" xfId="1720"/>
    <cellStyle name="Процентный 7 39" xfId="1721"/>
    <cellStyle name="Обычный 4 3 31" xfId="1722"/>
    <cellStyle name="Процентный 4 3 31" xfId="1723"/>
    <cellStyle name="Обычный 5 3 31" xfId="1724"/>
    <cellStyle name="Процентный 5 3 31" xfId="1725"/>
    <cellStyle name="Обычный 4 2 2 31" xfId="1726"/>
    <cellStyle name="Процентный 4 2 2 31" xfId="1727"/>
    <cellStyle name="Обычный 5 2 2 31" xfId="1728"/>
    <cellStyle name="Процентный 5 2 2 31" xfId="1729"/>
    <cellStyle name="Обычный 6 2 31" xfId="1730"/>
    <cellStyle name="Процентный 6 2 31" xfId="1731"/>
    <cellStyle name="Обычный 7 2 31" xfId="1732"/>
    <cellStyle name="Процентный 7 2 31" xfId="1733"/>
    <cellStyle name="Обычный 8 27" xfId="1734"/>
    <cellStyle name="Процентный 8 27" xfId="1735"/>
    <cellStyle name="Обычный 4 86" xfId="1736"/>
    <cellStyle name="Процентный 4 86" xfId="1737"/>
    <cellStyle name="Обычный 5 79" xfId="1738"/>
    <cellStyle name="Процентный 5 79" xfId="1739"/>
    <cellStyle name="Обычный 4 2 73" xfId="1740"/>
    <cellStyle name="Процентный 4 2 73" xfId="1741"/>
    <cellStyle name="Обычный 5 2 73" xfId="1742"/>
    <cellStyle name="Процентный 5 2 73" xfId="1743"/>
    <cellStyle name="Обычный 6 70" xfId="1744"/>
    <cellStyle name="Процентный 6 70" xfId="1745"/>
    <cellStyle name="Обычный 7 40" xfId="1746"/>
    <cellStyle name="Процентный 7 40" xfId="1747"/>
    <cellStyle name="Обычный 4 3 32" xfId="1748"/>
    <cellStyle name="Процентный 4 3 32" xfId="1749"/>
    <cellStyle name="Обычный 5 3 32" xfId="1750"/>
    <cellStyle name="Процентный 5 3 32" xfId="1751"/>
    <cellStyle name="Обычный 4 2 2 32" xfId="1752"/>
    <cellStyle name="Процентный 4 2 2 32" xfId="1753"/>
    <cellStyle name="Обычный 5 2 2 32" xfId="1754"/>
    <cellStyle name="Процентный 5 2 2 32" xfId="1755"/>
    <cellStyle name="Обычный 6 2 32" xfId="1756"/>
    <cellStyle name="Процентный 6 2 32" xfId="1757"/>
    <cellStyle name="Обычный 7 2 32" xfId="1758"/>
    <cellStyle name="Процентный 7 2 32" xfId="1759"/>
    <cellStyle name="Обычный 8 28" xfId="1760"/>
    <cellStyle name="Процентный 8 28" xfId="1761"/>
    <cellStyle name="Обычный 4 87" xfId="1762"/>
    <cellStyle name="Процентный 4 87" xfId="1763"/>
    <cellStyle name="Обычный 5 80" xfId="1764"/>
    <cellStyle name="Процентный 5 80" xfId="1765"/>
    <cellStyle name="Обычный 4 2 74" xfId="1766"/>
    <cellStyle name="Процентный 4 2 74" xfId="1767"/>
    <cellStyle name="Обычный 5 2 74" xfId="1768"/>
    <cellStyle name="Процентный 5 2 74" xfId="1769"/>
    <cellStyle name="Обычный 6 71" xfId="1770"/>
    <cellStyle name="Процентный 6 71" xfId="1771"/>
    <cellStyle name="Обычный 7 41" xfId="1772"/>
    <cellStyle name="Процентный 7 41" xfId="1773"/>
    <cellStyle name="Обычный 4 3 33" xfId="1774"/>
    <cellStyle name="Процентный 4 3 33" xfId="1775"/>
    <cellStyle name="Обычный 5 3 33" xfId="1776"/>
    <cellStyle name="Процентный 5 3 33" xfId="1777"/>
    <cellStyle name="Обычный 4 2 2 33" xfId="1778"/>
    <cellStyle name="Процентный 4 2 2 33" xfId="1779"/>
    <cellStyle name="Обычный 5 2 2 33" xfId="1780"/>
    <cellStyle name="Процентный 5 2 2 33" xfId="1781"/>
    <cellStyle name="Обычный 6 2 33" xfId="1782"/>
    <cellStyle name="Процентный 6 2 33" xfId="1783"/>
    <cellStyle name="Обычный 7 2 33" xfId="1784"/>
    <cellStyle name="Процентный 7 2 33" xfId="1785"/>
    <cellStyle name="Обычный 8 29" xfId="1786"/>
    <cellStyle name="Процентный 8 29" xfId="1787"/>
    <cellStyle name="Обычный 4 88" xfId="1788"/>
    <cellStyle name="Процентный 4 88" xfId="1789"/>
    <cellStyle name="Обычный 5 81" xfId="1790"/>
    <cellStyle name="Процентный 5 81" xfId="1791"/>
    <cellStyle name="Обычный 4 2 75" xfId="1792"/>
    <cellStyle name="Процентный 4 2 75" xfId="1793"/>
    <cellStyle name="Обычный 5 2 75" xfId="1794"/>
    <cellStyle name="Процентный 5 2 75" xfId="1795"/>
    <cellStyle name="Обычный 6 72" xfId="1796"/>
    <cellStyle name="Процентный 6 72" xfId="1797"/>
    <cellStyle name="Обычный 7 42" xfId="1798"/>
    <cellStyle name="Процентный 7 42" xfId="1799"/>
    <cellStyle name="Обычный 4 3 34" xfId="1800"/>
    <cellStyle name="Процентный 4 3 34" xfId="1801"/>
    <cellStyle name="Обычный 5 3 34" xfId="1802"/>
    <cellStyle name="Процентный 5 3 34" xfId="1803"/>
    <cellStyle name="Обычный 4 2 2 34" xfId="1804"/>
    <cellStyle name="Процентный 4 2 2 34" xfId="1805"/>
    <cellStyle name="Обычный 5 2 2 34" xfId="1806"/>
    <cellStyle name="Процентный 5 2 2 34" xfId="1807"/>
    <cellStyle name="Обычный 6 2 34" xfId="1808"/>
    <cellStyle name="Процентный 6 2 34" xfId="1809"/>
    <cellStyle name="Обычный 7 2 34" xfId="1810"/>
    <cellStyle name="Процентный 7 2 34" xfId="1811"/>
    <cellStyle name="Обычный 8 30" xfId="1812"/>
    <cellStyle name="Процентный 8 30" xfId="1813"/>
    <cellStyle name="Обычный 4 89" xfId="1814"/>
    <cellStyle name="Процентный 4 89" xfId="1815"/>
    <cellStyle name="Обычный 5 82" xfId="1816"/>
    <cellStyle name="Процентный 5 82" xfId="1817"/>
    <cellStyle name="Обычный 4 2 76" xfId="1818"/>
    <cellStyle name="Процентный 4 2 76" xfId="1819"/>
    <cellStyle name="Обычный 5 2 76" xfId="1820"/>
    <cellStyle name="Процентный 5 2 76" xfId="1821"/>
    <cellStyle name="Обычный 6 73" xfId="1822"/>
    <cellStyle name="Процентный 6 73" xfId="1823"/>
    <cellStyle name="Обычный 7 43" xfId="1824"/>
    <cellStyle name="Процентный 7 43" xfId="1825"/>
    <cellStyle name="Обычный 4 3 35" xfId="1826"/>
    <cellStyle name="Процентный 4 3 35" xfId="1827"/>
    <cellStyle name="Обычный 5 3 35" xfId="1828"/>
    <cellStyle name="Процентный 5 3 35" xfId="1829"/>
    <cellStyle name="Обычный 4 2 2 35" xfId="1830"/>
    <cellStyle name="Процентный 4 2 2 35" xfId="1831"/>
    <cellStyle name="Обычный 5 2 2 35" xfId="1832"/>
    <cellStyle name="Процентный 5 2 2 35" xfId="1833"/>
    <cellStyle name="Обычный 6 2 35" xfId="1834"/>
    <cellStyle name="Процентный 6 2 35" xfId="1835"/>
    <cellStyle name="Обычный 7 2 35" xfId="1836"/>
    <cellStyle name="Процентный 7 2 35" xfId="1837"/>
    <cellStyle name="Обычный 8 31" xfId="1838"/>
    <cellStyle name="Процентный 8 31" xfId="1839"/>
    <cellStyle name="Обычный 4 90" xfId="1840"/>
    <cellStyle name="Процентный 4 90" xfId="1841"/>
    <cellStyle name="Обычный 5 83" xfId="1842"/>
    <cellStyle name="Процентный 5 83" xfId="1843"/>
    <cellStyle name="Обычный 4 2 77" xfId="1844"/>
    <cellStyle name="Процентный 4 2 77" xfId="1845"/>
    <cellStyle name="Обычный 5 2 77" xfId="1846"/>
    <cellStyle name="Процентный 5 2 77" xfId="1847"/>
    <cellStyle name="Обычный 6 74" xfId="1848"/>
    <cellStyle name="Процентный 6 74" xfId="1849"/>
    <cellStyle name="Обычный 7 44" xfId="1850"/>
    <cellStyle name="Процентный 7 44" xfId="1851"/>
    <cellStyle name="Обычный 4 3 36" xfId="1852"/>
    <cellStyle name="Процентный 4 3 36" xfId="1853"/>
    <cellStyle name="Обычный 5 3 36" xfId="1854"/>
    <cellStyle name="Процентный 5 3 36" xfId="1855"/>
    <cellStyle name="Обычный 4 2 2 36" xfId="1856"/>
    <cellStyle name="Процентный 4 2 2 36" xfId="1857"/>
    <cellStyle name="Обычный 5 2 2 36" xfId="1858"/>
    <cellStyle name="Процентный 5 2 2 36" xfId="1859"/>
    <cellStyle name="Обычный 6 2 36" xfId="1860"/>
    <cellStyle name="Процентный 6 2 36" xfId="1861"/>
    <cellStyle name="Обычный 7 2 36" xfId="1862"/>
    <cellStyle name="Процентный 7 2 36" xfId="1863"/>
    <cellStyle name="Обычный 8 32" xfId="1864"/>
    <cellStyle name="Процентный 8 32" xfId="1865"/>
    <cellStyle name="Обычный 4 91" xfId="1866"/>
    <cellStyle name="Процентный 4 91" xfId="1867"/>
    <cellStyle name="Обычный 5 84" xfId="1868"/>
    <cellStyle name="Процентный 5 84" xfId="1869"/>
    <cellStyle name="Обычный 4 2 78" xfId="1870"/>
    <cellStyle name="Процентный 4 2 78" xfId="1871"/>
    <cellStyle name="Обычный 5 2 78" xfId="1872"/>
    <cellStyle name="Процентный 5 2 78" xfId="1873"/>
    <cellStyle name="Обычный 6 75" xfId="1874"/>
    <cellStyle name="Процентный 6 75" xfId="1875"/>
    <cellStyle name="Обычный 7 45" xfId="1876"/>
    <cellStyle name="Процентный 7 45" xfId="1877"/>
    <cellStyle name="Обычный 4 3 37" xfId="1878"/>
    <cellStyle name="Процентный 4 3 37" xfId="1879"/>
    <cellStyle name="Обычный 5 3 37" xfId="1880"/>
    <cellStyle name="Процентный 5 3 37" xfId="1881"/>
    <cellStyle name="Обычный 4 2 2 37" xfId="1882"/>
    <cellStyle name="Процентный 4 2 2 37" xfId="1883"/>
    <cellStyle name="Обычный 5 2 2 37" xfId="1884"/>
    <cellStyle name="Процентный 5 2 2 37" xfId="1885"/>
    <cellStyle name="Обычный 6 2 37" xfId="1886"/>
    <cellStyle name="Процентный 6 2 37" xfId="1887"/>
    <cellStyle name="Обычный 7 2 37" xfId="1888"/>
    <cellStyle name="Процентный 7 2 37" xfId="1889"/>
    <cellStyle name="Обычный 8 33" xfId="1890"/>
    <cellStyle name="Процентный 8 33" xfId="1891"/>
    <cellStyle name="Обычный 4 92" xfId="1892"/>
    <cellStyle name="Процентный 4 92" xfId="1893"/>
    <cellStyle name="Обычный 5 85" xfId="1894"/>
    <cellStyle name="Процентный 5 85" xfId="1895"/>
    <cellStyle name="Обычный 4 2 79" xfId="1896"/>
    <cellStyle name="Процентный 4 2 79" xfId="1897"/>
    <cellStyle name="Обычный 5 2 79" xfId="1898"/>
    <cellStyle name="Процентный 5 2 79" xfId="1899"/>
    <cellStyle name="Обычный 6 76" xfId="1900"/>
    <cellStyle name="Процентный 6 76" xfId="1901"/>
    <cellStyle name="Обычный 7 46" xfId="1902"/>
    <cellStyle name="Процентный 7 46" xfId="1903"/>
    <cellStyle name="Обычный 4 3 38" xfId="1904"/>
    <cellStyle name="Процентный 4 3 38" xfId="1905"/>
    <cellStyle name="Обычный 5 3 38" xfId="1906"/>
    <cellStyle name="Процентный 5 3 38" xfId="1907"/>
    <cellStyle name="Обычный 4 2 2 38" xfId="1908"/>
    <cellStyle name="Процентный 4 2 2 38" xfId="1909"/>
    <cellStyle name="Обычный 5 2 2 38" xfId="1910"/>
    <cellStyle name="Процентный 5 2 2 38" xfId="1911"/>
    <cellStyle name="Обычный 6 2 38" xfId="1912"/>
    <cellStyle name="Процентный 6 2 38" xfId="1913"/>
    <cellStyle name="Обычный 7 2 38" xfId="1914"/>
    <cellStyle name="Процентный 7 2 38" xfId="1915"/>
    <cellStyle name="Обычный 8 34" xfId="1916"/>
    <cellStyle name="Процентный 8 34" xfId="1917"/>
    <cellStyle name="Обычный 4 93" xfId="1918"/>
    <cellStyle name="Процентный 4 93" xfId="1919"/>
    <cellStyle name="Обычный 5 86" xfId="1920"/>
    <cellStyle name="Процентный 5 86" xfId="1921"/>
    <cellStyle name="Обычный 4 2 80" xfId="1922"/>
    <cellStyle name="Процентный 4 2 80" xfId="1923"/>
    <cellStyle name="Обычный 5 2 80" xfId="1924"/>
    <cellStyle name="Процентный 5 2 80" xfId="1925"/>
    <cellStyle name="Обычный 6 77" xfId="1926"/>
    <cellStyle name="Процентный 6 77" xfId="1927"/>
    <cellStyle name="Обычный 7 47" xfId="1928"/>
    <cellStyle name="Процентный 7 47" xfId="1929"/>
    <cellStyle name="Обычный 4 3 39" xfId="1930"/>
    <cellStyle name="Процентный 4 3 39" xfId="1931"/>
    <cellStyle name="Обычный 5 3 39" xfId="1932"/>
    <cellStyle name="Процентный 5 3 39" xfId="1933"/>
    <cellStyle name="Обычный 4 2 2 39" xfId="1934"/>
    <cellStyle name="Процентный 4 2 2 39" xfId="1935"/>
    <cellStyle name="Обычный 5 2 2 39" xfId="1936"/>
    <cellStyle name="Процентный 5 2 2 39" xfId="1937"/>
    <cellStyle name="Обычный 6 2 39" xfId="1938"/>
    <cellStyle name="Процентный 6 2 39" xfId="1939"/>
    <cellStyle name="Обычный 7 2 39" xfId="1940"/>
    <cellStyle name="Процентный 7 2 39" xfId="1941"/>
    <cellStyle name="Обычный 8 35" xfId="1942"/>
    <cellStyle name="Процентный 8 35" xfId="1943"/>
    <cellStyle name="Обычный 9" xfId="1944"/>
    <cellStyle name="Процентный 9 2" xfId="1945"/>
    <cellStyle name="Обычный 4 94" xfId="1946"/>
    <cellStyle name="Процентный 4 94" xfId="1947"/>
    <cellStyle name="Обычный 5 87" xfId="1948"/>
    <cellStyle name="Процентный 5 87" xfId="1949"/>
    <cellStyle name="Обычный 4 2 81" xfId="1950"/>
    <cellStyle name="Процентный 4 2 81" xfId="1951"/>
    <cellStyle name="Обычный 5 2 81" xfId="1952"/>
    <cellStyle name="Процентный 5 2 81" xfId="1953"/>
    <cellStyle name="Обычный 6 78" xfId="1954"/>
    <cellStyle name="Процентный 6 78" xfId="1955"/>
    <cellStyle name="Обычный 7 48" xfId="1956"/>
    <cellStyle name="Процентный 7 48" xfId="1957"/>
    <cellStyle name="Обычный 4 3 40" xfId="1958"/>
    <cellStyle name="Процентный 4 3 40" xfId="1959"/>
    <cellStyle name="Обычный 5 3 40" xfId="1960"/>
    <cellStyle name="Процентный 5 3 40" xfId="1961"/>
    <cellStyle name="Обычный 4 2 2 40" xfId="1962"/>
    <cellStyle name="Процентный 4 2 2 40" xfId="1963"/>
    <cellStyle name="Обычный 5 2 2 40" xfId="1964"/>
    <cellStyle name="Процентный 5 2 2 40" xfId="1965"/>
    <cellStyle name="Обычный 6 2 40" xfId="1966"/>
    <cellStyle name="Процентный 6 2 40" xfId="1967"/>
    <cellStyle name="Обычный 7 2 40" xfId="1968"/>
    <cellStyle name="Процентный 7 2 40" xfId="1969"/>
    <cellStyle name="Обычный 8 36" xfId="1970"/>
    <cellStyle name="Процентный 8 36" xfId="1971"/>
    <cellStyle name="Процентный 9 3" xfId="1972"/>
    <cellStyle name="Обычный 4 95" xfId="1973"/>
    <cellStyle name="Процентный 4 95" xfId="1974"/>
    <cellStyle name="Обычный 5 88" xfId="1975"/>
    <cellStyle name="Процентный 5 88" xfId="1976"/>
    <cellStyle name="Обычный 4 2 82" xfId="1977"/>
    <cellStyle name="Процентный 4 2 82" xfId="1978"/>
    <cellStyle name="Обычный 5 2 82" xfId="1979"/>
    <cellStyle name="Процентный 5 2 82" xfId="1980"/>
    <cellStyle name="Обычный 6 79" xfId="1981"/>
    <cellStyle name="Процентный 6 79" xfId="1982"/>
    <cellStyle name="Обычный 7 49" xfId="1983"/>
    <cellStyle name="Процентный 7 49" xfId="1984"/>
    <cellStyle name="Обычный 4 3 41" xfId="1985"/>
    <cellStyle name="Процентный 4 3 41" xfId="1986"/>
    <cellStyle name="Обычный 5 3 41" xfId="1987"/>
    <cellStyle name="Процентный 5 3 41" xfId="1988"/>
    <cellStyle name="Обычный 4 2 2 41" xfId="1989"/>
    <cellStyle name="Процентный 4 2 2 41" xfId="1990"/>
    <cellStyle name="Обычный 5 2 2 41" xfId="1991"/>
    <cellStyle name="Процентный 5 2 2 41" xfId="1992"/>
    <cellStyle name="Обычный 6 2 41" xfId="1993"/>
    <cellStyle name="Процентный 6 2 41" xfId="1994"/>
    <cellStyle name="Обычный 7 2 41" xfId="1995"/>
    <cellStyle name="Процентный 7 2 41" xfId="1996"/>
    <cellStyle name="Обычный 8 37" xfId="1997"/>
    <cellStyle name="Процентный 8 37" xfId="1998"/>
    <cellStyle name="Обычный 9 3" xfId="1999"/>
    <cellStyle name="Процентный 9 4" xfId="2000"/>
    <cellStyle name="Обычный 4 96" xfId="2001"/>
    <cellStyle name="Процентный 4 96" xfId="2002"/>
    <cellStyle name="Обычный 5 89" xfId="2003"/>
    <cellStyle name="Процентный 5 89" xfId="2004"/>
    <cellStyle name="Обычный 4 2 83" xfId="2005"/>
    <cellStyle name="Процентный 4 2 83" xfId="2006"/>
    <cellStyle name="Обычный 5 2 83" xfId="2007"/>
    <cellStyle name="Процентный 5 2 83" xfId="2008"/>
    <cellStyle name="Обычный 6 80" xfId="2009"/>
    <cellStyle name="Процентный 6 80" xfId="2010"/>
    <cellStyle name="Обычный 7 50" xfId="2011"/>
    <cellStyle name="Процентный 7 50" xfId="2012"/>
    <cellStyle name="Обычный 4 3 42" xfId="2013"/>
    <cellStyle name="Процентный 4 3 42" xfId="2014"/>
    <cellStyle name="Обычный 5 3 42" xfId="2015"/>
    <cellStyle name="Процентный 5 3 42" xfId="2016"/>
    <cellStyle name="Обычный 4 2 2 42" xfId="2017"/>
    <cellStyle name="Процентный 4 2 2 42" xfId="2018"/>
    <cellStyle name="Обычный 5 2 2 42" xfId="2019"/>
    <cellStyle name="Процентный 5 2 2 42" xfId="2020"/>
    <cellStyle name="Обычный 6 2 42" xfId="2021"/>
    <cellStyle name="Процентный 6 2 42" xfId="2022"/>
    <cellStyle name="Обычный 7 2 42" xfId="2023"/>
    <cellStyle name="Процентный 7 2 42" xfId="2024"/>
    <cellStyle name="Обычный 8 38" xfId="2025"/>
    <cellStyle name="Процентный 8 38" xfId="2026"/>
    <cellStyle name="Обычный 9 4" xfId="2027"/>
    <cellStyle name="Процентный 9 5" xfId="2028"/>
    <cellStyle name="Обычный 4 97" xfId="2029"/>
    <cellStyle name="Процентный 4 97" xfId="2030"/>
    <cellStyle name="Обычный 5 90" xfId="2031"/>
    <cellStyle name="Процентный 5 90" xfId="2032"/>
    <cellStyle name="Обычный 4 2 84" xfId="2033"/>
    <cellStyle name="Процентный 4 2 84" xfId="2034"/>
    <cellStyle name="Обычный 5 2 84" xfId="2035"/>
    <cellStyle name="Процентный 5 2 84" xfId="2036"/>
    <cellStyle name="Обычный 6 81" xfId="2037"/>
    <cellStyle name="Процентный 6 81" xfId="2038"/>
    <cellStyle name="Обычный 7 51" xfId="2039"/>
    <cellStyle name="Процентный 7 51" xfId="2040"/>
    <cellStyle name="Обычный 4 3 43" xfId="2041"/>
    <cellStyle name="Процентный 4 3 43" xfId="2042"/>
    <cellStyle name="Обычный 5 3 43" xfId="2043"/>
    <cellStyle name="Процентный 5 3 43" xfId="2044"/>
    <cellStyle name="Обычный 4 2 2 43" xfId="2045"/>
    <cellStyle name="Процентный 4 2 2 43" xfId="2046"/>
    <cellStyle name="Обычный 5 2 2 43" xfId="2047"/>
    <cellStyle name="Процентный 5 2 2 43" xfId="2048"/>
    <cellStyle name="Обычный 6 2 43" xfId="2049"/>
    <cellStyle name="Процентный 6 2 43" xfId="2050"/>
    <cellStyle name="Обычный 7 2 43" xfId="2051"/>
    <cellStyle name="Процентный 7 2 43" xfId="2052"/>
    <cellStyle name="Обычный 8 39" xfId="2053"/>
    <cellStyle name="Процентный 8 39" xfId="2054"/>
    <cellStyle name="Обычный 9 5" xfId="2055"/>
    <cellStyle name="Процентный 9 6" xfId="2056"/>
    <cellStyle name="Обычный 4 98" xfId="2057"/>
    <cellStyle name="Процентный 4 98" xfId="2058"/>
    <cellStyle name="Обычный 5 91" xfId="2059"/>
    <cellStyle name="Процентный 5 91" xfId="2060"/>
    <cellStyle name="Обычный 4 2 85" xfId="2061"/>
    <cellStyle name="Процентный 4 2 85" xfId="2062"/>
    <cellStyle name="Обычный 5 2 85" xfId="2063"/>
    <cellStyle name="Процентный 5 2 85" xfId="2064"/>
    <cellStyle name="Обычный 6 82" xfId="2065"/>
    <cellStyle name="Процентный 6 82" xfId="2066"/>
    <cellStyle name="Обычный 7 52" xfId="2067"/>
    <cellStyle name="Процентный 7 52" xfId="2068"/>
    <cellStyle name="Обычный 4 3 44" xfId="2069"/>
    <cellStyle name="Процентный 4 3 44" xfId="2070"/>
    <cellStyle name="Обычный 5 3 44" xfId="2071"/>
    <cellStyle name="Процентный 5 3 44" xfId="2072"/>
    <cellStyle name="Обычный 4 2 2 44" xfId="2073"/>
    <cellStyle name="Процентный 4 2 2 44" xfId="2074"/>
    <cellStyle name="Обычный 5 2 2 44" xfId="2075"/>
    <cellStyle name="Процентный 5 2 2 44" xfId="2076"/>
    <cellStyle name="Обычный 6 2 44" xfId="2077"/>
    <cellStyle name="Процентный 6 2 44" xfId="2078"/>
    <cellStyle name="Обычный 7 2 44" xfId="2079"/>
    <cellStyle name="Процентный 7 2 44" xfId="2080"/>
    <cellStyle name="Обычный 8 40" xfId="2081"/>
    <cellStyle name="Процентный 8 40" xfId="2082"/>
    <cellStyle name="Обычный 9 6" xfId="2083"/>
    <cellStyle name="Процентный 9 7" xfId="2084"/>
    <cellStyle name="Обычный 4 99" xfId="2085"/>
    <cellStyle name="Процентный 4 99" xfId="2086"/>
    <cellStyle name="Обычный 5 92" xfId="2087"/>
    <cellStyle name="Процентный 5 92" xfId="2088"/>
    <cellStyle name="Обычный 4 2 86" xfId="2089"/>
    <cellStyle name="Процентный 4 2 86" xfId="2090"/>
    <cellStyle name="Обычный 5 2 86" xfId="2091"/>
    <cellStyle name="Процентный 5 2 86" xfId="2092"/>
    <cellStyle name="Обычный 6 83" xfId="2093"/>
    <cellStyle name="Процентный 6 83" xfId="2094"/>
    <cellStyle name="Обычный 7 53" xfId="2095"/>
    <cellStyle name="Процентный 7 53" xfId="2096"/>
    <cellStyle name="Обычный 4 3 45" xfId="2097"/>
    <cellStyle name="Процентный 4 3 45" xfId="2098"/>
    <cellStyle name="Обычный 5 3 45" xfId="2099"/>
    <cellStyle name="Процентный 5 3 45" xfId="2100"/>
    <cellStyle name="Обычный 4 2 2 45" xfId="2101"/>
    <cellStyle name="Процентный 4 2 2 45" xfId="2102"/>
    <cellStyle name="Обычный 5 2 2 45" xfId="2103"/>
    <cellStyle name="Процентный 5 2 2 45" xfId="2104"/>
    <cellStyle name="Обычный 6 2 45" xfId="2105"/>
    <cellStyle name="Процентный 6 2 45" xfId="2106"/>
    <cellStyle name="Обычный 7 2 45" xfId="2107"/>
    <cellStyle name="Процентный 7 2 45" xfId="2108"/>
    <cellStyle name="Обычный 8 41" xfId="2109"/>
    <cellStyle name="Процентный 8 41" xfId="2110"/>
    <cellStyle name="Обычный 9 7" xfId="2111"/>
    <cellStyle name="Процентный 9 8" xfId="2112"/>
    <cellStyle name="Обычный 4 100" xfId="2113"/>
    <cellStyle name="Процентный 4 100" xfId="2114"/>
    <cellStyle name="Обычный 5 93" xfId="2115"/>
    <cellStyle name="Процентный 5 93" xfId="2116"/>
    <cellStyle name="Обычный 4 2 87" xfId="2117"/>
    <cellStyle name="Процентный 4 2 87" xfId="2118"/>
    <cellStyle name="Обычный 5 2 87" xfId="2119"/>
    <cellStyle name="Процентный 5 2 87" xfId="2120"/>
    <cellStyle name="Обычный 6 84" xfId="2121"/>
    <cellStyle name="Процентный 6 84" xfId="2122"/>
    <cellStyle name="Обычный 7 54" xfId="2123"/>
    <cellStyle name="Процентный 7 54" xfId="2124"/>
    <cellStyle name="Обычный 4 3 46" xfId="2125"/>
    <cellStyle name="Процентный 4 3 46" xfId="2126"/>
    <cellStyle name="Обычный 5 3 46" xfId="2127"/>
    <cellStyle name="Процентный 5 3 46" xfId="2128"/>
    <cellStyle name="Обычный 4 2 2 46" xfId="2129"/>
    <cellStyle name="Процентный 4 2 2 46" xfId="2130"/>
    <cellStyle name="Обычный 5 2 2 46" xfId="2131"/>
    <cellStyle name="Процентный 5 2 2 46" xfId="2132"/>
    <cellStyle name="Обычный 6 2 46" xfId="2133"/>
    <cellStyle name="Процентный 6 2 46" xfId="2134"/>
    <cellStyle name="Обычный 7 2 46" xfId="2135"/>
    <cellStyle name="Процентный 7 2 46" xfId="2136"/>
    <cellStyle name="Обычный 8 42" xfId="2137"/>
    <cellStyle name="Процентный 8 42" xfId="2138"/>
    <cellStyle name="Обычный 9 8" xfId="2139"/>
    <cellStyle name="Процентный 9 9" xfId="2140"/>
    <cellStyle name="Обычный 10" xfId="2141"/>
    <cellStyle name="Процентный 10" xfId="2142"/>
    <cellStyle name="Обычный 4 101" xfId="2143"/>
    <cellStyle name="Процентный 4 101" xfId="2144"/>
    <cellStyle name="Обычный 5 94" xfId="2145"/>
    <cellStyle name="Процентный 5 94" xfId="2146"/>
    <cellStyle name="Обычный 4 2 88" xfId="2147"/>
    <cellStyle name="Процентный 4 2 88" xfId="2148"/>
    <cellStyle name="Обычный 5 2 88" xfId="2149"/>
    <cellStyle name="Процентный 5 2 88" xfId="2150"/>
    <cellStyle name="Обычный 6 85" xfId="2151"/>
    <cellStyle name="Процентный 6 85" xfId="2152"/>
    <cellStyle name="Обычный 7 55" xfId="2153"/>
    <cellStyle name="Процентный 7 55" xfId="2154"/>
    <cellStyle name="Обычный 4 3 47" xfId="2155"/>
    <cellStyle name="Процентный 4 3 47" xfId="2156"/>
    <cellStyle name="Обычный 5 3 47" xfId="2157"/>
    <cellStyle name="Процентный 5 3 47" xfId="2158"/>
    <cellStyle name="Обычный 4 2 2 47" xfId="2159"/>
    <cellStyle name="Процентный 4 2 2 47" xfId="2160"/>
    <cellStyle name="Обычный 5 2 2 47" xfId="2161"/>
    <cellStyle name="Процентный 5 2 2 47" xfId="2162"/>
    <cellStyle name="Обычный 6 2 47" xfId="2163"/>
    <cellStyle name="Процентный 6 2 47" xfId="2164"/>
    <cellStyle name="Обычный 7 2 47" xfId="2165"/>
    <cellStyle name="Процентный 7 2 47" xfId="2166"/>
    <cellStyle name="Обычный 8 43" xfId="2167"/>
    <cellStyle name="Процентный 8 43" xfId="2168"/>
    <cellStyle name="Обычный 9 9" xfId="2169"/>
    <cellStyle name="Процентный 9 10" xfId="2170"/>
    <cellStyle name="Обычный 10 2" xfId="2171"/>
    <cellStyle name="Процентный 10 2" xfId="2172"/>
    <cellStyle name="Обычный 4 102" xfId="2173"/>
    <cellStyle name="Процентный 4 102" xfId="2174"/>
    <cellStyle name="Обычный 5 95" xfId="2175"/>
    <cellStyle name="Процентный 5 95" xfId="2176"/>
    <cellStyle name="Обычный 4 2 89" xfId="2177"/>
    <cellStyle name="Процентный 4 2 89" xfId="2178"/>
    <cellStyle name="Обычный 5 2 89" xfId="2179"/>
    <cellStyle name="Процентный 5 2 89" xfId="2180"/>
    <cellStyle name="Обычный 6 86" xfId="2181"/>
    <cellStyle name="Процентный 6 86" xfId="2182"/>
    <cellStyle name="Обычный 7 56" xfId="2183"/>
    <cellStyle name="Процентный 7 56" xfId="2184"/>
    <cellStyle name="Обычный 4 3 48" xfId="2185"/>
    <cellStyle name="Процентный 4 3 48" xfId="2186"/>
    <cellStyle name="Обычный 5 3 48" xfId="2187"/>
    <cellStyle name="Процентный 5 3 48" xfId="2188"/>
    <cellStyle name="Обычный 4 2 2 48" xfId="2189"/>
    <cellStyle name="Процентный 4 2 2 48" xfId="2190"/>
    <cellStyle name="Обычный 5 2 2 48" xfId="2191"/>
    <cellStyle name="Процентный 5 2 2 48" xfId="2192"/>
    <cellStyle name="Обычный 6 2 48" xfId="2193"/>
    <cellStyle name="Процентный 6 2 48" xfId="2194"/>
    <cellStyle name="Обычный 7 2 48" xfId="2195"/>
    <cellStyle name="Процентный 7 2 48" xfId="2196"/>
    <cellStyle name="Обычный 8 44" xfId="2197"/>
    <cellStyle name="Процентный 8 44" xfId="2198"/>
    <cellStyle name="Обычный 9 10" xfId="2199"/>
    <cellStyle name="Процентный 9 11" xfId="2200"/>
    <cellStyle name="Обычный 10 3" xfId="2201"/>
    <cellStyle name="Процентный 10 3" xfId="2202"/>
    <cellStyle name="Обычный 4 103" xfId="2203"/>
    <cellStyle name="Процентный 4 103" xfId="2204"/>
    <cellStyle name="Обычный 5 96" xfId="2205"/>
    <cellStyle name="Процентный 5 96" xfId="2206"/>
    <cellStyle name="Обычный 4 2 90" xfId="2207"/>
    <cellStyle name="Процентный 4 2 90" xfId="2208"/>
    <cellStyle name="Обычный 5 2 90" xfId="2209"/>
    <cellStyle name="Процентный 5 2 90" xfId="2210"/>
    <cellStyle name="Обычный 6 87" xfId="2211"/>
    <cellStyle name="Процентный 6 87" xfId="2212"/>
    <cellStyle name="Обычный 7 57" xfId="2213"/>
    <cellStyle name="Процентный 7 57" xfId="2214"/>
    <cellStyle name="Обычный 4 3 49" xfId="2215"/>
    <cellStyle name="Процентный 4 3 49" xfId="2216"/>
    <cellStyle name="Обычный 5 3 49" xfId="2217"/>
    <cellStyle name="Процентный 5 3 49" xfId="2218"/>
    <cellStyle name="Обычный 4 2 2 49" xfId="2219"/>
    <cellStyle name="Процентный 4 2 2 49" xfId="2220"/>
    <cellStyle name="Обычный 5 2 2 49" xfId="2221"/>
    <cellStyle name="Процентный 5 2 2 49" xfId="2222"/>
    <cellStyle name="Обычный 6 2 49" xfId="2223"/>
    <cellStyle name="Процентный 6 2 49" xfId="2224"/>
    <cellStyle name="Обычный 7 2 49" xfId="2225"/>
    <cellStyle name="Процентный 7 2 49" xfId="2226"/>
    <cellStyle name="Обычный 8 45" xfId="2227"/>
    <cellStyle name="Процентный 8 45" xfId="2228"/>
    <cellStyle name="Обычный 9 11" xfId="2229"/>
    <cellStyle name="Процентный 9 12" xfId="2230"/>
    <cellStyle name="Обычный 10 4" xfId="2231"/>
    <cellStyle name="Процентный 10 4" xfId="2232"/>
    <cellStyle name="Обычный 4 104" xfId="2233"/>
    <cellStyle name="Процентный 4 104" xfId="2234"/>
    <cellStyle name="Обычный 5 97" xfId="2235"/>
    <cellStyle name="Процентный 5 97" xfId="2236"/>
    <cellStyle name="Обычный 4 2 91" xfId="2237"/>
    <cellStyle name="Процентный 4 2 91" xfId="2238"/>
    <cellStyle name="Обычный 5 2 91" xfId="2239"/>
    <cellStyle name="Процентный 5 2 91" xfId="2240"/>
    <cellStyle name="Обычный 6 88" xfId="2241"/>
    <cellStyle name="Процентный 6 88" xfId="2242"/>
    <cellStyle name="Обычный 7 58" xfId="2243"/>
    <cellStyle name="Процентный 7 58" xfId="2244"/>
    <cellStyle name="Обычный 4 3 50" xfId="2245"/>
    <cellStyle name="Процентный 4 3 50" xfId="2246"/>
    <cellStyle name="Обычный 5 3 50" xfId="2247"/>
    <cellStyle name="Процентный 5 3 50" xfId="2248"/>
    <cellStyle name="Обычный 4 2 2 50" xfId="2249"/>
    <cellStyle name="Процентный 4 2 2 50" xfId="2250"/>
    <cellStyle name="Обычный 5 2 2 50" xfId="2251"/>
    <cellStyle name="Процентный 5 2 2 50" xfId="2252"/>
    <cellStyle name="Обычный 6 2 50" xfId="2253"/>
    <cellStyle name="Процентный 6 2 50" xfId="2254"/>
    <cellStyle name="Обычный 7 2 50" xfId="2255"/>
    <cellStyle name="Процентный 7 2 50" xfId="2256"/>
    <cellStyle name="Обычный 8 46" xfId="2257"/>
    <cellStyle name="Процентный 8 46" xfId="2258"/>
    <cellStyle name="Обычный 9 12" xfId="2259"/>
    <cellStyle name="Процентный 9 13" xfId="2260"/>
    <cellStyle name="Обычный 10 5" xfId="2261"/>
    <cellStyle name="Процентный 10 5" xfId="2262"/>
    <cellStyle name="Обычный 4 105" xfId="2263"/>
    <cellStyle name="Процентный 4 105" xfId="2264"/>
    <cellStyle name="Обычный 5 98" xfId="2265"/>
    <cellStyle name="Процентный 5 98" xfId="2266"/>
    <cellStyle name="Обычный 4 2 92" xfId="2267"/>
    <cellStyle name="Процентный 4 2 92" xfId="2268"/>
    <cellStyle name="Обычный 5 2 92" xfId="2269"/>
    <cellStyle name="Процентный 5 2 92" xfId="2270"/>
    <cellStyle name="Обычный 6 89" xfId="2271"/>
    <cellStyle name="Процентный 6 89" xfId="2272"/>
    <cellStyle name="Обычный 7 59" xfId="2273"/>
    <cellStyle name="Процентный 7 59" xfId="2274"/>
    <cellStyle name="Обычный 4 3 51" xfId="2275"/>
    <cellStyle name="Процентный 4 3 51" xfId="2276"/>
    <cellStyle name="Обычный 5 3 51" xfId="2277"/>
    <cellStyle name="Процентный 5 3 51" xfId="2278"/>
    <cellStyle name="Обычный 4 2 2 51" xfId="2279"/>
    <cellStyle name="Процентный 4 2 2 51" xfId="2280"/>
    <cellStyle name="Обычный 5 2 2 51" xfId="2281"/>
    <cellStyle name="Процентный 5 2 2 51" xfId="2282"/>
    <cellStyle name="Обычный 6 2 51" xfId="2283"/>
    <cellStyle name="Процентный 6 2 51" xfId="2284"/>
    <cellStyle name="Обычный 7 2 51" xfId="2285"/>
    <cellStyle name="Процентный 7 2 51" xfId="2286"/>
    <cellStyle name="Обычный 8 47" xfId="2287"/>
    <cellStyle name="Процентный 8 47" xfId="2288"/>
    <cellStyle name="Обычный 9 13" xfId="2289"/>
    <cellStyle name="Процентный 9 14" xfId="2290"/>
    <cellStyle name="Обычный 10 6" xfId="2291"/>
    <cellStyle name="Процентный 10 6" xfId="2292"/>
    <cellStyle name="Обычный 4 106" xfId="2293"/>
    <cellStyle name="Процентный 4 106" xfId="2294"/>
    <cellStyle name="Обычный 5 99" xfId="2295"/>
    <cellStyle name="Процентный 5 99" xfId="2296"/>
    <cellStyle name="Обычный 4 2 93" xfId="2297"/>
    <cellStyle name="Процентный 4 2 93" xfId="2298"/>
    <cellStyle name="Обычный 5 2 93" xfId="2299"/>
    <cellStyle name="Процентный 5 2 93" xfId="2300"/>
    <cellStyle name="Обычный 6 90" xfId="2301"/>
    <cellStyle name="Процентный 6 90" xfId="2302"/>
    <cellStyle name="Обычный 7 60" xfId="2303"/>
    <cellStyle name="Процентный 7 60" xfId="2304"/>
    <cellStyle name="Обычный 4 3 52" xfId="2305"/>
    <cellStyle name="Процентный 4 3 52" xfId="2306"/>
    <cellStyle name="Обычный 5 3 52" xfId="2307"/>
    <cellStyle name="Процентный 5 3 52" xfId="2308"/>
    <cellStyle name="Обычный 4 2 2 52" xfId="2309"/>
    <cellStyle name="Процентный 4 2 2 52" xfId="2310"/>
    <cellStyle name="Обычный 5 2 2 52" xfId="2311"/>
    <cellStyle name="Процентный 5 2 2 52" xfId="2312"/>
    <cellStyle name="Обычный 6 2 52" xfId="2313"/>
    <cellStyle name="Процентный 6 2 52" xfId="2314"/>
    <cellStyle name="Обычный 7 2 52" xfId="2315"/>
    <cellStyle name="Процентный 7 2 52" xfId="2316"/>
    <cellStyle name="Обычный 8 48" xfId="2317"/>
    <cellStyle name="Процентный 8 48" xfId="2318"/>
    <cellStyle name="Обычный 9 14" xfId="2319"/>
    <cellStyle name="Процентный 9 15" xfId="2320"/>
    <cellStyle name="Обычный 10 7" xfId="2321"/>
    <cellStyle name="Процентный 10 7" xfId="2322"/>
    <cellStyle name="Обычный 4 107" xfId="2323"/>
    <cellStyle name="Процентный 4 107" xfId="2324"/>
    <cellStyle name="Обычный 5 100" xfId="2325"/>
    <cellStyle name="Процентный 5 100" xfId="2326"/>
    <cellStyle name="Обычный 4 2 94" xfId="2327"/>
    <cellStyle name="Процентный 4 2 94" xfId="2328"/>
    <cellStyle name="Обычный 5 2 94" xfId="2329"/>
    <cellStyle name="Процентный 5 2 94" xfId="2330"/>
    <cellStyle name="Обычный 6 91" xfId="2331"/>
    <cellStyle name="Процентный 6 91" xfId="2332"/>
    <cellStyle name="Обычный 7 61" xfId="2333"/>
    <cellStyle name="Процентный 7 61" xfId="2334"/>
    <cellStyle name="Обычный 4 3 53" xfId="2335"/>
    <cellStyle name="Процентный 4 3 53" xfId="2336"/>
    <cellStyle name="Обычный 5 3 53" xfId="2337"/>
    <cellStyle name="Процентный 5 3 53" xfId="2338"/>
    <cellStyle name="Обычный 4 2 2 53" xfId="2339"/>
    <cellStyle name="Процентный 4 2 2 53" xfId="2340"/>
    <cellStyle name="Обычный 5 2 2 53" xfId="2341"/>
    <cellStyle name="Процентный 5 2 2 53" xfId="2342"/>
    <cellStyle name="Обычный 6 2 53" xfId="2343"/>
    <cellStyle name="Процентный 6 2 53" xfId="2344"/>
    <cellStyle name="Обычный 7 2 53" xfId="2345"/>
    <cellStyle name="Процентный 7 2 53" xfId="2346"/>
    <cellStyle name="Обычный 8 49" xfId="2347"/>
    <cellStyle name="Процентный 8 49" xfId="2348"/>
    <cellStyle name="Обычный 9 15" xfId="2349"/>
    <cellStyle name="Процентный 9 16" xfId="2350"/>
    <cellStyle name="Обычный 10 8" xfId="2351"/>
    <cellStyle name="Процентный 10 8" xfId="2352"/>
    <cellStyle name="Обычный 4 108" xfId="2353"/>
    <cellStyle name="Процентный 4 108" xfId="2354"/>
    <cellStyle name="Обычный 5 101" xfId="2355"/>
    <cellStyle name="Процентный 5 101" xfId="2356"/>
    <cellStyle name="Обычный 4 2 95" xfId="2357"/>
    <cellStyle name="Процентный 4 2 95" xfId="2358"/>
    <cellStyle name="Обычный 5 2 95" xfId="2359"/>
    <cellStyle name="Процентный 5 2 95" xfId="2360"/>
    <cellStyle name="Обычный 6 92" xfId="2361"/>
    <cellStyle name="Процентный 6 92" xfId="2362"/>
    <cellStyle name="Обычный 7 62" xfId="2363"/>
    <cellStyle name="Процентный 7 62" xfId="2364"/>
    <cellStyle name="Обычный 4 3 54" xfId="2365"/>
    <cellStyle name="Процентный 4 3 54" xfId="2366"/>
    <cellStyle name="Обычный 5 3 54" xfId="2367"/>
    <cellStyle name="Процентный 5 3 54" xfId="2368"/>
    <cellStyle name="Обычный 4 2 2 54" xfId="2369"/>
    <cellStyle name="Процентный 4 2 2 54" xfId="2370"/>
    <cellStyle name="Обычный 5 2 2 54" xfId="2371"/>
    <cellStyle name="Процентный 5 2 2 54" xfId="2372"/>
    <cellStyle name="Обычный 6 2 54" xfId="2373"/>
    <cellStyle name="Процентный 6 2 54" xfId="2374"/>
    <cellStyle name="Обычный 7 2 54" xfId="2375"/>
    <cellStyle name="Процентный 7 2 54" xfId="2376"/>
    <cellStyle name="Обычный 8 50" xfId="2377"/>
    <cellStyle name="Процентный 8 50" xfId="2378"/>
    <cellStyle name="Обычный 9 16" xfId="2379"/>
    <cellStyle name="Процентный 9 17" xfId="2380"/>
    <cellStyle name="Обычный 10 9" xfId="2381"/>
    <cellStyle name="Процентный 10 9" xfId="2382"/>
    <cellStyle name="Обычный 4 109" xfId="2383"/>
    <cellStyle name="Процентный 4 109" xfId="2384"/>
    <cellStyle name="Обычный 5 102" xfId="2385"/>
    <cellStyle name="Процентный 5 102" xfId="2386"/>
    <cellStyle name="Обычный 4 2 96" xfId="2387"/>
    <cellStyle name="Процентный 4 2 96" xfId="2388"/>
    <cellStyle name="Обычный 5 2 96" xfId="2389"/>
    <cellStyle name="Процентный 5 2 96" xfId="2390"/>
    <cellStyle name="Обычный 6 93" xfId="2391"/>
    <cellStyle name="Процентный 6 93" xfId="2392"/>
    <cellStyle name="Обычный 7 63" xfId="2393"/>
    <cellStyle name="Процентный 7 63" xfId="2394"/>
    <cellStyle name="Обычный 4 3 55" xfId="2395"/>
    <cellStyle name="Процентный 4 3 55" xfId="2396"/>
    <cellStyle name="Обычный 5 3 55" xfId="2397"/>
    <cellStyle name="Процентный 5 3 55" xfId="2398"/>
    <cellStyle name="Обычный 4 2 2 55" xfId="2399"/>
    <cellStyle name="Процентный 4 2 2 55" xfId="2400"/>
    <cellStyle name="Обычный 5 2 2 55" xfId="2401"/>
    <cellStyle name="Процентный 5 2 2 55" xfId="2402"/>
    <cellStyle name="Обычный 6 2 55" xfId="2403"/>
    <cellStyle name="Процентный 6 2 55" xfId="2404"/>
    <cellStyle name="Обычный 7 2 55" xfId="2405"/>
    <cellStyle name="Процентный 7 2 55" xfId="2406"/>
    <cellStyle name="Обычный 8 51" xfId="2407"/>
    <cellStyle name="Процентный 8 51" xfId="2408"/>
    <cellStyle name="Обычный 9 17" xfId="2409"/>
    <cellStyle name="Процентный 9 18" xfId="2410"/>
    <cellStyle name="Обычный 10 10" xfId="2411"/>
    <cellStyle name="Процентный 10 10" xfId="2412"/>
    <cellStyle name="Обычный 4 110" xfId="2413"/>
    <cellStyle name="Процентный 4 110" xfId="2414"/>
    <cellStyle name="Обычный 5 103" xfId="2415"/>
    <cellStyle name="Процентный 5 103" xfId="2416"/>
    <cellStyle name="Обычный 4 2 97" xfId="2417"/>
    <cellStyle name="Процентный 4 2 97" xfId="2418"/>
    <cellStyle name="Обычный 5 2 97" xfId="2419"/>
    <cellStyle name="Процентный 5 2 97" xfId="2420"/>
    <cellStyle name="Обычный 6 94" xfId="2421"/>
    <cellStyle name="Процентный 6 94" xfId="2422"/>
    <cellStyle name="Обычный 7 64" xfId="2423"/>
    <cellStyle name="Процентный 7 64" xfId="2424"/>
    <cellStyle name="Обычный 4 3 56" xfId="2425"/>
    <cellStyle name="Процентный 4 3 56" xfId="2426"/>
    <cellStyle name="Обычный 5 3 56" xfId="2427"/>
    <cellStyle name="Процентный 5 3 56" xfId="2428"/>
    <cellStyle name="Обычный 4 2 2 56" xfId="2429"/>
    <cellStyle name="Процентный 4 2 2 56" xfId="2430"/>
    <cellStyle name="Обычный 5 2 2 56" xfId="2431"/>
    <cellStyle name="Процентный 5 2 2 56" xfId="2432"/>
    <cellStyle name="Обычный 6 2 56" xfId="2433"/>
    <cellStyle name="Процентный 6 2 56" xfId="2434"/>
    <cellStyle name="Обычный 7 2 56" xfId="2435"/>
    <cellStyle name="Процентный 7 2 56" xfId="2436"/>
    <cellStyle name="Обычный 8 52" xfId="2437"/>
    <cellStyle name="Процентный 8 52" xfId="2438"/>
    <cellStyle name="Обычный 9 18" xfId="2439"/>
    <cellStyle name="Процентный 9 19" xfId="2440"/>
    <cellStyle name="Обычный 10 11" xfId="2441"/>
    <cellStyle name="Процентный 10 11" xfId="2442"/>
    <cellStyle name="Обычный 4 111" xfId="2443"/>
    <cellStyle name="Процентный 4 111" xfId="2444"/>
    <cellStyle name="Обычный 5 104" xfId="2445"/>
    <cellStyle name="Процентный 5 104" xfId="2446"/>
    <cellStyle name="Обычный 4 2 98" xfId="2447"/>
    <cellStyle name="Процентный 4 2 98" xfId="2448"/>
    <cellStyle name="Обычный 5 2 98" xfId="2449"/>
    <cellStyle name="Процентный 5 2 98" xfId="2450"/>
    <cellStyle name="Обычный 6 95" xfId="2451"/>
    <cellStyle name="Процентный 6 95" xfId="2452"/>
    <cellStyle name="Обычный 7 65" xfId="2453"/>
    <cellStyle name="Процентный 7 65" xfId="2454"/>
    <cellStyle name="Обычный 4 3 57" xfId="2455"/>
    <cellStyle name="Процентный 4 3 57" xfId="2456"/>
    <cellStyle name="Обычный 5 3 57" xfId="2457"/>
    <cellStyle name="Процентный 5 3 57" xfId="2458"/>
    <cellStyle name="Обычный 4 2 2 57" xfId="2459"/>
    <cellStyle name="Процентный 4 2 2 57" xfId="2460"/>
    <cellStyle name="Обычный 5 2 2 57" xfId="2461"/>
    <cellStyle name="Процентный 5 2 2 57" xfId="2462"/>
    <cellStyle name="Обычный 6 2 57" xfId="2463"/>
    <cellStyle name="Процентный 6 2 57" xfId="2464"/>
    <cellStyle name="Обычный 7 2 57" xfId="2465"/>
    <cellStyle name="Процентный 7 2 57" xfId="2466"/>
    <cellStyle name="Обычный 8 53" xfId="2467"/>
    <cellStyle name="Процентный 8 53" xfId="2468"/>
    <cellStyle name="Обычный 9 19" xfId="2469"/>
    <cellStyle name="Процентный 9 20" xfId="2470"/>
    <cellStyle name="Обычный 10 12" xfId="2471"/>
    <cellStyle name="Процентный 10 12" xfId="2472"/>
    <cellStyle name="Обычный 4 112" xfId="2473"/>
    <cellStyle name="Процентный 4 112" xfId="2474"/>
    <cellStyle name="Обычный 5 105" xfId="2475"/>
    <cellStyle name="Процентный 5 105" xfId="2476"/>
    <cellStyle name="Обычный 4 2 99" xfId="2477"/>
    <cellStyle name="Процентный 4 2 99" xfId="2478"/>
    <cellStyle name="Обычный 5 2 99" xfId="2479"/>
    <cellStyle name="Процентный 5 2 99" xfId="2480"/>
    <cellStyle name="Обычный 6 96" xfId="2481"/>
    <cellStyle name="Процентный 6 96" xfId="2482"/>
    <cellStyle name="Обычный 7 66" xfId="2483"/>
    <cellStyle name="Процентный 7 66" xfId="2484"/>
    <cellStyle name="Обычный 4 3 58" xfId="2485"/>
    <cellStyle name="Процентный 4 3 58" xfId="2486"/>
    <cellStyle name="Обычный 5 3 58" xfId="2487"/>
    <cellStyle name="Процентный 5 3 58" xfId="2488"/>
    <cellStyle name="Обычный 4 2 2 58" xfId="2489"/>
    <cellStyle name="Процентный 4 2 2 58" xfId="2490"/>
    <cellStyle name="Обычный 5 2 2 58" xfId="2491"/>
    <cellStyle name="Процентный 5 2 2 58" xfId="2492"/>
    <cellStyle name="Обычный 6 2 58" xfId="2493"/>
    <cellStyle name="Процентный 6 2 58" xfId="2494"/>
    <cellStyle name="Обычный 7 2 58" xfId="2495"/>
    <cellStyle name="Процентный 7 2 58" xfId="2496"/>
    <cellStyle name="Обычный 8 54" xfId="2497"/>
    <cellStyle name="Процентный 8 54" xfId="2498"/>
    <cellStyle name="Обычный 9 20" xfId="2499"/>
    <cellStyle name="Процентный 9 21" xfId="2500"/>
    <cellStyle name="Обычный 10 13" xfId="2501"/>
    <cellStyle name="Процентный 10 13" xfId="2502"/>
    <cellStyle name="Обычный 11" xfId="2503"/>
    <cellStyle name="Процентный 11" xfId="2504"/>
    <cellStyle name="Обычный 4 113" xfId="2505"/>
    <cellStyle name="Процентный 4 113" xfId="2506"/>
    <cellStyle name="Обычный 5 106" xfId="2507"/>
    <cellStyle name="Процентный 5 106" xfId="2508"/>
    <cellStyle name="Обычный 4 2 100" xfId="2509"/>
    <cellStyle name="Процентный 4 2 100" xfId="2510"/>
    <cellStyle name="Обычный 5 2 100" xfId="2511"/>
    <cellStyle name="Процентный 5 2 100" xfId="2512"/>
    <cellStyle name="Обычный 6 97" xfId="2513"/>
    <cellStyle name="Процентный 6 97" xfId="2514"/>
    <cellStyle name="Обычный 7 67" xfId="2515"/>
    <cellStyle name="Процентный 7 67" xfId="2516"/>
    <cellStyle name="Обычный 4 3 59" xfId="2517"/>
    <cellStyle name="Процентный 4 3 59" xfId="2518"/>
    <cellStyle name="Обычный 5 3 59" xfId="2519"/>
    <cellStyle name="Процентный 5 3 59" xfId="2520"/>
    <cellStyle name="Обычный 4 2 2 59" xfId="2521"/>
    <cellStyle name="Процентный 4 2 2 59" xfId="2522"/>
    <cellStyle name="Обычный 5 2 2 59" xfId="2523"/>
    <cellStyle name="Процентный 5 2 2 59" xfId="2524"/>
    <cellStyle name="Обычный 6 2 59" xfId="2525"/>
    <cellStyle name="Процентный 6 2 59" xfId="2526"/>
    <cellStyle name="Обычный 7 2 59" xfId="2527"/>
    <cellStyle name="Процентный 7 2 59" xfId="2528"/>
    <cellStyle name="Обычный 8 55" xfId="2529"/>
    <cellStyle name="Процентный 8 55" xfId="2530"/>
    <cellStyle name="Обычный 9 21" xfId="2531"/>
    <cellStyle name="Процентный 9 22" xfId="2532"/>
    <cellStyle name="Обычный 10 14" xfId="2533"/>
    <cellStyle name="Процентный 10 14" xfId="2534"/>
    <cellStyle name="Обычный 11 2" xfId="2535"/>
    <cellStyle name="Процентный 11 2" xfId="2536"/>
    <cellStyle name="Обычный 12" xfId="2537"/>
    <cellStyle name="Процентный 12" xfId="2538"/>
    <cellStyle name="Обычный 4 114" xfId="2539"/>
    <cellStyle name="Процентный 4 114" xfId="2540"/>
    <cellStyle name="Обычный 5 107" xfId="2541"/>
    <cellStyle name="Процентный 5 107" xfId="2542"/>
    <cellStyle name="Обычный 4 2 101" xfId="2543"/>
    <cellStyle name="Процентный 4 2 101" xfId="2544"/>
    <cellStyle name="Обычный 5 2 101" xfId="2545"/>
    <cellStyle name="Процентный 5 2 101" xfId="2546"/>
    <cellStyle name="Обычный 6 98" xfId="2547"/>
    <cellStyle name="Процентный 6 98" xfId="2548"/>
    <cellStyle name="Обычный 7 68" xfId="2549"/>
    <cellStyle name="Процентный 7 68" xfId="2550"/>
    <cellStyle name="Обычный 4 3 60" xfId="2551"/>
    <cellStyle name="Процентный 4 3 60" xfId="2552"/>
    <cellStyle name="Обычный 5 3 60" xfId="2553"/>
    <cellStyle name="Процентный 5 3 60" xfId="2554"/>
    <cellStyle name="Обычный 4 2 2 60" xfId="2555"/>
    <cellStyle name="Процентный 4 2 2 60" xfId="2556"/>
    <cellStyle name="Обычный 5 2 2 60" xfId="2557"/>
    <cellStyle name="Процентный 5 2 2 60" xfId="2558"/>
    <cellStyle name="Обычный 6 2 60" xfId="2559"/>
    <cellStyle name="Процентный 6 2 60" xfId="2560"/>
    <cellStyle name="Обычный 7 2 60" xfId="2561"/>
    <cellStyle name="Процентный 7 2 60" xfId="2562"/>
    <cellStyle name="Обычный 8 56" xfId="2563"/>
    <cellStyle name="Процентный 8 56" xfId="2564"/>
    <cellStyle name="Обычный 9 22" xfId="2565"/>
    <cellStyle name="Процентный 9 23" xfId="2566"/>
    <cellStyle name="Обычный 10 15" xfId="2567"/>
    <cellStyle name="Процентный 10 15" xfId="2568"/>
    <cellStyle name="Обычный 11 3" xfId="2569"/>
    <cellStyle name="Процентный 11 3" xfId="2570"/>
    <cellStyle name="Обычный 4 115" xfId="2571"/>
    <cellStyle name="Процентный 4 115" xfId="2572"/>
    <cellStyle name="Обычный 5 108" xfId="2573"/>
    <cellStyle name="Процентный 5 108" xfId="2574"/>
    <cellStyle name="Обычный 4 2 102" xfId="2575"/>
    <cellStyle name="Процентный 4 2 102" xfId="2576"/>
    <cellStyle name="Обычный 5 2 102" xfId="2577"/>
    <cellStyle name="Процентный 5 2 102" xfId="2578"/>
    <cellStyle name="Обычный 6 99" xfId="2579"/>
    <cellStyle name="Процентный 6 99" xfId="2580"/>
    <cellStyle name="Обычный 7 69" xfId="2581"/>
    <cellStyle name="Процентный 7 69" xfId="2582"/>
    <cellStyle name="Обычный 4 3 61" xfId="2583"/>
    <cellStyle name="Процентный 4 3 61" xfId="2584"/>
    <cellStyle name="Обычный 5 3 61" xfId="2585"/>
    <cellStyle name="Процентный 5 3 61" xfId="2586"/>
    <cellStyle name="Обычный 4 2 2 61" xfId="2587"/>
    <cellStyle name="Процентный 4 2 2 61" xfId="2588"/>
    <cellStyle name="Обычный 5 2 2 61" xfId="2589"/>
    <cellStyle name="Процентный 5 2 2 61" xfId="2590"/>
    <cellStyle name="Обычный 6 2 61" xfId="2591"/>
    <cellStyle name="Процентный 6 2 61" xfId="2592"/>
    <cellStyle name="Обычный 7 2 61" xfId="2593"/>
    <cellStyle name="Процентный 7 2 61" xfId="2594"/>
    <cellStyle name="Обычный 8 57" xfId="2595"/>
    <cellStyle name="Процентный 8 57" xfId="2596"/>
    <cellStyle name="Обычный 9 23" xfId="2597"/>
    <cellStyle name="Процентный 9 24" xfId="2598"/>
    <cellStyle name="Обычный 10 16" xfId="2599"/>
    <cellStyle name="Процентный 10 16" xfId="2600"/>
    <cellStyle name="Обычный 11 4" xfId="2601"/>
    <cellStyle name="Процентный 11 4" xfId="2602"/>
    <cellStyle name="Обычный 4 116" xfId="2603"/>
    <cellStyle name="Процентный 4 116" xfId="2604"/>
    <cellStyle name="Обычный 5 109" xfId="2605"/>
    <cellStyle name="Процентный 5 109" xfId="2606"/>
    <cellStyle name="Обычный 4 2 103" xfId="2607"/>
    <cellStyle name="Процентный 4 2 103" xfId="2608"/>
    <cellStyle name="Обычный 5 2 103" xfId="2609"/>
    <cellStyle name="Процентный 5 2 103" xfId="2610"/>
    <cellStyle name="Обычный 6 100" xfId="2611"/>
    <cellStyle name="Процентный 6 100" xfId="2612"/>
    <cellStyle name="Обычный 7 70" xfId="2613"/>
    <cellStyle name="Процентный 7 70" xfId="2614"/>
    <cellStyle name="Обычный 4 3 62" xfId="2615"/>
    <cellStyle name="Процентный 4 3 62" xfId="2616"/>
    <cellStyle name="Обычный 5 3 62" xfId="2617"/>
    <cellStyle name="Процентный 5 3 62" xfId="2618"/>
    <cellStyle name="Обычный 4 2 2 62" xfId="2619"/>
    <cellStyle name="Процентный 4 2 2 62" xfId="2620"/>
    <cellStyle name="Обычный 5 2 2 62" xfId="2621"/>
    <cellStyle name="Процентный 5 2 2 62" xfId="2622"/>
    <cellStyle name="Обычный 6 2 62" xfId="2623"/>
    <cellStyle name="Процентный 6 2 62" xfId="2624"/>
    <cellStyle name="Обычный 7 2 62" xfId="2625"/>
    <cellStyle name="Процентный 7 2 62" xfId="2626"/>
    <cellStyle name="Обычный 8 58" xfId="2627"/>
    <cellStyle name="Процентный 8 58" xfId="2628"/>
    <cellStyle name="Обычный 9 24" xfId="2629"/>
    <cellStyle name="Процентный 9 25" xfId="2630"/>
    <cellStyle name="Обычный 10 17" xfId="2631"/>
    <cellStyle name="Процентный 10 17" xfId="2632"/>
    <cellStyle name="Обычный 11 5" xfId="2633"/>
    <cellStyle name="Процентный 11 5" xfId="2634"/>
    <cellStyle name="Обычный 4 117" xfId="2635"/>
    <cellStyle name="Процентный 4 117" xfId="2636"/>
    <cellStyle name="Обычный 5 110" xfId="2637"/>
    <cellStyle name="Процентный 5 110" xfId="2638"/>
    <cellStyle name="Обычный 4 2 104" xfId="2639"/>
    <cellStyle name="Процентный 4 2 104" xfId="2640"/>
    <cellStyle name="Обычный 5 2 104" xfId="2641"/>
    <cellStyle name="Процентный 5 2 104" xfId="2642"/>
    <cellStyle name="Обычный 6 101" xfId="2643"/>
    <cellStyle name="Процентный 6 101" xfId="2644"/>
    <cellStyle name="Обычный 7 71" xfId="2645"/>
    <cellStyle name="Процентный 7 71" xfId="2646"/>
    <cellStyle name="Обычный 4 3 63" xfId="2647"/>
    <cellStyle name="Процентный 4 3 63" xfId="2648"/>
    <cellStyle name="Обычный 5 3 63" xfId="2649"/>
    <cellStyle name="Процентный 5 3 63" xfId="2650"/>
    <cellStyle name="Обычный 4 2 2 63" xfId="2651"/>
    <cellStyle name="Процентный 4 2 2 63" xfId="2652"/>
    <cellStyle name="Обычный 5 2 2 63" xfId="2653"/>
    <cellStyle name="Процентный 5 2 2 63" xfId="2654"/>
    <cellStyle name="Обычный 6 2 63" xfId="2655"/>
    <cellStyle name="Процентный 6 2 63" xfId="2656"/>
    <cellStyle name="Обычный 7 2 63" xfId="2657"/>
    <cellStyle name="Процентный 7 2 63" xfId="2658"/>
    <cellStyle name="Обычный 8 59" xfId="2659"/>
    <cellStyle name="Процентный 8 59" xfId="2660"/>
    <cellStyle name="Обычный 9 25" xfId="2661"/>
    <cellStyle name="Процентный 9 26" xfId="2662"/>
    <cellStyle name="Обычный 10 18" xfId="2663"/>
    <cellStyle name="Процентный 10 18" xfId="2664"/>
    <cellStyle name="Обычный 11 6" xfId="2665"/>
    <cellStyle name="Процентный 11 6" xfId="2666"/>
    <cellStyle name="Обычный 4 118" xfId="2667"/>
    <cellStyle name="Процентный 4 118" xfId="2668"/>
    <cellStyle name="Обычный 5 111" xfId="2669"/>
    <cellStyle name="Процентный 5 111" xfId="2670"/>
    <cellStyle name="Обычный 4 2 105" xfId="2671"/>
    <cellStyle name="Процентный 4 2 105" xfId="2672"/>
    <cellStyle name="Обычный 5 2 105" xfId="2673"/>
    <cellStyle name="Процентный 5 2 105" xfId="2674"/>
    <cellStyle name="Обычный 6 102" xfId="2675"/>
    <cellStyle name="Процентный 6 102" xfId="2676"/>
    <cellStyle name="Обычный 7 72" xfId="2677"/>
    <cellStyle name="Процентный 7 72" xfId="2678"/>
    <cellStyle name="Обычный 4 3 64" xfId="2679"/>
    <cellStyle name="Процентный 4 3 64" xfId="2680"/>
    <cellStyle name="Обычный 5 3 64" xfId="2681"/>
    <cellStyle name="Процентный 5 3 64" xfId="2682"/>
    <cellStyle name="Обычный 4 2 2 64" xfId="2683"/>
    <cellStyle name="Процентный 4 2 2 64" xfId="2684"/>
    <cellStyle name="Обычный 5 2 2 64" xfId="2685"/>
    <cellStyle name="Процентный 5 2 2 64" xfId="2686"/>
    <cellStyle name="Обычный 6 2 64" xfId="2687"/>
    <cellStyle name="Процентный 6 2 64" xfId="2688"/>
    <cellStyle name="Обычный 7 2 64" xfId="2689"/>
    <cellStyle name="Процентный 7 2 64" xfId="2690"/>
    <cellStyle name="Обычный 8 60" xfId="2691"/>
    <cellStyle name="Процентный 8 60" xfId="2692"/>
    <cellStyle name="Обычный 9 26" xfId="2693"/>
    <cellStyle name="Процентный 9 27" xfId="2694"/>
    <cellStyle name="Обычный 10 19" xfId="2695"/>
    <cellStyle name="Процентный 10 19" xfId="2696"/>
    <cellStyle name="Обычный 11 7" xfId="2697"/>
    <cellStyle name="Процентный 11 7" xfId="2698"/>
    <cellStyle name="Обычный 4 119" xfId="2699"/>
    <cellStyle name="Процентный 4 119" xfId="2700"/>
    <cellStyle name="Обычный 5 112" xfId="2701"/>
    <cellStyle name="Процентный 5 112" xfId="2702"/>
    <cellStyle name="Обычный 4 2 106" xfId="2703"/>
    <cellStyle name="Процентный 4 2 106" xfId="2704"/>
    <cellStyle name="Обычный 5 2 106" xfId="2705"/>
    <cellStyle name="Процентный 5 2 106" xfId="2706"/>
    <cellStyle name="Обычный 6 103" xfId="2707"/>
    <cellStyle name="Процентный 6 103" xfId="2708"/>
    <cellStyle name="Обычный 7 73" xfId="2709"/>
    <cellStyle name="Процентный 7 73" xfId="2710"/>
    <cellStyle name="Обычный 4 3 65" xfId="2711"/>
    <cellStyle name="Процентный 4 3 65" xfId="2712"/>
    <cellStyle name="Обычный 5 3 65" xfId="2713"/>
    <cellStyle name="Процентный 5 3 65" xfId="2714"/>
    <cellStyle name="Обычный 4 2 2 65" xfId="2715"/>
    <cellStyle name="Процентный 4 2 2 65" xfId="2716"/>
    <cellStyle name="Обычный 5 2 2 65" xfId="2717"/>
    <cellStyle name="Процентный 5 2 2 65" xfId="2718"/>
    <cellStyle name="Обычный 6 2 65" xfId="2719"/>
    <cellStyle name="Процентный 6 2 65" xfId="2720"/>
    <cellStyle name="Обычный 7 2 65" xfId="2721"/>
    <cellStyle name="Процентный 7 2 65" xfId="2722"/>
    <cellStyle name="Обычный 8 61" xfId="2723"/>
    <cellStyle name="Процентный 8 61" xfId="2724"/>
    <cellStyle name="Обычный 9 27" xfId="2725"/>
    <cellStyle name="Процентный 9 28" xfId="2726"/>
    <cellStyle name="Обычный 10 20" xfId="2727"/>
    <cellStyle name="Процентный 10 20" xfId="2728"/>
    <cellStyle name="Обычный 11 8" xfId="2729"/>
    <cellStyle name="Процентный 11 8" xfId="2730"/>
    <cellStyle name="Обычный 4 120" xfId="2731"/>
    <cellStyle name="Процентный 4 120" xfId="2732"/>
    <cellStyle name="Обычный 5 113" xfId="2733"/>
    <cellStyle name="Процентный 5 113" xfId="2734"/>
    <cellStyle name="Обычный 4 2 107" xfId="2735"/>
    <cellStyle name="Процентный 4 2 107" xfId="2736"/>
    <cellStyle name="Обычный 5 2 107" xfId="2737"/>
    <cellStyle name="Процентный 5 2 107" xfId="2738"/>
    <cellStyle name="Обычный 6 104" xfId="2739"/>
    <cellStyle name="Процентный 6 104" xfId="2740"/>
    <cellStyle name="Обычный 7 74" xfId="2741"/>
    <cellStyle name="Процентный 7 74" xfId="2742"/>
    <cellStyle name="Обычный 4 3 66" xfId="2743"/>
    <cellStyle name="Процентный 4 3 66" xfId="2744"/>
    <cellStyle name="Обычный 5 3 66" xfId="2745"/>
    <cellStyle name="Процентный 5 3 66" xfId="2746"/>
    <cellStyle name="Обычный 4 2 2 66" xfId="2747"/>
    <cellStyle name="Процентный 4 2 2 66" xfId="2748"/>
    <cellStyle name="Обычный 5 2 2 66" xfId="2749"/>
    <cellStyle name="Процентный 5 2 2 66" xfId="2750"/>
    <cellStyle name="Обычный 6 2 66" xfId="2751"/>
    <cellStyle name="Процентный 6 2 66" xfId="2752"/>
    <cellStyle name="Обычный 7 2 66" xfId="2753"/>
    <cellStyle name="Процентный 7 2 66" xfId="2754"/>
    <cellStyle name="Обычный 8 62" xfId="2755"/>
    <cellStyle name="Процентный 8 62" xfId="2756"/>
    <cellStyle name="Обычный 9 28" xfId="2757"/>
    <cellStyle name="Процентный 9 29" xfId="2758"/>
    <cellStyle name="Обычный 10 21" xfId="2759"/>
    <cellStyle name="Процентный 10 21" xfId="2760"/>
    <cellStyle name="Обычный 11 9" xfId="2761"/>
    <cellStyle name="Процентный 11 9" xfId="2762"/>
    <cellStyle name="Обычный 13" xfId="2763"/>
    <cellStyle name="Процентный 13" xfId="2764"/>
    <cellStyle name="Обычный 4 121" xfId="2765"/>
    <cellStyle name="Процентный 4 121" xfId="2766"/>
    <cellStyle name="Обычный 5 114" xfId="2767"/>
    <cellStyle name="Процентный 5 114" xfId="2768"/>
    <cellStyle name="Обычный 4 2 108" xfId="2769"/>
    <cellStyle name="Процентный 4 2 108" xfId="2770"/>
    <cellStyle name="Обычный 5 2 108" xfId="2771"/>
    <cellStyle name="Процентный 5 2 108" xfId="2772"/>
    <cellStyle name="Обычный 6 105" xfId="2773"/>
    <cellStyle name="Процентный 6 105" xfId="2774"/>
    <cellStyle name="Обычный 7 75" xfId="2775"/>
    <cellStyle name="Процентный 7 75" xfId="2776"/>
    <cellStyle name="Обычный 4 3 67" xfId="2777"/>
    <cellStyle name="Процентный 4 3 67" xfId="2778"/>
    <cellStyle name="Обычный 5 3 67" xfId="2779"/>
    <cellStyle name="Процентный 5 3 67" xfId="2780"/>
    <cellStyle name="Обычный 4 2 2 67" xfId="2781"/>
    <cellStyle name="Процентный 4 2 2 67" xfId="2782"/>
    <cellStyle name="Обычный 5 2 2 67" xfId="2783"/>
    <cellStyle name="Процентный 5 2 2 67" xfId="2784"/>
    <cellStyle name="Обычный 6 2 67" xfId="2785"/>
    <cellStyle name="Процентный 6 2 67" xfId="2786"/>
    <cellStyle name="Обычный 7 2 67" xfId="2787"/>
    <cellStyle name="Процентный 7 2 67" xfId="2788"/>
    <cellStyle name="Обычный 8 63" xfId="2789"/>
    <cellStyle name="Процентный 8 63" xfId="2790"/>
    <cellStyle name="Обычный 9 29" xfId="2791"/>
    <cellStyle name="Процентный 9 30" xfId="2792"/>
    <cellStyle name="Обычный 10 22" xfId="2793"/>
    <cellStyle name="Процентный 10 22" xfId="2794"/>
    <cellStyle name="Обычный 11 10" xfId="2795"/>
    <cellStyle name="Процентный 11 10" xfId="2796"/>
    <cellStyle name="Обычный 4 122" xfId="2797"/>
    <cellStyle name="Процентный 4 122" xfId="2798"/>
    <cellStyle name="Обычный 5 115" xfId="2799"/>
    <cellStyle name="Процентный 5 115" xfId="2800"/>
    <cellStyle name="Обычный 4 2 109" xfId="2801"/>
    <cellStyle name="Процентный 4 2 109" xfId="2802"/>
    <cellStyle name="Обычный 5 2 109" xfId="2803"/>
    <cellStyle name="Процентный 5 2 109" xfId="2804"/>
    <cellStyle name="Обычный 6 106" xfId="2805"/>
    <cellStyle name="Процентный 6 106" xfId="2806"/>
    <cellStyle name="Обычный 7 76" xfId="2807"/>
    <cellStyle name="Процентный 7 76" xfId="2808"/>
    <cellStyle name="Обычный 4 3 68" xfId="2809"/>
    <cellStyle name="Процентный 4 3 68" xfId="2810"/>
    <cellStyle name="Обычный 5 3 68" xfId="2811"/>
    <cellStyle name="Процентный 5 3 68" xfId="2812"/>
    <cellStyle name="Обычный 4 2 2 68" xfId="2813"/>
    <cellStyle name="Процентный 4 2 2 68" xfId="2814"/>
    <cellStyle name="Обычный 5 2 2 68" xfId="2815"/>
    <cellStyle name="Процентный 5 2 2 68" xfId="2816"/>
    <cellStyle name="Обычный 6 2 68" xfId="2817"/>
    <cellStyle name="Процентный 6 2 68" xfId="2818"/>
    <cellStyle name="Обычный 7 2 68" xfId="2819"/>
    <cellStyle name="Процентный 7 2 68" xfId="2820"/>
    <cellStyle name="Обычный 8 64" xfId="2821"/>
    <cellStyle name="Процентный 8 64" xfId="2822"/>
    <cellStyle name="Обычный 9 30" xfId="2823"/>
    <cellStyle name="Процентный 9 31" xfId="2824"/>
    <cellStyle name="Обычный 10 23" xfId="2825"/>
    <cellStyle name="Процентный 10 23" xfId="2826"/>
    <cellStyle name="Обычный 11 11" xfId="2827"/>
    <cellStyle name="Процентный 11 11" xfId="2828"/>
    <cellStyle name="Обычный 4 123" xfId="2829"/>
    <cellStyle name="Процентный 4 123" xfId="2830"/>
    <cellStyle name="Обычный 5 116" xfId="2831"/>
    <cellStyle name="Процентный 5 116" xfId="2832"/>
    <cellStyle name="Обычный 4 2 110" xfId="2833"/>
    <cellStyle name="Процентный 4 2 110" xfId="2834"/>
    <cellStyle name="Обычный 5 2 110" xfId="2835"/>
    <cellStyle name="Процентный 5 2 110" xfId="2836"/>
    <cellStyle name="Обычный 6 107" xfId="2837"/>
    <cellStyle name="Процентный 6 107" xfId="2838"/>
    <cellStyle name="Обычный 7 77" xfId="2839"/>
    <cellStyle name="Процентный 7 77" xfId="2840"/>
    <cellStyle name="Обычный 4 3 69" xfId="2841"/>
    <cellStyle name="Процентный 4 3 69" xfId="2842"/>
    <cellStyle name="Обычный 5 3 69" xfId="2843"/>
    <cellStyle name="Процентный 5 3 69" xfId="2844"/>
    <cellStyle name="Обычный 4 2 2 69" xfId="2845"/>
    <cellStyle name="Процентный 4 2 2 69" xfId="2846"/>
    <cellStyle name="Обычный 5 2 2 69" xfId="2847"/>
    <cellStyle name="Процентный 5 2 2 69" xfId="2848"/>
    <cellStyle name="Обычный 6 2 69" xfId="2849"/>
    <cellStyle name="Процентный 6 2 69" xfId="2850"/>
    <cellStyle name="Обычный 7 2 69" xfId="2851"/>
    <cellStyle name="Процентный 7 2 69" xfId="2852"/>
    <cellStyle name="Обычный 8 65" xfId="2853"/>
    <cellStyle name="Процентный 8 65" xfId="2854"/>
    <cellStyle name="Обычный 9 31" xfId="2855"/>
    <cellStyle name="Процентный 9 32" xfId="2856"/>
    <cellStyle name="Обычный 10 24" xfId="2857"/>
    <cellStyle name="Процентный 10 24" xfId="2858"/>
    <cellStyle name="Обычный 11 12" xfId="2859"/>
    <cellStyle name="Процентный 11 12" xfId="2860"/>
    <cellStyle name="Обычный 4 124" xfId="2861"/>
    <cellStyle name="Процентный 4 124" xfId="2862"/>
    <cellStyle name="Обычный 5 117" xfId="2863"/>
    <cellStyle name="Процентный 5 117" xfId="2864"/>
    <cellStyle name="Обычный 4 2 111" xfId="2865"/>
    <cellStyle name="Процентный 4 2 111" xfId="2866"/>
    <cellStyle name="Обычный 5 2 111" xfId="2867"/>
    <cellStyle name="Процентный 5 2 111" xfId="2868"/>
    <cellStyle name="Обычный 6 108" xfId="2869"/>
    <cellStyle name="Процентный 6 108" xfId="2870"/>
    <cellStyle name="Обычный 7 78" xfId="2871"/>
    <cellStyle name="Процентный 7 78" xfId="2872"/>
    <cellStyle name="Обычный 4 3 70" xfId="2873"/>
    <cellStyle name="Процентный 4 3 70" xfId="2874"/>
    <cellStyle name="Обычный 5 3 70" xfId="2875"/>
    <cellStyle name="Процентный 5 3 70" xfId="2876"/>
    <cellStyle name="Обычный 4 2 2 70" xfId="2877"/>
    <cellStyle name="Процентный 4 2 2 70" xfId="2878"/>
    <cellStyle name="Обычный 5 2 2 70" xfId="2879"/>
    <cellStyle name="Процентный 5 2 2 70" xfId="2880"/>
    <cellStyle name="Обычный 6 2 70" xfId="2881"/>
    <cellStyle name="Процентный 6 2 70" xfId="2882"/>
    <cellStyle name="Обычный 7 2 70" xfId="2883"/>
    <cellStyle name="Процентный 7 2 70" xfId="2884"/>
    <cellStyle name="Обычный 8 66" xfId="2885"/>
    <cellStyle name="Процентный 8 66" xfId="2886"/>
    <cellStyle name="Обычный 9 32" xfId="2887"/>
    <cellStyle name="Процентный 9 33" xfId="2888"/>
    <cellStyle name="Обычный 10 25" xfId="2889"/>
    <cellStyle name="Процентный 10 25" xfId="2890"/>
    <cellStyle name="Обычный 11 13" xfId="2891"/>
    <cellStyle name="Процентный 11 13" xfId="2892"/>
    <cellStyle name="Обычный 4 125" xfId="2893"/>
    <cellStyle name="Процентный 4 125" xfId="2894"/>
    <cellStyle name="Обычный 5 118" xfId="2895"/>
    <cellStyle name="Процентный 5 118" xfId="2896"/>
    <cellStyle name="Обычный 4 2 112" xfId="2897"/>
    <cellStyle name="Процентный 4 2 112" xfId="2898"/>
    <cellStyle name="Обычный 5 2 112" xfId="2899"/>
    <cellStyle name="Процентный 5 2 112" xfId="2900"/>
    <cellStyle name="Обычный 6 109" xfId="2901"/>
    <cellStyle name="Процентный 6 109" xfId="2902"/>
    <cellStyle name="Обычный 7 79" xfId="2903"/>
    <cellStyle name="Процентный 7 79" xfId="2904"/>
    <cellStyle name="Обычный 4 3 71" xfId="2905"/>
    <cellStyle name="Процентный 4 3 71" xfId="2906"/>
    <cellStyle name="Обычный 5 3 71" xfId="2907"/>
    <cellStyle name="Процентный 5 3 71" xfId="2908"/>
    <cellStyle name="Обычный 4 2 2 71" xfId="2909"/>
    <cellStyle name="Процентный 4 2 2 71" xfId="2910"/>
    <cellStyle name="Обычный 5 2 2 71" xfId="2911"/>
    <cellStyle name="Процентный 5 2 2 71" xfId="2912"/>
    <cellStyle name="Обычный 6 2 71" xfId="2913"/>
    <cellStyle name="Процентный 6 2 71" xfId="2914"/>
    <cellStyle name="Обычный 7 2 71" xfId="2915"/>
    <cellStyle name="Процентный 7 2 71" xfId="2916"/>
    <cellStyle name="Обычный 8 67" xfId="2917"/>
    <cellStyle name="Процентный 8 67" xfId="2918"/>
    <cellStyle name="Обычный 9 33" xfId="2919"/>
    <cellStyle name="Процентный 9 34" xfId="2920"/>
    <cellStyle name="Обычный 10 26" xfId="2921"/>
    <cellStyle name="Процентный 10 26" xfId="2922"/>
    <cellStyle name="Обычный 11 14" xfId="2923"/>
    <cellStyle name="Процентный 11 14" xfId="2924"/>
    <cellStyle name="Обычный 4 126" xfId="2925"/>
    <cellStyle name="Процентный 4 126" xfId="2926"/>
    <cellStyle name="Обычный 5 119" xfId="2927"/>
    <cellStyle name="Процентный 5 119" xfId="2928"/>
    <cellStyle name="Обычный 4 2 113" xfId="2929"/>
    <cellStyle name="Процентный 4 2 113" xfId="2930"/>
    <cellStyle name="Обычный 5 2 113" xfId="2931"/>
    <cellStyle name="Процентный 5 2 113" xfId="2932"/>
    <cellStyle name="Обычный 6 110" xfId="2933"/>
    <cellStyle name="Процентный 6 110" xfId="2934"/>
    <cellStyle name="Обычный 7 80" xfId="2935"/>
    <cellStyle name="Процентный 7 80" xfId="2936"/>
    <cellStyle name="Обычный 4 3 72" xfId="2937"/>
    <cellStyle name="Процентный 4 3 72" xfId="2938"/>
    <cellStyle name="Обычный 5 3 72" xfId="2939"/>
    <cellStyle name="Процентный 5 3 72" xfId="2940"/>
    <cellStyle name="Обычный 4 2 2 72" xfId="2941"/>
    <cellStyle name="Процентный 4 2 2 72" xfId="2942"/>
    <cellStyle name="Обычный 5 2 2 72" xfId="2943"/>
    <cellStyle name="Процентный 5 2 2 72" xfId="2944"/>
    <cellStyle name="Обычный 6 2 72" xfId="2945"/>
    <cellStyle name="Процентный 6 2 72" xfId="2946"/>
    <cellStyle name="Обычный 7 2 72" xfId="2947"/>
    <cellStyle name="Процентный 7 2 72" xfId="2948"/>
    <cellStyle name="Обычный 8 68" xfId="2949"/>
    <cellStyle name="Процентный 8 68" xfId="2950"/>
    <cellStyle name="Обычный 9 34" xfId="2951"/>
    <cellStyle name="Процентный 9 35" xfId="2952"/>
    <cellStyle name="Обычный 10 27" xfId="2953"/>
    <cellStyle name="Процентный 10 27" xfId="2954"/>
    <cellStyle name="Обычный 11 15" xfId="2955"/>
    <cellStyle name="Процентный 11 15" xfId="2956"/>
    <cellStyle name="Обычный 4 127" xfId="2957"/>
    <cellStyle name="Процентный 4 127" xfId="2958"/>
    <cellStyle name="Обычный 5 120" xfId="2959"/>
    <cellStyle name="Процентный 5 120" xfId="2960"/>
    <cellStyle name="Обычный 4 2 114" xfId="2961"/>
    <cellStyle name="Процентный 4 2 114" xfId="2962"/>
    <cellStyle name="Обычный 5 2 114" xfId="2963"/>
    <cellStyle name="Процентный 5 2 114" xfId="2964"/>
    <cellStyle name="Обычный 6 111" xfId="2965"/>
    <cellStyle name="Процентный 6 111" xfId="2966"/>
    <cellStyle name="Обычный 7 81" xfId="2967"/>
    <cellStyle name="Процентный 7 81" xfId="2968"/>
    <cellStyle name="Обычный 4 3 73" xfId="2969"/>
    <cellStyle name="Процентный 4 3 73" xfId="2970"/>
    <cellStyle name="Обычный 5 3 73" xfId="2971"/>
    <cellStyle name="Процентный 5 3 73" xfId="2972"/>
    <cellStyle name="Обычный 4 2 2 73" xfId="2973"/>
    <cellStyle name="Процентный 4 2 2 73" xfId="2974"/>
    <cellStyle name="Обычный 5 2 2 73" xfId="2975"/>
    <cellStyle name="Процентный 5 2 2 73" xfId="2976"/>
    <cellStyle name="Обычный 6 2 73" xfId="2977"/>
    <cellStyle name="Процентный 6 2 73" xfId="2978"/>
    <cellStyle name="Обычный 7 2 73" xfId="2979"/>
    <cellStyle name="Процентный 7 2 73" xfId="2980"/>
    <cellStyle name="Обычный 8 69" xfId="2981"/>
    <cellStyle name="Процентный 8 69" xfId="2982"/>
    <cellStyle name="Обычный 9 35" xfId="2983"/>
    <cellStyle name="Процентный 9 36" xfId="2984"/>
    <cellStyle name="Обычный 10 28" xfId="2985"/>
    <cellStyle name="Процентный 10 28" xfId="2986"/>
    <cellStyle name="Обычный 11 16" xfId="2987"/>
    <cellStyle name="Процентный 11 16" xfId="2988"/>
    <cellStyle name="Обычный 4 128" xfId="2989"/>
    <cellStyle name="Процентный 4 128" xfId="2990"/>
    <cellStyle name="Обычный 5 121" xfId="2991"/>
    <cellStyle name="Процентный 5 121" xfId="2992"/>
    <cellStyle name="Обычный 4 2 115" xfId="2993"/>
    <cellStyle name="Процентный 4 2 115" xfId="2994"/>
    <cellStyle name="Обычный 5 2 115" xfId="2995"/>
    <cellStyle name="Процентный 5 2 115" xfId="2996"/>
    <cellStyle name="Обычный 6 112" xfId="2997"/>
    <cellStyle name="Процентный 6 112" xfId="2998"/>
    <cellStyle name="Обычный 7 82" xfId="2999"/>
    <cellStyle name="Процентный 7 82" xfId="3000"/>
    <cellStyle name="Обычный 4 3 74" xfId="3001"/>
    <cellStyle name="Процентный 4 3 74" xfId="3002"/>
    <cellStyle name="Обычный 5 3 74" xfId="3003"/>
    <cellStyle name="Процентный 5 3 74" xfId="3004"/>
    <cellStyle name="Обычный 4 2 2 74" xfId="3005"/>
    <cellStyle name="Процентный 4 2 2 74" xfId="3006"/>
    <cellStyle name="Обычный 5 2 2 74" xfId="3007"/>
    <cellStyle name="Процентный 5 2 2 74" xfId="3008"/>
    <cellStyle name="Обычный 6 2 74" xfId="3009"/>
    <cellStyle name="Процентный 6 2 74" xfId="3010"/>
    <cellStyle name="Обычный 7 2 74" xfId="3011"/>
    <cellStyle name="Процентный 7 2 74" xfId="3012"/>
    <cellStyle name="Обычный 8 70" xfId="3013"/>
    <cellStyle name="Процентный 8 70" xfId="3014"/>
    <cellStyle name="Обычный 9 36" xfId="3015"/>
    <cellStyle name="Процентный 9 37" xfId="3016"/>
    <cellStyle name="Обычный 10 29" xfId="3017"/>
    <cellStyle name="Процентный 10 29" xfId="3018"/>
    <cellStyle name="Обычный 11 17" xfId="3019"/>
    <cellStyle name="Процентный 11 17" xfId="3020"/>
    <cellStyle name="Обычный 4 129" xfId="3021"/>
    <cellStyle name="Процентный 4 129" xfId="3022"/>
    <cellStyle name="Обычный 5 122" xfId="3023"/>
    <cellStyle name="Процентный 5 122" xfId="3024"/>
    <cellStyle name="Обычный 4 2 116" xfId="3025"/>
    <cellStyle name="Процентный 4 2 116" xfId="3026"/>
    <cellStyle name="Обычный 5 2 116" xfId="3027"/>
    <cellStyle name="Процентный 5 2 116" xfId="3028"/>
    <cellStyle name="Обычный 6 113" xfId="3029"/>
    <cellStyle name="Процентный 6 113" xfId="3030"/>
    <cellStyle name="Обычный 7 83" xfId="3031"/>
    <cellStyle name="Процентный 7 83" xfId="3032"/>
    <cellStyle name="Обычный 4 3 75" xfId="3033"/>
    <cellStyle name="Процентный 4 3 75" xfId="3034"/>
    <cellStyle name="Обычный 5 3 75" xfId="3035"/>
    <cellStyle name="Процентный 5 3 75" xfId="3036"/>
    <cellStyle name="Обычный 4 2 2 75" xfId="3037"/>
    <cellStyle name="Процентный 4 2 2 75" xfId="3038"/>
    <cellStyle name="Обычный 5 2 2 75" xfId="3039"/>
    <cellStyle name="Процентный 5 2 2 75" xfId="3040"/>
    <cellStyle name="Обычный 6 2 75" xfId="3041"/>
    <cellStyle name="Процентный 6 2 75" xfId="3042"/>
    <cellStyle name="Обычный 7 2 75" xfId="3043"/>
    <cellStyle name="Процентный 7 2 75" xfId="3044"/>
    <cellStyle name="Обычный 8 71" xfId="3045"/>
    <cellStyle name="Процентный 8 71" xfId="3046"/>
    <cellStyle name="Обычный 9 37" xfId="3047"/>
    <cellStyle name="Процентный 9 38" xfId="3048"/>
    <cellStyle name="Обычный 10 30" xfId="3049"/>
    <cellStyle name="Процентный 10 30" xfId="3050"/>
    <cellStyle name="Обычный 11 18" xfId="3051"/>
    <cellStyle name="Процентный 11 18" xfId="3052"/>
    <cellStyle name="Обычный 4 130" xfId="3053"/>
    <cellStyle name="Процентный 4 130" xfId="3054"/>
    <cellStyle name="Обычный 5 123" xfId="3055"/>
    <cellStyle name="Процентный 5 123" xfId="3056"/>
    <cellStyle name="Обычный 4 2 117" xfId="3057"/>
    <cellStyle name="Процентный 4 2 117" xfId="3058"/>
    <cellStyle name="Обычный 5 2 117" xfId="3059"/>
    <cellStyle name="Процентный 5 2 117" xfId="3060"/>
    <cellStyle name="Обычный 6 114" xfId="3061"/>
    <cellStyle name="Процентный 6 114" xfId="3062"/>
    <cellStyle name="Обычный 7 84" xfId="3063"/>
    <cellStyle name="Процентный 7 84" xfId="3064"/>
    <cellStyle name="Обычный 4 3 76" xfId="3065"/>
    <cellStyle name="Процентный 4 3 76" xfId="3066"/>
    <cellStyle name="Обычный 5 3 76" xfId="3067"/>
    <cellStyle name="Процентный 5 3 76" xfId="3068"/>
    <cellStyle name="Обычный 4 2 2 76" xfId="3069"/>
    <cellStyle name="Процентный 4 2 2 76" xfId="3070"/>
    <cellStyle name="Обычный 5 2 2 76" xfId="3071"/>
    <cellStyle name="Процентный 5 2 2 76" xfId="3072"/>
    <cellStyle name="Обычный 6 2 76" xfId="3073"/>
    <cellStyle name="Процентный 6 2 76" xfId="3074"/>
    <cellStyle name="Обычный 7 2 76" xfId="3075"/>
    <cellStyle name="Процентный 7 2 76" xfId="3076"/>
    <cellStyle name="Обычный 8 72" xfId="3077"/>
    <cellStyle name="Процентный 8 72" xfId="3078"/>
    <cellStyle name="Обычный 9 38" xfId="3079"/>
    <cellStyle name="Процентный 9 39" xfId="3080"/>
    <cellStyle name="Обычный 10 31" xfId="3081"/>
    <cellStyle name="Процентный 10 31" xfId="3082"/>
    <cellStyle name="Обычный 11 19" xfId="3083"/>
    <cellStyle name="Процентный 11 19" xfId="3084"/>
    <cellStyle name="Обычный 4 131" xfId="3085"/>
    <cellStyle name="Процентный 4 131" xfId="3086"/>
    <cellStyle name="Обычный 5 124" xfId="3087"/>
    <cellStyle name="Процентный 5 124" xfId="3088"/>
    <cellStyle name="Обычный 4 2 118" xfId="3089"/>
    <cellStyle name="Процентный 4 2 118" xfId="3090"/>
    <cellStyle name="Обычный 5 2 118" xfId="3091"/>
    <cellStyle name="Процентный 5 2 118" xfId="3092"/>
    <cellStyle name="Обычный 6 115" xfId="3093"/>
    <cellStyle name="Процентный 6 115" xfId="3094"/>
    <cellStyle name="Обычный 7 85" xfId="3095"/>
    <cellStyle name="Процентный 7 85" xfId="3096"/>
    <cellStyle name="Обычный 4 3 77" xfId="3097"/>
    <cellStyle name="Процентный 4 3 77" xfId="3098"/>
    <cellStyle name="Обычный 5 3 77" xfId="3099"/>
    <cellStyle name="Процентный 5 3 77" xfId="3100"/>
    <cellStyle name="Обычный 4 2 2 77" xfId="3101"/>
    <cellStyle name="Процентный 4 2 2 77" xfId="3102"/>
    <cellStyle name="Обычный 5 2 2 77" xfId="3103"/>
    <cellStyle name="Процентный 5 2 2 77" xfId="3104"/>
    <cellStyle name="Обычный 6 2 77" xfId="3105"/>
    <cellStyle name="Процентный 6 2 77" xfId="3106"/>
    <cellStyle name="Обычный 7 2 77" xfId="3107"/>
    <cellStyle name="Процентный 7 2 77" xfId="3108"/>
    <cellStyle name="Обычный 8 73" xfId="3109"/>
    <cellStyle name="Процентный 8 73" xfId="3110"/>
    <cellStyle name="Обычный 9 39" xfId="3111"/>
    <cellStyle name="Процентный 9 40" xfId="3112"/>
    <cellStyle name="Обычный 10 32" xfId="3113"/>
    <cellStyle name="Процентный 10 32" xfId="3114"/>
    <cellStyle name="Обычный 11 20" xfId="3115"/>
    <cellStyle name="Процентный 11 20" xfId="3116"/>
    <cellStyle name="Финансовый 5" xfId="3117"/>
    <cellStyle name="Обычный 4 132" xfId="3118"/>
    <cellStyle name="Процентный 4 132" xfId="3119"/>
    <cellStyle name="Обычный 5 125" xfId="3120"/>
    <cellStyle name="Процентный 5 125" xfId="3121"/>
    <cellStyle name="Обычный 4 2 119" xfId="3122"/>
    <cellStyle name="Процентный 4 2 119" xfId="3123"/>
    <cellStyle name="Обычный 5 2 119" xfId="3124"/>
    <cellStyle name="Процентный 5 2 119" xfId="3125"/>
    <cellStyle name="Обычный 6 116" xfId="3126"/>
    <cellStyle name="Процентный 6 116" xfId="3127"/>
    <cellStyle name="Обычный 7 86" xfId="3128"/>
    <cellStyle name="Процентный 7 86" xfId="3129"/>
    <cellStyle name="Обычный 4 3 78" xfId="3130"/>
    <cellStyle name="Процентный 4 3 78" xfId="3131"/>
    <cellStyle name="Обычный 5 3 78" xfId="3132"/>
    <cellStyle name="Процентный 5 3 78" xfId="3133"/>
    <cellStyle name="Обычный 4 2 2 78" xfId="3134"/>
    <cellStyle name="Процентный 4 2 2 78" xfId="3135"/>
    <cellStyle name="Обычный 5 2 2 78" xfId="3136"/>
    <cellStyle name="Процентный 5 2 2 78" xfId="3137"/>
    <cellStyle name="Обычный 6 2 78" xfId="3138"/>
    <cellStyle name="Процентный 6 2 78" xfId="3139"/>
    <cellStyle name="Обычный 7 2 78" xfId="3140"/>
    <cellStyle name="Процентный 7 2 78" xfId="3141"/>
    <cellStyle name="Обычный 8 74" xfId="3142"/>
    <cellStyle name="Процентный 8 74" xfId="3143"/>
    <cellStyle name="Обычный 9 40" xfId="3144"/>
    <cellStyle name="Процентный 9 41" xfId="3145"/>
    <cellStyle name="Обычный 10 33" xfId="3146"/>
    <cellStyle name="Процентный 10 33" xfId="3147"/>
    <cellStyle name="Обычный 11 21" xfId="3148"/>
    <cellStyle name="Процентный 11 21" xfId="3149"/>
    <cellStyle name="Обычный 4 133" xfId="3150"/>
    <cellStyle name="Процентный 4 133" xfId="3151"/>
    <cellStyle name="Обычный 5 126" xfId="3152"/>
    <cellStyle name="Процентный 5 126" xfId="3153"/>
    <cellStyle name="Обычный 4 2 120" xfId="3154"/>
    <cellStyle name="Процентный 4 2 120" xfId="3155"/>
    <cellStyle name="Обычный 5 2 120" xfId="3156"/>
    <cellStyle name="Процентный 5 2 120" xfId="3157"/>
    <cellStyle name="Обычный 6 117" xfId="3158"/>
    <cellStyle name="Процентный 6 117" xfId="3159"/>
    <cellStyle name="Обычный 7 87" xfId="3160"/>
    <cellStyle name="Процентный 7 87" xfId="3161"/>
    <cellStyle name="Обычный 4 3 79" xfId="3162"/>
    <cellStyle name="Процентный 4 3 79" xfId="3163"/>
    <cellStyle name="Обычный 5 3 79" xfId="3164"/>
    <cellStyle name="Процентный 5 3 79" xfId="3165"/>
    <cellStyle name="Обычный 4 2 2 79" xfId="3166"/>
    <cellStyle name="Процентный 4 2 2 79" xfId="3167"/>
    <cellStyle name="Обычный 5 2 2 79" xfId="3168"/>
    <cellStyle name="Процентный 5 2 2 79" xfId="3169"/>
    <cellStyle name="Обычный 6 2 79" xfId="3170"/>
    <cellStyle name="Процентный 6 2 79" xfId="3171"/>
    <cellStyle name="Обычный 7 2 79" xfId="3172"/>
    <cellStyle name="Процентный 7 2 79" xfId="3173"/>
    <cellStyle name="Обычный 8 75" xfId="3174"/>
    <cellStyle name="Процентный 8 75" xfId="3175"/>
    <cellStyle name="Обычный 9 41" xfId="3176"/>
    <cellStyle name="Процентный 9 42" xfId="3177"/>
    <cellStyle name="Обычный 10 34" xfId="3178"/>
    <cellStyle name="Процентный 10 34" xfId="3179"/>
    <cellStyle name="Обычный 11 22" xfId="3180"/>
    <cellStyle name="Процентный 11 22" xfId="3181"/>
    <cellStyle name="Обычный 4 134" xfId="3182"/>
    <cellStyle name="Процентный 4 134" xfId="3183"/>
    <cellStyle name="Обычный 5 127" xfId="3184"/>
    <cellStyle name="Процентный 5 127" xfId="3185"/>
    <cellStyle name="Обычный 4 2 121" xfId="3186"/>
    <cellStyle name="Процентный 4 2 121" xfId="3187"/>
    <cellStyle name="Обычный 5 2 121" xfId="3188"/>
    <cellStyle name="Процентный 5 2 121" xfId="3189"/>
    <cellStyle name="Обычный 6 118" xfId="3190"/>
    <cellStyle name="Процентный 6 118" xfId="3191"/>
    <cellStyle name="Обычный 7 88" xfId="3192"/>
    <cellStyle name="Процентный 7 88" xfId="3193"/>
    <cellStyle name="Обычный 4 3 80" xfId="3194"/>
    <cellStyle name="Процентный 4 3 80" xfId="3195"/>
    <cellStyle name="Обычный 5 3 80" xfId="3196"/>
    <cellStyle name="Процентный 5 3 80" xfId="3197"/>
    <cellStyle name="Обычный 4 2 2 80" xfId="3198"/>
    <cellStyle name="Процентный 4 2 2 80" xfId="3199"/>
    <cellStyle name="Обычный 5 2 2 80" xfId="3200"/>
    <cellStyle name="Процентный 5 2 2 80" xfId="3201"/>
    <cellStyle name="Обычный 6 2 80" xfId="3202"/>
    <cellStyle name="Процентный 6 2 80" xfId="3203"/>
    <cellStyle name="Обычный 7 2 80" xfId="3204"/>
    <cellStyle name="Процентный 7 2 80" xfId="3205"/>
    <cellStyle name="Обычный 8 76" xfId="3206"/>
    <cellStyle name="Процентный 8 76" xfId="3207"/>
    <cellStyle name="Обычный 9 42" xfId="3208"/>
    <cellStyle name="Процентный 9 43" xfId="3209"/>
    <cellStyle name="Обычный 10 35" xfId="3210"/>
    <cellStyle name="Процентный 10 35" xfId="3211"/>
    <cellStyle name="Обычный 11 23" xfId="3212"/>
    <cellStyle name="Процентный 11 23" xfId="3213"/>
    <cellStyle name="Обычный 4 135" xfId="3214"/>
    <cellStyle name="Процентный 4 135" xfId="3215"/>
    <cellStyle name="Обычный 5 128" xfId="3216"/>
    <cellStyle name="Процентный 5 128" xfId="3217"/>
    <cellStyle name="Обычный 4 2 122" xfId="3218"/>
    <cellStyle name="Процентный 4 2 122" xfId="3219"/>
    <cellStyle name="Обычный 5 2 122" xfId="3220"/>
    <cellStyle name="Процентный 5 2 122" xfId="3221"/>
    <cellStyle name="Обычный 6 119" xfId="3222"/>
    <cellStyle name="Процентный 6 119" xfId="3223"/>
    <cellStyle name="Обычный 7 89" xfId="3224"/>
    <cellStyle name="Процентный 7 89" xfId="3225"/>
    <cellStyle name="Обычный 4 3 81" xfId="3226"/>
    <cellStyle name="Процентный 4 3 81" xfId="3227"/>
    <cellStyle name="Обычный 5 3 81" xfId="3228"/>
    <cellStyle name="Процентный 5 3 81" xfId="3229"/>
    <cellStyle name="Обычный 4 2 2 81" xfId="3230"/>
    <cellStyle name="Процентный 4 2 2 81" xfId="3231"/>
    <cellStyle name="Обычный 5 2 2 81" xfId="3232"/>
    <cellStyle name="Процентный 5 2 2 81" xfId="3233"/>
    <cellStyle name="Обычный 6 2 81" xfId="3234"/>
    <cellStyle name="Процентный 6 2 81" xfId="3235"/>
    <cellStyle name="Обычный 7 2 81" xfId="3236"/>
    <cellStyle name="Процентный 7 2 81" xfId="3237"/>
    <cellStyle name="Обычный 8 77" xfId="3238"/>
    <cellStyle name="Процентный 8 77" xfId="3239"/>
    <cellStyle name="Обычный 9 43" xfId="3240"/>
    <cellStyle name="Процентный 9 44" xfId="3241"/>
    <cellStyle name="Обычный 10 36" xfId="3242"/>
    <cellStyle name="Процентный 10 36" xfId="3243"/>
    <cellStyle name="Обычный 11 24" xfId="3244"/>
    <cellStyle name="Процентный 11 24" xfId="3245"/>
    <cellStyle name="Обычный 4 136" xfId="3246"/>
    <cellStyle name="Процентный 4 136" xfId="3247"/>
    <cellStyle name="Обычный 5 129" xfId="3248"/>
    <cellStyle name="Процентный 5 129" xfId="3249"/>
    <cellStyle name="Обычный 4 2 123" xfId="3250"/>
    <cellStyle name="Процентный 4 2 123" xfId="3251"/>
    <cellStyle name="Обычный 5 2 123" xfId="3252"/>
    <cellStyle name="Процентный 5 2 123" xfId="3253"/>
    <cellStyle name="Обычный 6 120" xfId="3254"/>
    <cellStyle name="Процентный 6 120" xfId="3255"/>
    <cellStyle name="Обычный 7 90" xfId="3256"/>
    <cellStyle name="Процентный 7 90" xfId="3257"/>
    <cellStyle name="Обычный 4 3 82" xfId="3258"/>
    <cellStyle name="Процентный 4 3 82" xfId="3259"/>
    <cellStyle name="Обычный 5 3 82" xfId="3260"/>
    <cellStyle name="Процентный 5 3 82" xfId="3261"/>
    <cellStyle name="Обычный 4 2 2 82" xfId="3262"/>
    <cellStyle name="Процентный 4 2 2 82" xfId="3263"/>
    <cellStyle name="Обычный 5 2 2 82" xfId="3264"/>
    <cellStyle name="Процентный 5 2 2 82" xfId="3265"/>
    <cellStyle name="Обычный 6 2 82" xfId="3266"/>
    <cellStyle name="Процентный 6 2 82" xfId="3267"/>
    <cellStyle name="Обычный 7 2 82" xfId="3268"/>
    <cellStyle name="Процентный 7 2 82" xfId="3269"/>
    <cellStyle name="Обычный 8 78" xfId="3270"/>
    <cellStyle name="Процентный 8 78" xfId="3271"/>
    <cellStyle name="Обычный 9 44" xfId="3272"/>
    <cellStyle name="Процентный 9 45" xfId="3273"/>
    <cellStyle name="Обычный 10 37" xfId="3274"/>
    <cellStyle name="Процентный 10 37" xfId="3275"/>
    <cellStyle name="Обычный 11 25" xfId="3276"/>
    <cellStyle name="Процентный 11 25" xfId="3277"/>
    <cellStyle name="Обычный 4 137" xfId="3278"/>
    <cellStyle name="Процентный 4 137" xfId="3279"/>
    <cellStyle name="Обычный 5 130" xfId="3280"/>
    <cellStyle name="Процентный 5 130" xfId="3281"/>
    <cellStyle name="Обычный 4 2 124" xfId="3282"/>
    <cellStyle name="Процентный 4 2 124" xfId="3283"/>
    <cellStyle name="Обычный 5 2 124" xfId="3284"/>
    <cellStyle name="Процентный 5 2 124" xfId="3285"/>
    <cellStyle name="Обычный 6 121" xfId="3286"/>
    <cellStyle name="Процентный 6 121" xfId="3287"/>
    <cellStyle name="Обычный 7 91" xfId="3288"/>
    <cellStyle name="Процентный 7 91" xfId="3289"/>
    <cellStyle name="Обычный 4 3 83" xfId="3290"/>
    <cellStyle name="Процентный 4 3 83" xfId="3291"/>
    <cellStyle name="Обычный 5 3 83" xfId="3292"/>
    <cellStyle name="Процентный 5 3 83" xfId="3293"/>
    <cellStyle name="Обычный 4 2 2 83" xfId="3294"/>
    <cellStyle name="Процентный 4 2 2 83" xfId="3295"/>
    <cellStyle name="Обычный 5 2 2 83" xfId="3296"/>
    <cellStyle name="Процентный 5 2 2 83" xfId="3297"/>
    <cellStyle name="Обычный 6 2 83" xfId="3298"/>
    <cellStyle name="Процентный 6 2 83" xfId="3299"/>
    <cellStyle name="Обычный 7 2 83" xfId="3300"/>
    <cellStyle name="Процентный 7 2 83" xfId="3301"/>
    <cellStyle name="Обычный 8 79" xfId="3302"/>
    <cellStyle name="Процентный 8 79" xfId="3303"/>
    <cellStyle name="Обычный 9 45" xfId="3304"/>
    <cellStyle name="Процентный 9 46" xfId="3305"/>
    <cellStyle name="Обычный 10 38" xfId="3306"/>
    <cellStyle name="Процентный 10 38" xfId="3307"/>
    <cellStyle name="Обычный 11 26" xfId="3308"/>
    <cellStyle name="Процентный 11 26" xfId="3309"/>
    <cellStyle name="Обычный 4 138" xfId="3310"/>
    <cellStyle name="Процентный 4 138" xfId="3311"/>
    <cellStyle name="Обычный 5 131" xfId="3312"/>
    <cellStyle name="Процентный 5 131" xfId="3313"/>
    <cellStyle name="Обычный 4 2 125" xfId="3314"/>
    <cellStyle name="Процентный 4 2 125" xfId="3315"/>
    <cellStyle name="Обычный 5 2 125" xfId="3316"/>
    <cellStyle name="Процентный 5 2 125" xfId="3317"/>
    <cellStyle name="Обычный 6 122" xfId="3318"/>
    <cellStyle name="Процентный 6 122" xfId="3319"/>
    <cellStyle name="Обычный 7 92" xfId="3320"/>
    <cellStyle name="Процентный 7 92" xfId="3321"/>
    <cellStyle name="Обычный 4 3 84" xfId="3322"/>
    <cellStyle name="Процентный 4 3 84" xfId="3323"/>
    <cellStyle name="Обычный 5 3 84" xfId="3324"/>
    <cellStyle name="Процентный 5 3 84" xfId="3325"/>
    <cellStyle name="Обычный 4 2 2 84" xfId="3326"/>
    <cellStyle name="Процентный 4 2 2 84" xfId="3327"/>
    <cellStyle name="Обычный 5 2 2 84" xfId="3328"/>
    <cellStyle name="Процентный 5 2 2 84" xfId="3329"/>
    <cellStyle name="Обычный 6 2 84" xfId="3330"/>
    <cellStyle name="Процентный 6 2 84" xfId="3331"/>
    <cellStyle name="Обычный 7 2 84" xfId="3332"/>
    <cellStyle name="Процентный 7 2 84" xfId="3333"/>
    <cellStyle name="Обычный 8 80" xfId="3334"/>
    <cellStyle name="Процентный 8 80" xfId="3335"/>
    <cellStyle name="Обычный 9 46" xfId="3336"/>
    <cellStyle name="Процентный 9 47" xfId="3337"/>
    <cellStyle name="Обычный 10 39" xfId="3338"/>
    <cellStyle name="Процентный 10 39" xfId="3339"/>
    <cellStyle name="Обычный 11 27" xfId="3340"/>
    <cellStyle name="Процентный 11 27" xfId="3341"/>
    <cellStyle name="Обычный 4 139" xfId="3342"/>
    <cellStyle name="Процентный 4 139" xfId="3343"/>
    <cellStyle name="Обычный 5 132" xfId="3344"/>
    <cellStyle name="Процентный 5 132" xfId="3345"/>
    <cellStyle name="Обычный 4 2 126" xfId="3346"/>
    <cellStyle name="Процентный 4 2 126" xfId="3347"/>
    <cellStyle name="Обычный 5 2 126" xfId="3348"/>
    <cellStyle name="Процентный 5 2 126" xfId="3349"/>
    <cellStyle name="Обычный 6 123" xfId="3350"/>
    <cellStyle name="Процентный 6 123" xfId="3351"/>
    <cellStyle name="Обычный 7 93" xfId="3352"/>
    <cellStyle name="Процентный 7 93" xfId="3353"/>
    <cellStyle name="Обычный 4 3 85" xfId="3354"/>
    <cellStyle name="Процентный 4 3 85" xfId="3355"/>
    <cellStyle name="Обычный 5 3 85" xfId="3356"/>
    <cellStyle name="Процентный 5 3 85" xfId="3357"/>
    <cellStyle name="Обычный 4 2 2 85" xfId="3358"/>
    <cellStyle name="Процентный 4 2 2 85" xfId="3359"/>
    <cellStyle name="Обычный 5 2 2 85" xfId="3360"/>
    <cellStyle name="Процентный 5 2 2 85" xfId="3361"/>
    <cellStyle name="Обычный 6 2 85" xfId="3362"/>
    <cellStyle name="Процентный 6 2 85" xfId="3363"/>
    <cellStyle name="Обычный 7 2 85" xfId="3364"/>
    <cellStyle name="Процентный 7 2 85" xfId="3365"/>
    <cellStyle name="Обычный 8 81" xfId="3366"/>
    <cellStyle name="Процентный 8 81" xfId="3367"/>
    <cellStyle name="Обычный 9 47" xfId="3368"/>
    <cellStyle name="Процентный 9 48" xfId="3369"/>
    <cellStyle name="Обычный 10 40" xfId="3370"/>
    <cellStyle name="Процентный 10 40" xfId="3371"/>
    <cellStyle name="Обычный 11 28" xfId="3372"/>
    <cellStyle name="Процентный 11 28" xfId="3373"/>
    <cellStyle name="Обычный 4 140" xfId="3374"/>
    <cellStyle name="Процентный 4 140" xfId="3375"/>
    <cellStyle name="Обычный 5 133" xfId="3376"/>
    <cellStyle name="Процентный 5 133" xfId="3377"/>
    <cellStyle name="Обычный 4 2 127" xfId="3378"/>
    <cellStyle name="Процентный 4 2 127" xfId="3379"/>
    <cellStyle name="Обычный 5 2 127" xfId="3380"/>
    <cellStyle name="Процентный 5 2 127" xfId="3381"/>
    <cellStyle name="Обычный 6 124" xfId="3382"/>
    <cellStyle name="Процентный 6 124" xfId="3383"/>
    <cellStyle name="Обычный 7 94" xfId="3384"/>
    <cellStyle name="Процентный 7 94" xfId="3385"/>
    <cellStyle name="Обычный 4 3 86" xfId="3386"/>
    <cellStyle name="Процентный 4 3 86" xfId="3387"/>
    <cellStyle name="Обычный 5 3 86" xfId="3388"/>
    <cellStyle name="Процентный 5 3 86" xfId="3389"/>
    <cellStyle name="Обычный 4 2 2 86" xfId="3390"/>
    <cellStyle name="Процентный 4 2 2 86" xfId="3391"/>
    <cellStyle name="Обычный 5 2 2 86" xfId="3392"/>
    <cellStyle name="Процентный 5 2 2 86" xfId="3393"/>
    <cellStyle name="Обычный 6 2 86" xfId="3394"/>
    <cellStyle name="Процентный 6 2 86" xfId="3395"/>
    <cellStyle name="Обычный 7 2 86" xfId="3396"/>
    <cellStyle name="Процентный 7 2 86" xfId="3397"/>
    <cellStyle name="Обычный 8 82" xfId="3398"/>
    <cellStyle name="Процентный 8 82" xfId="3399"/>
    <cellStyle name="Обычный 9 48" xfId="3400"/>
    <cellStyle name="Процентный 9 49" xfId="3401"/>
    <cellStyle name="Обычный 10 41" xfId="3402"/>
    <cellStyle name="Процентный 10 41" xfId="3403"/>
    <cellStyle name="Обычный 11 29" xfId="3404"/>
    <cellStyle name="Процентный 11 29" xfId="3405"/>
    <cellStyle name="Обычный 4 141" xfId="3406"/>
    <cellStyle name="Процентный 4 141" xfId="3407"/>
    <cellStyle name="Обычный 5 134" xfId="3408"/>
    <cellStyle name="Процентный 5 134" xfId="3409"/>
    <cellStyle name="Обычный 4 2 128" xfId="3410"/>
    <cellStyle name="Процентный 4 2 128" xfId="3411"/>
    <cellStyle name="Обычный 5 2 128" xfId="3412"/>
    <cellStyle name="Процентный 5 2 128" xfId="3413"/>
    <cellStyle name="Обычный 6 125" xfId="3414"/>
    <cellStyle name="Процентный 6 125" xfId="3415"/>
    <cellStyle name="Обычный 7 95" xfId="3416"/>
    <cellStyle name="Процентный 7 95" xfId="3417"/>
    <cellStyle name="Обычный 4 3 87" xfId="3418"/>
    <cellStyle name="Процентный 4 3 87" xfId="3419"/>
    <cellStyle name="Обычный 5 3 87" xfId="3420"/>
    <cellStyle name="Процентный 5 3 87" xfId="3421"/>
    <cellStyle name="Обычный 4 2 2 87" xfId="3422"/>
    <cellStyle name="Процентный 4 2 2 87" xfId="3423"/>
    <cellStyle name="Обычный 5 2 2 87" xfId="3424"/>
    <cellStyle name="Процентный 5 2 2 87" xfId="3425"/>
    <cellStyle name="Обычный 6 2 87" xfId="3426"/>
    <cellStyle name="Процентный 6 2 87" xfId="3427"/>
    <cellStyle name="Обычный 7 2 87" xfId="3428"/>
    <cellStyle name="Процентный 7 2 87" xfId="3429"/>
    <cellStyle name="Обычный 8 83" xfId="3430"/>
    <cellStyle name="Процентный 8 83" xfId="3431"/>
    <cellStyle name="Обычный 9 49" xfId="3432"/>
    <cellStyle name="Процентный 9 50" xfId="3433"/>
    <cellStyle name="Обычный 10 42" xfId="3434"/>
    <cellStyle name="Процентный 10 42" xfId="3435"/>
    <cellStyle name="Обычный 11 30" xfId="3436"/>
    <cellStyle name="Процентный 11 30" xfId="3437"/>
    <cellStyle name="Обычный 4 142" xfId="3438"/>
    <cellStyle name="Процентный 4 142" xfId="3439"/>
    <cellStyle name="Обычный 5 135" xfId="3440"/>
    <cellStyle name="Процентный 5 135" xfId="3441"/>
    <cellStyle name="Обычный 4 2 129" xfId="3442"/>
    <cellStyle name="Процентный 4 2 129" xfId="3443"/>
    <cellStyle name="Обычный 5 2 129" xfId="3444"/>
    <cellStyle name="Процентный 5 2 129" xfId="3445"/>
    <cellStyle name="Обычный 6 126" xfId="3446"/>
    <cellStyle name="Процентный 6 126" xfId="3447"/>
    <cellStyle name="Обычный 7 96" xfId="3448"/>
    <cellStyle name="Процентный 7 96" xfId="3449"/>
    <cellStyle name="Обычный 4 3 88" xfId="3450"/>
    <cellStyle name="Процентный 4 3 88" xfId="3451"/>
    <cellStyle name="Обычный 5 3 88" xfId="3452"/>
    <cellStyle name="Процентный 5 3 88" xfId="3453"/>
    <cellStyle name="Обычный 4 2 2 88" xfId="3454"/>
    <cellStyle name="Процентный 4 2 2 88" xfId="3455"/>
    <cellStyle name="Обычный 5 2 2 88" xfId="3456"/>
    <cellStyle name="Процентный 5 2 2 88" xfId="3457"/>
    <cellStyle name="Обычный 6 2 88" xfId="3458"/>
    <cellStyle name="Процентный 6 2 88" xfId="3459"/>
    <cellStyle name="Обычный 7 2 88" xfId="3460"/>
    <cellStyle name="Процентный 7 2 88" xfId="3461"/>
    <cellStyle name="Обычный 8 84" xfId="3462"/>
    <cellStyle name="Процентный 8 84" xfId="3463"/>
    <cellStyle name="Обычный 9 50" xfId="3464"/>
    <cellStyle name="Процентный 9 51" xfId="3465"/>
    <cellStyle name="Обычный 10 43" xfId="3466"/>
    <cellStyle name="Процентный 10 43" xfId="3467"/>
    <cellStyle name="Обычный 11 31" xfId="3468"/>
    <cellStyle name="Процентный 11 31" xfId="3469"/>
    <cellStyle name="Обычный 4 143" xfId="3470"/>
    <cellStyle name="Процентный 4 143" xfId="3471"/>
    <cellStyle name="Обычный 5 136" xfId="3472"/>
    <cellStyle name="Процентный 5 136" xfId="3473"/>
    <cellStyle name="Обычный 4 2 130" xfId="3474"/>
    <cellStyle name="Процентный 4 2 130" xfId="3475"/>
    <cellStyle name="Обычный 5 2 130" xfId="3476"/>
    <cellStyle name="Процентный 5 2 130" xfId="3477"/>
    <cellStyle name="Обычный 6 127" xfId="3478"/>
    <cellStyle name="Процентный 6 127" xfId="3479"/>
    <cellStyle name="Обычный 7 97" xfId="3480"/>
    <cellStyle name="Процентный 7 97" xfId="3481"/>
    <cellStyle name="Обычный 4 3 89" xfId="3482"/>
    <cellStyle name="Процентный 4 3 89" xfId="3483"/>
    <cellStyle name="Обычный 5 3 89" xfId="3484"/>
    <cellStyle name="Процентный 5 3 89" xfId="3485"/>
    <cellStyle name="Обычный 4 2 2 89" xfId="3486"/>
    <cellStyle name="Процентный 4 2 2 89" xfId="3487"/>
    <cellStyle name="Обычный 5 2 2 89" xfId="3488"/>
    <cellStyle name="Процентный 5 2 2 89" xfId="3489"/>
    <cellStyle name="Обычный 6 2 89" xfId="3490"/>
    <cellStyle name="Процентный 6 2 89" xfId="3491"/>
    <cellStyle name="Обычный 7 2 89" xfId="3492"/>
    <cellStyle name="Процентный 7 2 89" xfId="3493"/>
    <cellStyle name="Обычный 8 85" xfId="3494"/>
    <cellStyle name="Процентный 8 85" xfId="3495"/>
    <cellStyle name="Обычный 9 51" xfId="3496"/>
    <cellStyle name="Процентный 9 52" xfId="3497"/>
    <cellStyle name="Обычный 10 44" xfId="3498"/>
    <cellStyle name="Процентный 10 44" xfId="3499"/>
    <cellStyle name="Обычный 11 32" xfId="3500"/>
    <cellStyle name="Процентный 11 32" xfId="3501"/>
    <cellStyle name="Обычный 4 144" xfId="3502"/>
    <cellStyle name="Процентный 4 144" xfId="3503"/>
    <cellStyle name="Обычный 5 137" xfId="3504"/>
    <cellStyle name="Процентный 5 137" xfId="3505"/>
    <cellStyle name="Обычный 4 2 131" xfId="3506"/>
    <cellStyle name="Процентный 4 2 131" xfId="3507"/>
    <cellStyle name="Обычный 5 2 131" xfId="3508"/>
    <cellStyle name="Процентный 5 2 131" xfId="3509"/>
    <cellStyle name="Обычный 6 128" xfId="3510"/>
    <cellStyle name="Процентный 6 128" xfId="3511"/>
    <cellStyle name="Обычный 7 98" xfId="3512"/>
    <cellStyle name="Процентный 7 98" xfId="3513"/>
    <cellStyle name="Обычный 4 3 90" xfId="3514"/>
    <cellStyle name="Процентный 4 3 90" xfId="3515"/>
    <cellStyle name="Обычный 5 3 90" xfId="3516"/>
    <cellStyle name="Процентный 5 3 90" xfId="3517"/>
    <cellStyle name="Обычный 4 2 2 90" xfId="3518"/>
    <cellStyle name="Процентный 4 2 2 90" xfId="3519"/>
    <cellStyle name="Обычный 5 2 2 90" xfId="3520"/>
    <cellStyle name="Процентный 5 2 2 90" xfId="3521"/>
    <cellStyle name="Обычный 6 2 90" xfId="3522"/>
    <cellStyle name="Процентный 6 2 90" xfId="3523"/>
    <cellStyle name="Обычный 7 2 90" xfId="3524"/>
    <cellStyle name="Процентный 7 2 90" xfId="3525"/>
    <cellStyle name="Обычный 8 86" xfId="3526"/>
    <cellStyle name="Процентный 8 86" xfId="3527"/>
    <cellStyle name="Обычный 9 52" xfId="3528"/>
    <cellStyle name="Процентный 9 53" xfId="3529"/>
    <cellStyle name="Обычный 10 45" xfId="3530"/>
    <cellStyle name="Процентный 10 45" xfId="3531"/>
    <cellStyle name="Обычный 11 33" xfId="3532"/>
    <cellStyle name="Процентный 11 33" xfId="3533"/>
    <cellStyle name="Обычный 4 145" xfId="3534"/>
    <cellStyle name="Процентный 4 145" xfId="3535"/>
    <cellStyle name="Обычный 5 138" xfId="3536"/>
    <cellStyle name="Процентный 5 138" xfId="3537"/>
    <cellStyle name="Обычный 4 2 132" xfId="3538"/>
    <cellStyle name="Процентный 4 2 132" xfId="3539"/>
    <cellStyle name="Обычный 5 2 132" xfId="3540"/>
    <cellStyle name="Процентный 5 2 132" xfId="3541"/>
    <cellStyle name="Обычный 6 129" xfId="3542"/>
    <cellStyle name="Процентный 6 129" xfId="3543"/>
    <cellStyle name="Обычный 7 99" xfId="3544"/>
    <cellStyle name="Процентный 7 99" xfId="3545"/>
    <cellStyle name="Обычный 4 3 91" xfId="3546"/>
    <cellStyle name="Процентный 4 3 91" xfId="3547"/>
    <cellStyle name="Обычный 5 3 91" xfId="3548"/>
    <cellStyle name="Процентный 5 3 91" xfId="3549"/>
    <cellStyle name="Обычный 4 2 2 91" xfId="3550"/>
    <cellStyle name="Процентный 4 2 2 91" xfId="3551"/>
    <cellStyle name="Обычный 5 2 2 91" xfId="3552"/>
    <cellStyle name="Процентный 5 2 2 91" xfId="3553"/>
    <cellStyle name="Обычный 6 2 91" xfId="3554"/>
    <cellStyle name="Процентный 6 2 91" xfId="3555"/>
    <cellStyle name="Обычный 7 2 91" xfId="3556"/>
    <cellStyle name="Процентный 7 2 91" xfId="3557"/>
    <cellStyle name="Обычный 8 87" xfId="3558"/>
    <cellStyle name="Процентный 8 87" xfId="3559"/>
    <cellStyle name="Обычный 9 53" xfId="3560"/>
    <cellStyle name="Процентный 9 54" xfId="3561"/>
    <cellStyle name="Обычный 10 46" xfId="3562"/>
    <cellStyle name="Процентный 10 46" xfId="3563"/>
    <cellStyle name="Обычный 11 34" xfId="3564"/>
    <cellStyle name="Процентный 11 34" xfId="3565"/>
    <cellStyle name="Обычный 4 146" xfId="3566"/>
    <cellStyle name="Процентный 4 146" xfId="3567"/>
    <cellStyle name="Обычный 5 139" xfId="3568"/>
    <cellStyle name="Процентный 5 139" xfId="3569"/>
    <cellStyle name="Обычный 4 2 133" xfId="3570"/>
    <cellStyle name="Процентный 4 2 133" xfId="3571"/>
    <cellStyle name="Обычный 5 2 133" xfId="3572"/>
    <cellStyle name="Процентный 5 2 133" xfId="3573"/>
    <cellStyle name="Обычный 6 130" xfId="3574"/>
    <cellStyle name="Процентный 6 130" xfId="3575"/>
    <cellStyle name="Обычный 7 100" xfId="3576"/>
    <cellStyle name="Процентный 7 100" xfId="3577"/>
    <cellStyle name="Обычный 4 3 92" xfId="3578"/>
    <cellStyle name="Процентный 4 3 92" xfId="3579"/>
    <cellStyle name="Обычный 5 3 92" xfId="3580"/>
    <cellStyle name="Процентный 5 3 92" xfId="3581"/>
    <cellStyle name="Обычный 4 2 2 92" xfId="3582"/>
    <cellStyle name="Процентный 4 2 2 92" xfId="3583"/>
    <cellStyle name="Обычный 5 2 2 92" xfId="3584"/>
    <cellStyle name="Процентный 5 2 2 92" xfId="3585"/>
    <cellStyle name="Обычный 6 2 92" xfId="3586"/>
    <cellStyle name="Процентный 6 2 92" xfId="3587"/>
    <cellStyle name="Обычный 7 2 92" xfId="3588"/>
    <cellStyle name="Процентный 7 2 92" xfId="3589"/>
    <cellStyle name="Обычный 8 88" xfId="3590"/>
    <cellStyle name="Процентный 8 88" xfId="3591"/>
    <cellStyle name="Обычный 9 54" xfId="3592"/>
    <cellStyle name="Процентный 9 55" xfId="3593"/>
    <cellStyle name="Обычный 10 47" xfId="3594"/>
    <cellStyle name="Процентный 10 47" xfId="3595"/>
    <cellStyle name="Обычный 11 35" xfId="3596"/>
    <cellStyle name="Процентный 11 35" xfId="3597"/>
    <cellStyle name="Обычный 4 147" xfId="3598"/>
    <cellStyle name="Процентный 4 147" xfId="3599"/>
    <cellStyle name="Обычный 5 140" xfId="3600"/>
    <cellStyle name="Процентный 5 140" xfId="3601"/>
    <cellStyle name="Обычный 4 2 134" xfId="3602"/>
    <cellStyle name="Процентный 4 2 134" xfId="3603"/>
    <cellStyle name="Обычный 5 2 134" xfId="3604"/>
    <cellStyle name="Процентный 5 2 134" xfId="3605"/>
    <cellStyle name="Обычный 6 131" xfId="3606"/>
    <cellStyle name="Процентный 6 131" xfId="3607"/>
    <cellStyle name="Обычный 7 101" xfId="3608"/>
    <cellStyle name="Процентный 7 101" xfId="3609"/>
    <cellStyle name="Обычный 4 3 93" xfId="3610"/>
    <cellStyle name="Процентный 4 3 93" xfId="3611"/>
    <cellStyle name="Обычный 5 3 93" xfId="3612"/>
    <cellStyle name="Процентный 5 3 93" xfId="3613"/>
    <cellStyle name="Обычный 4 2 2 93" xfId="3614"/>
    <cellStyle name="Процентный 4 2 2 93" xfId="3615"/>
    <cellStyle name="Обычный 5 2 2 93" xfId="3616"/>
    <cellStyle name="Процентный 5 2 2 93" xfId="3617"/>
    <cellStyle name="Обычный 6 2 93" xfId="3618"/>
    <cellStyle name="Процентный 6 2 93" xfId="3619"/>
    <cellStyle name="Обычный 7 2 93" xfId="3620"/>
    <cellStyle name="Процентный 7 2 93" xfId="3621"/>
    <cellStyle name="Обычный 8 89" xfId="3622"/>
    <cellStyle name="Процентный 8 89" xfId="3623"/>
    <cellStyle name="Обычный 9 55" xfId="3624"/>
    <cellStyle name="Процентный 9 56" xfId="3625"/>
    <cellStyle name="Обычный 10 48" xfId="3626"/>
    <cellStyle name="Процентный 10 48" xfId="3627"/>
    <cellStyle name="Обычный 11 36" xfId="3628"/>
    <cellStyle name="Процентный 11 36" xfId="3629"/>
    <cellStyle name="Обычный 4 148" xfId="3630"/>
    <cellStyle name="Процентный 4 148" xfId="3631"/>
    <cellStyle name="Обычный 5 141" xfId="3632"/>
    <cellStyle name="Процентный 5 141" xfId="3633"/>
    <cellStyle name="Обычный 4 2 135" xfId="3634"/>
    <cellStyle name="Процентный 4 2 135" xfId="3635"/>
    <cellStyle name="Обычный 5 2 135" xfId="3636"/>
    <cellStyle name="Процентный 5 2 135" xfId="3637"/>
    <cellStyle name="Обычный 6 132" xfId="3638"/>
    <cellStyle name="Процентный 6 132" xfId="3639"/>
    <cellStyle name="Обычный 7 102" xfId="3640"/>
    <cellStyle name="Процентный 7 102" xfId="3641"/>
    <cellStyle name="Обычный 4 3 94" xfId="3642"/>
    <cellStyle name="Процентный 4 3 94" xfId="3643"/>
    <cellStyle name="Обычный 5 3 94" xfId="3644"/>
    <cellStyle name="Процентный 5 3 94" xfId="3645"/>
    <cellStyle name="Обычный 4 2 2 94" xfId="3646"/>
    <cellStyle name="Процентный 4 2 2 94" xfId="3647"/>
    <cellStyle name="Обычный 5 2 2 94" xfId="3648"/>
    <cellStyle name="Процентный 5 2 2 94" xfId="3649"/>
    <cellStyle name="Обычный 6 2 94" xfId="3650"/>
    <cellStyle name="Процентный 6 2 94" xfId="3651"/>
    <cellStyle name="Обычный 7 2 94" xfId="3652"/>
    <cellStyle name="Процентный 7 2 94" xfId="3653"/>
    <cellStyle name="Обычный 8 90" xfId="3654"/>
    <cellStyle name="Процентный 8 90" xfId="3655"/>
    <cellStyle name="Обычный 9 56" xfId="3656"/>
    <cellStyle name="Процентный 9 57" xfId="3657"/>
    <cellStyle name="Обычный 10 49" xfId="3658"/>
    <cellStyle name="Процентный 10 49" xfId="3659"/>
    <cellStyle name="Обычный 11 37" xfId="3660"/>
    <cellStyle name="Процентный 11 37" xfId="3661"/>
    <cellStyle name="Обычный 4 149" xfId="3662"/>
    <cellStyle name="Процентный 4 149" xfId="3663"/>
    <cellStyle name="Обычный 5 142" xfId="3664"/>
    <cellStyle name="Процентный 5 142" xfId="3665"/>
    <cellStyle name="Обычный 4 2 136" xfId="3666"/>
    <cellStyle name="Процентный 4 2 136" xfId="3667"/>
    <cellStyle name="Обычный 5 2 136" xfId="3668"/>
    <cellStyle name="Процентный 5 2 136" xfId="3669"/>
    <cellStyle name="Обычный 6 133" xfId="3670"/>
    <cellStyle name="Процентный 6 133" xfId="3671"/>
    <cellStyle name="Обычный 7 103" xfId="3672"/>
    <cellStyle name="Процентный 7 103" xfId="3673"/>
    <cellStyle name="Обычный 4 3 95" xfId="3674"/>
    <cellStyle name="Процентный 4 3 95" xfId="3675"/>
    <cellStyle name="Обычный 5 3 95" xfId="3676"/>
    <cellStyle name="Процентный 5 3 95" xfId="3677"/>
    <cellStyle name="Обычный 4 2 2 95" xfId="3678"/>
    <cellStyle name="Процентный 4 2 2 95" xfId="3679"/>
    <cellStyle name="Обычный 5 2 2 95" xfId="3680"/>
    <cellStyle name="Процентный 5 2 2 95" xfId="3681"/>
    <cellStyle name="Обычный 6 2 95" xfId="3682"/>
    <cellStyle name="Процентный 6 2 95" xfId="3683"/>
    <cellStyle name="Обычный 7 2 95" xfId="3684"/>
    <cellStyle name="Процентный 7 2 95" xfId="3685"/>
    <cellStyle name="Обычный 8 91" xfId="3686"/>
    <cellStyle name="Процентный 8 91" xfId="3687"/>
    <cellStyle name="Обычный 9 57" xfId="3688"/>
    <cellStyle name="Процентный 9 58" xfId="3689"/>
    <cellStyle name="Обычный 10 50" xfId="3690"/>
    <cellStyle name="Процентный 10 50" xfId="3691"/>
    <cellStyle name="Обычный 11 38" xfId="3692"/>
    <cellStyle name="Процентный 11 38" xfId="3693"/>
    <cellStyle name="Обычный 4 150" xfId="3694"/>
    <cellStyle name="Процентный 4 150" xfId="3695"/>
    <cellStyle name="Обычный 5 143" xfId="3696"/>
    <cellStyle name="Процентный 5 143" xfId="3697"/>
    <cellStyle name="Обычный 4 2 137" xfId="3698"/>
    <cellStyle name="Процентный 4 2 137" xfId="3699"/>
    <cellStyle name="Обычный 5 2 137" xfId="3700"/>
    <cellStyle name="Процентный 5 2 137" xfId="3701"/>
    <cellStyle name="Обычный 6 134" xfId="3702"/>
    <cellStyle name="Процентный 6 134" xfId="3703"/>
    <cellStyle name="Обычный 7 104" xfId="3704"/>
    <cellStyle name="Процентный 7 104" xfId="3705"/>
    <cellStyle name="Обычный 4 3 96" xfId="3706"/>
    <cellStyle name="Процентный 4 3 96" xfId="3707"/>
    <cellStyle name="Обычный 5 3 96" xfId="3708"/>
    <cellStyle name="Процентный 5 3 96" xfId="3709"/>
    <cellStyle name="Обычный 4 2 2 96" xfId="3710"/>
    <cellStyle name="Процентный 4 2 2 96" xfId="3711"/>
    <cellStyle name="Обычный 5 2 2 96" xfId="3712"/>
    <cellStyle name="Процентный 5 2 2 96" xfId="3713"/>
    <cellStyle name="Обычный 6 2 96" xfId="3714"/>
    <cellStyle name="Процентный 6 2 96" xfId="3715"/>
    <cellStyle name="Обычный 7 2 96" xfId="3716"/>
    <cellStyle name="Процентный 7 2 96" xfId="3717"/>
    <cellStyle name="Обычный 8 92" xfId="3718"/>
    <cellStyle name="Процентный 8 92" xfId="3719"/>
    <cellStyle name="Обычный 9 58" xfId="3720"/>
    <cellStyle name="Процентный 9 59" xfId="3721"/>
    <cellStyle name="Обычный 10 51" xfId="3722"/>
    <cellStyle name="Процентный 10 51" xfId="3723"/>
    <cellStyle name="Обычный 11 39" xfId="3724"/>
    <cellStyle name="Процентный 11 39" xfId="3725"/>
    <cellStyle name="Обычный 4 151" xfId="3726"/>
    <cellStyle name="Процентный 4 151" xfId="3727"/>
    <cellStyle name="Обычный 5 144" xfId="3728"/>
    <cellStyle name="Процентный 5 144" xfId="3729"/>
    <cellStyle name="Обычный 4 2 138" xfId="3730"/>
    <cellStyle name="Процентный 4 2 138" xfId="3731"/>
    <cellStyle name="Обычный 5 2 138" xfId="3732"/>
    <cellStyle name="Процентный 5 2 138" xfId="3733"/>
    <cellStyle name="Обычный 6 135" xfId="3734"/>
    <cellStyle name="Процентный 6 135" xfId="3735"/>
    <cellStyle name="Обычный 7 105" xfId="3736"/>
    <cellStyle name="Процентный 7 105" xfId="3737"/>
    <cellStyle name="Обычный 4 3 97" xfId="3738"/>
    <cellStyle name="Процентный 4 3 97" xfId="3739"/>
    <cellStyle name="Обычный 5 3 97" xfId="3740"/>
    <cellStyle name="Процентный 5 3 97" xfId="3741"/>
    <cellStyle name="Обычный 4 2 2 97" xfId="3742"/>
    <cellStyle name="Процентный 4 2 2 97" xfId="3743"/>
    <cellStyle name="Обычный 5 2 2 97" xfId="3744"/>
    <cellStyle name="Процентный 5 2 2 97" xfId="3745"/>
    <cellStyle name="Обычный 6 2 97" xfId="3746"/>
    <cellStyle name="Процентный 6 2 97" xfId="3747"/>
    <cellStyle name="Обычный 7 2 97" xfId="3748"/>
    <cellStyle name="Процентный 7 2 97" xfId="3749"/>
    <cellStyle name="Обычный 8 93" xfId="3750"/>
    <cellStyle name="Процентный 8 93" xfId="3751"/>
    <cellStyle name="Обычный 9 59" xfId="3752"/>
    <cellStyle name="Процентный 9 60" xfId="3753"/>
    <cellStyle name="Обычный 10 52" xfId="3754"/>
    <cellStyle name="Процентный 10 52" xfId="3755"/>
    <cellStyle name="Обычный 11 40" xfId="3756"/>
    <cellStyle name="Процентный 11 40" xfId="3757"/>
    <cellStyle name="Обычный 4 152" xfId="3758"/>
    <cellStyle name="Процентный 4 152" xfId="3759"/>
    <cellStyle name="Обычный 5 145" xfId="3760"/>
    <cellStyle name="Процентный 5 145" xfId="3761"/>
    <cellStyle name="Обычный 4 2 139" xfId="3762"/>
    <cellStyle name="Процентный 4 2 139" xfId="3763"/>
    <cellStyle name="Обычный 5 2 139" xfId="3764"/>
    <cellStyle name="Процентный 5 2 139" xfId="3765"/>
    <cellStyle name="Обычный 6 136" xfId="3766"/>
    <cellStyle name="Процентный 6 136" xfId="3767"/>
    <cellStyle name="Обычный 7 106" xfId="3768"/>
    <cellStyle name="Процентный 7 106" xfId="3769"/>
    <cellStyle name="Обычный 4 3 98" xfId="3770"/>
    <cellStyle name="Процентный 4 3 98" xfId="3771"/>
    <cellStyle name="Обычный 5 3 98" xfId="3772"/>
    <cellStyle name="Процентный 5 3 98" xfId="3773"/>
    <cellStyle name="Обычный 4 2 2 98" xfId="3774"/>
    <cellStyle name="Процентный 4 2 2 98" xfId="3775"/>
    <cellStyle name="Обычный 5 2 2 98" xfId="3776"/>
    <cellStyle name="Процентный 5 2 2 98" xfId="3777"/>
    <cellStyle name="Обычный 6 2 98" xfId="3778"/>
    <cellStyle name="Процентный 6 2 98" xfId="3779"/>
    <cellStyle name="Обычный 7 2 98" xfId="3780"/>
    <cellStyle name="Процентный 7 2 98" xfId="3781"/>
    <cellStyle name="Обычный 8 94" xfId="3782"/>
    <cellStyle name="Процентный 8 94" xfId="3783"/>
    <cellStyle name="Обычный 9 60" xfId="3784"/>
    <cellStyle name="Процентный 9 61" xfId="3785"/>
    <cellStyle name="Обычный 10 53" xfId="3786"/>
    <cellStyle name="Процентный 10 53" xfId="3787"/>
    <cellStyle name="Обычный 11 41" xfId="3788"/>
    <cellStyle name="Процентный 11 41" xfId="3789"/>
    <cellStyle name="Обычный 4 153" xfId="3790"/>
    <cellStyle name="Процентный 4 153" xfId="3791"/>
    <cellStyle name="Обычный 5 146" xfId="3792"/>
    <cellStyle name="Процентный 5 146" xfId="3793"/>
    <cellStyle name="Обычный 4 2 140" xfId="3794"/>
    <cellStyle name="Процентный 4 2 140" xfId="3795"/>
    <cellStyle name="Обычный 5 2 140" xfId="3796"/>
    <cellStyle name="Процентный 5 2 140" xfId="3797"/>
    <cellStyle name="Обычный 6 137" xfId="3798"/>
    <cellStyle name="Процентный 6 137" xfId="3799"/>
    <cellStyle name="Обычный 7 107" xfId="3800"/>
    <cellStyle name="Процентный 7 107" xfId="3801"/>
    <cellStyle name="Обычный 4 3 99" xfId="3802"/>
    <cellStyle name="Процентный 4 3 99" xfId="3803"/>
    <cellStyle name="Обычный 5 3 99" xfId="3804"/>
    <cellStyle name="Процентный 5 3 99" xfId="3805"/>
    <cellStyle name="Обычный 4 2 2 99" xfId="3806"/>
    <cellStyle name="Процентный 4 2 2 99" xfId="3807"/>
    <cellStyle name="Обычный 5 2 2 99" xfId="3808"/>
    <cellStyle name="Процентный 5 2 2 99" xfId="3809"/>
    <cellStyle name="Обычный 6 2 99" xfId="3810"/>
    <cellStyle name="Процентный 6 2 99" xfId="3811"/>
    <cellStyle name="Обычный 7 2 99" xfId="3812"/>
    <cellStyle name="Процентный 7 2 99" xfId="3813"/>
    <cellStyle name="Обычный 8 95" xfId="3814"/>
    <cellStyle name="Процентный 8 95" xfId="3815"/>
    <cellStyle name="Обычный 9 61" xfId="3816"/>
    <cellStyle name="Процентный 9 62" xfId="3817"/>
    <cellStyle name="Обычный 10 54" xfId="3818"/>
    <cellStyle name="Процентный 10 54" xfId="3819"/>
    <cellStyle name="Обычный 11 42" xfId="3820"/>
    <cellStyle name="Процентный 11 42" xfId="3821"/>
    <cellStyle name="Обычный 4 154" xfId="3822"/>
    <cellStyle name="Процентный 4 154" xfId="3823"/>
    <cellStyle name="Обычный 5 147" xfId="3824"/>
    <cellStyle name="Процентный 5 147" xfId="3825"/>
    <cellStyle name="Обычный 4 2 141" xfId="3826"/>
    <cellStyle name="Процентный 4 2 141" xfId="3827"/>
    <cellStyle name="Обычный 5 2 141" xfId="3828"/>
    <cellStyle name="Процентный 5 2 141" xfId="3829"/>
    <cellStyle name="Обычный 6 138" xfId="3830"/>
    <cellStyle name="Процентный 6 138" xfId="3831"/>
    <cellStyle name="Обычный 7 108" xfId="3832"/>
    <cellStyle name="Процентный 7 108" xfId="3833"/>
    <cellStyle name="Обычный 4 3 100" xfId="3834"/>
    <cellStyle name="Процентный 4 3 100" xfId="3835"/>
    <cellStyle name="Обычный 5 3 100" xfId="3836"/>
    <cellStyle name="Процентный 5 3 100" xfId="3837"/>
    <cellStyle name="Обычный 4 2 2 100" xfId="3838"/>
    <cellStyle name="Процентный 4 2 2 100" xfId="3839"/>
    <cellStyle name="Обычный 5 2 2 100" xfId="3840"/>
    <cellStyle name="Процентный 5 2 2 100" xfId="3841"/>
    <cellStyle name="Обычный 6 2 100" xfId="3842"/>
    <cellStyle name="Процентный 6 2 100" xfId="3843"/>
    <cellStyle name="Обычный 7 2 100" xfId="3844"/>
    <cellStyle name="Процентный 7 2 100" xfId="3845"/>
    <cellStyle name="Обычный 8 96" xfId="3846"/>
    <cellStyle name="Процентный 8 96" xfId="3847"/>
    <cellStyle name="Обычный 9 62" xfId="3848"/>
    <cellStyle name="Процентный 9 63" xfId="3849"/>
    <cellStyle name="Обычный 10 55" xfId="3850"/>
    <cellStyle name="Процентный 10 55" xfId="3851"/>
    <cellStyle name="Обычный 11 43" xfId="3852"/>
    <cellStyle name="Процентный 11 43" xfId="3853"/>
    <cellStyle name="Обычный 4 155" xfId="3854"/>
    <cellStyle name="Процентный 4 155" xfId="3855"/>
    <cellStyle name="Обычный 5 148" xfId="3856"/>
    <cellStyle name="Процентный 5 148" xfId="3857"/>
    <cellStyle name="Обычный 4 2 142" xfId="3858"/>
    <cellStyle name="Процентный 4 2 142" xfId="3859"/>
    <cellStyle name="Обычный 5 2 142" xfId="3860"/>
    <cellStyle name="Процентный 5 2 142" xfId="3861"/>
    <cellStyle name="Обычный 6 139" xfId="3862"/>
    <cellStyle name="Процентный 6 139" xfId="3863"/>
    <cellStyle name="Обычный 7 109" xfId="3864"/>
    <cellStyle name="Процентный 7 109" xfId="3865"/>
    <cellStyle name="Обычный 4 3 101" xfId="3866"/>
    <cellStyle name="Процентный 4 3 101" xfId="3867"/>
    <cellStyle name="Обычный 5 3 101" xfId="3868"/>
    <cellStyle name="Процентный 5 3 101" xfId="3869"/>
    <cellStyle name="Обычный 4 2 2 101" xfId="3870"/>
    <cellStyle name="Процентный 4 2 2 101" xfId="3871"/>
    <cellStyle name="Обычный 5 2 2 101" xfId="3872"/>
    <cellStyle name="Процентный 5 2 2 101" xfId="3873"/>
    <cellStyle name="Обычный 6 2 101" xfId="3874"/>
    <cellStyle name="Процентный 6 2 101" xfId="3875"/>
    <cellStyle name="Обычный 7 2 101" xfId="3876"/>
    <cellStyle name="Процентный 7 2 101" xfId="3877"/>
    <cellStyle name="Обычный 8 97" xfId="3878"/>
    <cellStyle name="Процентный 8 97" xfId="3879"/>
    <cellStyle name="Обычный 9 63" xfId="3880"/>
    <cellStyle name="Процентный 9 64" xfId="3881"/>
    <cellStyle name="Обычный 10 56" xfId="3882"/>
    <cellStyle name="Процентный 10 56" xfId="3883"/>
    <cellStyle name="Обычный 11 44" xfId="3884"/>
    <cellStyle name="Процентный 11 44" xfId="3885"/>
    <cellStyle name="Обычный 4 156" xfId="3886"/>
    <cellStyle name="Процентный 4 156" xfId="3887"/>
    <cellStyle name="Обычный 5 149" xfId="3888"/>
    <cellStyle name="Процентный 5 149" xfId="3889"/>
    <cellStyle name="Обычный 4 2 143" xfId="3890"/>
    <cellStyle name="Процентный 4 2 143" xfId="3891"/>
    <cellStyle name="Обычный 5 2 143" xfId="3892"/>
    <cellStyle name="Процентный 5 2 143" xfId="3893"/>
    <cellStyle name="Обычный 6 140" xfId="3894"/>
    <cellStyle name="Процентный 6 140" xfId="3895"/>
    <cellStyle name="Обычный 7 110" xfId="3896"/>
    <cellStyle name="Процентный 7 110" xfId="3897"/>
    <cellStyle name="Обычный 4 3 102" xfId="3898"/>
    <cellStyle name="Процентный 4 3 102" xfId="3899"/>
    <cellStyle name="Обычный 5 3 102" xfId="3900"/>
    <cellStyle name="Процентный 5 3 102" xfId="3901"/>
    <cellStyle name="Обычный 4 2 2 102" xfId="3902"/>
    <cellStyle name="Процентный 4 2 2 102" xfId="3903"/>
    <cellStyle name="Обычный 5 2 2 102" xfId="3904"/>
    <cellStyle name="Процентный 5 2 2 102" xfId="3905"/>
    <cellStyle name="Обычный 6 2 102" xfId="3906"/>
    <cellStyle name="Процентный 6 2 102" xfId="3907"/>
    <cellStyle name="Обычный 7 2 102" xfId="3908"/>
    <cellStyle name="Процентный 7 2 102" xfId="3909"/>
    <cellStyle name="Обычный 8 98" xfId="3910"/>
    <cellStyle name="Процентный 8 98" xfId="3911"/>
    <cellStyle name="Обычный 9 64" xfId="3912"/>
    <cellStyle name="Процентный 9 65" xfId="3913"/>
    <cellStyle name="Обычный 10 57" xfId="3914"/>
    <cellStyle name="Процентный 10 57" xfId="3915"/>
    <cellStyle name="Обычный 11 45" xfId="3916"/>
    <cellStyle name="Процентный 11 45" xfId="3917"/>
    <cellStyle name="Обычный 4 157" xfId="3918"/>
    <cellStyle name="Процентный 4 157" xfId="3919"/>
    <cellStyle name="Обычный 5 150" xfId="3920"/>
    <cellStyle name="Процентный 5 150" xfId="3921"/>
    <cellStyle name="Обычный 4 2 144" xfId="3922"/>
    <cellStyle name="Процентный 4 2 144" xfId="3923"/>
    <cellStyle name="Обычный 5 2 144" xfId="3924"/>
    <cellStyle name="Процентный 5 2 144" xfId="3925"/>
    <cellStyle name="Обычный 6 141" xfId="3926"/>
    <cellStyle name="Процентный 6 141" xfId="3927"/>
    <cellStyle name="Обычный 7 111" xfId="3928"/>
    <cellStyle name="Процентный 7 111" xfId="3929"/>
    <cellStyle name="Обычный 4 3 103" xfId="3930"/>
    <cellStyle name="Процентный 4 3 103" xfId="3931"/>
    <cellStyle name="Обычный 5 3 103" xfId="3932"/>
    <cellStyle name="Процентный 5 3 103" xfId="3933"/>
    <cellStyle name="Обычный 4 2 2 103" xfId="3934"/>
    <cellStyle name="Процентный 4 2 2 103" xfId="3935"/>
    <cellStyle name="Обычный 5 2 2 103" xfId="3936"/>
    <cellStyle name="Процентный 5 2 2 103" xfId="3937"/>
    <cellStyle name="Обычный 6 2 103" xfId="3938"/>
    <cellStyle name="Процентный 6 2 103" xfId="3939"/>
    <cellStyle name="Обычный 7 2 103" xfId="3940"/>
    <cellStyle name="Процентный 7 2 103" xfId="3941"/>
    <cellStyle name="Обычный 8 99" xfId="3942"/>
    <cellStyle name="Процентный 8 99" xfId="3943"/>
    <cellStyle name="Обычный 9 65" xfId="3944"/>
    <cellStyle name="Процентный 9 66" xfId="3945"/>
    <cellStyle name="Обычный 10 58" xfId="3946"/>
    <cellStyle name="Процентный 10 58" xfId="3947"/>
    <cellStyle name="Обычный 11 46" xfId="3948"/>
    <cellStyle name="Процентный 11 46" xfId="3949"/>
    <cellStyle name="Обычный 4 158" xfId="3950"/>
    <cellStyle name="Процентный 4 158" xfId="3951"/>
    <cellStyle name="Обычный 5 151" xfId="3952"/>
    <cellStyle name="Процентный 5 151" xfId="3953"/>
    <cellStyle name="Обычный 4 2 145" xfId="3954"/>
    <cellStyle name="Процентный 4 2 145" xfId="3955"/>
    <cellStyle name="Обычный 5 2 145" xfId="3956"/>
    <cellStyle name="Процентный 5 2 145" xfId="3957"/>
    <cellStyle name="Обычный 6 142" xfId="3958"/>
    <cellStyle name="Процентный 6 142" xfId="3959"/>
    <cellStyle name="Обычный 7 112" xfId="3960"/>
    <cellStyle name="Процентный 7 112" xfId="3961"/>
    <cellStyle name="Обычный 4 3 104" xfId="3962"/>
    <cellStyle name="Процентный 4 3 104" xfId="3963"/>
    <cellStyle name="Обычный 5 3 104" xfId="3964"/>
    <cellStyle name="Процентный 5 3 104" xfId="3965"/>
    <cellStyle name="Обычный 4 2 2 104" xfId="3966"/>
    <cellStyle name="Процентный 4 2 2 104" xfId="3967"/>
    <cellStyle name="Обычный 5 2 2 104" xfId="3968"/>
    <cellStyle name="Процентный 5 2 2 104" xfId="3969"/>
    <cellStyle name="Обычный 6 2 104" xfId="3970"/>
    <cellStyle name="Процентный 6 2 104" xfId="3971"/>
    <cellStyle name="Обычный 7 2 104" xfId="3972"/>
    <cellStyle name="Процентный 7 2 104" xfId="3973"/>
    <cellStyle name="Обычный 8 100" xfId="3974"/>
    <cellStyle name="Процентный 8 100" xfId="3975"/>
    <cellStyle name="Обычный 9 66" xfId="3976"/>
    <cellStyle name="Процентный 9 67" xfId="3977"/>
    <cellStyle name="Обычный 10 59" xfId="3978"/>
    <cellStyle name="Процентный 10 59" xfId="3979"/>
    <cellStyle name="Обычный 11 47" xfId="3980"/>
    <cellStyle name="Процентный 11 47" xfId="3981"/>
    <cellStyle name="Обычный 4 159" xfId="3982"/>
    <cellStyle name="Процентный 4 159" xfId="3983"/>
    <cellStyle name="Обычный 5 152" xfId="3984"/>
    <cellStyle name="Процентный 5 152" xfId="3985"/>
    <cellStyle name="Обычный 4 2 146" xfId="3986"/>
    <cellStyle name="Процентный 4 2 146" xfId="3987"/>
    <cellStyle name="Обычный 5 2 146" xfId="3988"/>
    <cellStyle name="Процентный 5 2 146" xfId="3989"/>
    <cellStyle name="Обычный 6 143" xfId="3990"/>
    <cellStyle name="Процентный 6 143" xfId="3991"/>
    <cellStyle name="Обычный 7 113" xfId="3992"/>
    <cellStyle name="Процентный 7 113" xfId="3993"/>
    <cellStyle name="Обычный 4 3 105" xfId="3994"/>
    <cellStyle name="Процентный 4 3 105" xfId="3995"/>
    <cellStyle name="Обычный 5 3 105" xfId="3996"/>
    <cellStyle name="Процентный 5 3 105" xfId="3997"/>
    <cellStyle name="Обычный 4 2 2 105" xfId="3998"/>
    <cellStyle name="Процентный 4 2 2 105" xfId="3999"/>
    <cellStyle name="Обычный 5 2 2 105" xfId="4000"/>
    <cellStyle name="Процентный 5 2 2 105" xfId="4001"/>
    <cellStyle name="Обычный 6 2 105" xfId="4002"/>
    <cellStyle name="Процентный 6 2 105" xfId="4003"/>
    <cellStyle name="Обычный 7 2 105" xfId="4004"/>
    <cellStyle name="Процентный 7 2 105" xfId="4005"/>
    <cellStyle name="Обычный 8 101" xfId="4006"/>
    <cellStyle name="Процентный 8 101" xfId="4007"/>
    <cellStyle name="Обычный 9 67" xfId="4008"/>
    <cellStyle name="Процентный 9 68" xfId="4009"/>
    <cellStyle name="Обычный 10 60" xfId="4010"/>
    <cellStyle name="Процентный 10 60" xfId="4011"/>
    <cellStyle name="Обычный 11 48" xfId="4012"/>
    <cellStyle name="Процентный 11 48" xfId="4013"/>
    <cellStyle name="Обычный 4 160" xfId="4014"/>
    <cellStyle name="Процентный 4 160" xfId="4015"/>
    <cellStyle name="Обычный 5 153" xfId="4016"/>
    <cellStyle name="Процентный 5 153" xfId="4017"/>
    <cellStyle name="Обычный 4 2 147" xfId="4018"/>
    <cellStyle name="Процентный 4 2 147" xfId="4019"/>
    <cellStyle name="Обычный 5 2 147" xfId="4020"/>
    <cellStyle name="Процентный 5 2 147" xfId="4021"/>
    <cellStyle name="Обычный 6 144" xfId="4022"/>
    <cellStyle name="Процентный 6 144" xfId="4023"/>
    <cellStyle name="Обычный 7 114" xfId="4024"/>
    <cellStyle name="Процентный 7 114" xfId="4025"/>
    <cellStyle name="Обычный 4 3 106" xfId="4026"/>
    <cellStyle name="Процентный 4 3 106" xfId="4027"/>
    <cellStyle name="Обычный 5 3 106" xfId="4028"/>
    <cellStyle name="Процентный 5 3 106" xfId="4029"/>
    <cellStyle name="Обычный 4 2 2 106" xfId="4030"/>
    <cellStyle name="Процентный 4 2 2 106" xfId="4031"/>
    <cellStyle name="Обычный 5 2 2 106" xfId="4032"/>
    <cellStyle name="Процентный 5 2 2 106" xfId="4033"/>
    <cellStyle name="Обычный 6 2 106" xfId="4034"/>
    <cellStyle name="Процентный 6 2 106" xfId="4035"/>
    <cellStyle name="Обычный 7 2 106" xfId="4036"/>
    <cellStyle name="Процентный 7 2 106" xfId="4037"/>
    <cellStyle name="Обычный 8 102" xfId="4038"/>
    <cellStyle name="Процентный 8 102" xfId="4039"/>
    <cellStyle name="Обычный 9 68" xfId="4040"/>
    <cellStyle name="Процентный 9 69" xfId="4041"/>
    <cellStyle name="Обычный 10 61" xfId="4042"/>
    <cellStyle name="Процентный 10 61" xfId="4043"/>
    <cellStyle name="Обычный 11 49" xfId="4044"/>
    <cellStyle name="Процентный 11 49" xfId="4045"/>
    <cellStyle name="Обычный 4 161" xfId="4046"/>
    <cellStyle name="Процентный 4 161" xfId="4047"/>
    <cellStyle name="Обычный 5 154" xfId="4048"/>
    <cellStyle name="Процентный 5 154" xfId="4049"/>
    <cellStyle name="Обычный 4 2 148" xfId="4050"/>
    <cellStyle name="Процентный 4 2 148" xfId="4051"/>
    <cellStyle name="Обычный 5 2 148" xfId="4052"/>
    <cellStyle name="Процентный 5 2 148" xfId="4053"/>
    <cellStyle name="Обычный 6 145" xfId="4054"/>
    <cellStyle name="Процентный 6 145" xfId="4055"/>
    <cellStyle name="Обычный 7 115" xfId="4056"/>
    <cellStyle name="Процентный 7 115" xfId="4057"/>
    <cellStyle name="Обычный 4 3 107" xfId="4058"/>
    <cellStyle name="Процентный 4 3 107" xfId="4059"/>
    <cellStyle name="Обычный 5 3 107" xfId="4060"/>
    <cellStyle name="Процентный 5 3 107" xfId="4061"/>
    <cellStyle name="Обычный 4 2 2 107" xfId="4062"/>
    <cellStyle name="Процентный 4 2 2 107" xfId="4063"/>
    <cellStyle name="Обычный 5 2 2 107" xfId="4064"/>
    <cellStyle name="Процентный 5 2 2 107" xfId="4065"/>
    <cellStyle name="Обычный 6 2 107" xfId="4066"/>
    <cellStyle name="Процентный 6 2 107" xfId="4067"/>
    <cellStyle name="Обычный 7 2 107" xfId="4068"/>
    <cellStyle name="Процентный 7 2 107" xfId="4069"/>
    <cellStyle name="Обычный 8 103" xfId="4070"/>
    <cellStyle name="Процентный 8 103" xfId="4071"/>
    <cellStyle name="Обычный 9 69" xfId="4072"/>
    <cellStyle name="Процентный 9 70" xfId="4073"/>
    <cellStyle name="Обычный 10 62" xfId="4074"/>
    <cellStyle name="Процентный 10 62" xfId="4075"/>
    <cellStyle name="Обычный 11 50" xfId="4076"/>
    <cellStyle name="Процентный 11 50" xfId="4077"/>
    <cellStyle name="Обычный 4 162" xfId="4078"/>
    <cellStyle name="Процентный 4 162" xfId="4079"/>
    <cellStyle name="Обычный 5 155" xfId="4080"/>
    <cellStyle name="Процентный 5 155" xfId="4081"/>
    <cellStyle name="Обычный 4 2 149" xfId="4082"/>
    <cellStyle name="Процентный 4 2 149" xfId="4083"/>
    <cellStyle name="Обычный 5 2 149" xfId="4084"/>
    <cellStyle name="Процентный 5 2 149" xfId="4085"/>
    <cellStyle name="Обычный 6 146" xfId="4086"/>
    <cellStyle name="Процентный 6 146" xfId="4087"/>
    <cellStyle name="Обычный 7 116" xfId="4088"/>
    <cellStyle name="Процентный 7 116" xfId="4089"/>
    <cellStyle name="Обычный 4 3 108" xfId="4090"/>
    <cellStyle name="Процентный 4 3 108" xfId="4091"/>
    <cellStyle name="Обычный 5 3 108" xfId="4092"/>
    <cellStyle name="Процентный 5 3 108" xfId="4093"/>
    <cellStyle name="Обычный 4 2 2 108" xfId="4094"/>
    <cellStyle name="Процентный 4 2 2 108" xfId="4095"/>
    <cellStyle name="Обычный 5 2 2 108" xfId="4096"/>
    <cellStyle name="Процентный 5 2 2 108" xfId="4097"/>
    <cellStyle name="Обычный 6 2 108" xfId="4098"/>
    <cellStyle name="Процентный 6 2 108" xfId="4099"/>
    <cellStyle name="Обычный 7 2 108" xfId="4100"/>
    <cellStyle name="Процентный 7 2 108" xfId="4101"/>
    <cellStyle name="Обычный 8 104" xfId="4102"/>
    <cellStyle name="Процентный 8 104" xfId="4103"/>
    <cellStyle name="Обычный 9 70" xfId="4104"/>
    <cellStyle name="Процентный 9 71" xfId="4105"/>
    <cellStyle name="Обычный 10 63" xfId="4106"/>
    <cellStyle name="Процентный 10 63" xfId="4107"/>
    <cellStyle name="Обычный 11 51" xfId="4108"/>
    <cellStyle name="Процентный 11 51" xfId="4109"/>
    <cellStyle name="Обычный 4 163" xfId="4110"/>
    <cellStyle name="Процентный 4 163" xfId="4111"/>
    <cellStyle name="Обычный 5 156" xfId="4112"/>
    <cellStyle name="Процентный 5 156" xfId="4113"/>
    <cellStyle name="Обычный 4 2 150" xfId="4114"/>
    <cellStyle name="Процентный 4 2 150" xfId="4115"/>
    <cellStyle name="Обычный 5 2 150" xfId="4116"/>
    <cellStyle name="Процентный 5 2 150" xfId="4117"/>
    <cellStyle name="Обычный 6 147" xfId="4118"/>
    <cellStyle name="Процентный 6 147" xfId="4119"/>
    <cellStyle name="Обычный 7 117" xfId="4120"/>
    <cellStyle name="Процентный 7 117" xfId="4121"/>
    <cellStyle name="Обычный 4 3 109" xfId="4122"/>
    <cellStyle name="Процентный 4 3 109" xfId="4123"/>
    <cellStyle name="Обычный 5 3 109" xfId="4124"/>
    <cellStyle name="Процентный 5 3 109" xfId="4125"/>
    <cellStyle name="Обычный 4 2 2 109" xfId="4126"/>
    <cellStyle name="Процентный 4 2 2 109" xfId="4127"/>
    <cellStyle name="Обычный 5 2 2 109" xfId="4128"/>
    <cellStyle name="Процентный 5 2 2 109" xfId="4129"/>
    <cellStyle name="Обычный 6 2 109" xfId="4130"/>
    <cellStyle name="Процентный 6 2 109" xfId="4131"/>
    <cellStyle name="Обычный 7 2 109" xfId="4132"/>
    <cellStyle name="Процентный 7 2 109" xfId="4133"/>
    <cellStyle name="Обычный 8 105" xfId="4134"/>
    <cellStyle name="Процентный 8 105" xfId="4135"/>
    <cellStyle name="Обычный 9 71" xfId="4136"/>
    <cellStyle name="Процентный 9 72" xfId="4137"/>
    <cellStyle name="Обычный 10 64" xfId="4138"/>
    <cellStyle name="Процентный 10 64" xfId="4139"/>
    <cellStyle name="Обычный 11 52" xfId="4140"/>
    <cellStyle name="Процентный 11 52" xfId="4141"/>
    <cellStyle name="Обычный 4 164" xfId="4142"/>
    <cellStyle name="Процентный 4 164" xfId="4143"/>
    <cellStyle name="Обычный 5 157" xfId="4144"/>
    <cellStyle name="Процентный 5 157" xfId="4145"/>
    <cellStyle name="Обычный 4 2 151" xfId="4146"/>
    <cellStyle name="Процентный 4 2 151" xfId="4147"/>
    <cellStyle name="Обычный 5 2 151" xfId="4148"/>
    <cellStyle name="Процентный 5 2 151" xfId="4149"/>
    <cellStyle name="Обычный 6 148" xfId="4150"/>
    <cellStyle name="Процентный 6 148" xfId="4151"/>
    <cellStyle name="Обычный 7 118" xfId="4152"/>
    <cellStyle name="Процентный 7 118" xfId="4153"/>
    <cellStyle name="Обычный 4 3 110" xfId="4154"/>
    <cellStyle name="Процентный 4 3 110" xfId="4155"/>
    <cellStyle name="Обычный 5 3 110" xfId="4156"/>
    <cellStyle name="Процентный 5 3 110" xfId="4157"/>
    <cellStyle name="Обычный 4 2 2 110" xfId="4158"/>
    <cellStyle name="Процентный 4 2 2 110" xfId="4159"/>
    <cellStyle name="Обычный 5 2 2 110" xfId="4160"/>
    <cellStyle name="Процентный 5 2 2 110" xfId="4161"/>
    <cellStyle name="Обычный 6 2 110" xfId="4162"/>
    <cellStyle name="Процентный 6 2 110" xfId="4163"/>
    <cellStyle name="Обычный 7 2 110" xfId="4164"/>
    <cellStyle name="Процентный 7 2 110" xfId="4165"/>
    <cellStyle name="Обычный 8 106" xfId="4166"/>
    <cellStyle name="Процентный 8 106" xfId="4167"/>
    <cellStyle name="Обычный 9 72" xfId="4168"/>
    <cellStyle name="Процентный 9 73" xfId="4169"/>
    <cellStyle name="Обычный 10 65" xfId="4170"/>
    <cellStyle name="Процентный 10 65" xfId="4171"/>
    <cellStyle name="Обычный 11 53" xfId="4172"/>
    <cellStyle name="Процентный 11 53" xfId="4173"/>
    <cellStyle name="Обычный 4 165" xfId="4174"/>
    <cellStyle name="Процентный 4 165" xfId="4175"/>
    <cellStyle name="Обычный 5 158" xfId="4176"/>
    <cellStyle name="Процентный 5 158" xfId="4177"/>
    <cellStyle name="Обычный 4 2 152" xfId="4178"/>
    <cellStyle name="Процентный 4 2 152" xfId="4179"/>
    <cellStyle name="Обычный 5 2 152" xfId="4180"/>
    <cellStyle name="Процентный 5 2 152" xfId="4181"/>
    <cellStyle name="Обычный 6 149" xfId="4182"/>
    <cellStyle name="Процентный 6 149" xfId="4183"/>
    <cellStyle name="Обычный 7 119" xfId="4184"/>
    <cellStyle name="Процентный 7 119" xfId="4185"/>
    <cellStyle name="Обычный 4 3 111" xfId="4186"/>
    <cellStyle name="Процентный 4 3 111" xfId="4187"/>
    <cellStyle name="Обычный 5 3 111" xfId="4188"/>
    <cellStyle name="Процентный 5 3 111" xfId="4189"/>
    <cellStyle name="Обычный 4 2 2 111" xfId="4190"/>
    <cellStyle name="Процентный 4 2 2 111" xfId="4191"/>
    <cellStyle name="Обычный 5 2 2 111" xfId="4192"/>
    <cellStyle name="Процентный 5 2 2 111" xfId="4193"/>
    <cellStyle name="Обычный 6 2 111" xfId="4194"/>
    <cellStyle name="Процентный 6 2 111" xfId="4195"/>
    <cellStyle name="Обычный 7 2 111" xfId="4196"/>
    <cellStyle name="Процентный 7 2 111" xfId="4197"/>
    <cellStyle name="Обычный 8 107" xfId="4198"/>
    <cellStyle name="Процентный 8 107" xfId="4199"/>
    <cellStyle name="Обычный 9 73" xfId="4200"/>
    <cellStyle name="Процентный 9 74" xfId="4201"/>
    <cellStyle name="Обычный 10 66" xfId="4202"/>
    <cellStyle name="Процентный 10 66" xfId="4203"/>
    <cellStyle name="Обычный 11 54" xfId="4204"/>
    <cellStyle name="Процентный 11 54" xfId="4205"/>
    <cellStyle name="Обычный 4 166" xfId="4206"/>
    <cellStyle name="Процентный 4 166" xfId="4207"/>
    <cellStyle name="Обычный 5 159" xfId="4208"/>
    <cellStyle name="Процентный 5 159" xfId="4209"/>
    <cellStyle name="Обычный 4 2 153" xfId="4210"/>
    <cellStyle name="Процентный 4 2 153" xfId="4211"/>
    <cellStyle name="Обычный 5 2 153" xfId="4212"/>
    <cellStyle name="Процентный 5 2 153" xfId="4213"/>
    <cellStyle name="Обычный 6 150" xfId="4214"/>
    <cellStyle name="Процентный 6 150" xfId="4215"/>
    <cellStyle name="Обычный 7 120" xfId="4216"/>
    <cellStyle name="Процентный 7 120" xfId="4217"/>
    <cellStyle name="Обычный 4 3 112" xfId="4218"/>
    <cellStyle name="Процентный 4 3 112" xfId="4219"/>
    <cellStyle name="Обычный 5 3 112" xfId="4220"/>
    <cellStyle name="Процентный 5 3 112" xfId="4221"/>
    <cellStyle name="Обычный 4 2 2 112" xfId="4222"/>
    <cellStyle name="Процентный 4 2 2 112" xfId="4223"/>
    <cellStyle name="Обычный 5 2 2 112" xfId="4224"/>
    <cellStyle name="Процентный 5 2 2 112" xfId="4225"/>
    <cellStyle name="Обычный 6 2 112" xfId="4226"/>
    <cellStyle name="Процентный 6 2 112" xfId="4227"/>
    <cellStyle name="Обычный 7 2 112" xfId="4228"/>
    <cellStyle name="Процентный 7 2 112" xfId="4229"/>
    <cellStyle name="Обычный 8 108" xfId="4230"/>
    <cellStyle name="Процентный 8 108" xfId="4231"/>
    <cellStyle name="Обычный 9 74" xfId="4232"/>
    <cellStyle name="Процентный 9 75" xfId="4233"/>
    <cellStyle name="Обычный 10 67" xfId="4234"/>
    <cellStyle name="Процентный 10 67" xfId="4235"/>
    <cellStyle name="Обычный 11 55" xfId="4236"/>
    <cellStyle name="Процентный 11 55" xfId="4237"/>
    <cellStyle name="Обычный 4 167" xfId="4238"/>
    <cellStyle name="Процентный 4 167" xfId="4239"/>
    <cellStyle name="Обычный 5 160" xfId="4240"/>
    <cellStyle name="Процентный 5 160" xfId="4241"/>
    <cellStyle name="Обычный 4 2 154" xfId="4242"/>
    <cellStyle name="Процентный 4 2 154" xfId="4243"/>
    <cellStyle name="Обычный 5 2 154" xfId="4244"/>
    <cellStyle name="Процентный 5 2 154" xfId="4245"/>
    <cellStyle name="Обычный 6 151" xfId="4246"/>
    <cellStyle name="Процентный 6 151" xfId="4247"/>
    <cellStyle name="Обычный 7 121" xfId="4248"/>
    <cellStyle name="Процентный 7 121" xfId="4249"/>
    <cellStyle name="Обычный 4 3 113" xfId="4250"/>
    <cellStyle name="Процентный 4 3 113" xfId="4251"/>
    <cellStyle name="Обычный 5 3 113" xfId="4252"/>
    <cellStyle name="Процентный 5 3 113" xfId="4253"/>
    <cellStyle name="Обычный 4 2 2 113" xfId="4254"/>
    <cellStyle name="Процентный 4 2 2 113" xfId="4255"/>
    <cellStyle name="Обычный 5 2 2 113" xfId="4256"/>
    <cellStyle name="Процентный 5 2 2 113" xfId="4257"/>
    <cellStyle name="Обычный 6 2 113" xfId="4258"/>
    <cellStyle name="Процентный 6 2 113" xfId="4259"/>
    <cellStyle name="Обычный 7 2 113" xfId="4260"/>
    <cellStyle name="Процентный 7 2 113" xfId="4261"/>
    <cellStyle name="Обычный 8 109" xfId="4262"/>
    <cellStyle name="Процентный 8 109" xfId="4263"/>
    <cellStyle name="Обычный 9 75" xfId="4264"/>
    <cellStyle name="Процентный 9 76" xfId="4265"/>
    <cellStyle name="Обычный 10 68" xfId="4266"/>
    <cellStyle name="Процентный 10 68" xfId="4267"/>
    <cellStyle name="Обычный 11 56" xfId="4268"/>
    <cellStyle name="Процентный 11 56" xfId="4269"/>
    <cellStyle name="Обычный 4 168" xfId="4270"/>
    <cellStyle name="Процентный 4 168" xfId="4271"/>
    <cellStyle name="Обычный 5 161" xfId="4272"/>
    <cellStyle name="Процентный 5 161" xfId="4273"/>
    <cellStyle name="Обычный 4 2 155" xfId="4274"/>
    <cellStyle name="Процентный 4 2 155" xfId="4275"/>
    <cellStyle name="Обычный 5 2 155" xfId="4276"/>
    <cellStyle name="Процентный 5 2 155" xfId="4277"/>
    <cellStyle name="Обычный 6 152" xfId="4278"/>
    <cellStyle name="Процентный 6 152" xfId="4279"/>
    <cellStyle name="Обычный 7 122" xfId="4280"/>
    <cellStyle name="Процентный 7 122" xfId="4281"/>
    <cellStyle name="Обычный 4 3 114" xfId="4282"/>
    <cellStyle name="Процентный 4 3 114" xfId="4283"/>
    <cellStyle name="Обычный 5 3 114" xfId="4284"/>
    <cellStyle name="Процентный 5 3 114" xfId="4285"/>
    <cellStyle name="Обычный 4 2 2 114" xfId="4286"/>
    <cellStyle name="Процентный 4 2 2 114" xfId="4287"/>
    <cellStyle name="Обычный 5 2 2 114" xfId="4288"/>
    <cellStyle name="Процентный 5 2 2 114" xfId="4289"/>
    <cellStyle name="Обычный 6 2 114" xfId="4290"/>
    <cellStyle name="Процентный 6 2 114" xfId="4291"/>
    <cellStyle name="Обычный 7 2 114" xfId="4292"/>
    <cellStyle name="Процентный 7 2 114" xfId="4293"/>
    <cellStyle name="Обычный 8 110" xfId="4294"/>
    <cellStyle name="Процентный 8 110" xfId="4295"/>
    <cellStyle name="Обычный 9 76" xfId="4296"/>
    <cellStyle name="Процентный 9 77" xfId="4297"/>
    <cellStyle name="Обычный 10 69" xfId="4298"/>
    <cellStyle name="Процентный 10 69" xfId="4299"/>
    <cellStyle name="Обычный 11 57" xfId="4300"/>
    <cellStyle name="Процентный 11 57" xfId="4301"/>
    <cellStyle name="Обычный 4 169" xfId="4302"/>
    <cellStyle name="Процентный 4 169" xfId="4303"/>
    <cellStyle name="Обычный 5 162" xfId="4304"/>
    <cellStyle name="Процентный 5 162" xfId="4305"/>
    <cellStyle name="Обычный 4 2 156" xfId="4306"/>
    <cellStyle name="Процентный 4 2 156" xfId="4307"/>
    <cellStyle name="Обычный 5 2 156" xfId="4308"/>
    <cellStyle name="Процентный 5 2 156" xfId="4309"/>
    <cellStyle name="Обычный 6 153" xfId="4310"/>
    <cellStyle name="Процентный 6 153" xfId="4311"/>
    <cellStyle name="Обычный 7 123" xfId="4312"/>
    <cellStyle name="Процентный 7 123" xfId="4313"/>
    <cellStyle name="Обычный 4 3 115" xfId="4314"/>
    <cellStyle name="Процентный 4 3 115" xfId="4315"/>
    <cellStyle name="Обычный 5 3 115" xfId="4316"/>
    <cellStyle name="Процентный 5 3 115" xfId="4317"/>
    <cellStyle name="Обычный 4 2 2 115" xfId="4318"/>
    <cellStyle name="Процентный 4 2 2 115" xfId="4319"/>
    <cellStyle name="Обычный 5 2 2 115" xfId="4320"/>
    <cellStyle name="Процентный 5 2 2 115" xfId="4321"/>
    <cellStyle name="Обычный 6 2 115" xfId="4322"/>
    <cellStyle name="Процентный 6 2 115" xfId="4323"/>
    <cellStyle name="Обычный 7 2 115" xfId="4324"/>
    <cellStyle name="Процентный 7 2 115" xfId="4325"/>
    <cellStyle name="Обычный 8 111" xfId="4326"/>
    <cellStyle name="Процентный 8 111" xfId="4327"/>
    <cellStyle name="Обычный 9 77" xfId="4328"/>
    <cellStyle name="Процентный 9 78" xfId="4329"/>
    <cellStyle name="Обычный 10 70" xfId="4330"/>
    <cellStyle name="Процентный 10 70" xfId="4331"/>
    <cellStyle name="Обычный 11 58" xfId="4332"/>
    <cellStyle name="Процентный 11 58" xfId="4333"/>
    <cellStyle name="Обычный 4 170" xfId="4334"/>
    <cellStyle name="Процентный 4 170" xfId="4335"/>
    <cellStyle name="Обычный 5 163" xfId="4336"/>
    <cellStyle name="Процентный 5 163" xfId="4337"/>
    <cellStyle name="Обычный 4 2 157" xfId="4338"/>
    <cellStyle name="Процентный 4 2 157" xfId="4339"/>
    <cellStyle name="Обычный 5 2 157" xfId="4340"/>
    <cellStyle name="Процентный 5 2 157" xfId="4341"/>
    <cellStyle name="Обычный 6 154" xfId="4342"/>
    <cellStyle name="Процентный 6 154" xfId="4343"/>
    <cellStyle name="Обычный 7 124" xfId="4344"/>
    <cellStyle name="Процентный 7 124" xfId="4345"/>
    <cellStyle name="Обычный 4 3 116" xfId="4346"/>
    <cellStyle name="Процентный 4 3 116" xfId="4347"/>
    <cellStyle name="Обычный 5 3 116" xfId="4348"/>
    <cellStyle name="Процентный 5 3 116" xfId="4349"/>
    <cellStyle name="Обычный 4 2 2 116" xfId="4350"/>
    <cellStyle name="Процентный 4 2 2 116" xfId="4351"/>
    <cellStyle name="Обычный 5 2 2 116" xfId="4352"/>
    <cellStyle name="Процентный 5 2 2 116" xfId="4353"/>
    <cellStyle name="Обычный 6 2 116" xfId="4354"/>
    <cellStyle name="Процентный 6 2 116" xfId="4355"/>
    <cellStyle name="Обычный 7 2 116" xfId="4356"/>
    <cellStyle name="Процентный 7 2 116" xfId="4357"/>
    <cellStyle name="Обычный 8 112" xfId="4358"/>
    <cellStyle name="Процентный 8 112" xfId="4359"/>
    <cellStyle name="Обычный 9 78" xfId="4360"/>
    <cellStyle name="Процентный 9 79" xfId="4361"/>
    <cellStyle name="Обычный 10 71" xfId="4362"/>
    <cellStyle name="Процентный 10 71" xfId="4363"/>
    <cellStyle name="Обычный 11 59" xfId="4364"/>
    <cellStyle name="Процентный 11 59" xfId="4365"/>
    <cellStyle name="Обычный 4 171" xfId="4366"/>
    <cellStyle name="Процентный 4 171" xfId="4367"/>
    <cellStyle name="Обычный 5 164" xfId="4368"/>
    <cellStyle name="Процентный 5 164" xfId="4369"/>
    <cellStyle name="Обычный 4 2 158" xfId="4370"/>
    <cellStyle name="Процентный 4 2 158" xfId="4371"/>
    <cellStyle name="Обычный 5 2 158" xfId="4372"/>
    <cellStyle name="Процентный 5 2 158" xfId="4373"/>
    <cellStyle name="Обычный 6 155" xfId="4374"/>
    <cellStyle name="Процентный 6 155" xfId="4375"/>
    <cellStyle name="Обычный 7 125" xfId="4376"/>
    <cellStyle name="Процентный 7 125" xfId="4377"/>
    <cellStyle name="Обычный 4 3 117" xfId="4378"/>
    <cellStyle name="Процентный 4 3 117" xfId="4379"/>
    <cellStyle name="Обычный 5 3 117" xfId="4380"/>
    <cellStyle name="Процентный 5 3 117" xfId="4381"/>
    <cellStyle name="Обычный 4 2 2 117" xfId="4382"/>
    <cellStyle name="Процентный 4 2 2 117" xfId="4383"/>
    <cellStyle name="Обычный 5 2 2 117" xfId="4384"/>
    <cellStyle name="Процентный 5 2 2 117" xfId="4385"/>
    <cellStyle name="Обычный 6 2 117" xfId="4386"/>
    <cellStyle name="Процентный 6 2 117" xfId="4387"/>
    <cellStyle name="Обычный 7 2 117" xfId="4388"/>
    <cellStyle name="Процентный 7 2 117" xfId="4389"/>
    <cellStyle name="Обычный 8 113" xfId="4390"/>
    <cellStyle name="Процентный 8 113" xfId="4391"/>
    <cellStyle name="Обычный 9 79" xfId="4392"/>
    <cellStyle name="Процентный 9 80" xfId="4393"/>
    <cellStyle name="Обычный 10 72" xfId="4394"/>
    <cellStyle name="Процентный 10 72" xfId="4395"/>
    <cellStyle name="Обычный 11 60" xfId="4396"/>
    <cellStyle name="Процентный 11 60" xfId="4397"/>
    <cellStyle name="Обычный 4 172" xfId="4398"/>
    <cellStyle name="Процентный 4 172" xfId="4399"/>
    <cellStyle name="Обычный 5 165" xfId="4400"/>
    <cellStyle name="Процентный 5 165" xfId="4401"/>
    <cellStyle name="Обычный 4 2 159" xfId="4402"/>
    <cellStyle name="Процентный 4 2 159" xfId="4403"/>
    <cellStyle name="Обычный 5 2 159" xfId="4404"/>
    <cellStyle name="Процентный 5 2 159" xfId="4405"/>
    <cellStyle name="Обычный 6 156" xfId="4406"/>
    <cellStyle name="Процентный 6 156" xfId="4407"/>
    <cellStyle name="Обычный 7 126" xfId="4408"/>
    <cellStyle name="Процентный 7 126" xfId="4409"/>
    <cellStyle name="Обычный 4 3 118" xfId="4410"/>
    <cellStyle name="Процентный 4 3 118" xfId="4411"/>
    <cellStyle name="Обычный 5 3 118" xfId="4412"/>
    <cellStyle name="Процентный 5 3 118" xfId="4413"/>
    <cellStyle name="Обычный 4 2 2 118" xfId="4414"/>
    <cellStyle name="Процентный 4 2 2 118" xfId="4415"/>
    <cellStyle name="Обычный 5 2 2 118" xfId="4416"/>
    <cellStyle name="Процентный 5 2 2 118" xfId="4417"/>
    <cellStyle name="Обычный 6 2 118" xfId="4418"/>
    <cellStyle name="Процентный 6 2 118" xfId="4419"/>
    <cellStyle name="Обычный 7 2 118" xfId="4420"/>
    <cellStyle name="Процентный 7 2 118" xfId="4421"/>
    <cellStyle name="Обычный 8 114" xfId="4422"/>
    <cellStyle name="Процентный 8 114" xfId="4423"/>
    <cellStyle name="Обычный 9 80" xfId="4424"/>
    <cellStyle name="Процентный 9 81" xfId="4425"/>
    <cellStyle name="Обычный 10 73" xfId="4426"/>
    <cellStyle name="Процентный 10 73" xfId="4427"/>
    <cellStyle name="Обычный 11 61" xfId="4428"/>
    <cellStyle name="Процентный 11 61" xfId="4429"/>
    <cellStyle name="Обычный 4 173" xfId="4430"/>
    <cellStyle name="Процентный 4 173" xfId="4431"/>
    <cellStyle name="Обычный 5 166" xfId="4432"/>
    <cellStyle name="Процентный 5 166" xfId="4433"/>
    <cellStyle name="Обычный 4 2 160" xfId="4434"/>
    <cellStyle name="Процентный 4 2 160" xfId="4435"/>
    <cellStyle name="Обычный 5 2 160" xfId="4436"/>
    <cellStyle name="Процентный 5 2 160" xfId="4437"/>
    <cellStyle name="Обычный 6 157" xfId="4438"/>
    <cellStyle name="Процентный 6 157" xfId="4439"/>
    <cellStyle name="Обычный 7 127" xfId="4440"/>
    <cellStyle name="Процентный 7 127" xfId="4441"/>
    <cellStyle name="Обычный 4 3 119" xfId="4442"/>
    <cellStyle name="Процентный 4 3 119" xfId="4443"/>
    <cellStyle name="Обычный 5 3 119" xfId="4444"/>
    <cellStyle name="Процентный 5 3 119" xfId="4445"/>
    <cellStyle name="Обычный 4 2 2 119" xfId="4446"/>
    <cellStyle name="Процентный 4 2 2 119" xfId="4447"/>
    <cellStyle name="Обычный 5 2 2 119" xfId="4448"/>
    <cellStyle name="Процентный 5 2 2 119" xfId="4449"/>
    <cellStyle name="Обычный 6 2 119" xfId="4450"/>
    <cellStyle name="Процентный 6 2 119" xfId="4451"/>
    <cellStyle name="Обычный 7 2 119" xfId="4452"/>
    <cellStyle name="Процентный 7 2 119" xfId="4453"/>
    <cellStyle name="Обычный 8 115" xfId="4454"/>
    <cellStyle name="Процентный 8 115" xfId="4455"/>
    <cellStyle name="Обычный 9 81" xfId="4456"/>
    <cellStyle name="Процентный 9 82" xfId="4457"/>
    <cellStyle name="Обычный 10 74" xfId="4458"/>
    <cellStyle name="Процентный 10 74" xfId="4459"/>
    <cellStyle name="Обычный 11 62" xfId="4460"/>
    <cellStyle name="Процентный 11 62" xfId="4461"/>
    <cellStyle name="Обычный 4 174" xfId="4462"/>
    <cellStyle name="Процентный 4 174" xfId="4463"/>
    <cellStyle name="Обычный 5 167" xfId="4464"/>
    <cellStyle name="Процентный 5 167" xfId="4465"/>
    <cellStyle name="Обычный 4 2 161" xfId="4466"/>
    <cellStyle name="Процентный 4 2 161" xfId="4467"/>
    <cellStyle name="Обычный 5 2 161" xfId="4468"/>
    <cellStyle name="Процентный 5 2 161" xfId="4469"/>
    <cellStyle name="Обычный 6 158" xfId="4470"/>
    <cellStyle name="Процентный 6 158" xfId="4471"/>
    <cellStyle name="Обычный 7 128" xfId="4472"/>
    <cellStyle name="Процентный 7 128" xfId="4473"/>
    <cellStyle name="Обычный 4 3 120" xfId="4474"/>
    <cellStyle name="Процентный 4 3 120" xfId="4475"/>
    <cellStyle name="Обычный 5 3 120" xfId="4476"/>
    <cellStyle name="Процентный 5 3 120" xfId="4477"/>
    <cellStyle name="Обычный 4 2 2 120" xfId="4478"/>
    <cellStyle name="Процентный 4 2 2 120" xfId="4479"/>
    <cellStyle name="Обычный 5 2 2 120" xfId="4480"/>
    <cellStyle name="Процентный 5 2 2 120" xfId="4481"/>
    <cellStyle name="Обычный 6 2 120" xfId="4482"/>
    <cellStyle name="Процентный 6 2 120" xfId="4483"/>
    <cellStyle name="Обычный 7 2 120" xfId="4484"/>
    <cellStyle name="Процентный 7 2 120" xfId="4485"/>
    <cellStyle name="Обычный 8 116" xfId="4486"/>
    <cellStyle name="Процентный 8 116" xfId="4487"/>
    <cellStyle name="Обычный 9 82" xfId="4488"/>
    <cellStyle name="Процентный 9 83" xfId="4489"/>
    <cellStyle name="Обычный 10 75" xfId="4490"/>
    <cellStyle name="Процентный 10 75" xfId="4491"/>
    <cellStyle name="Обычный 11 63" xfId="4492"/>
    <cellStyle name="Процентный 11 63" xfId="4493"/>
    <cellStyle name="Обычный 4 175" xfId="4494"/>
    <cellStyle name="Процентный 4 175" xfId="4495"/>
    <cellStyle name="Обычный 5 168" xfId="4496"/>
    <cellStyle name="Процентный 5 168" xfId="4497"/>
    <cellStyle name="Обычный 4 2 162" xfId="4498"/>
    <cellStyle name="Процентный 4 2 162" xfId="4499"/>
    <cellStyle name="Обычный 5 2 162" xfId="4500"/>
    <cellStyle name="Процентный 5 2 162" xfId="4501"/>
    <cellStyle name="Обычный 6 159" xfId="4502"/>
    <cellStyle name="Процентный 6 159" xfId="4503"/>
    <cellStyle name="Обычный 7 129" xfId="4504"/>
    <cellStyle name="Процентный 7 129" xfId="4505"/>
    <cellStyle name="Обычный 4 3 121" xfId="4506"/>
    <cellStyle name="Процентный 4 3 121" xfId="4507"/>
    <cellStyle name="Обычный 5 3 121" xfId="4508"/>
    <cellStyle name="Процентный 5 3 121" xfId="4509"/>
    <cellStyle name="Обычный 4 2 2 121" xfId="4510"/>
    <cellStyle name="Процентный 4 2 2 121" xfId="4511"/>
    <cellStyle name="Обычный 5 2 2 121" xfId="4512"/>
    <cellStyle name="Процентный 5 2 2 121" xfId="4513"/>
    <cellStyle name="Обычный 6 2 121" xfId="4514"/>
    <cellStyle name="Процентный 6 2 121" xfId="4515"/>
    <cellStyle name="Обычный 7 2 121" xfId="4516"/>
    <cellStyle name="Процентный 7 2 121" xfId="4517"/>
    <cellStyle name="Обычный 8 117" xfId="4518"/>
    <cellStyle name="Процентный 8 117" xfId="4519"/>
    <cellStyle name="Обычный 9 83" xfId="4520"/>
    <cellStyle name="Процентный 9 84" xfId="4521"/>
    <cellStyle name="Обычный 10 76" xfId="4522"/>
    <cellStyle name="Процентный 10 76" xfId="4523"/>
    <cellStyle name="Обычный 11 64" xfId="4524"/>
    <cellStyle name="Процентный 11 64" xfId="4525"/>
    <cellStyle name="Обычный 4 176" xfId="4526"/>
    <cellStyle name="Процентный 4 176" xfId="4527"/>
    <cellStyle name="Обычный 5 169" xfId="4528"/>
    <cellStyle name="Процентный 5 169" xfId="4529"/>
    <cellStyle name="Обычный 4 2 163" xfId="4530"/>
    <cellStyle name="Процентный 4 2 163" xfId="4531"/>
    <cellStyle name="Обычный 5 2 163" xfId="4532"/>
    <cellStyle name="Процентный 5 2 163" xfId="4533"/>
    <cellStyle name="Обычный 6 160" xfId="4534"/>
    <cellStyle name="Процентный 6 160" xfId="4535"/>
    <cellStyle name="Обычный 7 130" xfId="4536"/>
    <cellStyle name="Процентный 7 130" xfId="4537"/>
    <cellStyle name="Обычный 4 3 122" xfId="4538"/>
    <cellStyle name="Процентный 4 3 122" xfId="4539"/>
    <cellStyle name="Обычный 5 3 122" xfId="4540"/>
    <cellStyle name="Процентный 5 3 122" xfId="4541"/>
    <cellStyle name="Обычный 4 2 2 122" xfId="4542"/>
    <cellStyle name="Процентный 4 2 2 122" xfId="4543"/>
    <cellStyle name="Обычный 5 2 2 122" xfId="4544"/>
    <cellStyle name="Процентный 5 2 2 122" xfId="4545"/>
    <cellStyle name="Обычный 6 2 122" xfId="4546"/>
    <cellStyle name="Процентный 6 2 122" xfId="4547"/>
    <cellStyle name="Обычный 7 2 122" xfId="4548"/>
    <cellStyle name="Процентный 7 2 122" xfId="4549"/>
    <cellStyle name="Обычный 8 118" xfId="4550"/>
    <cellStyle name="Процентный 8 118" xfId="4551"/>
    <cellStyle name="Обычный 9 84" xfId="4552"/>
    <cellStyle name="Процентный 9 85" xfId="4553"/>
    <cellStyle name="Обычный 10 77" xfId="4554"/>
    <cellStyle name="Процентный 10 77" xfId="4555"/>
    <cellStyle name="Обычный 11 65" xfId="4556"/>
    <cellStyle name="Процентный 11 65" xfId="4557"/>
    <cellStyle name="Обычный 4 177" xfId="4558"/>
    <cellStyle name="Процентный 4 177" xfId="4559"/>
    <cellStyle name="Обычный 5 170" xfId="4560"/>
    <cellStyle name="Процентный 5 170" xfId="4561"/>
    <cellStyle name="Обычный 4 2 164" xfId="4562"/>
    <cellStyle name="Процентный 4 2 164" xfId="4563"/>
    <cellStyle name="Обычный 5 2 164" xfId="4564"/>
    <cellStyle name="Процентный 5 2 164" xfId="4565"/>
    <cellStyle name="Обычный 6 161" xfId="4566"/>
    <cellStyle name="Процентный 6 161" xfId="4567"/>
    <cellStyle name="Обычный 7 131" xfId="4568"/>
    <cellStyle name="Процентный 7 131" xfId="4569"/>
    <cellStyle name="Обычный 4 3 123" xfId="4570"/>
    <cellStyle name="Процентный 4 3 123" xfId="4571"/>
    <cellStyle name="Обычный 5 3 123" xfId="4572"/>
    <cellStyle name="Процентный 5 3 123" xfId="4573"/>
    <cellStyle name="Обычный 4 2 2 123" xfId="4574"/>
    <cellStyle name="Процентный 4 2 2 123" xfId="4575"/>
    <cellStyle name="Обычный 5 2 2 123" xfId="4576"/>
    <cellStyle name="Процентный 5 2 2 123" xfId="4577"/>
    <cellStyle name="Обычный 6 2 123" xfId="4578"/>
    <cellStyle name="Процентный 6 2 123" xfId="4579"/>
    <cellStyle name="Обычный 7 2 123" xfId="4580"/>
    <cellStyle name="Процентный 7 2 123" xfId="4581"/>
    <cellStyle name="Обычный 8 119" xfId="4582"/>
    <cellStyle name="Процентный 8 119" xfId="4583"/>
    <cellStyle name="Обычный 9 85" xfId="4584"/>
    <cellStyle name="Процентный 9 86" xfId="4585"/>
    <cellStyle name="Обычный 10 78" xfId="4586"/>
    <cellStyle name="Процентный 10 78" xfId="4587"/>
    <cellStyle name="Обычный 11 66" xfId="4588"/>
    <cellStyle name="Процентный 11 66" xfId="4589"/>
    <cellStyle name="Обычный 4 178" xfId="4590"/>
    <cellStyle name="Процентный 4 178" xfId="4591"/>
    <cellStyle name="Обычный 5 171" xfId="4592"/>
    <cellStyle name="Процентный 5 171" xfId="4593"/>
    <cellStyle name="Обычный 4 2 165" xfId="4594"/>
    <cellStyle name="Процентный 4 2 165" xfId="4595"/>
    <cellStyle name="Обычный 5 2 165" xfId="4596"/>
    <cellStyle name="Процентный 5 2 165" xfId="4597"/>
    <cellStyle name="Обычный 6 162" xfId="4598"/>
    <cellStyle name="Процентный 6 162" xfId="4599"/>
    <cellStyle name="Обычный 7 132" xfId="4600"/>
    <cellStyle name="Процентный 7 132" xfId="4601"/>
    <cellStyle name="Обычный 4 3 124" xfId="4602"/>
    <cellStyle name="Процентный 4 3 124" xfId="4603"/>
    <cellStyle name="Обычный 5 3 124" xfId="4604"/>
    <cellStyle name="Процентный 5 3 124" xfId="4605"/>
    <cellStyle name="Обычный 4 2 2 124" xfId="4606"/>
    <cellStyle name="Процентный 4 2 2 124" xfId="4607"/>
    <cellStyle name="Обычный 5 2 2 124" xfId="4608"/>
    <cellStyle name="Процентный 5 2 2 124" xfId="4609"/>
    <cellStyle name="Обычный 6 2 124" xfId="4610"/>
    <cellStyle name="Процентный 6 2 124" xfId="4611"/>
    <cellStyle name="Обычный 7 2 124" xfId="4612"/>
    <cellStyle name="Процентный 7 2 124" xfId="4613"/>
    <cellStyle name="Обычный 8 120" xfId="4614"/>
    <cellStyle name="Процентный 8 120" xfId="4615"/>
    <cellStyle name="Обычный 9 86" xfId="4616"/>
    <cellStyle name="Процентный 9 87" xfId="4617"/>
    <cellStyle name="Обычный 10 79" xfId="4618"/>
    <cellStyle name="Процентный 10 79" xfId="4619"/>
    <cellStyle name="Обычный 11 67" xfId="4620"/>
    <cellStyle name="Процентный 11 67" xfId="4621"/>
    <cellStyle name="Обычный 4 179" xfId="4622"/>
    <cellStyle name="Процентный 4 179" xfId="4623"/>
    <cellStyle name="Обычный 5 172" xfId="4624"/>
    <cellStyle name="Процентный 5 172" xfId="4625"/>
    <cellStyle name="Обычный 4 2 166" xfId="4626"/>
    <cellStyle name="Процентный 4 2 166" xfId="4627"/>
    <cellStyle name="Обычный 5 2 166" xfId="4628"/>
    <cellStyle name="Процентный 5 2 166" xfId="4629"/>
    <cellStyle name="Обычный 6 163" xfId="4630"/>
    <cellStyle name="Процентный 6 163" xfId="4631"/>
    <cellStyle name="Обычный 7 133" xfId="4632"/>
    <cellStyle name="Процентный 7 133" xfId="4633"/>
    <cellStyle name="Обычный 4 3 125" xfId="4634"/>
    <cellStyle name="Процентный 4 3 125" xfId="4635"/>
    <cellStyle name="Обычный 5 3 125" xfId="4636"/>
    <cellStyle name="Процентный 5 3 125" xfId="4637"/>
    <cellStyle name="Обычный 4 2 2 125" xfId="4638"/>
    <cellStyle name="Процентный 4 2 2 125" xfId="4639"/>
    <cellStyle name="Обычный 5 2 2 125" xfId="4640"/>
    <cellStyle name="Процентный 5 2 2 125" xfId="4641"/>
    <cellStyle name="Обычный 6 2 125" xfId="4642"/>
    <cellStyle name="Процентный 6 2 125" xfId="4643"/>
    <cellStyle name="Обычный 7 2 125" xfId="4644"/>
    <cellStyle name="Процентный 7 2 125" xfId="4645"/>
    <cellStyle name="Обычный 8 121" xfId="4646"/>
    <cellStyle name="Процентный 8 121" xfId="4647"/>
    <cellStyle name="Обычный 9 87" xfId="4648"/>
    <cellStyle name="Процентный 9 88" xfId="4649"/>
    <cellStyle name="Обычный 10 80" xfId="4650"/>
    <cellStyle name="Процентный 10 80" xfId="4651"/>
    <cellStyle name="Обычный 11 68" xfId="4652"/>
    <cellStyle name="Процентный 11 68" xfId="4653"/>
    <cellStyle name="Обычный 4 180" xfId="4654"/>
    <cellStyle name="Процентный 4 180" xfId="4655"/>
    <cellStyle name="Обычный 5 173" xfId="4656"/>
    <cellStyle name="Процентный 5 173" xfId="4657"/>
    <cellStyle name="Обычный 4 2 167" xfId="4658"/>
    <cellStyle name="Процентный 4 2 167" xfId="4659"/>
    <cellStyle name="Обычный 5 2 167" xfId="4660"/>
    <cellStyle name="Процентный 5 2 167" xfId="4661"/>
    <cellStyle name="Обычный 6 164" xfId="4662"/>
    <cellStyle name="Процентный 6 164" xfId="4663"/>
    <cellStyle name="Обычный 7 134" xfId="4664"/>
    <cellStyle name="Процентный 7 134" xfId="4665"/>
    <cellStyle name="Обычный 4 3 126" xfId="4666"/>
    <cellStyle name="Процентный 4 3 126" xfId="4667"/>
    <cellStyle name="Обычный 5 3 126" xfId="4668"/>
    <cellStyle name="Процентный 5 3 126" xfId="4669"/>
    <cellStyle name="Обычный 4 2 2 126" xfId="4670"/>
    <cellStyle name="Процентный 4 2 2 126" xfId="4671"/>
    <cellStyle name="Обычный 5 2 2 126" xfId="4672"/>
    <cellStyle name="Процентный 5 2 2 126" xfId="4673"/>
    <cellStyle name="Обычный 6 2 126" xfId="4674"/>
    <cellStyle name="Процентный 6 2 126" xfId="4675"/>
    <cellStyle name="Обычный 7 2 126" xfId="4676"/>
    <cellStyle name="Процентный 7 2 126" xfId="4677"/>
    <cellStyle name="Обычный 8 122" xfId="4678"/>
    <cellStyle name="Процентный 8 122" xfId="4679"/>
    <cellStyle name="Обычный 9 88" xfId="4680"/>
    <cellStyle name="Процентный 9 89" xfId="4681"/>
    <cellStyle name="Обычный 10 81" xfId="4682"/>
    <cellStyle name="Процентный 10 81" xfId="4683"/>
    <cellStyle name="Обычный 11 69" xfId="4684"/>
    <cellStyle name="Процентный 11 69" xfId="4685"/>
    <cellStyle name="Обычный 4 181" xfId="4686"/>
    <cellStyle name="Процентный 4 181" xfId="4687"/>
    <cellStyle name="Обычный 5 174" xfId="4688"/>
    <cellStyle name="Процентный 5 174" xfId="4689"/>
    <cellStyle name="Обычный 4 2 168" xfId="4690"/>
    <cellStyle name="Процентный 4 2 168" xfId="4691"/>
    <cellStyle name="Обычный 5 2 168" xfId="4692"/>
    <cellStyle name="Процентный 5 2 168" xfId="4693"/>
    <cellStyle name="Обычный 6 165" xfId="4694"/>
    <cellStyle name="Процентный 6 165" xfId="4695"/>
    <cellStyle name="Обычный 7 135" xfId="4696"/>
    <cellStyle name="Процентный 7 135" xfId="4697"/>
    <cellStyle name="Обычный 4 3 127" xfId="4698"/>
    <cellStyle name="Процентный 4 3 127" xfId="4699"/>
    <cellStyle name="Обычный 5 3 127" xfId="4700"/>
    <cellStyle name="Процентный 5 3 127" xfId="4701"/>
    <cellStyle name="Обычный 4 2 2 127" xfId="4702"/>
    <cellStyle name="Процентный 4 2 2 127" xfId="4703"/>
    <cellStyle name="Обычный 5 2 2 127" xfId="4704"/>
    <cellStyle name="Процентный 5 2 2 127" xfId="4705"/>
    <cellStyle name="Обычный 6 2 127" xfId="4706"/>
    <cellStyle name="Процентный 6 2 127" xfId="4707"/>
    <cellStyle name="Обычный 7 2 127" xfId="4708"/>
    <cellStyle name="Процентный 7 2 127" xfId="4709"/>
    <cellStyle name="Обычный 8 123" xfId="4710"/>
    <cellStyle name="Процентный 8 123" xfId="4711"/>
    <cellStyle name="Обычный 9 89" xfId="4712"/>
    <cellStyle name="Процентный 9 90" xfId="4713"/>
    <cellStyle name="Обычный 10 82" xfId="4714"/>
    <cellStyle name="Процентный 10 82" xfId="4715"/>
    <cellStyle name="Обычный 11 70" xfId="4716"/>
    <cellStyle name="Процентный 11 70" xfId="4717"/>
    <cellStyle name="Обычный 14" xfId="4718"/>
    <cellStyle name="Процентный 14" xfId="4719"/>
    <cellStyle name="Обычный 4 182" xfId="4720"/>
    <cellStyle name="Процентный 4 182" xfId="4721"/>
    <cellStyle name="Обычный 5 175" xfId="4722"/>
    <cellStyle name="Процентный 5 175" xfId="4723"/>
    <cellStyle name="Обычный 4 2 169" xfId="4724"/>
    <cellStyle name="Процентный 4 2 169" xfId="4725"/>
    <cellStyle name="Обычный 5 2 169" xfId="4726"/>
    <cellStyle name="Процентный 5 2 169" xfId="4727"/>
    <cellStyle name="Обычный 6 166" xfId="4728"/>
    <cellStyle name="Процентный 6 166" xfId="4729"/>
    <cellStyle name="Обычный 7 136" xfId="4730"/>
    <cellStyle name="Процентный 7 136" xfId="4731"/>
    <cellStyle name="Обычный 4 3 128" xfId="4732"/>
    <cellStyle name="Процентный 4 3 128" xfId="4733"/>
    <cellStyle name="Обычный 5 3 128" xfId="4734"/>
    <cellStyle name="Процентный 5 3 128" xfId="4735"/>
    <cellStyle name="Обычный 4 2 2 128" xfId="4736"/>
    <cellStyle name="Процентный 4 2 2 128" xfId="4737"/>
    <cellStyle name="Обычный 5 2 2 128" xfId="4738"/>
    <cellStyle name="Процентный 5 2 2 128" xfId="4739"/>
    <cellStyle name="Обычный 6 2 128" xfId="4740"/>
    <cellStyle name="Процентный 6 2 128" xfId="4741"/>
    <cellStyle name="Обычный 7 2 128" xfId="4742"/>
    <cellStyle name="Процентный 7 2 128" xfId="4743"/>
    <cellStyle name="Обычный 8 124" xfId="4744"/>
    <cellStyle name="Процентный 8 124" xfId="4745"/>
    <cellStyle name="Обычный 9 90" xfId="4746"/>
    <cellStyle name="Процентный 9 91" xfId="4747"/>
    <cellStyle name="Обычный 10 83" xfId="4748"/>
    <cellStyle name="Процентный 10 83" xfId="4749"/>
    <cellStyle name="Обычный 11 71" xfId="4750"/>
    <cellStyle name="Процентный 11 71" xfId="4751"/>
    <cellStyle name="Обычный 4 183" xfId="4752"/>
    <cellStyle name="Процентный 4 183" xfId="4753"/>
    <cellStyle name="Обычный 5 176" xfId="4754"/>
    <cellStyle name="Процентный 5 176" xfId="4755"/>
    <cellStyle name="Обычный 4 2 170" xfId="4756"/>
    <cellStyle name="Процентный 4 2 170" xfId="4757"/>
    <cellStyle name="Обычный 5 2 170" xfId="4758"/>
    <cellStyle name="Процентный 5 2 170" xfId="4759"/>
    <cellStyle name="Обычный 6 167" xfId="4760"/>
    <cellStyle name="Процентный 6 167" xfId="4761"/>
    <cellStyle name="Обычный 7 137" xfId="4762"/>
    <cellStyle name="Процентный 7 137" xfId="4763"/>
    <cellStyle name="Обычный 4 3 129" xfId="4764"/>
    <cellStyle name="Процентный 4 3 129" xfId="4765"/>
    <cellStyle name="Обычный 5 3 129" xfId="4766"/>
    <cellStyle name="Процентный 5 3 129" xfId="4767"/>
    <cellStyle name="Обычный 4 2 2 129" xfId="4768"/>
    <cellStyle name="Процентный 4 2 2 129" xfId="4769"/>
    <cellStyle name="Обычный 5 2 2 129" xfId="4770"/>
    <cellStyle name="Процентный 5 2 2 129" xfId="4771"/>
    <cellStyle name="Обычный 6 2 129" xfId="4772"/>
    <cellStyle name="Процентный 6 2 129" xfId="4773"/>
    <cellStyle name="Обычный 7 2 129" xfId="4774"/>
    <cellStyle name="Процентный 7 2 129" xfId="4775"/>
    <cellStyle name="Обычный 8 125" xfId="4776"/>
    <cellStyle name="Процентный 8 125" xfId="4777"/>
    <cellStyle name="Обычный 9 91" xfId="4778"/>
    <cellStyle name="Процентный 9 92" xfId="4779"/>
    <cellStyle name="Обычный 10 84" xfId="4780"/>
    <cellStyle name="Процентный 10 84" xfId="4781"/>
    <cellStyle name="Обычный 11 72" xfId="4782"/>
    <cellStyle name="Процентный 11 72" xfId="4783"/>
    <cellStyle name="Обычный 4 184" xfId="4784"/>
    <cellStyle name="Процентный 4 184" xfId="4785"/>
    <cellStyle name="Обычный 5 177" xfId="4786"/>
    <cellStyle name="Процентный 5 177" xfId="4787"/>
    <cellStyle name="Обычный 4 2 171" xfId="4788"/>
    <cellStyle name="Процентный 4 2 171" xfId="4789"/>
    <cellStyle name="Обычный 5 2 171" xfId="4790"/>
    <cellStyle name="Процентный 5 2 171" xfId="4791"/>
    <cellStyle name="Обычный 6 168" xfId="4792"/>
    <cellStyle name="Процентный 6 168" xfId="4793"/>
    <cellStyle name="Обычный 7 138" xfId="4794"/>
    <cellStyle name="Процентный 7 138" xfId="4795"/>
    <cellStyle name="Обычный 4 3 130" xfId="4796"/>
    <cellStyle name="Процентный 4 3 130" xfId="4797"/>
    <cellStyle name="Обычный 5 3 130" xfId="4798"/>
    <cellStyle name="Процентный 5 3 130" xfId="4799"/>
    <cellStyle name="Обычный 4 2 2 130" xfId="4800"/>
    <cellStyle name="Процентный 4 2 2 130" xfId="4801"/>
    <cellStyle name="Обычный 5 2 2 130" xfId="4802"/>
    <cellStyle name="Процентный 5 2 2 130" xfId="4803"/>
    <cellStyle name="Обычный 6 2 130" xfId="4804"/>
    <cellStyle name="Процентный 6 2 130" xfId="4805"/>
    <cellStyle name="Обычный 7 2 130" xfId="4806"/>
    <cellStyle name="Процентный 7 2 130" xfId="4807"/>
    <cellStyle name="Обычный 8 126" xfId="4808"/>
    <cellStyle name="Процентный 8 126" xfId="4809"/>
    <cellStyle name="Обычный 9 92" xfId="4810"/>
    <cellStyle name="Процентный 9 93" xfId="4811"/>
    <cellStyle name="Обычный 10 85" xfId="4812"/>
    <cellStyle name="Процентный 10 85" xfId="4813"/>
    <cellStyle name="Обычный 11 73" xfId="4814"/>
    <cellStyle name="Процентный 11 73" xfId="4815"/>
    <cellStyle name="Обычный 4 185" xfId="4816"/>
    <cellStyle name="Процентный 4 185" xfId="4817"/>
    <cellStyle name="Обычный 5 178" xfId="4818"/>
    <cellStyle name="Процентный 5 178" xfId="4819"/>
    <cellStyle name="Обычный 4 2 172" xfId="4820"/>
    <cellStyle name="Процентный 4 2 172" xfId="4821"/>
    <cellStyle name="Обычный 5 2 172" xfId="4822"/>
    <cellStyle name="Процентный 5 2 172" xfId="4823"/>
    <cellStyle name="Обычный 6 169" xfId="4824"/>
    <cellStyle name="Процентный 6 169" xfId="4825"/>
    <cellStyle name="Обычный 7 139" xfId="4826"/>
    <cellStyle name="Процентный 7 139" xfId="4827"/>
    <cellStyle name="Обычный 4 3 131" xfId="4828"/>
    <cellStyle name="Процентный 4 3 131" xfId="4829"/>
    <cellStyle name="Обычный 5 3 131" xfId="4830"/>
    <cellStyle name="Процентный 5 3 131" xfId="4831"/>
    <cellStyle name="Обычный 4 2 2 131" xfId="4832"/>
    <cellStyle name="Процентный 4 2 2 131" xfId="4833"/>
    <cellStyle name="Обычный 5 2 2 131" xfId="4834"/>
    <cellStyle name="Процентный 5 2 2 131" xfId="4835"/>
    <cellStyle name="Обычный 6 2 131" xfId="4836"/>
    <cellStyle name="Процентный 6 2 131" xfId="4837"/>
    <cellStyle name="Обычный 7 2 131" xfId="4838"/>
    <cellStyle name="Процентный 7 2 131" xfId="4839"/>
    <cellStyle name="Обычный 8 127" xfId="4840"/>
    <cellStyle name="Процентный 8 127" xfId="4841"/>
    <cellStyle name="Обычный 9 93" xfId="4842"/>
    <cellStyle name="Процентный 9 94" xfId="4843"/>
    <cellStyle name="Обычный 10 86" xfId="4844"/>
    <cellStyle name="Процентный 10 86" xfId="4845"/>
    <cellStyle name="Обычный 11 74" xfId="4846"/>
    <cellStyle name="Процентный 11 74" xfId="4847"/>
    <cellStyle name="Обычный 4 186" xfId="4848"/>
    <cellStyle name="Процентный 4 186" xfId="4849"/>
    <cellStyle name="Обычный 5 179" xfId="4850"/>
    <cellStyle name="Процентный 5 179" xfId="4851"/>
    <cellStyle name="Обычный 4 2 173" xfId="4852"/>
    <cellStyle name="Процентный 4 2 173" xfId="4853"/>
    <cellStyle name="Обычный 5 2 173" xfId="4854"/>
    <cellStyle name="Процентный 5 2 173" xfId="4855"/>
    <cellStyle name="Обычный 6 170" xfId="4856"/>
    <cellStyle name="Процентный 6 170" xfId="4857"/>
    <cellStyle name="Обычный 7 140" xfId="4858"/>
    <cellStyle name="Процентный 7 140" xfId="4859"/>
    <cellStyle name="Обычный 4 3 132" xfId="4860"/>
    <cellStyle name="Процентный 4 3 132" xfId="4861"/>
    <cellStyle name="Обычный 5 3 132" xfId="4862"/>
    <cellStyle name="Процентный 5 3 132" xfId="4863"/>
    <cellStyle name="Обычный 4 2 2 132" xfId="4864"/>
    <cellStyle name="Процентный 4 2 2 132" xfId="4865"/>
    <cellStyle name="Обычный 5 2 2 132" xfId="4866"/>
    <cellStyle name="Процентный 5 2 2 132" xfId="4867"/>
    <cellStyle name="Обычный 6 2 132" xfId="4868"/>
    <cellStyle name="Процентный 6 2 132" xfId="4869"/>
    <cellStyle name="Обычный 7 2 132" xfId="4870"/>
    <cellStyle name="Процентный 7 2 132" xfId="4871"/>
    <cellStyle name="Обычный 8 128" xfId="4872"/>
    <cellStyle name="Процентный 8 128" xfId="4873"/>
    <cellStyle name="Обычный 9 94" xfId="4874"/>
    <cellStyle name="Процентный 9 95" xfId="4875"/>
    <cellStyle name="Обычный 10 87" xfId="4876"/>
    <cellStyle name="Процентный 10 87" xfId="4877"/>
    <cellStyle name="Обычный 11 75" xfId="4878"/>
    <cellStyle name="Процентный 11 75" xfId="4879"/>
    <cellStyle name="Обычный 4 187" xfId="4880"/>
    <cellStyle name="Процентный 4 187" xfId="4881"/>
    <cellStyle name="Обычный 5 180" xfId="4882"/>
    <cellStyle name="Процентный 5 180" xfId="4883"/>
    <cellStyle name="Обычный 4 2 174" xfId="4884"/>
    <cellStyle name="Процентный 4 2 174" xfId="4885"/>
    <cellStyle name="Обычный 5 2 174" xfId="4886"/>
    <cellStyle name="Процентный 5 2 174" xfId="4887"/>
    <cellStyle name="Обычный 6 171" xfId="4888"/>
    <cellStyle name="Процентный 6 171" xfId="4889"/>
    <cellStyle name="Обычный 7 141" xfId="4890"/>
    <cellStyle name="Процентный 7 141" xfId="4891"/>
    <cellStyle name="Обычный 4 3 133" xfId="4892"/>
    <cellStyle name="Процентный 4 3 133" xfId="4893"/>
    <cellStyle name="Обычный 5 3 133" xfId="4894"/>
    <cellStyle name="Процентный 5 3 133" xfId="4895"/>
    <cellStyle name="Обычный 4 2 2 133" xfId="4896"/>
    <cellStyle name="Процентный 4 2 2 133" xfId="4897"/>
    <cellStyle name="Обычный 5 2 2 133" xfId="4898"/>
    <cellStyle name="Процентный 5 2 2 133" xfId="4899"/>
    <cellStyle name="Обычный 6 2 133" xfId="4900"/>
    <cellStyle name="Процентный 6 2 133" xfId="4901"/>
    <cellStyle name="Обычный 7 2 133" xfId="4902"/>
    <cellStyle name="Процентный 7 2 133" xfId="4903"/>
    <cellStyle name="Обычный 8 129" xfId="4904"/>
    <cellStyle name="Процентный 8 129" xfId="4905"/>
    <cellStyle name="Обычный 9 95" xfId="4906"/>
    <cellStyle name="Процентный 9 96" xfId="4907"/>
    <cellStyle name="Обычный 10 88" xfId="4908"/>
    <cellStyle name="Процентный 10 88" xfId="4909"/>
    <cellStyle name="Обычный 11 76" xfId="4910"/>
    <cellStyle name="Процентный 11 76" xfId="4911"/>
    <cellStyle name="Обычный 4 188" xfId="4912"/>
    <cellStyle name="Процентный 4 188" xfId="4913"/>
    <cellStyle name="Обычный 5 181" xfId="4914"/>
    <cellStyle name="Процентный 5 181" xfId="4915"/>
    <cellStyle name="Обычный 4 2 175" xfId="4916"/>
    <cellStyle name="Процентный 4 2 175" xfId="4917"/>
    <cellStyle name="Обычный 5 2 175" xfId="4918"/>
    <cellStyle name="Процентный 5 2 175" xfId="4919"/>
    <cellStyle name="Обычный 6 172" xfId="4920"/>
    <cellStyle name="Процентный 6 172" xfId="4921"/>
    <cellStyle name="Обычный 7 142" xfId="4922"/>
    <cellStyle name="Процентный 7 142" xfId="4923"/>
    <cellStyle name="Обычный 4 3 134" xfId="4924"/>
    <cellStyle name="Процентный 4 3 134" xfId="4925"/>
    <cellStyle name="Обычный 5 3 134" xfId="4926"/>
    <cellStyle name="Процентный 5 3 134" xfId="4927"/>
    <cellStyle name="Обычный 4 2 2 134" xfId="4928"/>
    <cellStyle name="Процентный 4 2 2 134" xfId="4929"/>
    <cellStyle name="Обычный 5 2 2 134" xfId="4930"/>
    <cellStyle name="Процентный 5 2 2 134" xfId="4931"/>
    <cellStyle name="Обычный 6 2 134" xfId="4932"/>
    <cellStyle name="Процентный 6 2 134" xfId="4933"/>
    <cellStyle name="Обычный 7 2 134" xfId="4934"/>
    <cellStyle name="Процентный 7 2 134" xfId="4935"/>
    <cellStyle name="Обычный 8 130" xfId="4936"/>
    <cellStyle name="Процентный 8 130" xfId="4937"/>
    <cellStyle name="Обычный 9 96" xfId="4938"/>
    <cellStyle name="Процентный 9 97" xfId="4939"/>
    <cellStyle name="Обычный 10 89" xfId="4940"/>
    <cellStyle name="Процентный 10 89" xfId="4941"/>
    <cellStyle name="Обычный 11 77" xfId="4942"/>
    <cellStyle name="Процентный 11 77" xfId="4943"/>
    <cellStyle name="Обычный 4 189" xfId="4944"/>
    <cellStyle name="Процентный 4 189" xfId="4945"/>
    <cellStyle name="Обычный 5 182" xfId="4946"/>
    <cellStyle name="Процентный 5 182" xfId="4947"/>
    <cellStyle name="Обычный 4 2 176" xfId="4948"/>
    <cellStyle name="Процентный 4 2 176" xfId="4949"/>
    <cellStyle name="Обычный 5 2 176" xfId="4950"/>
    <cellStyle name="Процентный 5 2 176" xfId="4951"/>
    <cellStyle name="Обычный 6 173" xfId="4952"/>
    <cellStyle name="Процентный 6 173" xfId="4953"/>
    <cellStyle name="Обычный 7 143" xfId="4954"/>
    <cellStyle name="Процентный 7 143" xfId="4955"/>
    <cellStyle name="Обычный 4 3 135" xfId="4956"/>
    <cellStyle name="Процентный 4 3 135" xfId="4957"/>
    <cellStyle name="Обычный 5 3 135" xfId="4958"/>
    <cellStyle name="Процентный 5 3 135" xfId="4959"/>
    <cellStyle name="Обычный 4 2 2 135" xfId="4960"/>
    <cellStyle name="Процентный 4 2 2 135" xfId="4961"/>
    <cellStyle name="Обычный 5 2 2 135" xfId="4962"/>
    <cellStyle name="Процентный 5 2 2 135" xfId="4963"/>
    <cellStyle name="Обычный 6 2 135" xfId="4964"/>
    <cellStyle name="Процентный 6 2 135" xfId="4965"/>
    <cellStyle name="Обычный 7 2 135" xfId="4966"/>
    <cellStyle name="Процентный 7 2 135" xfId="4967"/>
    <cellStyle name="Обычный 8 131" xfId="4968"/>
    <cellStyle name="Процентный 8 131" xfId="4969"/>
    <cellStyle name="Обычный 9 97" xfId="4970"/>
    <cellStyle name="Процентный 9 98" xfId="4971"/>
    <cellStyle name="Обычный 10 90" xfId="4972"/>
    <cellStyle name="Процентный 10 90" xfId="4973"/>
    <cellStyle name="Обычный 11 78" xfId="4974"/>
    <cellStyle name="Процентный 11 78" xfId="4975"/>
    <cellStyle name="Обычный 4 190" xfId="4976"/>
    <cellStyle name="Процентный 4 190" xfId="4977"/>
    <cellStyle name="Обычный 5 183" xfId="4978"/>
    <cellStyle name="Процентный 5 183" xfId="4979"/>
    <cellStyle name="Обычный 4 2 177" xfId="4980"/>
    <cellStyle name="Процентный 4 2 177" xfId="4981"/>
    <cellStyle name="Обычный 5 2 177" xfId="4982"/>
    <cellStyle name="Процентный 5 2 177" xfId="4983"/>
    <cellStyle name="Обычный 6 174" xfId="4984"/>
    <cellStyle name="Процентный 6 174" xfId="4985"/>
    <cellStyle name="Обычный 7 144" xfId="4986"/>
    <cellStyle name="Процентный 7 144" xfId="4987"/>
    <cellStyle name="Обычный 4 3 136" xfId="4988"/>
    <cellStyle name="Процентный 4 3 136" xfId="4989"/>
    <cellStyle name="Обычный 5 3 136" xfId="4990"/>
    <cellStyle name="Процентный 5 3 136" xfId="4991"/>
    <cellStyle name="Обычный 4 2 2 136" xfId="4992"/>
    <cellStyle name="Процентный 4 2 2 136" xfId="4993"/>
    <cellStyle name="Обычный 5 2 2 136" xfId="4994"/>
    <cellStyle name="Процентный 5 2 2 136" xfId="4995"/>
    <cellStyle name="Обычный 6 2 136" xfId="4996"/>
    <cellStyle name="Процентный 6 2 136" xfId="4997"/>
    <cellStyle name="Обычный 7 2 136" xfId="4998"/>
    <cellStyle name="Процентный 7 2 136" xfId="4999"/>
    <cellStyle name="Обычный 8 132" xfId="5000"/>
    <cellStyle name="Процентный 8 132" xfId="5001"/>
    <cellStyle name="Обычный 9 98" xfId="5002"/>
    <cellStyle name="Процентный 9 99" xfId="5003"/>
    <cellStyle name="Обычный 10 91" xfId="5004"/>
    <cellStyle name="Процентный 10 91" xfId="5005"/>
    <cellStyle name="Обычный 11 79" xfId="5006"/>
    <cellStyle name="Процентный 11 79" xfId="5007"/>
    <cellStyle name="Обычный 4 191" xfId="5008"/>
    <cellStyle name="Процентный 4 191" xfId="5009"/>
    <cellStyle name="Обычный 5 184" xfId="5010"/>
    <cellStyle name="Процентный 5 184" xfId="5011"/>
    <cellStyle name="Обычный 4 2 178" xfId="5012"/>
    <cellStyle name="Процентный 4 2 178" xfId="5013"/>
    <cellStyle name="Обычный 5 2 178" xfId="5014"/>
    <cellStyle name="Процентный 5 2 178" xfId="5015"/>
    <cellStyle name="Обычный 6 175" xfId="5016"/>
    <cellStyle name="Процентный 6 175" xfId="5017"/>
    <cellStyle name="Обычный 7 145" xfId="5018"/>
    <cellStyle name="Процентный 7 145" xfId="5019"/>
    <cellStyle name="Обычный 4 3 137" xfId="5020"/>
    <cellStyle name="Процентный 4 3 137" xfId="5021"/>
    <cellStyle name="Обычный 5 3 137" xfId="5022"/>
    <cellStyle name="Процентный 5 3 137" xfId="5023"/>
    <cellStyle name="Обычный 4 2 2 137" xfId="5024"/>
    <cellStyle name="Процентный 4 2 2 137" xfId="5025"/>
    <cellStyle name="Обычный 5 2 2 137" xfId="5026"/>
    <cellStyle name="Процентный 5 2 2 137" xfId="5027"/>
    <cellStyle name="Обычный 6 2 137" xfId="5028"/>
    <cellStyle name="Процентный 6 2 137" xfId="5029"/>
    <cellStyle name="Обычный 7 2 137" xfId="5030"/>
    <cellStyle name="Процентный 7 2 137" xfId="5031"/>
    <cellStyle name="Обычный 8 133" xfId="5032"/>
    <cellStyle name="Процентный 8 133" xfId="5033"/>
    <cellStyle name="Обычный 9 99" xfId="5034"/>
    <cellStyle name="Процентный 9 100" xfId="5035"/>
    <cellStyle name="Обычный 10 92" xfId="5036"/>
    <cellStyle name="Процентный 10 92" xfId="5037"/>
    <cellStyle name="Обычный 11 80" xfId="5038"/>
    <cellStyle name="Процентный 11 80" xfId="5039"/>
    <cellStyle name="Обычный 4 192" xfId="5040"/>
    <cellStyle name="Процентный 4 192" xfId="5041"/>
    <cellStyle name="Обычный 5 185" xfId="5042"/>
    <cellStyle name="Процентный 5 185" xfId="5043"/>
    <cellStyle name="Обычный 4 2 179" xfId="5044"/>
    <cellStyle name="Процентный 4 2 179" xfId="5045"/>
    <cellStyle name="Обычный 5 2 179" xfId="5046"/>
    <cellStyle name="Процентный 5 2 179" xfId="5047"/>
    <cellStyle name="Обычный 6 176" xfId="5048"/>
    <cellStyle name="Процентный 6 176" xfId="5049"/>
    <cellStyle name="Обычный 7 146" xfId="5050"/>
    <cellStyle name="Процентный 7 146" xfId="5051"/>
    <cellStyle name="Обычный 4 3 138" xfId="5052"/>
    <cellStyle name="Процентный 4 3 138" xfId="5053"/>
    <cellStyle name="Обычный 5 3 138" xfId="5054"/>
    <cellStyle name="Процентный 5 3 138" xfId="5055"/>
    <cellStyle name="Обычный 4 2 2 138" xfId="5056"/>
    <cellStyle name="Процентный 4 2 2 138" xfId="5057"/>
    <cellStyle name="Обычный 5 2 2 138" xfId="5058"/>
    <cellStyle name="Процентный 5 2 2 138" xfId="5059"/>
    <cellStyle name="Обычный 6 2 138" xfId="5060"/>
    <cellStyle name="Процентный 6 2 138" xfId="5061"/>
    <cellStyle name="Обычный 7 2 138" xfId="5062"/>
    <cellStyle name="Процентный 7 2 138" xfId="5063"/>
    <cellStyle name="Обычный 8 134" xfId="5064"/>
    <cellStyle name="Процентный 8 134" xfId="5065"/>
    <cellStyle name="Обычный 9 100" xfId="5066"/>
    <cellStyle name="Процентный 9 101" xfId="5067"/>
    <cellStyle name="Обычный 10 93" xfId="5068"/>
    <cellStyle name="Процентный 10 93" xfId="5069"/>
    <cellStyle name="Обычный 11 81" xfId="5070"/>
    <cellStyle name="Процентный 11 81" xfId="5071"/>
    <cellStyle name="Обычный 4 193" xfId="5072"/>
    <cellStyle name="Процентный 4 193" xfId="5073"/>
    <cellStyle name="Обычный 5 186" xfId="5074"/>
    <cellStyle name="Процентный 5 186" xfId="5075"/>
    <cellStyle name="Обычный 4 2 180" xfId="5076"/>
    <cellStyle name="Процентный 4 2 180" xfId="5077"/>
    <cellStyle name="Обычный 5 2 180" xfId="5078"/>
    <cellStyle name="Процентный 5 2 180" xfId="5079"/>
    <cellStyle name="Обычный 6 177" xfId="5080"/>
    <cellStyle name="Процентный 6 177" xfId="5081"/>
    <cellStyle name="Обычный 7 147" xfId="5082"/>
    <cellStyle name="Процентный 7 147" xfId="5083"/>
    <cellStyle name="Обычный 4 3 139" xfId="5084"/>
    <cellStyle name="Процентный 4 3 139" xfId="5085"/>
    <cellStyle name="Обычный 5 3 139" xfId="5086"/>
    <cellStyle name="Процентный 5 3 139" xfId="5087"/>
    <cellStyle name="Обычный 4 2 2 139" xfId="5088"/>
    <cellStyle name="Процентный 4 2 2 139" xfId="5089"/>
    <cellStyle name="Обычный 5 2 2 139" xfId="5090"/>
    <cellStyle name="Процентный 5 2 2 139" xfId="5091"/>
    <cellStyle name="Обычный 6 2 139" xfId="5092"/>
    <cellStyle name="Процентный 6 2 139" xfId="5093"/>
    <cellStyle name="Обычный 7 2 139" xfId="5094"/>
    <cellStyle name="Процентный 7 2 139" xfId="5095"/>
    <cellStyle name="Обычный 8 135" xfId="5096"/>
    <cellStyle name="Процентный 8 135" xfId="5097"/>
    <cellStyle name="Обычный 9 101" xfId="5098"/>
    <cellStyle name="Процентный 9 102" xfId="5099"/>
    <cellStyle name="Обычный 10 94" xfId="5100"/>
    <cellStyle name="Процентный 10 94" xfId="5101"/>
    <cellStyle name="Обычный 11 82" xfId="5102"/>
    <cellStyle name="Процентный 11 82" xfId="5103"/>
    <cellStyle name="Обычный 4 194" xfId="5104"/>
    <cellStyle name="Процентный 4 194" xfId="5105"/>
    <cellStyle name="Обычный 5 187" xfId="5106"/>
    <cellStyle name="Процентный 5 187" xfId="5107"/>
    <cellStyle name="Обычный 4 2 181" xfId="5108"/>
    <cellStyle name="Процентный 4 2 181" xfId="5109"/>
    <cellStyle name="Обычный 5 2 181" xfId="5110"/>
    <cellStyle name="Процентный 5 2 181" xfId="5111"/>
    <cellStyle name="Обычный 6 178" xfId="5112"/>
    <cellStyle name="Процентный 6 178" xfId="5113"/>
    <cellStyle name="Обычный 7 148" xfId="5114"/>
    <cellStyle name="Процентный 7 148" xfId="5115"/>
    <cellStyle name="Обычный 4 3 140" xfId="5116"/>
    <cellStyle name="Процентный 4 3 140" xfId="5117"/>
    <cellStyle name="Обычный 5 3 140" xfId="5118"/>
    <cellStyle name="Процентный 5 3 140" xfId="5119"/>
    <cellStyle name="Обычный 4 2 2 140" xfId="5120"/>
    <cellStyle name="Процентный 4 2 2 140" xfId="5121"/>
    <cellStyle name="Обычный 5 2 2 140" xfId="5122"/>
    <cellStyle name="Процентный 5 2 2 140" xfId="5123"/>
    <cellStyle name="Обычный 6 2 140" xfId="5124"/>
    <cellStyle name="Процентный 6 2 140" xfId="5125"/>
    <cellStyle name="Обычный 7 2 140" xfId="5126"/>
    <cellStyle name="Процентный 7 2 140" xfId="5127"/>
    <cellStyle name="Обычный 8 136" xfId="5128"/>
    <cellStyle name="Процентный 8 136" xfId="5129"/>
    <cellStyle name="Обычный 9 102" xfId="5130"/>
    <cellStyle name="Процентный 9 103" xfId="5131"/>
    <cellStyle name="Обычный 10 95" xfId="5132"/>
    <cellStyle name="Процентный 10 95" xfId="5133"/>
    <cellStyle name="Обычный 11 83" xfId="5134"/>
    <cellStyle name="Процентный 11 83" xfId="5135"/>
    <cellStyle name="Обычный 4 195" xfId="5136"/>
    <cellStyle name="Процентный 4 195" xfId="5137"/>
    <cellStyle name="Обычный 5 188" xfId="5138"/>
    <cellStyle name="Процентный 5 188" xfId="5139"/>
    <cellStyle name="Обычный 4 2 182" xfId="5140"/>
    <cellStyle name="Процентный 4 2 182" xfId="5141"/>
    <cellStyle name="Обычный 5 2 182" xfId="5142"/>
    <cellStyle name="Процентный 5 2 182" xfId="5143"/>
    <cellStyle name="Обычный 6 179" xfId="5144"/>
    <cellStyle name="Процентный 6 179" xfId="5145"/>
    <cellStyle name="Обычный 7 149" xfId="5146"/>
    <cellStyle name="Процентный 7 149" xfId="5147"/>
    <cellStyle name="Обычный 4 3 141" xfId="5148"/>
    <cellStyle name="Процентный 4 3 141" xfId="5149"/>
    <cellStyle name="Обычный 5 3 141" xfId="5150"/>
    <cellStyle name="Процентный 5 3 141" xfId="5151"/>
    <cellStyle name="Обычный 4 2 2 141" xfId="5152"/>
    <cellStyle name="Процентный 4 2 2 141" xfId="5153"/>
    <cellStyle name="Обычный 5 2 2 141" xfId="5154"/>
    <cellStyle name="Процентный 5 2 2 141" xfId="5155"/>
    <cellStyle name="Обычный 6 2 141" xfId="5156"/>
    <cellStyle name="Процентный 6 2 141" xfId="5157"/>
    <cellStyle name="Обычный 7 2 141" xfId="5158"/>
    <cellStyle name="Процентный 7 2 141" xfId="5159"/>
    <cellStyle name="Обычный 8 137" xfId="5160"/>
    <cellStyle name="Процентный 8 137" xfId="5161"/>
    <cellStyle name="Обычный 9 103" xfId="5162"/>
    <cellStyle name="Процентный 9 104" xfId="5163"/>
    <cellStyle name="Обычный 10 96" xfId="5164"/>
    <cellStyle name="Процентный 10 96" xfId="5165"/>
    <cellStyle name="Обычный 11 84" xfId="5166"/>
    <cellStyle name="Процентный 11 84" xfId="5167"/>
    <cellStyle name="Обычный 4 196" xfId="5168"/>
    <cellStyle name="Процентный 4 196" xfId="5169"/>
    <cellStyle name="Обычный 5 189" xfId="5170"/>
    <cellStyle name="Процентный 5 189" xfId="5171"/>
    <cellStyle name="Обычный 4 2 183" xfId="5172"/>
    <cellStyle name="Процентный 4 2 183" xfId="5173"/>
    <cellStyle name="Обычный 5 2 183" xfId="5174"/>
    <cellStyle name="Процентный 5 2 183" xfId="5175"/>
    <cellStyle name="Обычный 6 180" xfId="5176"/>
    <cellStyle name="Процентный 6 180" xfId="5177"/>
    <cellStyle name="Обычный 7 150" xfId="5178"/>
    <cellStyle name="Процентный 7 150" xfId="5179"/>
    <cellStyle name="Обычный 4 3 142" xfId="5180"/>
    <cellStyle name="Процентный 4 3 142" xfId="5181"/>
    <cellStyle name="Обычный 5 3 142" xfId="5182"/>
    <cellStyle name="Процентный 5 3 142" xfId="5183"/>
    <cellStyle name="Обычный 4 2 2 142" xfId="5184"/>
    <cellStyle name="Процентный 4 2 2 142" xfId="5185"/>
    <cellStyle name="Обычный 5 2 2 142" xfId="5186"/>
    <cellStyle name="Процентный 5 2 2 142" xfId="5187"/>
    <cellStyle name="Обычный 6 2 142" xfId="5188"/>
    <cellStyle name="Процентный 6 2 142" xfId="5189"/>
    <cellStyle name="Обычный 7 2 142" xfId="5190"/>
    <cellStyle name="Процентный 7 2 142" xfId="5191"/>
    <cellStyle name="Обычный 8 138" xfId="5192"/>
    <cellStyle name="Процентный 8 138" xfId="5193"/>
    <cellStyle name="Обычный 9 104" xfId="5194"/>
    <cellStyle name="Процентный 9 105" xfId="5195"/>
    <cellStyle name="Обычный 10 97" xfId="5196"/>
    <cellStyle name="Процентный 10 97" xfId="5197"/>
    <cellStyle name="Обычный 11 85" xfId="5198"/>
    <cellStyle name="Процентный 11 85" xfId="5199"/>
    <cellStyle name="Обычный 4 197" xfId="5200"/>
    <cellStyle name="Процентный 4 197" xfId="5201"/>
    <cellStyle name="Обычный 5 190" xfId="5202"/>
    <cellStyle name="Процентный 5 190" xfId="5203"/>
    <cellStyle name="Обычный 4 2 184" xfId="5204"/>
    <cellStyle name="Процентный 4 2 184" xfId="5205"/>
    <cellStyle name="Обычный 5 2 184" xfId="5206"/>
    <cellStyle name="Процентный 5 2 184" xfId="5207"/>
    <cellStyle name="Обычный 6 181" xfId="5208"/>
    <cellStyle name="Процентный 6 181" xfId="5209"/>
    <cellStyle name="Обычный 7 151" xfId="5210"/>
    <cellStyle name="Процентный 7 151" xfId="5211"/>
    <cellStyle name="Обычный 4 3 143" xfId="5212"/>
    <cellStyle name="Процентный 4 3 143" xfId="5213"/>
    <cellStyle name="Обычный 5 3 143" xfId="5214"/>
    <cellStyle name="Процентный 5 3 143" xfId="5215"/>
    <cellStyle name="Обычный 4 2 2 143" xfId="5216"/>
    <cellStyle name="Процентный 4 2 2 143" xfId="5217"/>
    <cellStyle name="Обычный 5 2 2 143" xfId="5218"/>
    <cellStyle name="Процентный 5 2 2 143" xfId="5219"/>
    <cellStyle name="Обычный 6 2 143" xfId="5220"/>
    <cellStyle name="Процентный 6 2 143" xfId="5221"/>
    <cellStyle name="Обычный 7 2 143" xfId="5222"/>
    <cellStyle name="Процентный 7 2 143" xfId="5223"/>
    <cellStyle name="Обычный 8 139" xfId="5224"/>
    <cellStyle name="Процентный 8 139" xfId="5225"/>
    <cellStyle name="Обычный 9 105" xfId="5226"/>
    <cellStyle name="Процентный 9 106" xfId="5227"/>
    <cellStyle name="Обычный 10 98" xfId="5228"/>
    <cellStyle name="Процентный 10 98" xfId="5229"/>
    <cellStyle name="Обычный 11 86" xfId="5230"/>
    <cellStyle name="Процентный 11 86" xfId="5231"/>
    <cellStyle name="Обычный 4 198" xfId="5232"/>
    <cellStyle name="Процентный 4 198" xfId="5233"/>
    <cellStyle name="Обычный 5 191" xfId="5234"/>
    <cellStyle name="Процентный 5 191" xfId="5235"/>
    <cellStyle name="Обычный 4 2 185" xfId="5236"/>
    <cellStyle name="Процентный 4 2 185" xfId="5237"/>
    <cellStyle name="Обычный 5 2 185" xfId="5238"/>
    <cellStyle name="Процентный 5 2 185" xfId="5239"/>
    <cellStyle name="Обычный 6 182" xfId="5240"/>
    <cellStyle name="Процентный 6 182" xfId="5241"/>
    <cellStyle name="Обычный 7 152" xfId="5242"/>
    <cellStyle name="Процентный 7 152" xfId="5243"/>
    <cellStyle name="Обычный 4 3 144" xfId="5244"/>
    <cellStyle name="Процентный 4 3 144" xfId="5245"/>
    <cellStyle name="Обычный 5 3 144" xfId="5246"/>
    <cellStyle name="Процентный 5 3 144" xfId="5247"/>
    <cellStyle name="Обычный 4 2 2 144" xfId="5248"/>
    <cellStyle name="Процентный 4 2 2 144" xfId="5249"/>
    <cellStyle name="Обычный 5 2 2 144" xfId="5250"/>
    <cellStyle name="Процентный 5 2 2 144" xfId="5251"/>
    <cellStyle name="Обычный 6 2 144" xfId="5252"/>
    <cellStyle name="Процентный 6 2 144" xfId="5253"/>
    <cellStyle name="Обычный 7 2 144" xfId="5254"/>
    <cellStyle name="Процентный 7 2 144" xfId="5255"/>
    <cellStyle name="Обычный 8 140" xfId="5256"/>
    <cellStyle name="Процентный 8 140" xfId="5257"/>
    <cellStyle name="Обычный 9 106" xfId="5258"/>
    <cellStyle name="Процентный 9 107" xfId="5259"/>
    <cellStyle name="Обычный 10 99" xfId="5260"/>
    <cellStyle name="Процентный 10 99" xfId="5261"/>
    <cellStyle name="Обычный 11 87" xfId="5262"/>
    <cellStyle name="Процентный 11 87" xfId="5263"/>
    <cellStyle name="Обычный 4 199" xfId="5264"/>
    <cellStyle name="Процентный 4 199" xfId="5265"/>
    <cellStyle name="Обычный 5 192" xfId="5266"/>
    <cellStyle name="Процентный 5 192" xfId="5267"/>
    <cellStyle name="Обычный 4 2 186" xfId="5268"/>
    <cellStyle name="Процентный 4 2 186" xfId="5269"/>
    <cellStyle name="Обычный 5 2 186" xfId="5270"/>
    <cellStyle name="Процентный 5 2 186" xfId="5271"/>
    <cellStyle name="Обычный 6 183" xfId="5272"/>
    <cellStyle name="Процентный 6 183" xfId="5273"/>
    <cellStyle name="Обычный 7 153" xfId="5274"/>
    <cellStyle name="Процентный 7 153" xfId="5275"/>
    <cellStyle name="Обычный 4 3 145" xfId="5276"/>
    <cellStyle name="Процентный 4 3 145" xfId="5277"/>
    <cellStyle name="Обычный 5 3 145" xfId="5278"/>
    <cellStyle name="Процентный 5 3 145" xfId="5279"/>
    <cellStyle name="Обычный 4 2 2 145" xfId="5280"/>
    <cellStyle name="Процентный 4 2 2 145" xfId="5281"/>
    <cellStyle name="Обычный 5 2 2 145" xfId="5282"/>
    <cellStyle name="Процентный 5 2 2 145" xfId="5283"/>
    <cellStyle name="Обычный 6 2 145" xfId="5284"/>
    <cellStyle name="Процентный 6 2 145" xfId="5285"/>
    <cellStyle name="Обычный 7 2 145" xfId="5286"/>
    <cellStyle name="Процентный 7 2 145" xfId="5287"/>
    <cellStyle name="Обычный 8 141" xfId="5288"/>
    <cellStyle name="Процентный 8 141" xfId="5289"/>
    <cellStyle name="Обычный 9 107" xfId="5290"/>
    <cellStyle name="Процентный 9 108" xfId="5291"/>
    <cellStyle name="Обычный 10 100" xfId="5292"/>
    <cellStyle name="Процентный 10 100" xfId="5293"/>
    <cellStyle name="Обычный 11 88" xfId="5294"/>
    <cellStyle name="Процентный 11 88" xfId="5295"/>
    <cellStyle name="Обычный 4 200" xfId="5296"/>
    <cellStyle name="Процентный 4 200" xfId="5297"/>
    <cellStyle name="Обычный 5 193" xfId="5298"/>
    <cellStyle name="Процентный 5 193" xfId="5299"/>
    <cellStyle name="Обычный 4 2 187" xfId="5300"/>
    <cellStyle name="Процентный 4 2 187" xfId="5301"/>
    <cellStyle name="Обычный 5 2 187" xfId="5302"/>
    <cellStyle name="Процентный 5 2 187" xfId="5303"/>
    <cellStyle name="Обычный 6 184" xfId="5304"/>
    <cellStyle name="Процентный 6 184" xfId="5305"/>
    <cellStyle name="Обычный 7 154" xfId="5306"/>
    <cellStyle name="Процентный 7 154" xfId="5307"/>
    <cellStyle name="Обычный 4 3 146" xfId="5308"/>
    <cellStyle name="Процентный 4 3 146" xfId="5309"/>
    <cellStyle name="Обычный 5 3 146" xfId="5310"/>
    <cellStyle name="Процентный 5 3 146" xfId="5311"/>
    <cellStyle name="Обычный 4 2 2 146" xfId="5312"/>
    <cellStyle name="Процентный 4 2 2 146" xfId="5313"/>
    <cellStyle name="Обычный 5 2 2 146" xfId="5314"/>
    <cellStyle name="Процентный 5 2 2 146" xfId="5315"/>
    <cellStyle name="Обычный 6 2 146" xfId="5316"/>
    <cellStyle name="Процентный 6 2 146" xfId="5317"/>
    <cellStyle name="Обычный 7 2 146" xfId="5318"/>
    <cellStyle name="Процентный 7 2 146" xfId="5319"/>
    <cellStyle name="Обычный 8 142" xfId="5320"/>
    <cellStyle name="Процентный 8 142" xfId="5321"/>
    <cellStyle name="Обычный 9 108" xfId="5322"/>
    <cellStyle name="Процентный 9 109" xfId="5323"/>
    <cellStyle name="Обычный 10 101" xfId="5324"/>
    <cellStyle name="Процентный 10 101" xfId="5325"/>
    <cellStyle name="Обычный 11 89" xfId="5326"/>
    <cellStyle name="Процентный 11 89" xfId="5327"/>
    <cellStyle name="Обычный 4 201" xfId="5328"/>
    <cellStyle name="Процентный 4 201" xfId="5329"/>
    <cellStyle name="Обычный 5 194" xfId="5330"/>
    <cellStyle name="Процентный 5 194" xfId="5331"/>
    <cellStyle name="Обычный 4 2 188" xfId="5332"/>
    <cellStyle name="Процентный 4 2 188" xfId="5333"/>
    <cellStyle name="Обычный 5 2 188" xfId="5334"/>
    <cellStyle name="Процентный 5 2 188" xfId="5335"/>
    <cellStyle name="Обычный 6 185" xfId="5336"/>
    <cellStyle name="Процентный 6 185" xfId="5337"/>
    <cellStyle name="Обычный 7 155" xfId="5338"/>
    <cellStyle name="Процентный 7 155" xfId="5339"/>
    <cellStyle name="Обычный 4 3 147" xfId="5340"/>
    <cellStyle name="Процентный 4 3 147" xfId="5341"/>
    <cellStyle name="Обычный 5 3 147" xfId="5342"/>
    <cellStyle name="Процентный 5 3 147" xfId="5343"/>
    <cellStyle name="Обычный 4 2 2 147" xfId="5344"/>
    <cellStyle name="Процентный 4 2 2 147" xfId="5345"/>
    <cellStyle name="Обычный 5 2 2 147" xfId="5346"/>
    <cellStyle name="Процентный 5 2 2 147" xfId="5347"/>
    <cellStyle name="Обычный 6 2 147" xfId="5348"/>
    <cellStyle name="Процентный 6 2 147" xfId="5349"/>
    <cellStyle name="Обычный 7 2 147" xfId="5350"/>
    <cellStyle name="Процентный 7 2 147" xfId="5351"/>
    <cellStyle name="Обычный 8 143" xfId="5352"/>
    <cellStyle name="Процентный 8 143" xfId="5353"/>
    <cellStyle name="Обычный 9 109" xfId="5354"/>
    <cellStyle name="Процентный 9 110" xfId="5355"/>
    <cellStyle name="Обычный 10 102" xfId="5356"/>
    <cellStyle name="Процентный 10 102" xfId="5357"/>
    <cellStyle name="Обычный 11 90" xfId="5358"/>
    <cellStyle name="Процентный 11 90" xfId="5359"/>
    <cellStyle name="Обычный 4 202" xfId="5360"/>
    <cellStyle name="Процентный 4 202" xfId="5361"/>
    <cellStyle name="Обычный 5 195" xfId="5362"/>
    <cellStyle name="Процентный 5 195" xfId="5363"/>
    <cellStyle name="Обычный 4 2 189" xfId="5364"/>
    <cellStyle name="Процентный 4 2 189" xfId="5365"/>
    <cellStyle name="Обычный 5 2 189" xfId="5366"/>
    <cellStyle name="Процентный 5 2 189" xfId="5367"/>
    <cellStyle name="Обычный 6 186" xfId="5368"/>
    <cellStyle name="Процентный 6 186" xfId="5369"/>
    <cellStyle name="Обычный 7 156" xfId="5370"/>
    <cellStyle name="Процентный 7 156" xfId="5371"/>
    <cellStyle name="Обычный 4 3 148" xfId="5372"/>
    <cellStyle name="Процентный 4 3 148" xfId="5373"/>
    <cellStyle name="Обычный 5 3 148" xfId="5374"/>
    <cellStyle name="Процентный 5 3 148" xfId="5375"/>
    <cellStyle name="Обычный 4 2 2 148" xfId="5376"/>
    <cellStyle name="Процентный 4 2 2 148" xfId="5377"/>
    <cellStyle name="Обычный 5 2 2 148" xfId="5378"/>
    <cellStyle name="Процентный 5 2 2 148" xfId="5379"/>
    <cellStyle name="Обычный 6 2 148" xfId="5380"/>
    <cellStyle name="Процентный 6 2 148" xfId="5381"/>
    <cellStyle name="Обычный 7 2 148" xfId="5382"/>
    <cellStyle name="Процентный 7 2 148" xfId="5383"/>
    <cellStyle name="Обычный 8 144" xfId="5384"/>
    <cellStyle name="Процентный 8 144" xfId="5385"/>
    <cellStyle name="Обычный 9 110" xfId="5386"/>
    <cellStyle name="Процентный 9 111" xfId="5387"/>
    <cellStyle name="Обычный 10 103" xfId="5388"/>
    <cellStyle name="Процентный 10 103" xfId="5389"/>
    <cellStyle name="Обычный 11 91" xfId="5390"/>
    <cellStyle name="Процентный 11 91" xfId="5391"/>
    <cellStyle name="Финансовый 2 2" xfId="5392"/>
    <cellStyle name="Обычный 3 4" xfId="5393"/>
    <cellStyle name="Обычный 4 203" xfId="5394"/>
    <cellStyle name="Процентный 4 203" xfId="5395"/>
    <cellStyle name="Финансовый 3 2 2" xfId="5396"/>
    <cellStyle name="Обычный 4 2 190" xfId="5397"/>
    <cellStyle name="Процентный 4 2 190" xfId="5398"/>
    <cellStyle name="Обычный 4 3 149" xfId="5399"/>
    <cellStyle name="Процентный 4 3 149" xfId="5400"/>
    <cellStyle name="Обычный 5 196" xfId="5401"/>
    <cellStyle name="Процентный 5 196" xfId="5402"/>
    <cellStyle name="Обычный 4 4 3" xfId="5403"/>
    <cellStyle name="Процентный 4 4 3" xfId="5404"/>
    <cellStyle name="Обычный 4 5 3" xfId="5405"/>
    <cellStyle name="Процентный 4 5 3" xfId="5406"/>
    <cellStyle name="Обычный 4 6 3" xfId="5407"/>
    <cellStyle name="Процентный 4 6 3" xfId="5408"/>
    <cellStyle name="Обычный 4 7 3" xfId="5409"/>
    <cellStyle name="Процентный 4 7 3" xfId="5410"/>
    <cellStyle name="Обычный 4 8 3" xfId="5411"/>
    <cellStyle name="Процентный 4 8 3" xfId="5412"/>
    <cellStyle name="Обычный 4 9 3" xfId="5413"/>
    <cellStyle name="Процентный 4 9 3" xfId="5414"/>
    <cellStyle name="Обычный 5 2 190" xfId="5415"/>
    <cellStyle name="Процентный 5 2 190" xfId="5416"/>
    <cellStyle name="Обычный 4 10 3" xfId="5417"/>
    <cellStyle name="Процентный 4 10 3" xfId="5418"/>
    <cellStyle name="Обычный 5 3 149" xfId="5419"/>
    <cellStyle name="Процентный 5 3 149" xfId="5420"/>
    <cellStyle name="Обычный 4 11 3" xfId="5421"/>
    <cellStyle name="Процентный 4 11 3" xfId="5422"/>
    <cellStyle name="Обычный 5 4 3" xfId="5423"/>
    <cellStyle name="Процентный 5 4 3" xfId="5424"/>
    <cellStyle name="Обычный 4 12 3" xfId="5425"/>
    <cellStyle name="Процентный 4 12 3" xfId="5426"/>
    <cellStyle name="Обычный 5 5 3" xfId="5427"/>
    <cellStyle name="Процентный 5 5 3" xfId="5428"/>
    <cellStyle name="Обычный 4 13 3" xfId="5429"/>
    <cellStyle name="Процентный 4 13 3" xfId="5430"/>
    <cellStyle name="Обычный 5 6 3" xfId="5431"/>
    <cellStyle name="Процентный 5 6 3" xfId="5432"/>
    <cellStyle name="Обычный 4 14 3" xfId="5433"/>
    <cellStyle name="Процентный 4 14 3" xfId="5434"/>
    <cellStyle name="Обычный 5 7 3" xfId="5435"/>
    <cellStyle name="Процентный 5 7 3" xfId="5436"/>
    <cellStyle name="Обычный 4 15 3" xfId="5437"/>
    <cellStyle name="Процентный 4 15 3" xfId="5438"/>
    <cellStyle name="Обычный 5 8 3" xfId="5439"/>
    <cellStyle name="Процентный 5 8 3" xfId="5440"/>
    <cellStyle name="Обычный 4 2 2 149" xfId="5441"/>
    <cellStyle name="Процентный 4 2 2 149" xfId="5442"/>
    <cellStyle name="Обычный 5 2 2 149" xfId="5443"/>
    <cellStyle name="Процентный 5 2 2 149" xfId="5444"/>
    <cellStyle name="Обычный 4 16 3" xfId="5445"/>
    <cellStyle name="Процентный 4 16 3" xfId="5446"/>
    <cellStyle name="Обычный 5 9 3" xfId="5447"/>
    <cellStyle name="Процентный 5 9 3" xfId="5448"/>
    <cellStyle name="Обычный 4 2 3 3" xfId="5449"/>
    <cellStyle name="Процентный 4 2 3 3" xfId="5450"/>
    <cellStyle name="Обычный 5 2 3 3" xfId="5451"/>
    <cellStyle name="Процентный 5 2 3 3" xfId="5452"/>
    <cellStyle name="Обычный 4 17 3" xfId="5453"/>
    <cellStyle name="Процентный 4 17 3" xfId="5454"/>
    <cellStyle name="Обычный 5 10 3" xfId="5455"/>
    <cellStyle name="Процентный 5 10 3" xfId="5456"/>
    <cellStyle name="Обычный 4 2 4 3" xfId="5457"/>
    <cellStyle name="Процентный 4 2 4 3" xfId="5458"/>
    <cellStyle name="Обычный 5 2 4 3" xfId="5459"/>
    <cellStyle name="Процентный 5 2 4 3" xfId="5460"/>
    <cellStyle name="Обычный 6 187" xfId="5461"/>
    <cellStyle name="Процентный 6 187" xfId="5462"/>
    <cellStyle name="Обычный 4 18 3" xfId="5463"/>
    <cellStyle name="Процентный 4 18 3" xfId="5464"/>
    <cellStyle name="Обычный 5 11 3" xfId="5465"/>
    <cellStyle name="Процентный 5 11 3" xfId="5466"/>
    <cellStyle name="Обычный 4 2 5 3" xfId="5467"/>
    <cellStyle name="Процентный 4 2 5 3" xfId="5468"/>
    <cellStyle name="Обычный 5 2 5 3" xfId="5469"/>
    <cellStyle name="Процентный 5 2 5 3" xfId="5470"/>
    <cellStyle name="Обычный 6 2 149" xfId="5471"/>
    <cellStyle name="Процентный 6 2 149" xfId="5472"/>
    <cellStyle name="Обычный 4 19 3" xfId="5473"/>
    <cellStyle name="Процентный 4 19 3" xfId="5474"/>
    <cellStyle name="Обычный 5 12 3" xfId="5475"/>
    <cellStyle name="Процентный 5 12 3" xfId="5476"/>
    <cellStyle name="Обычный 4 2 6 3" xfId="5477"/>
    <cellStyle name="Процентный 4 2 6 3" xfId="5478"/>
    <cellStyle name="Обычный 5 2 6 3" xfId="5479"/>
    <cellStyle name="Процентный 5 2 6 3" xfId="5480"/>
    <cellStyle name="Обычный 6 3 3" xfId="5481"/>
    <cellStyle name="Процентный 6 3 3" xfId="5482"/>
    <cellStyle name="Обычный 4 20 3" xfId="5483"/>
    <cellStyle name="Процентный 4 20 3" xfId="5484"/>
    <cellStyle name="Обычный 5 13 3" xfId="5485"/>
    <cellStyle name="Процентный 5 13 3" xfId="5486"/>
    <cellStyle name="Обычный 4 2 7 3" xfId="5487"/>
    <cellStyle name="Процентный 4 2 7 3" xfId="5488"/>
    <cellStyle name="Обычный 5 2 7 3" xfId="5489"/>
    <cellStyle name="Процентный 5 2 7 3" xfId="5490"/>
    <cellStyle name="Обычный 6 4 3" xfId="5491"/>
    <cellStyle name="Процентный 6 4 3" xfId="5492"/>
    <cellStyle name="Обычный 4 21 3" xfId="5493"/>
    <cellStyle name="Процентный 4 21 3" xfId="5494"/>
    <cellStyle name="Обычный 5 14 3" xfId="5495"/>
    <cellStyle name="Процентный 5 14 3" xfId="5496"/>
    <cellStyle name="Обычный 4 2 8 3" xfId="5497"/>
    <cellStyle name="Процентный 4 2 8 3" xfId="5498"/>
    <cellStyle name="Обычный 5 2 8 3" xfId="5499"/>
    <cellStyle name="Процентный 5 2 8 3" xfId="5500"/>
    <cellStyle name="Обычный 6 5 3" xfId="5501"/>
    <cellStyle name="Процентный 6 5 3" xfId="5502"/>
    <cellStyle name="Обычный 4 22 3" xfId="5503"/>
    <cellStyle name="Процентный 4 22 3" xfId="5504"/>
    <cellStyle name="Обычный 5 15 3" xfId="5505"/>
    <cellStyle name="Процентный 5 15 3" xfId="5506"/>
    <cellStyle name="Обычный 4 2 9 3" xfId="5507"/>
    <cellStyle name="Процентный 4 2 9 3" xfId="5508"/>
    <cellStyle name="Обычный 5 2 9 3" xfId="5509"/>
    <cellStyle name="Процентный 5 2 9 3" xfId="5510"/>
    <cellStyle name="Обычный 6 6 3" xfId="5511"/>
    <cellStyle name="Процентный 6 6 3" xfId="5512"/>
    <cellStyle name="Обычный 4 23 3" xfId="5513"/>
    <cellStyle name="Процентный 4 23 3" xfId="5514"/>
    <cellStyle name="Обычный 5 16 3" xfId="5515"/>
    <cellStyle name="Процентный 5 16 3" xfId="5516"/>
    <cellStyle name="Обычный 4 2 10 3" xfId="5517"/>
    <cellStyle name="Процентный 4 2 10 3" xfId="5518"/>
    <cellStyle name="Обычный 5 2 10 3" xfId="5519"/>
    <cellStyle name="Процентный 5 2 10 3" xfId="5520"/>
    <cellStyle name="Обычный 6 7 3" xfId="5521"/>
    <cellStyle name="Процентный 6 7 3" xfId="5522"/>
    <cellStyle name="Обычный 4 24 3" xfId="5523"/>
    <cellStyle name="Процентный 4 24 3" xfId="5524"/>
    <cellStyle name="Обычный 5 17 3" xfId="5525"/>
    <cellStyle name="Процентный 5 17 3" xfId="5526"/>
    <cellStyle name="Обычный 4 2 11 3" xfId="5527"/>
    <cellStyle name="Процентный 4 2 11 3" xfId="5528"/>
    <cellStyle name="Обычный 5 2 11 3" xfId="5529"/>
    <cellStyle name="Процентный 5 2 11 3" xfId="5530"/>
    <cellStyle name="Обычный 6 8 3" xfId="5531"/>
    <cellStyle name="Процентный 6 8 3" xfId="5532"/>
    <cellStyle name="Обычный 4 25 3" xfId="5533"/>
    <cellStyle name="Процентный 4 25 3" xfId="5534"/>
    <cellStyle name="Обычный 5 18 3" xfId="5535"/>
    <cellStyle name="Процентный 5 18 3" xfId="5536"/>
    <cellStyle name="Обычный 4 2 12 3" xfId="5537"/>
    <cellStyle name="Процентный 4 2 12 3" xfId="5538"/>
    <cellStyle name="Обычный 5 2 12 3" xfId="5539"/>
    <cellStyle name="Процентный 5 2 12 3" xfId="5540"/>
    <cellStyle name="Обычный 6 9 3" xfId="5541"/>
    <cellStyle name="Процентный 6 9 3" xfId="5542"/>
    <cellStyle name="Обычный 4 26 3" xfId="5543"/>
    <cellStyle name="Процентный 4 26 3" xfId="5544"/>
    <cellStyle name="Обычный 5 19 3" xfId="5545"/>
    <cellStyle name="Процентный 5 19 3" xfId="5546"/>
    <cellStyle name="Обычный 4 2 13 3" xfId="5547"/>
    <cellStyle name="Процентный 4 2 13 3" xfId="5548"/>
    <cellStyle name="Обычный 5 2 13 3" xfId="5549"/>
    <cellStyle name="Процентный 5 2 13 3" xfId="5550"/>
    <cellStyle name="Обычный 6 10 3" xfId="5551"/>
    <cellStyle name="Процентный 6 10 3" xfId="5552"/>
    <cellStyle name="Обычный 4 27 3" xfId="5553"/>
    <cellStyle name="Процентный 4 27 3" xfId="5554"/>
    <cellStyle name="Обычный 5 20 3" xfId="5555"/>
    <cellStyle name="Процентный 5 20 3" xfId="5556"/>
    <cellStyle name="Обычный 4 2 14 3" xfId="5557"/>
    <cellStyle name="Процентный 4 2 14 3" xfId="5558"/>
    <cellStyle name="Обычный 5 2 14 3" xfId="5559"/>
    <cellStyle name="Процентный 5 2 14 3" xfId="5560"/>
    <cellStyle name="Обычный 6 11 3" xfId="5561"/>
    <cellStyle name="Процентный 6 11 3" xfId="5562"/>
    <cellStyle name="Обычный 4 28 3" xfId="5563"/>
    <cellStyle name="Процентный 4 28 3" xfId="5564"/>
    <cellStyle name="Обычный 5 21 3" xfId="5565"/>
    <cellStyle name="Процентный 5 21 3" xfId="5566"/>
    <cellStyle name="Обычный 4 2 15 3" xfId="5567"/>
    <cellStyle name="Процентный 4 2 15 3" xfId="5568"/>
    <cellStyle name="Обычный 5 2 15 3" xfId="5569"/>
    <cellStyle name="Процентный 5 2 15 3" xfId="5570"/>
    <cellStyle name="Обычный 6 12 3" xfId="5571"/>
    <cellStyle name="Процентный 6 12 3" xfId="5572"/>
    <cellStyle name="Обычный 4 29 3" xfId="5573"/>
    <cellStyle name="Процентный 4 29 3" xfId="5574"/>
    <cellStyle name="Обычный 5 22 3" xfId="5575"/>
    <cellStyle name="Процентный 5 22 3" xfId="5576"/>
    <cellStyle name="Обычный 4 2 16 3" xfId="5577"/>
    <cellStyle name="Процентный 4 2 16 3" xfId="5578"/>
    <cellStyle name="Обычный 5 2 16 3" xfId="5579"/>
    <cellStyle name="Процентный 5 2 16 3" xfId="5580"/>
    <cellStyle name="Обычный 6 13 3" xfId="5581"/>
    <cellStyle name="Процентный 6 13 3" xfId="5582"/>
    <cellStyle name="Обычный 4 30 3" xfId="5583"/>
    <cellStyle name="Процентный 4 30 3" xfId="5584"/>
    <cellStyle name="Обычный 5 23 3" xfId="5585"/>
    <cellStyle name="Процентный 5 23 3" xfId="5586"/>
    <cellStyle name="Обычный 4 2 17 3" xfId="5587"/>
    <cellStyle name="Процентный 4 2 17 3" xfId="5588"/>
    <cellStyle name="Обычный 5 2 17 3" xfId="5589"/>
    <cellStyle name="Процентный 5 2 17 3" xfId="5590"/>
    <cellStyle name="Обычный 6 14 3" xfId="5591"/>
    <cellStyle name="Процентный 6 14 3" xfId="5592"/>
    <cellStyle name="Обычный 4 31 3" xfId="5593"/>
    <cellStyle name="Процентный 4 31 3" xfId="5594"/>
    <cellStyle name="Обычный 5 24 3" xfId="5595"/>
    <cellStyle name="Процентный 5 24 3" xfId="5596"/>
    <cellStyle name="Обычный 4 2 18 3" xfId="5597"/>
    <cellStyle name="Процентный 4 2 18 3" xfId="5598"/>
    <cellStyle name="Обычный 5 2 18 3" xfId="5599"/>
    <cellStyle name="Процентный 5 2 18 3" xfId="5600"/>
    <cellStyle name="Обычный 6 15 3" xfId="5601"/>
    <cellStyle name="Процентный 6 15 3" xfId="5602"/>
    <cellStyle name="Обычный 4 32 3" xfId="5603"/>
    <cellStyle name="Процентный 4 32 3" xfId="5604"/>
    <cellStyle name="Обычный 5 25 3" xfId="5605"/>
    <cellStyle name="Процентный 5 25 3" xfId="5606"/>
    <cellStyle name="Обычный 4 2 19 3" xfId="5607"/>
    <cellStyle name="Процентный 4 2 19 3" xfId="5608"/>
    <cellStyle name="Обычный 5 2 19 3" xfId="5609"/>
    <cellStyle name="Процентный 5 2 19 3" xfId="5610"/>
    <cellStyle name="Обычный 6 16 3" xfId="5611"/>
    <cellStyle name="Процентный 6 16 3" xfId="5612"/>
    <cellStyle name="Обычный 4 33 3" xfId="5613"/>
    <cellStyle name="Процентный 4 33 3" xfId="5614"/>
    <cellStyle name="Обычный 5 26 3" xfId="5615"/>
    <cellStyle name="Процентный 5 26 3" xfId="5616"/>
    <cellStyle name="Обычный 4 2 20 3" xfId="5617"/>
    <cellStyle name="Процентный 4 2 20 3" xfId="5618"/>
    <cellStyle name="Обычный 5 2 20 3" xfId="5619"/>
    <cellStyle name="Процентный 5 2 20 3" xfId="5620"/>
    <cellStyle name="Обычный 6 17 3" xfId="5621"/>
    <cellStyle name="Процентный 6 17 3" xfId="5622"/>
    <cellStyle name="Обычный 4 34 3" xfId="5623"/>
    <cellStyle name="Процентный 4 34 3" xfId="5624"/>
    <cellStyle name="Обычный 5 27 3" xfId="5625"/>
    <cellStyle name="Процентный 5 27 3" xfId="5626"/>
    <cellStyle name="Обычный 4 2 21 3" xfId="5627"/>
    <cellStyle name="Процентный 4 2 21 3" xfId="5628"/>
    <cellStyle name="Обычный 5 2 21 3" xfId="5629"/>
    <cellStyle name="Процентный 5 2 21 3" xfId="5630"/>
    <cellStyle name="Обычный 6 18 3" xfId="5631"/>
    <cellStyle name="Процентный 6 18 3" xfId="5632"/>
    <cellStyle name="Обычный 4 35 3" xfId="5633"/>
    <cellStyle name="Процентный 4 35 3" xfId="5634"/>
    <cellStyle name="Обычный 5 28 3" xfId="5635"/>
    <cellStyle name="Процентный 5 28 3" xfId="5636"/>
    <cellStyle name="Обычный 4 2 22 3" xfId="5637"/>
    <cellStyle name="Процентный 4 2 22 3" xfId="5638"/>
    <cellStyle name="Обычный 5 2 22 3" xfId="5639"/>
    <cellStyle name="Процентный 5 2 22 3" xfId="5640"/>
    <cellStyle name="Обычный 6 19 3" xfId="5641"/>
    <cellStyle name="Процентный 6 19 3" xfId="5642"/>
    <cellStyle name="Обычный 4 36 3" xfId="5643"/>
    <cellStyle name="Процентный 4 36 3" xfId="5644"/>
    <cellStyle name="Обычный 5 29 3" xfId="5645"/>
    <cellStyle name="Процентный 5 29 3" xfId="5646"/>
    <cellStyle name="Обычный 4 2 23 3" xfId="5647"/>
    <cellStyle name="Процентный 4 2 23 3" xfId="5648"/>
    <cellStyle name="Обычный 5 2 23 3" xfId="5649"/>
    <cellStyle name="Процентный 5 2 23 3" xfId="5650"/>
    <cellStyle name="Обычный 6 20 3" xfId="5651"/>
    <cellStyle name="Процентный 6 20 3" xfId="5652"/>
    <cellStyle name="Обычный 4 37 3" xfId="5653"/>
    <cellStyle name="Процентный 4 37 3" xfId="5654"/>
    <cellStyle name="Обычный 5 30 3" xfId="5655"/>
    <cellStyle name="Процентный 5 30 3" xfId="5656"/>
    <cellStyle name="Обычный 4 2 24 3" xfId="5657"/>
    <cellStyle name="Процентный 4 2 24 3" xfId="5658"/>
    <cellStyle name="Обычный 5 2 24 3" xfId="5659"/>
    <cellStyle name="Процентный 5 2 24 3" xfId="5660"/>
    <cellStyle name="Обычный 6 21 3" xfId="5661"/>
    <cellStyle name="Процентный 6 21 3" xfId="5662"/>
    <cellStyle name="Обычный 4 38 3" xfId="5663"/>
    <cellStyle name="Процентный 4 38 3" xfId="5664"/>
    <cellStyle name="Обычный 5 31 3" xfId="5665"/>
    <cellStyle name="Процентный 5 31 3" xfId="5666"/>
    <cellStyle name="Обычный 4 2 25 3" xfId="5667"/>
    <cellStyle name="Процентный 4 2 25 3" xfId="5668"/>
    <cellStyle name="Обычный 5 2 25 3" xfId="5669"/>
    <cellStyle name="Процентный 5 2 25 3" xfId="5670"/>
    <cellStyle name="Обычный 6 22 3" xfId="5671"/>
    <cellStyle name="Процентный 6 22 3" xfId="5672"/>
    <cellStyle name="Обычный 4 39 3" xfId="5673"/>
    <cellStyle name="Процентный 4 39 3" xfId="5674"/>
    <cellStyle name="Обычный 5 32 3" xfId="5675"/>
    <cellStyle name="Процентный 5 32 3" xfId="5676"/>
    <cellStyle name="Обычный 4 2 26 3" xfId="5677"/>
    <cellStyle name="Процентный 4 2 26 3" xfId="5678"/>
    <cellStyle name="Обычный 5 2 26 3" xfId="5679"/>
    <cellStyle name="Процентный 5 2 26 3" xfId="5680"/>
    <cellStyle name="Обычный 6 23 3" xfId="5681"/>
    <cellStyle name="Процентный 6 23 3" xfId="5682"/>
    <cellStyle name="Обычный 4 40 3" xfId="5683"/>
    <cellStyle name="Процентный 4 40 3" xfId="5684"/>
    <cellStyle name="Обычный 5 33 3" xfId="5685"/>
    <cellStyle name="Процентный 5 33 3" xfId="5686"/>
    <cellStyle name="Обычный 4 2 27 3" xfId="5687"/>
    <cellStyle name="Процентный 4 2 27 3" xfId="5688"/>
    <cellStyle name="Обычный 5 2 27 3" xfId="5689"/>
    <cellStyle name="Процентный 5 2 27 3" xfId="5690"/>
    <cellStyle name="Обычный 6 24 3" xfId="5691"/>
    <cellStyle name="Процентный 6 24 3" xfId="5692"/>
    <cellStyle name="Обычный 4 41 3" xfId="5693"/>
    <cellStyle name="Процентный 4 41 3" xfId="5694"/>
    <cellStyle name="Обычный 5 34 3" xfId="5695"/>
    <cellStyle name="Процентный 5 34 3" xfId="5696"/>
    <cellStyle name="Обычный 4 2 28 3" xfId="5697"/>
    <cellStyle name="Процентный 4 2 28 3" xfId="5698"/>
    <cellStyle name="Обычный 5 2 28 3" xfId="5699"/>
    <cellStyle name="Процентный 5 2 28 3" xfId="5700"/>
    <cellStyle name="Обычный 6 25 3" xfId="5701"/>
    <cellStyle name="Процентный 6 25 3" xfId="5702"/>
    <cellStyle name="Обычный 4 42 3" xfId="5703"/>
    <cellStyle name="Процентный 4 42 3" xfId="5704"/>
    <cellStyle name="Обычный 5 35 3" xfId="5705"/>
    <cellStyle name="Процентный 5 35 3" xfId="5706"/>
    <cellStyle name="Обычный 4 2 29 3" xfId="5707"/>
    <cellStyle name="Процентный 4 2 29 3" xfId="5708"/>
    <cellStyle name="Обычный 5 2 29 3" xfId="5709"/>
    <cellStyle name="Процентный 5 2 29 3" xfId="5710"/>
    <cellStyle name="Обычный 6 26 3" xfId="5711"/>
    <cellStyle name="Процентный 6 26 3" xfId="5712"/>
    <cellStyle name="Обычный 4 43 3" xfId="5713"/>
    <cellStyle name="Процентный 4 43 3" xfId="5714"/>
    <cellStyle name="Обычный 5 36 3" xfId="5715"/>
    <cellStyle name="Процентный 5 36 3" xfId="5716"/>
    <cellStyle name="Обычный 4 2 30 3" xfId="5717"/>
    <cellStyle name="Процентный 4 2 30 3" xfId="5718"/>
    <cellStyle name="Обычный 5 2 30 3" xfId="5719"/>
    <cellStyle name="Процентный 5 2 30 3" xfId="5720"/>
    <cellStyle name="Обычный 6 27 3" xfId="5721"/>
    <cellStyle name="Процентный 6 27 3" xfId="5722"/>
    <cellStyle name="Обычный 4 44 3" xfId="5723"/>
    <cellStyle name="Процентный 4 44 3" xfId="5724"/>
    <cellStyle name="Обычный 5 37 3" xfId="5725"/>
    <cellStyle name="Процентный 5 37 3" xfId="5726"/>
    <cellStyle name="Обычный 4 2 31 3" xfId="5727"/>
    <cellStyle name="Процентный 4 2 31 3" xfId="5728"/>
    <cellStyle name="Обычный 5 2 31 3" xfId="5729"/>
    <cellStyle name="Процентный 5 2 31 3" xfId="5730"/>
    <cellStyle name="Обычный 6 28 3" xfId="5731"/>
    <cellStyle name="Процентный 6 28 3" xfId="5732"/>
    <cellStyle name="Обычный 4 45 3" xfId="5733"/>
    <cellStyle name="Процентный 4 45 3" xfId="5734"/>
    <cellStyle name="Обычный 5 38 3" xfId="5735"/>
    <cellStyle name="Процентный 5 38 3" xfId="5736"/>
    <cellStyle name="Обычный 4 2 32 3" xfId="5737"/>
    <cellStyle name="Процентный 4 2 32 3" xfId="5738"/>
    <cellStyle name="Обычный 5 2 32 3" xfId="5739"/>
    <cellStyle name="Процентный 5 2 32 3" xfId="5740"/>
    <cellStyle name="Обычный 6 29 3" xfId="5741"/>
    <cellStyle name="Процентный 6 29 3" xfId="5742"/>
    <cellStyle name="Обычный 4 46 3" xfId="5743"/>
    <cellStyle name="Процентный 4 46 3" xfId="5744"/>
    <cellStyle name="Обычный 5 39 3" xfId="5745"/>
    <cellStyle name="Процентный 5 39 3" xfId="5746"/>
    <cellStyle name="Обычный 4 2 33 3" xfId="5747"/>
    <cellStyle name="Процентный 4 2 33 3" xfId="5748"/>
    <cellStyle name="Обычный 5 2 33 3" xfId="5749"/>
    <cellStyle name="Процентный 5 2 33 3" xfId="5750"/>
    <cellStyle name="Обычный 6 30 3" xfId="5751"/>
    <cellStyle name="Процентный 6 30 3" xfId="5752"/>
    <cellStyle name="Обычный 4 47 3" xfId="5753"/>
    <cellStyle name="Процентный 4 47 3" xfId="5754"/>
    <cellStyle name="Обычный 5 40 3" xfId="5755"/>
    <cellStyle name="Процентный 5 40 3" xfId="5756"/>
    <cellStyle name="Обычный 4 2 34 3" xfId="5757"/>
    <cellStyle name="Процентный 4 2 34 3" xfId="5758"/>
    <cellStyle name="Обычный 5 2 34 3" xfId="5759"/>
    <cellStyle name="Процентный 5 2 34 3" xfId="5760"/>
    <cellStyle name="Обычный 6 31 3" xfId="5761"/>
    <cellStyle name="Процентный 6 31 3" xfId="5762"/>
    <cellStyle name="Обычный 7 157" xfId="5763"/>
    <cellStyle name="Процентный 7 157" xfId="5764"/>
    <cellStyle name="Обычный 4 48 3" xfId="5765"/>
    <cellStyle name="Процентный 4 48 3" xfId="5766"/>
    <cellStyle name="Обычный 5 41 3" xfId="5767"/>
    <cellStyle name="Процентный 5 41 3" xfId="5768"/>
    <cellStyle name="Обычный 4 2 35 3" xfId="5769"/>
    <cellStyle name="Процентный 4 2 35 3" xfId="5770"/>
    <cellStyle name="Обычный 5 2 35 3" xfId="5771"/>
    <cellStyle name="Процентный 5 2 35 3" xfId="5772"/>
    <cellStyle name="Обычный 6 32 3" xfId="5773"/>
    <cellStyle name="Процентный 6 32 3" xfId="5774"/>
    <cellStyle name="Обычный 7 2 149" xfId="5775"/>
    <cellStyle name="Процентный 7 2 149" xfId="5776"/>
    <cellStyle name="Обычный 4 49 3" xfId="5777"/>
    <cellStyle name="Процентный 4 49 3" xfId="5778"/>
    <cellStyle name="Обычный 5 42 3" xfId="5779"/>
    <cellStyle name="Процентный 5 42 3" xfId="5780"/>
    <cellStyle name="Обычный 4 2 36 3" xfId="5781"/>
    <cellStyle name="Процентный 4 2 36 3" xfId="5782"/>
    <cellStyle name="Обычный 5 2 36 3" xfId="5783"/>
    <cellStyle name="Процентный 5 2 36 3" xfId="5784"/>
    <cellStyle name="Обычный 6 33 3" xfId="5785"/>
    <cellStyle name="Процентный 6 33 3" xfId="5786"/>
    <cellStyle name="Обычный 7 3 3" xfId="5787"/>
    <cellStyle name="Процентный 7 3 3" xfId="5788"/>
    <cellStyle name="Обычный 4 50 3" xfId="5789"/>
    <cellStyle name="Процентный 4 50 3" xfId="5790"/>
    <cellStyle name="Обычный 5 43 3" xfId="5791"/>
    <cellStyle name="Процентный 5 43 3" xfId="5792"/>
    <cellStyle name="Обычный 4 2 37 3" xfId="5793"/>
    <cellStyle name="Процентный 4 2 37 3" xfId="5794"/>
    <cellStyle name="Обычный 5 2 37 3" xfId="5795"/>
    <cellStyle name="Процентный 5 2 37 3" xfId="5796"/>
    <cellStyle name="Обычный 6 34 3" xfId="5797"/>
    <cellStyle name="Процентный 6 34 3" xfId="5798"/>
    <cellStyle name="Обычный 7 4 3" xfId="5799"/>
    <cellStyle name="Процентный 7 4 3" xfId="5800"/>
    <cellStyle name="Обычный 4 51 3" xfId="5801"/>
    <cellStyle name="Процентный 4 51 3" xfId="5802"/>
    <cellStyle name="Обычный 5 44 3" xfId="5803"/>
    <cellStyle name="Процентный 5 44 3" xfId="5804"/>
    <cellStyle name="Обычный 4 2 38 3" xfId="5805"/>
    <cellStyle name="Процентный 4 2 38 3" xfId="5806"/>
    <cellStyle name="Обычный 5 2 38 3" xfId="5807"/>
    <cellStyle name="Процентный 5 2 38 3" xfId="5808"/>
    <cellStyle name="Обычный 6 35 3" xfId="5809"/>
    <cellStyle name="Процентный 6 35 3" xfId="5810"/>
    <cellStyle name="Обычный 7 5 3" xfId="5811"/>
    <cellStyle name="Процентный 7 5 3" xfId="5812"/>
    <cellStyle name="Обычный 4 52 3" xfId="5813"/>
    <cellStyle name="Процентный 4 52 3" xfId="5814"/>
    <cellStyle name="Обычный 5 45 3" xfId="5815"/>
    <cellStyle name="Процентный 5 45 3" xfId="5816"/>
    <cellStyle name="Обычный 4 2 39 3" xfId="5817"/>
    <cellStyle name="Процентный 4 2 39 3" xfId="5818"/>
    <cellStyle name="Обычный 5 2 39 3" xfId="5819"/>
    <cellStyle name="Процентный 5 2 39 3" xfId="5820"/>
    <cellStyle name="Обычный 6 36 3" xfId="5821"/>
    <cellStyle name="Процентный 6 36 3" xfId="5822"/>
    <cellStyle name="Обычный 7 6 3" xfId="5823"/>
    <cellStyle name="Процентный 7 6 3" xfId="5824"/>
    <cellStyle name="Обычный 4 53 3" xfId="5825"/>
    <cellStyle name="Процентный 4 53 3" xfId="5826"/>
    <cellStyle name="Обычный 5 46 3" xfId="5827"/>
    <cellStyle name="Процентный 5 46 3" xfId="5828"/>
    <cellStyle name="Обычный 4 2 40 3" xfId="5829"/>
    <cellStyle name="Процентный 4 2 40 3" xfId="5830"/>
    <cellStyle name="Обычный 5 2 40 3" xfId="5831"/>
    <cellStyle name="Процентный 5 2 40 3" xfId="5832"/>
    <cellStyle name="Обычный 6 37 3" xfId="5833"/>
    <cellStyle name="Процентный 6 37 3" xfId="5834"/>
    <cellStyle name="Обычный 7 7 3" xfId="5835"/>
    <cellStyle name="Процентный 7 7 3" xfId="5836"/>
    <cellStyle name="Обычный 4 54 3" xfId="5837"/>
    <cellStyle name="Процентный 4 54 3" xfId="5838"/>
    <cellStyle name="Обычный 5 47 3" xfId="5839"/>
    <cellStyle name="Процентный 5 47 3" xfId="5840"/>
    <cellStyle name="Обычный 4 2 41 3" xfId="5841"/>
    <cellStyle name="Процентный 4 2 41 3" xfId="5842"/>
    <cellStyle name="Обычный 5 2 41 3" xfId="5843"/>
    <cellStyle name="Процентный 5 2 41 3" xfId="5844"/>
    <cellStyle name="Обычный 6 38 3" xfId="5845"/>
    <cellStyle name="Процентный 6 38 3" xfId="5846"/>
    <cellStyle name="Обычный 7 8 3" xfId="5847"/>
    <cellStyle name="Процентный 7 8 3" xfId="5848"/>
    <cellStyle name="Обычный 4 55 3" xfId="5849"/>
    <cellStyle name="Процентный 4 55 3" xfId="5850"/>
    <cellStyle name="Обычный 5 48 3" xfId="5851"/>
    <cellStyle name="Процентный 5 48 3" xfId="5852"/>
    <cellStyle name="Обычный 4 2 42 3" xfId="5853"/>
    <cellStyle name="Процентный 4 2 42 3" xfId="5854"/>
    <cellStyle name="Обычный 5 2 42 3" xfId="5855"/>
    <cellStyle name="Процентный 5 2 42 3" xfId="5856"/>
    <cellStyle name="Обычный 6 39 3" xfId="5857"/>
    <cellStyle name="Процентный 6 39 3" xfId="5858"/>
    <cellStyle name="Обычный 7 9 3" xfId="5859"/>
    <cellStyle name="Процентный 7 9 3" xfId="5860"/>
    <cellStyle name="Обычный 3 3 2" xfId="5861"/>
    <cellStyle name="Обычный 4 56 2" xfId="5862"/>
    <cellStyle name="Процентный 4 56 2" xfId="5863"/>
    <cellStyle name="Обычный 4 2 43 2" xfId="5864"/>
    <cellStyle name="Процентный 4 2 43 2" xfId="5865"/>
    <cellStyle name="Обычный 4 3 2 2" xfId="5866"/>
    <cellStyle name="Процентный 4 3 2 2" xfId="5867"/>
    <cellStyle name="Обычный 5 49 2" xfId="5868"/>
    <cellStyle name="Процентный 5 49 2" xfId="5869"/>
    <cellStyle name="Обычный 4 4 2 2" xfId="5870"/>
    <cellStyle name="Процентный 4 4 2 2" xfId="5871"/>
    <cellStyle name="Обычный 4 5 2 2" xfId="5872"/>
    <cellStyle name="Процентный 4 5 2 2" xfId="5873"/>
    <cellStyle name="Обычный 4 6 2 2" xfId="5874"/>
    <cellStyle name="Процентный 4 6 2 2" xfId="5875"/>
    <cellStyle name="Обычный 4 7 2 2" xfId="5876"/>
    <cellStyle name="Процентный 4 7 2 2" xfId="5877"/>
    <cellStyle name="Обычный 4 8 2 2" xfId="5878"/>
    <cellStyle name="Процентный 4 8 2 2" xfId="5879"/>
    <cellStyle name="Обычный 4 9 2 2" xfId="5880"/>
    <cellStyle name="Процентный 4 9 2 2" xfId="5881"/>
    <cellStyle name="Обычный 5 2 43 2" xfId="5882"/>
    <cellStyle name="Процентный 5 2 43 2" xfId="5883"/>
    <cellStyle name="Обычный 4 10 2 2" xfId="5884"/>
    <cellStyle name="Процентный 4 10 2 2" xfId="5885"/>
    <cellStyle name="Обычный 5 3 2 2" xfId="5886"/>
    <cellStyle name="Процентный 5 3 2 2" xfId="5887"/>
    <cellStyle name="Обычный 4 11 2 2" xfId="5888"/>
    <cellStyle name="Процентный 4 11 2 2" xfId="5889"/>
    <cellStyle name="Обычный 5 4 2 2" xfId="5890"/>
    <cellStyle name="Процентный 5 4 2 2" xfId="5891"/>
    <cellStyle name="Обычный 4 12 2 2" xfId="5892"/>
    <cellStyle name="Процентный 4 12 2 2" xfId="5893"/>
    <cellStyle name="Обычный 5 5 2 2" xfId="5894"/>
    <cellStyle name="Процентный 5 5 2 2" xfId="5895"/>
    <cellStyle name="Обычный 4 13 2 2" xfId="5896"/>
    <cellStyle name="Процентный 4 13 2 2" xfId="5897"/>
    <cellStyle name="Обычный 5 6 2 2" xfId="5898"/>
    <cellStyle name="Процентный 5 6 2 2" xfId="5899"/>
    <cellStyle name="Обычный 4 14 2 2" xfId="5900"/>
    <cellStyle name="Процентный 4 14 2 2" xfId="5901"/>
    <cellStyle name="Обычный 5 7 2 2" xfId="5902"/>
    <cellStyle name="Процентный 5 7 2 2" xfId="5903"/>
    <cellStyle name="Обычный 4 15 2 2" xfId="5904"/>
    <cellStyle name="Процентный 4 15 2 2" xfId="5905"/>
    <cellStyle name="Обычный 5 8 2 2" xfId="5906"/>
    <cellStyle name="Процентный 5 8 2 2" xfId="5907"/>
    <cellStyle name="Обычный 4 2 2 2 2" xfId="5908"/>
    <cellStyle name="Процентный 4 2 2 2 2" xfId="5909"/>
    <cellStyle name="Обычный 5 2 2 2 2" xfId="5910"/>
    <cellStyle name="Процентный 5 2 2 2 2" xfId="5911"/>
    <cellStyle name="Обычный 4 16 2 2" xfId="5912"/>
    <cellStyle name="Процентный 4 16 2 2" xfId="5913"/>
    <cellStyle name="Обычный 5 9 2 2" xfId="5914"/>
    <cellStyle name="Процентный 5 9 2 2" xfId="5915"/>
    <cellStyle name="Обычный 4 2 3 2 2" xfId="5916"/>
    <cellStyle name="Процентный 4 2 3 2 2" xfId="5917"/>
    <cellStyle name="Обычный 5 2 3 2 2" xfId="5918"/>
    <cellStyle name="Процентный 5 2 3 2 2" xfId="5919"/>
    <cellStyle name="Обычный 4 17 2 2" xfId="5920"/>
    <cellStyle name="Процентный 4 17 2 2" xfId="5921"/>
    <cellStyle name="Обычный 5 10 2 2" xfId="5922"/>
    <cellStyle name="Процентный 5 10 2 2" xfId="5923"/>
    <cellStyle name="Обычный 4 2 4 2 2" xfId="5924"/>
    <cellStyle name="Процентный 4 2 4 2 2" xfId="5925"/>
    <cellStyle name="Обычный 5 2 4 2 2" xfId="5926"/>
    <cellStyle name="Процентный 5 2 4 2 2" xfId="5927"/>
    <cellStyle name="Обычный 6 40 2" xfId="5928"/>
    <cellStyle name="Процентный 6 40 2" xfId="5929"/>
    <cellStyle name="Обычный 4 18 2 2" xfId="5930"/>
    <cellStyle name="Процентный 4 18 2 2" xfId="5931"/>
    <cellStyle name="Обычный 5 11 2 2" xfId="5932"/>
    <cellStyle name="Процентный 5 11 2 2" xfId="5933"/>
    <cellStyle name="Обычный 4 2 5 2 2" xfId="5934"/>
    <cellStyle name="Процентный 4 2 5 2 2" xfId="5935"/>
    <cellStyle name="Обычный 5 2 5 2 2" xfId="5936"/>
    <cellStyle name="Процентный 5 2 5 2 2" xfId="5937"/>
    <cellStyle name="Обычный 6 2 2 2" xfId="5938"/>
    <cellStyle name="Процентный 6 2 2 2" xfId="5939"/>
    <cellStyle name="Обычный 4 19 2 2" xfId="5940"/>
    <cellStyle name="Процентный 4 19 2 2" xfId="5941"/>
    <cellStyle name="Обычный 5 12 2 2" xfId="5942"/>
    <cellStyle name="Процентный 5 12 2 2" xfId="5943"/>
    <cellStyle name="Обычный 4 2 6 2 2" xfId="5944"/>
    <cellStyle name="Процентный 4 2 6 2 2" xfId="5945"/>
    <cellStyle name="Обычный 5 2 6 2 2" xfId="5946"/>
    <cellStyle name="Процентный 5 2 6 2 2" xfId="5947"/>
    <cellStyle name="Обычный 6 3 2 2" xfId="5948"/>
    <cellStyle name="Процентный 6 3 2 2" xfId="5949"/>
    <cellStyle name="Обычный 4 20 2 2" xfId="5950"/>
    <cellStyle name="Процентный 4 20 2 2" xfId="5951"/>
    <cellStyle name="Обычный 5 13 2 2" xfId="5952"/>
    <cellStyle name="Процентный 5 13 2 2" xfId="5953"/>
    <cellStyle name="Обычный 4 2 7 2 2" xfId="5954"/>
    <cellStyle name="Процентный 4 2 7 2 2" xfId="5955"/>
    <cellStyle name="Обычный 5 2 7 2 2" xfId="5956"/>
    <cellStyle name="Процентный 5 2 7 2 2" xfId="5957"/>
    <cellStyle name="Обычный 6 4 2 2" xfId="5958"/>
    <cellStyle name="Процентный 6 4 2 2" xfId="5959"/>
    <cellStyle name="Обычный 4 21 2 2" xfId="5960"/>
    <cellStyle name="Процентный 4 21 2 2" xfId="5961"/>
    <cellStyle name="Обычный 5 14 2 2" xfId="5962"/>
    <cellStyle name="Процентный 5 14 2 2" xfId="5963"/>
    <cellStyle name="Обычный 4 2 8 2 2" xfId="5964"/>
    <cellStyle name="Процентный 4 2 8 2 2" xfId="5965"/>
    <cellStyle name="Обычный 5 2 8 2 2" xfId="5966"/>
    <cellStyle name="Процентный 5 2 8 2 2" xfId="5967"/>
    <cellStyle name="Обычный 6 5 2 2" xfId="5968"/>
    <cellStyle name="Процентный 6 5 2 2" xfId="5969"/>
    <cellStyle name="Обычный 4 22 2 2" xfId="5970"/>
    <cellStyle name="Процентный 4 22 2 2" xfId="5971"/>
    <cellStyle name="Обычный 5 15 2 2" xfId="5972"/>
    <cellStyle name="Процентный 5 15 2 2" xfId="5973"/>
    <cellStyle name="Обычный 4 2 9 2 2" xfId="5974"/>
    <cellStyle name="Процентный 4 2 9 2 2" xfId="5975"/>
    <cellStyle name="Обычный 5 2 9 2 2" xfId="5976"/>
    <cellStyle name="Процентный 5 2 9 2 2" xfId="5977"/>
    <cellStyle name="Обычный 6 6 2 2" xfId="5978"/>
    <cellStyle name="Процентный 6 6 2 2" xfId="5979"/>
    <cellStyle name="Обычный 4 23 2 2" xfId="5980"/>
    <cellStyle name="Процентный 4 23 2 2" xfId="5981"/>
    <cellStyle name="Обычный 5 16 2 2" xfId="5982"/>
    <cellStyle name="Процентный 5 16 2 2" xfId="5983"/>
    <cellStyle name="Обычный 4 2 10 2 2" xfId="5984"/>
    <cellStyle name="Процентный 4 2 10 2 2" xfId="5985"/>
    <cellStyle name="Обычный 5 2 10 2 2" xfId="5986"/>
    <cellStyle name="Процентный 5 2 10 2 2" xfId="5987"/>
    <cellStyle name="Обычный 6 7 2 2" xfId="5988"/>
    <cellStyle name="Процентный 6 7 2 2" xfId="5989"/>
    <cellStyle name="Обычный 4 24 2 2" xfId="5990"/>
    <cellStyle name="Процентный 4 24 2 2" xfId="5991"/>
    <cellStyle name="Обычный 5 17 2 2" xfId="5992"/>
    <cellStyle name="Процентный 5 17 2 2" xfId="5993"/>
    <cellStyle name="Обычный 4 2 11 2 2" xfId="5994"/>
    <cellStyle name="Процентный 4 2 11 2 2" xfId="5995"/>
    <cellStyle name="Обычный 5 2 11 2 2" xfId="5996"/>
    <cellStyle name="Процентный 5 2 11 2 2" xfId="5997"/>
    <cellStyle name="Обычный 6 8 2 2" xfId="5998"/>
    <cellStyle name="Процентный 6 8 2 2" xfId="5999"/>
    <cellStyle name="Обычный 4 25 2 2" xfId="6000"/>
    <cellStyle name="Процентный 4 25 2 2" xfId="6001"/>
    <cellStyle name="Обычный 5 18 2 2" xfId="6002"/>
    <cellStyle name="Процентный 5 18 2 2" xfId="6003"/>
    <cellStyle name="Обычный 4 2 12 2 2" xfId="6004"/>
    <cellStyle name="Процентный 4 2 12 2 2" xfId="6005"/>
    <cellStyle name="Обычный 5 2 12 2 2" xfId="6006"/>
    <cellStyle name="Процентный 5 2 12 2 2" xfId="6007"/>
    <cellStyle name="Обычный 6 9 2 2" xfId="6008"/>
    <cellStyle name="Процентный 6 9 2 2" xfId="6009"/>
    <cellStyle name="Обычный 4 26 2 2" xfId="6010"/>
    <cellStyle name="Процентный 4 26 2 2" xfId="6011"/>
    <cellStyle name="Обычный 5 19 2 2" xfId="6012"/>
    <cellStyle name="Процентный 5 19 2 2" xfId="6013"/>
    <cellStyle name="Обычный 4 2 13 2 2" xfId="6014"/>
    <cellStyle name="Процентный 4 2 13 2 2" xfId="6015"/>
    <cellStyle name="Обычный 5 2 13 2 2" xfId="6016"/>
    <cellStyle name="Процентный 5 2 13 2 2" xfId="6017"/>
    <cellStyle name="Обычный 6 10 2 2" xfId="6018"/>
    <cellStyle name="Процентный 6 10 2 2" xfId="6019"/>
    <cellStyle name="Обычный 4 27 2 2" xfId="6020"/>
    <cellStyle name="Процентный 4 27 2 2" xfId="6021"/>
    <cellStyle name="Обычный 5 20 2 2" xfId="6022"/>
    <cellStyle name="Процентный 5 20 2 2" xfId="6023"/>
    <cellStyle name="Обычный 4 2 14 2 2" xfId="6024"/>
    <cellStyle name="Процентный 4 2 14 2 2" xfId="6025"/>
    <cellStyle name="Обычный 5 2 14 2 2" xfId="6026"/>
    <cellStyle name="Процентный 5 2 14 2 2" xfId="6027"/>
    <cellStyle name="Обычный 6 11 2 2" xfId="6028"/>
    <cellStyle name="Процентный 6 11 2 2" xfId="6029"/>
    <cellStyle name="Обычный 4 28 2 2" xfId="6030"/>
    <cellStyle name="Процентный 4 28 2 2" xfId="6031"/>
    <cellStyle name="Обычный 5 21 2 2" xfId="6032"/>
    <cellStyle name="Процентный 5 21 2 2" xfId="6033"/>
    <cellStyle name="Обычный 4 2 15 2 2" xfId="6034"/>
    <cellStyle name="Процентный 4 2 15 2 2" xfId="6035"/>
    <cellStyle name="Обычный 5 2 15 2 2" xfId="6036"/>
    <cellStyle name="Процентный 5 2 15 2 2" xfId="6037"/>
    <cellStyle name="Обычный 6 12 2 2" xfId="6038"/>
    <cellStyle name="Процентный 6 12 2 2" xfId="6039"/>
    <cellStyle name="Обычный 4 29 2 2" xfId="6040"/>
    <cellStyle name="Процентный 4 29 2 2" xfId="6041"/>
    <cellStyle name="Обычный 5 22 2 2" xfId="6042"/>
    <cellStyle name="Процентный 5 22 2 2" xfId="6043"/>
    <cellStyle name="Обычный 4 2 16 2 2" xfId="6044"/>
    <cellStyle name="Процентный 4 2 16 2 2" xfId="6045"/>
    <cellStyle name="Обычный 5 2 16 2 2" xfId="6046"/>
    <cellStyle name="Процентный 5 2 16 2 2" xfId="6047"/>
    <cellStyle name="Обычный 6 13 2 2" xfId="6048"/>
    <cellStyle name="Процентный 6 13 2 2" xfId="6049"/>
    <cellStyle name="Обычный 4 30 2 2" xfId="6050"/>
    <cellStyle name="Процентный 4 30 2 2" xfId="6051"/>
    <cellStyle name="Обычный 5 23 2 2" xfId="6052"/>
    <cellStyle name="Процентный 5 23 2 2" xfId="6053"/>
    <cellStyle name="Обычный 4 2 17 2 2" xfId="6054"/>
    <cellStyle name="Процентный 4 2 17 2 2" xfId="6055"/>
    <cellStyle name="Обычный 5 2 17 2 2" xfId="6056"/>
    <cellStyle name="Процентный 5 2 17 2 2" xfId="6057"/>
    <cellStyle name="Обычный 6 14 2 2" xfId="6058"/>
    <cellStyle name="Процентный 6 14 2 2" xfId="6059"/>
    <cellStyle name="Обычный 4 31 2 2" xfId="6060"/>
    <cellStyle name="Процентный 4 31 2 2" xfId="6061"/>
    <cellStyle name="Обычный 5 24 2 2" xfId="6062"/>
    <cellStyle name="Процентный 5 24 2 2" xfId="6063"/>
    <cellStyle name="Обычный 4 2 18 2 2" xfId="6064"/>
    <cellStyle name="Процентный 4 2 18 2 2" xfId="6065"/>
    <cellStyle name="Обычный 5 2 18 2 2" xfId="6066"/>
    <cellStyle name="Процентный 5 2 18 2 2" xfId="6067"/>
    <cellStyle name="Обычный 6 15 2 2" xfId="6068"/>
    <cellStyle name="Процентный 6 15 2 2" xfId="6069"/>
    <cellStyle name="Обычный 4 32 2 2" xfId="6070"/>
    <cellStyle name="Процентный 4 32 2 2" xfId="6071"/>
    <cellStyle name="Обычный 5 25 2 2" xfId="6072"/>
    <cellStyle name="Процентный 5 25 2 2" xfId="6073"/>
    <cellStyle name="Обычный 4 2 19 2 2" xfId="6074"/>
    <cellStyle name="Процентный 4 2 19 2 2" xfId="6075"/>
    <cellStyle name="Обычный 5 2 19 2 2" xfId="6076"/>
    <cellStyle name="Процентный 5 2 19 2 2" xfId="6077"/>
    <cellStyle name="Обычный 6 16 2 2" xfId="6078"/>
    <cellStyle name="Процентный 6 16 2 2" xfId="6079"/>
    <cellStyle name="Обычный 4 33 2 2" xfId="6080"/>
    <cellStyle name="Процентный 4 33 2 2" xfId="6081"/>
    <cellStyle name="Обычный 5 26 2 2" xfId="6082"/>
    <cellStyle name="Процентный 5 26 2 2" xfId="6083"/>
    <cellStyle name="Обычный 4 2 20 2 2" xfId="6084"/>
    <cellStyle name="Процентный 4 2 20 2 2" xfId="6085"/>
    <cellStyle name="Обычный 5 2 20 2 2" xfId="6086"/>
    <cellStyle name="Процентный 5 2 20 2 2" xfId="6087"/>
    <cellStyle name="Обычный 6 17 2 2" xfId="6088"/>
    <cellStyle name="Процентный 6 17 2 2" xfId="6089"/>
    <cellStyle name="Обычный 4 34 2 2" xfId="6090"/>
    <cellStyle name="Процентный 4 34 2 2" xfId="6091"/>
    <cellStyle name="Обычный 5 27 2 2" xfId="6092"/>
    <cellStyle name="Процентный 5 27 2 2" xfId="6093"/>
    <cellStyle name="Обычный 4 2 21 2 2" xfId="6094"/>
    <cellStyle name="Процентный 4 2 21 2 2" xfId="6095"/>
    <cellStyle name="Обычный 5 2 21 2 2" xfId="6096"/>
    <cellStyle name="Процентный 5 2 21 2 2" xfId="6097"/>
    <cellStyle name="Обычный 6 18 2 2" xfId="6098"/>
    <cellStyle name="Процентный 6 18 2 2" xfId="6099"/>
    <cellStyle name="Обычный 4 35 2 2" xfId="6100"/>
    <cellStyle name="Процентный 4 35 2 2" xfId="6101"/>
    <cellStyle name="Обычный 5 28 2 2" xfId="6102"/>
    <cellStyle name="Процентный 5 28 2 2" xfId="6103"/>
    <cellStyle name="Обычный 4 2 22 2 2" xfId="6104"/>
    <cellStyle name="Процентный 4 2 22 2 2" xfId="6105"/>
    <cellStyle name="Обычный 5 2 22 2 2" xfId="6106"/>
    <cellStyle name="Процентный 5 2 22 2 2" xfId="6107"/>
    <cellStyle name="Обычный 6 19 2 2" xfId="6108"/>
    <cellStyle name="Процентный 6 19 2 2" xfId="6109"/>
    <cellStyle name="Обычный 4 36 2 2" xfId="6110"/>
    <cellStyle name="Процентный 4 36 2 2" xfId="6111"/>
    <cellStyle name="Обычный 5 29 2 2" xfId="6112"/>
    <cellStyle name="Процентный 5 29 2 2" xfId="6113"/>
    <cellStyle name="Обычный 4 2 23 2 2" xfId="6114"/>
    <cellStyle name="Процентный 4 2 23 2 2" xfId="6115"/>
    <cellStyle name="Обычный 5 2 23 2 2" xfId="6116"/>
    <cellStyle name="Процентный 5 2 23 2 2" xfId="6117"/>
    <cellStyle name="Обычный 6 20 2 2" xfId="6118"/>
    <cellStyle name="Процентный 6 20 2 2" xfId="6119"/>
    <cellStyle name="Обычный 4 37 2 2" xfId="6120"/>
    <cellStyle name="Процентный 4 37 2 2" xfId="6121"/>
    <cellStyle name="Обычный 5 30 2 2" xfId="6122"/>
    <cellStyle name="Процентный 5 30 2 2" xfId="6123"/>
    <cellStyle name="Обычный 4 2 24 2 2" xfId="6124"/>
    <cellStyle name="Процентный 4 2 24 2 2" xfId="6125"/>
    <cellStyle name="Обычный 5 2 24 2 2" xfId="6126"/>
    <cellStyle name="Процентный 5 2 24 2 2" xfId="6127"/>
    <cellStyle name="Обычный 6 21 2 2" xfId="6128"/>
    <cellStyle name="Процентный 6 21 2 2" xfId="6129"/>
    <cellStyle name="Обычный 4 38 2 2" xfId="6130"/>
    <cellStyle name="Процентный 4 38 2 2" xfId="6131"/>
    <cellStyle name="Обычный 5 31 2 2" xfId="6132"/>
    <cellStyle name="Процентный 5 31 2 2" xfId="6133"/>
    <cellStyle name="Обычный 4 2 25 2 2" xfId="6134"/>
    <cellStyle name="Процентный 4 2 25 2 2" xfId="6135"/>
    <cellStyle name="Обычный 5 2 25 2 2" xfId="6136"/>
    <cellStyle name="Процентный 5 2 25 2 2" xfId="6137"/>
    <cellStyle name="Обычный 6 22 2 2" xfId="6138"/>
    <cellStyle name="Процентный 6 22 2 2" xfId="6139"/>
    <cellStyle name="Обычный 4 39 2 2" xfId="6140"/>
    <cellStyle name="Процентный 4 39 2 2" xfId="6141"/>
    <cellStyle name="Обычный 5 32 2 2" xfId="6142"/>
    <cellStyle name="Процентный 5 32 2 2" xfId="6143"/>
    <cellStyle name="Обычный 4 2 26 2 2" xfId="6144"/>
    <cellStyle name="Процентный 4 2 26 2 2" xfId="6145"/>
    <cellStyle name="Обычный 5 2 26 2 2" xfId="6146"/>
    <cellStyle name="Процентный 5 2 26 2 2" xfId="6147"/>
    <cellStyle name="Обычный 6 23 2 2" xfId="6148"/>
    <cellStyle name="Процентный 6 23 2 2" xfId="6149"/>
    <cellStyle name="Обычный 4 40 2 2" xfId="6150"/>
    <cellStyle name="Процентный 4 40 2 2" xfId="6151"/>
    <cellStyle name="Обычный 5 33 2 2" xfId="6152"/>
    <cellStyle name="Процентный 5 33 2 2" xfId="6153"/>
    <cellStyle name="Обычный 4 2 27 2 2" xfId="6154"/>
    <cellStyle name="Процентный 4 2 27 2 2" xfId="6155"/>
    <cellStyle name="Обычный 5 2 27 2 2" xfId="6156"/>
    <cellStyle name="Процентный 5 2 27 2 2" xfId="6157"/>
    <cellStyle name="Обычный 6 24 2 2" xfId="6158"/>
    <cellStyle name="Процентный 6 24 2 2" xfId="6159"/>
    <cellStyle name="Обычный 4 41 2 2" xfId="6160"/>
    <cellStyle name="Процентный 4 41 2 2" xfId="6161"/>
    <cellStyle name="Обычный 5 34 2 2" xfId="6162"/>
    <cellStyle name="Процентный 5 34 2 2" xfId="6163"/>
    <cellStyle name="Обычный 4 2 28 2 2" xfId="6164"/>
    <cellStyle name="Процентный 4 2 28 2 2" xfId="6165"/>
    <cellStyle name="Обычный 5 2 28 2 2" xfId="6166"/>
    <cellStyle name="Процентный 5 2 28 2 2" xfId="6167"/>
    <cellStyle name="Обычный 6 25 2 2" xfId="6168"/>
    <cellStyle name="Процентный 6 25 2 2" xfId="6169"/>
    <cellStyle name="Обычный 4 42 2 2" xfId="6170"/>
    <cellStyle name="Процентный 4 42 2 2" xfId="6171"/>
    <cellStyle name="Обычный 5 35 2 2" xfId="6172"/>
    <cellStyle name="Процентный 5 35 2 2" xfId="6173"/>
    <cellStyle name="Обычный 4 2 29 2 2" xfId="6174"/>
    <cellStyle name="Процентный 4 2 29 2 2" xfId="6175"/>
    <cellStyle name="Обычный 5 2 29 2 2" xfId="6176"/>
    <cellStyle name="Процентный 5 2 29 2 2" xfId="6177"/>
    <cellStyle name="Обычный 6 26 2 2" xfId="6178"/>
    <cellStyle name="Процентный 6 26 2 2" xfId="6179"/>
    <cellStyle name="Обычный 4 43 2 2" xfId="6180"/>
    <cellStyle name="Процентный 4 43 2 2" xfId="6181"/>
    <cellStyle name="Обычный 5 36 2 2" xfId="6182"/>
    <cellStyle name="Процентный 5 36 2 2" xfId="6183"/>
    <cellStyle name="Обычный 4 2 30 2 2" xfId="6184"/>
    <cellStyle name="Процентный 4 2 30 2 2" xfId="6185"/>
    <cellStyle name="Обычный 5 2 30 2 2" xfId="6186"/>
    <cellStyle name="Процентный 5 2 30 2 2" xfId="6187"/>
    <cellStyle name="Обычный 6 27 2 2" xfId="6188"/>
    <cellStyle name="Процентный 6 27 2 2" xfId="6189"/>
    <cellStyle name="Обычный 4 44 2 2" xfId="6190"/>
    <cellStyle name="Процентный 4 44 2 2" xfId="6191"/>
    <cellStyle name="Обычный 5 37 2 2" xfId="6192"/>
    <cellStyle name="Процентный 5 37 2 2" xfId="6193"/>
    <cellStyle name="Обычный 4 2 31 2 2" xfId="6194"/>
    <cellStyle name="Процентный 4 2 31 2 2" xfId="6195"/>
    <cellStyle name="Обычный 5 2 31 2 2" xfId="6196"/>
    <cellStyle name="Процентный 5 2 31 2 2" xfId="6197"/>
    <cellStyle name="Обычный 6 28 2 2" xfId="6198"/>
    <cellStyle name="Процентный 6 28 2 2" xfId="6199"/>
    <cellStyle name="Обычный 4 45 2 2" xfId="6200"/>
    <cellStyle name="Процентный 4 45 2 2" xfId="6201"/>
    <cellStyle name="Обычный 5 38 2 2" xfId="6202"/>
    <cellStyle name="Процентный 5 38 2 2" xfId="6203"/>
    <cellStyle name="Обычный 4 2 32 2 2" xfId="6204"/>
    <cellStyle name="Процентный 4 2 32 2 2" xfId="6205"/>
    <cellStyle name="Обычный 5 2 32 2 2" xfId="6206"/>
    <cellStyle name="Процентный 5 2 32 2 2" xfId="6207"/>
    <cellStyle name="Обычный 6 29 2 2" xfId="6208"/>
    <cellStyle name="Процентный 6 29 2 2" xfId="6209"/>
    <cellStyle name="Обычный 4 46 2 2" xfId="6210"/>
    <cellStyle name="Процентный 4 46 2 2" xfId="6211"/>
    <cellStyle name="Обычный 5 39 2 2" xfId="6212"/>
    <cellStyle name="Процентный 5 39 2 2" xfId="6213"/>
    <cellStyle name="Обычный 4 2 33 2 2" xfId="6214"/>
    <cellStyle name="Процентный 4 2 33 2 2" xfId="6215"/>
    <cellStyle name="Обычный 5 2 33 2 2" xfId="6216"/>
    <cellStyle name="Процентный 5 2 33 2 2" xfId="6217"/>
    <cellStyle name="Обычный 6 30 2 2" xfId="6218"/>
    <cellStyle name="Процентный 6 30 2 2" xfId="6219"/>
    <cellStyle name="Обычный 4 47 2 2" xfId="6220"/>
    <cellStyle name="Процентный 4 47 2 2" xfId="6221"/>
    <cellStyle name="Обычный 5 40 2 2" xfId="6222"/>
    <cellStyle name="Процентный 5 40 2 2" xfId="6223"/>
    <cellStyle name="Обычный 4 2 34 2 2" xfId="6224"/>
    <cellStyle name="Процентный 4 2 34 2 2" xfId="6225"/>
    <cellStyle name="Обычный 5 2 34 2 2" xfId="6226"/>
    <cellStyle name="Процентный 5 2 34 2 2" xfId="6227"/>
    <cellStyle name="Обычный 6 31 2 2" xfId="6228"/>
    <cellStyle name="Процентный 6 31 2 2" xfId="6229"/>
    <cellStyle name="Обычный 7 10 2" xfId="6230"/>
    <cellStyle name="Процентный 7 10 2" xfId="6231"/>
    <cellStyle name="Обычный 4 48 2 2" xfId="6232"/>
    <cellStyle name="Процентный 4 48 2 2" xfId="6233"/>
    <cellStyle name="Обычный 5 41 2 2" xfId="6234"/>
    <cellStyle name="Процентный 5 41 2 2" xfId="6235"/>
    <cellStyle name="Обычный 4 2 35 2 2" xfId="6236"/>
    <cellStyle name="Процентный 4 2 35 2 2" xfId="6237"/>
    <cellStyle name="Обычный 5 2 35 2 2" xfId="6238"/>
    <cellStyle name="Процентный 5 2 35 2 2" xfId="6239"/>
    <cellStyle name="Обычный 6 32 2 2" xfId="6240"/>
    <cellStyle name="Процентный 6 32 2 2" xfId="6241"/>
    <cellStyle name="Обычный 7 2 2 2" xfId="6242"/>
    <cellStyle name="Процентный 7 2 2 2" xfId="6243"/>
    <cellStyle name="Обычный 4 49 2 2" xfId="6244"/>
    <cellStyle name="Процентный 4 49 2 2" xfId="6245"/>
    <cellStyle name="Обычный 5 42 2 2" xfId="6246"/>
    <cellStyle name="Процентный 5 42 2 2" xfId="6247"/>
    <cellStyle name="Обычный 4 2 36 2 2" xfId="6248"/>
    <cellStyle name="Процентный 4 2 36 2 2" xfId="6249"/>
    <cellStyle name="Обычный 5 2 36 2 2" xfId="6250"/>
    <cellStyle name="Процентный 5 2 36 2 2" xfId="6251"/>
    <cellStyle name="Обычный 6 33 2 2" xfId="6252"/>
    <cellStyle name="Процентный 6 33 2 2" xfId="6253"/>
    <cellStyle name="Обычный 7 3 2 2" xfId="6254"/>
    <cellStyle name="Процентный 7 3 2 2" xfId="6255"/>
    <cellStyle name="Обычный 4 50 2 2" xfId="6256"/>
    <cellStyle name="Процентный 4 50 2 2" xfId="6257"/>
    <cellStyle name="Обычный 5 43 2 2" xfId="6258"/>
    <cellStyle name="Процентный 5 43 2 2" xfId="6259"/>
    <cellStyle name="Обычный 4 2 37 2 2" xfId="6260"/>
    <cellStyle name="Процентный 4 2 37 2 2" xfId="6261"/>
    <cellStyle name="Обычный 5 2 37 2 2" xfId="6262"/>
    <cellStyle name="Процентный 5 2 37 2 2" xfId="6263"/>
    <cellStyle name="Обычный 6 34 2 2" xfId="6264"/>
    <cellStyle name="Процентный 6 34 2 2" xfId="6265"/>
    <cellStyle name="Обычный 7 4 2 2" xfId="6266"/>
    <cellStyle name="Процентный 7 4 2 2" xfId="6267"/>
    <cellStyle name="Обычный 4 51 2 2" xfId="6268"/>
    <cellStyle name="Процентный 4 51 2 2" xfId="6269"/>
    <cellStyle name="Обычный 5 44 2 2" xfId="6270"/>
    <cellStyle name="Процентный 5 44 2 2" xfId="6271"/>
    <cellStyle name="Обычный 4 2 38 2 2" xfId="6272"/>
    <cellStyle name="Процентный 4 2 38 2 2" xfId="6273"/>
    <cellStyle name="Обычный 5 2 38 2 2" xfId="6274"/>
    <cellStyle name="Процентный 5 2 38 2 2" xfId="6275"/>
    <cellStyle name="Обычный 6 35 2 2" xfId="6276"/>
    <cellStyle name="Процентный 6 35 2 2" xfId="6277"/>
    <cellStyle name="Обычный 7 5 2 2" xfId="6278"/>
    <cellStyle name="Процентный 7 5 2 2" xfId="6279"/>
    <cellStyle name="Обычный 4 52 2 2" xfId="6280"/>
    <cellStyle name="Процентный 4 52 2 2" xfId="6281"/>
    <cellStyle name="Обычный 5 45 2 2" xfId="6282"/>
    <cellStyle name="Процентный 5 45 2 2" xfId="6283"/>
    <cellStyle name="Обычный 4 2 39 2 2" xfId="6284"/>
    <cellStyle name="Процентный 4 2 39 2 2" xfId="6285"/>
    <cellStyle name="Обычный 5 2 39 2 2" xfId="6286"/>
    <cellStyle name="Процентный 5 2 39 2 2" xfId="6287"/>
    <cellStyle name="Обычный 6 36 2 2" xfId="6288"/>
    <cellStyle name="Процентный 6 36 2 2" xfId="6289"/>
    <cellStyle name="Обычный 7 6 2 2" xfId="6290"/>
    <cellStyle name="Процентный 7 6 2 2" xfId="6291"/>
    <cellStyle name="Обычный 4 53 2 2" xfId="6292"/>
    <cellStyle name="Процентный 4 53 2 2" xfId="6293"/>
    <cellStyle name="Обычный 5 46 2 2" xfId="6294"/>
    <cellStyle name="Процентный 5 46 2 2" xfId="6295"/>
    <cellStyle name="Обычный 4 2 40 2 2" xfId="6296"/>
    <cellStyle name="Процентный 4 2 40 2 2" xfId="6297"/>
    <cellStyle name="Обычный 5 2 40 2 2" xfId="6298"/>
    <cellStyle name="Процентный 5 2 40 2 2" xfId="6299"/>
    <cellStyle name="Обычный 6 37 2 2" xfId="6300"/>
    <cellStyle name="Процентный 6 37 2 2" xfId="6301"/>
    <cellStyle name="Обычный 7 7 2 2" xfId="6302"/>
    <cellStyle name="Процентный 7 7 2 2" xfId="6303"/>
    <cellStyle name="Обычный 4 54 2 2" xfId="6304"/>
    <cellStyle name="Процентный 4 54 2 2" xfId="6305"/>
    <cellStyle name="Обычный 5 47 2 2" xfId="6306"/>
    <cellStyle name="Процентный 5 47 2 2" xfId="6307"/>
    <cellStyle name="Обычный 4 2 41 2 2" xfId="6308"/>
    <cellStyle name="Процентный 4 2 41 2 2" xfId="6309"/>
    <cellStyle name="Обычный 5 2 41 2 2" xfId="6310"/>
    <cellStyle name="Процентный 5 2 41 2 2" xfId="6311"/>
    <cellStyle name="Обычный 6 38 2 2" xfId="6312"/>
    <cellStyle name="Процентный 6 38 2 2" xfId="6313"/>
    <cellStyle name="Обычный 7 8 2 2" xfId="6314"/>
    <cellStyle name="Процентный 7 8 2 2" xfId="6315"/>
    <cellStyle name="Обычный 4 55 2 2" xfId="6316"/>
    <cellStyle name="Процентный 4 55 2 2" xfId="6317"/>
    <cellStyle name="Обычный 5 48 2 2" xfId="6318"/>
    <cellStyle name="Процентный 5 48 2 2" xfId="6319"/>
    <cellStyle name="Обычный 4 2 42 2 2" xfId="6320"/>
    <cellStyle name="Процентный 4 2 42 2 2" xfId="6321"/>
    <cellStyle name="Обычный 5 2 42 2 2" xfId="6322"/>
    <cellStyle name="Процентный 5 2 42 2 2" xfId="6323"/>
    <cellStyle name="Обычный 6 39 2 2" xfId="6324"/>
    <cellStyle name="Процентный 6 39 2 2" xfId="6325"/>
    <cellStyle name="Обычный 7 9 2 2" xfId="6326"/>
    <cellStyle name="Процентный 7 9 2 2" xfId="6327"/>
    <cellStyle name="Обычный 4 57 2" xfId="6328"/>
    <cellStyle name="Процентный 4 57 2" xfId="6329"/>
    <cellStyle name="Обычный 5 50 2" xfId="6330"/>
    <cellStyle name="Процентный 5 50 2" xfId="6331"/>
    <cellStyle name="Обычный 4 2 44 2" xfId="6332"/>
    <cellStyle name="Процентный 4 2 44 2" xfId="6333"/>
    <cellStyle name="Обычный 5 2 44 2" xfId="6334"/>
    <cellStyle name="Процентный 5 2 44 2" xfId="6335"/>
    <cellStyle name="Обычный 6 41 2" xfId="6336"/>
    <cellStyle name="Процентный 6 41 2" xfId="6337"/>
    <cellStyle name="Обычный 7 11 2" xfId="6338"/>
    <cellStyle name="Процентный 7 11 2" xfId="6339"/>
    <cellStyle name="Обычный 4 3 3 2" xfId="6340"/>
    <cellStyle name="Процентный 4 3 3 2" xfId="6341"/>
    <cellStyle name="Обычный 5 3 3 2" xfId="6342"/>
    <cellStyle name="Процентный 5 3 3 2" xfId="6343"/>
    <cellStyle name="Обычный 4 2 2 3 2" xfId="6344"/>
    <cellStyle name="Процентный 4 2 2 3 2" xfId="6345"/>
    <cellStyle name="Обычный 5 2 2 3 2" xfId="6346"/>
    <cellStyle name="Процентный 5 2 2 3 2" xfId="6347"/>
    <cellStyle name="Обычный 6 2 3 2" xfId="6348"/>
    <cellStyle name="Процентный 6 2 3 2" xfId="6349"/>
    <cellStyle name="Обычный 7 2 3 2" xfId="6350"/>
    <cellStyle name="Процентный 7 2 3 2" xfId="6351"/>
    <cellStyle name="Обычный 4 58 2" xfId="6352"/>
    <cellStyle name="Процентный 4 58 2" xfId="6353"/>
    <cellStyle name="Обычный 5 51 2" xfId="6354"/>
    <cellStyle name="Процентный 5 51 2" xfId="6355"/>
    <cellStyle name="Обычный 4 2 45 2" xfId="6356"/>
    <cellStyle name="Процентный 4 2 45 2" xfId="6357"/>
    <cellStyle name="Обычный 5 2 45 2" xfId="6358"/>
    <cellStyle name="Процентный 5 2 45 2" xfId="6359"/>
    <cellStyle name="Обычный 6 42 2" xfId="6360"/>
    <cellStyle name="Процентный 6 42 2" xfId="6361"/>
    <cellStyle name="Обычный 7 12 2" xfId="6362"/>
    <cellStyle name="Процентный 7 12 2" xfId="6363"/>
    <cellStyle name="Обычный 4 3 4 2" xfId="6364"/>
    <cellStyle name="Процентный 4 3 4 2" xfId="6365"/>
    <cellStyle name="Обычный 5 3 4 2" xfId="6366"/>
    <cellStyle name="Процентный 5 3 4 2" xfId="6367"/>
    <cellStyle name="Обычный 4 2 2 4 2" xfId="6368"/>
    <cellStyle name="Процентный 4 2 2 4 2" xfId="6369"/>
    <cellStyle name="Обычный 5 2 2 4 2" xfId="6370"/>
    <cellStyle name="Процентный 5 2 2 4 2" xfId="6371"/>
    <cellStyle name="Обычный 6 2 4 2" xfId="6372"/>
    <cellStyle name="Процентный 6 2 4 2" xfId="6373"/>
    <cellStyle name="Обычный 7 2 4 2" xfId="6374"/>
    <cellStyle name="Процентный 7 2 4 2" xfId="6375"/>
    <cellStyle name="Обычный 4 59 2" xfId="6376"/>
    <cellStyle name="Процентный 4 59 2" xfId="6377"/>
    <cellStyle name="Обычный 5 52 2" xfId="6378"/>
    <cellStyle name="Процентный 5 52 2" xfId="6379"/>
    <cellStyle name="Обычный 4 2 46 2" xfId="6380"/>
    <cellStyle name="Процентный 4 2 46 2" xfId="6381"/>
    <cellStyle name="Обычный 5 2 46 2" xfId="6382"/>
    <cellStyle name="Процентный 5 2 46 2" xfId="6383"/>
    <cellStyle name="Обычный 6 43 2" xfId="6384"/>
    <cellStyle name="Процентный 6 43 2" xfId="6385"/>
    <cellStyle name="Обычный 7 13 2" xfId="6386"/>
    <cellStyle name="Процентный 7 13 2" xfId="6387"/>
    <cellStyle name="Обычный 4 3 5 2" xfId="6388"/>
    <cellStyle name="Процентный 4 3 5 2" xfId="6389"/>
    <cellStyle name="Обычный 5 3 5 2" xfId="6390"/>
    <cellStyle name="Процентный 5 3 5 2" xfId="6391"/>
    <cellStyle name="Обычный 4 2 2 5 2" xfId="6392"/>
    <cellStyle name="Процентный 4 2 2 5 2" xfId="6393"/>
    <cellStyle name="Обычный 5 2 2 5 2" xfId="6394"/>
    <cellStyle name="Процентный 5 2 2 5 2" xfId="6395"/>
    <cellStyle name="Обычный 6 2 5 2" xfId="6396"/>
    <cellStyle name="Процентный 6 2 5 2" xfId="6397"/>
    <cellStyle name="Обычный 7 2 5 2" xfId="6398"/>
    <cellStyle name="Процентный 7 2 5 2" xfId="6399"/>
    <cellStyle name="Обычный 8 145" xfId="6400"/>
    <cellStyle name="Процентный 8 145" xfId="6401"/>
    <cellStyle name="Обычный 4 60 2" xfId="6402"/>
    <cellStyle name="Процентный 4 60 2" xfId="6403"/>
    <cellStyle name="Обычный 5 53 2" xfId="6404"/>
    <cellStyle name="Процентный 5 53 2" xfId="6405"/>
    <cellStyle name="Обычный 4 2 47 2" xfId="6406"/>
    <cellStyle name="Процентный 4 2 47 2" xfId="6407"/>
    <cellStyle name="Обычный 5 2 47 2" xfId="6408"/>
    <cellStyle name="Процентный 5 2 47 2" xfId="6409"/>
    <cellStyle name="Обычный 6 44 2" xfId="6410"/>
    <cellStyle name="Процентный 6 44 2" xfId="6411"/>
    <cellStyle name="Обычный 7 14 2" xfId="6412"/>
    <cellStyle name="Процентный 7 14 2" xfId="6413"/>
    <cellStyle name="Обычный 4 3 6 2" xfId="6414"/>
    <cellStyle name="Процентный 4 3 6 2" xfId="6415"/>
    <cellStyle name="Обычный 5 3 6 2" xfId="6416"/>
    <cellStyle name="Процентный 5 3 6 2" xfId="6417"/>
    <cellStyle name="Обычный 4 2 2 6 2" xfId="6418"/>
    <cellStyle name="Процентный 4 2 2 6 2" xfId="6419"/>
    <cellStyle name="Обычный 5 2 2 6 2" xfId="6420"/>
    <cellStyle name="Процентный 5 2 2 6 2" xfId="6421"/>
    <cellStyle name="Обычный 6 2 6 2" xfId="6422"/>
    <cellStyle name="Процентный 6 2 6 2" xfId="6423"/>
    <cellStyle name="Обычный 7 2 6 2" xfId="6424"/>
    <cellStyle name="Процентный 7 2 6 2" xfId="6425"/>
    <cellStyle name="Обычный 8 2 2" xfId="6426"/>
    <cellStyle name="Процентный 8 2 2" xfId="6427"/>
    <cellStyle name="Обычный 4 61 2" xfId="6428"/>
    <cellStyle name="Процентный 4 61 2" xfId="6429"/>
    <cellStyle name="Обычный 5 54 2" xfId="6430"/>
    <cellStyle name="Процентный 5 54 2" xfId="6431"/>
    <cellStyle name="Обычный 4 2 48 2" xfId="6432"/>
    <cellStyle name="Процентный 4 2 48 2" xfId="6433"/>
    <cellStyle name="Обычный 5 2 48 2" xfId="6434"/>
    <cellStyle name="Процентный 5 2 48 2" xfId="6435"/>
    <cellStyle name="Обычный 6 45 2" xfId="6436"/>
    <cellStyle name="Процентный 6 45 2" xfId="6437"/>
    <cellStyle name="Обычный 7 15 2" xfId="6438"/>
    <cellStyle name="Процентный 7 15 2" xfId="6439"/>
    <cellStyle name="Обычный 4 3 7 2" xfId="6440"/>
    <cellStyle name="Процентный 4 3 7 2" xfId="6441"/>
    <cellStyle name="Обычный 5 3 7 2" xfId="6442"/>
    <cellStyle name="Процентный 5 3 7 2" xfId="6443"/>
    <cellStyle name="Обычный 4 2 2 7 2" xfId="6444"/>
    <cellStyle name="Процентный 4 2 2 7 2" xfId="6445"/>
    <cellStyle name="Обычный 5 2 2 7 2" xfId="6446"/>
    <cellStyle name="Процентный 5 2 2 7 2" xfId="6447"/>
    <cellStyle name="Обычный 6 2 7 2" xfId="6448"/>
    <cellStyle name="Процентный 6 2 7 2" xfId="6449"/>
    <cellStyle name="Обычный 7 2 7 2" xfId="6450"/>
    <cellStyle name="Процентный 7 2 7 2" xfId="6451"/>
    <cellStyle name="Обычный 8 3 2" xfId="6452"/>
    <cellStyle name="Процентный 8 3 2" xfId="6453"/>
    <cellStyle name="Обычный 4 62 2" xfId="6454"/>
    <cellStyle name="Процентный 4 62 2" xfId="6455"/>
    <cellStyle name="Обычный 5 55 2" xfId="6456"/>
    <cellStyle name="Процентный 5 55 2" xfId="6457"/>
    <cellStyle name="Обычный 4 2 49 2" xfId="6458"/>
    <cellStyle name="Процентный 4 2 49 2" xfId="6459"/>
    <cellStyle name="Обычный 5 2 49 2" xfId="6460"/>
    <cellStyle name="Процентный 5 2 49 2" xfId="6461"/>
    <cellStyle name="Обычный 6 46 2" xfId="6462"/>
    <cellStyle name="Процентный 6 46 2" xfId="6463"/>
    <cellStyle name="Обычный 7 16 2" xfId="6464"/>
    <cellStyle name="Процентный 7 16 2" xfId="6465"/>
    <cellStyle name="Обычный 4 3 8 2" xfId="6466"/>
    <cellStyle name="Процентный 4 3 8 2" xfId="6467"/>
    <cellStyle name="Обычный 5 3 8 2" xfId="6468"/>
    <cellStyle name="Процентный 5 3 8 2" xfId="6469"/>
    <cellStyle name="Обычный 4 2 2 8 2" xfId="6470"/>
    <cellStyle name="Процентный 4 2 2 8 2" xfId="6471"/>
    <cellStyle name="Обычный 5 2 2 8 2" xfId="6472"/>
    <cellStyle name="Процентный 5 2 2 8 2" xfId="6473"/>
    <cellStyle name="Обычный 6 2 8 2" xfId="6474"/>
    <cellStyle name="Процентный 6 2 8 2" xfId="6475"/>
    <cellStyle name="Обычный 7 2 8 2" xfId="6476"/>
    <cellStyle name="Процентный 7 2 8 2" xfId="6477"/>
    <cellStyle name="Обычный 8 4 2" xfId="6478"/>
    <cellStyle name="Процентный 8 4 2" xfId="6479"/>
    <cellStyle name="Обычный 4 63 2" xfId="6480"/>
    <cellStyle name="Процентный 4 63 2" xfId="6481"/>
    <cellStyle name="Обычный 5 56 2" xfId="6482"/>
    <cellStyle name="Процентный 5 56 2" xfId="6483"/>
    <cellStyle name="Обычный 4 2 50 2" xfId="6484"/>
    <cellStyle name="Процентный 4 2 50 2" xfId="6485"/>
    <cellStyle name="Обычный 5 2 50 2" xfId="6486"/>
    <cellStyle name="Процентный 5 2 50 2" xfId="6487"/>
    <cellStyle name="Обычный 6 47 2" xfId="6488"/>
    <cellStyle name="Процентный 6 47 2" xfId="6489"/>
    <cellStyle name="Обычный 7 17 2" xfId="6490"/>
    <cellStyle name="Процентный 7 17 2" xfId="6491"/>
    <cellStyle name="Обычный 4 3 9 2" xfId="6492"/>
    <cellStyle name="Процентный 4 3 9 2" xfId="6493"/>
    <cellStyle name="Обычный 5 3 9 2" xfId="6494"/>
    <cellStyle name="Процентный 5 3 9 2" xfId="6495"/>
    <cellStyle name="Обычный 4 2 2 9 2" xfId="6496"/>
    <cellStyle name="Процентный 4 2 2 9 2" xfId="6497"/>
    <cellStyle name="Обычный 5 2 2 9 2" xfId="6498"/>
    <cellStyle name="Процентный 5 2 2 9 2" xfId="6499"/>
    <cellStyle name="Обычный 6 2 9 2" xfId="6500"/>
    <cellStyle name="Процентный 6 2 9 2" xfId="6501"/>
    <cellStyle name="Обычный 7 2 9 2" xfId="6502"/>
    <cellStyle name="Процентный 7 2 9 2" xfId="6503"/>
    <cellStyle name="Обычный 8 5 2" xfId="6504"/>
    <cellStyle name="Процентный 8 5 2" xfId="6505"/>
    <cellStyle name="Обычный 4 64 2" xfId="6506"/>
    <cellStyle name="Процентный 4 64 2" xfId="6507"/>
    <cellStyle name="Обычный 5 57 2" xfId="6508"/>
    <cellStyle name="Процентный 5 57 2" xfId="6509"/>
    <cellStyle name="Обычный 4 2 51 2" xfId="6510"/>
    <cellStyle name="Процентный 4 2 51 2" xfId="6511"/>
    <cellStyle name="Обычный 5 2 51 2" xfId="6512"/>
    <cellStyle name="Процентный 5 2 51 2" xfId="6513"/>
    <cellStyle name="Обычный 6 48 2" xfId="6514"/>
    <cellStyle name="Процентный 6 48 2" xfId="6515"/>
    <cellStyle name="Обычный 7 18 2" xfId="6516"/>
    <cellStyle name="Процентный 7 18 2" xfId="6517"/>
    <cellStyle name="Обычный 4 3 10 2" xfId="6518"/>
    <cellStyle name="Процентный 4 3 10 2" xfId="6519"/>
    <cellStyle name="Обычный 5 3 10 2" xfId="6520"/>
    <cellStyle name="Процентный 5 3 10 2" xfId="6521"/>
    <cellStyle name="Обычный 4 2 2 10 2" xfId="6522"/>
    <cellStyle name="Процентный 4 2 2 10 2" xfId="6523"/>
    <cellStyle name="Обычный 5 2 2 10 2" xfId="6524"/>
    <cellStyle name="Процентный 5 2 2 10 2" xfId="6525"/>
    <cellStyle name="Обычный 6 2 10 2" xfId="6526"/>
    <cellStyle name="Процентный 6 2 10 2" xfId="6527"/>
    <cellStyle name="Обычный 7 2 10 2" xfId="6528"/>
    <cellStyle name="Процентный 7 2 10 2" xfId="6529"/>
    <cellStyle name="Обычный 8 6 2" xfId="6530"/>
    <cellStyle name="Процентный 8 6 2" xfId="6531"/>
    <cellStyle name="Обычный 4 65 2" xfId="6532"/>
    <cellStyle name="Процентный 4 65 2" xfId="6533"/>
    <cellStyle name="Обычный 5 58 2" xfId="6534"/>
    <cellStyle name="Процентный 5 58 2" xfId="6535"/>
    <cellStyle name="Обычный 4 2 52 2" xfId="6536"/>
    <cellStyle name="Процентный 4 2 52 2" xfId="6537"/>
    <cellStyle name="Обычный 5 2 52 2" xfId="6538"/>
    <cellStyle name="Процентный 5 2 52 2" xfId="6539"/>
    <cellStyle name="Обычный 6 49 2" xfId="6540"/>
    <cellStyle name="Процентный 6 49 2" xfId="6541"/>
    <cellStyle name="Обычный 7 19 2" xfId="6542"/>
    <cellStyle name="Процентный 7 19 2" xfId="6543"/>
    <cellStyle name="Обычный 4 3 11 2" xfId="6544"/>
    <cellStyle name="Процентный 4 3 11 2" xfId="6545"/>
    <cellStyle name="Обычный 5 3 11 2" xfId="6546"/>
    <cellStyle name="Процентный 5 3 11 2" xfId="6547"/>
    <cellStyle name="Обычный 4 2 2 11 2" xfId="6548"/>
    <cellStyle name="Процентный 4 2 2 11 2" xfId="6549"/>
    <cellStyle name="Обычный 5 2 2 11 2" xfId="6550"/>
    <cellStyle name="Процентный 5 2 2 11 2" xfId="6551"/>
    <cellStyle name="Обычный 6 2 11 2" xfId="6552"/>
    <cellStyle name="Процентный 6 2 11 2" xfId="6553"/>
    <cellStyle name="Обычный 7 2 11 2" xfId="6554"/>
    <cellStyle name="Процентный 7 2 11 2" xfId="6555"/>
    <cellStyle name="Обычный 8 7 2" xfId="6556"/>
    <cellStyle name="Процентный 8 7 2" xfId="6557"/>
    <cellStyle name="Обычный 4 66 2" xfId="6558"/>
    <cellStyle name="Процентный 4 66 2" xfId="6559"/>
    <cellStyle name="Обычный 5 59 2" xfId="6560"/>
    <cellStyle name="Процентный 5 59 2" xfId="6561"/>
    <cellStyle name="Обычный 4 2 53 2" xfId="6562"/>
    <cellStyle name="Процентный 4 2 53 2" xfId="6563"/>
    <cellStyle name="Обычный 5 2 53 2" xfId="6564"/>
    <cellStyle name="Процентный 5 2 53 2" xfId="6565"/>
    <cellStyle name="Обычный 6 50 2" xfId="6566"/>
    <cellStyle name="Процентный 6 50 2" xfId="6567"/>
    <cellStyle name="Обычный 7 20 2" xfId="6568"/>
    <cellStyle name="Процентный 7 20 2" xfId="6569"/>
    <cellStyle name="Обычный 4 3 12 2" xfId="6570"/>
    <cellStyle name="Процентный 4 3 12 2" xfId="6571"/>
    <cellStyle name="Обычный 5 3 12 2" xfId="6572"/>
    <cellStyle name="Процентный 5 3 12 2" xfId="6573"/>
    <cellStyle name="Обычный 4 2 2 12 2" xfId="6574"/>
    <cellStyle name="Процентный 4 2 2 12 2" xfId="6575"/>
    <cellStyle name="Обычный 5 2 2 12 2" xfId="6576"/>
    <cellStyle name="Процентный 5 2 2 12 2" xfId="6577"/>
    <cellStyle name="Обычный 6 2 12 2" xfId="6578"/>
    <cellStyle name="Процентный 6 2 12 2" xfId="6579"/>
    <cellStyle name="Обычный 7 2 12 2" xfId="6580"/>
    <cellStyle name="Процентный 7 2 12 2" xfId="6581"/>
    <cellStyle name="Обычный 8 8 2" xfId="6582"/>
    <cellStyle name="Процентный 8 8 2" xfId="6583"/>
    <cellStyle name="Обычный 4 67 2" xfId="6584"/>
    <cellStyle name="Процентный 4 67 2" xfId="6585"/>
    <cellStyle name="Обычный 5 60 2" xfId="6586"/>
    <cellStyle name="Процентный 5 60 2" xfId="6587"/>
    <cellStyle name="Обычный 4 2 54 2" xfId="6588"/>
    <cellStyle name="Процентный 4 2 54 2" xfId="6589"/>
    <cellStyle name="Обычный 5 2 54 2" xfId="6590"/>
    <cellStyle name="Процентный 5 2 54 2" xfId="6591"/>
    <cellStyle name="Обычный 6 51 2" xfId="6592"/>
    <cellStyle name="Процентный 6 51 2" xfId="6593"/>
    <cellStyle name="Обычный 7 21 2" xfId="6594"/>
    <cellStyle name="Процентный 7 21 2" xfId="6595"/>
    <cellStyle name="Обычный 4 3 13 2" xfId="6596"/>
    <cellStyle name="Процентный 4 3 13 2" xfId="6597"/>
    <cellStyle name="Обычный 5 3 13 2" xfId="6598"/>
    <cellStyle name="Процентный 5 3 13 2" xfId="6599"/>
    <cellStyle name="Обычный 4 2 2 13 2" xfId="6600"/>
    <cellStyle name="Процентный 4 2 2 13 2" xfId="6601"/>
    <cellStyle name="Обычный 5 2 2 13 2" xfId="6602"/>
    <cellStyle name="Процентный 5 2 2 13 2" xfId="6603"/>
    <cellStyle name="Обычный 6 2 13 2" xfId="6604"/>
    <cellStyle name="Процентный 6 2 13 2" xfId="6605"/>
    <cellStyle name="Обычный 7 2 13 2" xfId="6606"/>
    <cellStyle name="Процентный 7 2 13 2" xfId="6607"/>
    <cellStyle name="Обычный 8 9 2" xfId="6608"/>
    <cellStyle name="Процентный 8 9 2" xfId="6609"/>
    <cellStyle name="Обычный 4 68 2" xfId="6610"/>
    <cellStyle name="Процентный 4 68 2" xfId="6611"/>
    <cellStyle name="Обычный 5 61 2" xfId="6612"/>
    <cellStyle name="Процентный 5 61 2" xfId="6613"/>
    <cellStyle name="Обычный 4 2 55 2" xfId="6614"/>
    <cellStyle name="Процентный 4 2 55 2" xfId="6615"/>
    <cellStyle name="Обычный 5 2 55 2" xfId="6616"/>
    <cellStyle name="Процентный 5 2 55 2" xfId="6617"/>
    <cellStyle name="Обычный 6 52 2" xfId="6618"/>
    <cellStyle name="Процентный 6 52 2" xfId="6619"/>
    <cellStyle name="Обычный 7 22 2" xfId="6620"/>
    <cellStyle name="Процентный 7 22 2" xfId="6621"/>
    <cellStyle name="Обычный 4 3 14 2" xfId="6622"/>
    <cellStyle name="Процентный 4 3 14 2" xfId="6623"/>
    <cellStyle name="Обычный 5 3 14 2" xfId="6624"/>
    <cellStyle name="Процентный 5 3 14 2" xfId="6625"/>
    <cellStyle name="Обычный 4 2 2 14 2" xfId="6626"/>
    <cellStyle name="Процентный 4 2 2 14 2" xfId="6627"/>
    <cellStyle name="Обычный 5 2 2 14 2" xfId="6628"/>
    <cellStyle name="Процентный 5 2 2 14 2" xfId="6629"/>
    <cellStyle name="Обычный 6 2 14 2" xfId="6630"/>
    <cellStyle name="Процентный 6 2 14 2" xfId="6631"/>
    <cellStyle name="Обычный 7 2 14 2" xfId="6632"/>
    <cellStyle name="Процентный 7 2 14 2" xfId="6633"/>
    <cellStyle name="Обычный 8 10 2" xfId="6634"/>
    <cellStyle name="Процентный 8 10 2" xfId="6635"/>
    <cellStyle name="Обычный 4 69 2" xfId="6636"/>
    <cellStyle name="Процентный 4 69 2" xfId="6637"/>
    <cellStyle name="Обычный 5 62 2" xfId="6638"/>
    <cellStyle name="Процентный 5 62 2" xfId="6639"/>
    <cellStyle name="Обычный 4 2 56 2" xfId="6640"/>
    <cellStyle name="Процентный 4 2 56 2" xfId="6641"/>
    <cellStyle name="Обычный 5 2 56 2" xfId="6642"/>
    <cellStyle name="Процентный 5 2 56 2" xfId="6643"/>
    <cellStyle name="Обычный 6 53 2" xfId="6644"/>
    <cellStyle name="Процентный 6 53 2" xfId="6645"/>
    <cellStyle name="Обычный 7 23 2" xfId="6646"/>
    <cellStyle name="Процентный 7 23 2" xfId="6647"/>
    <cellStyle name="Обычный 4 3 15 2" xfId="6648"/>
    <cellStyle name="Процентный 4 3 15 2" xfId="6649"/>
    <cellStyle name="Обычный 5 3 15 2" xfId="6650"/>
    <cellStyle name="Процентный 5 3 15 2" xfId="6651"/>
    <cellStyle name="Обычный 4 2 2 15 2" xfId="6652"/>
    <cellStyle name="Процентный 4 2 2 15 2" xfId="6653"/>
    <cellStyle name="Обычный 5 2 2 15 2" xfId="6654"/>
    <cellStyle name="Процентный 5 2 2 15 2" xfId="6655"/>
    <cellStyle name="Обычный 6 2 15 2" xfId="6656"/>
    <cellStyle name="Процентный 6 2 15 2" xfId="6657"/>
    <cellStyle name="Обычный 7 2 15 2" xfId="6658"/>
    <cellStyle name="Процентный 7 2 15 2" xfId="6659"/>
    <cellStyle name="Обычный 8 11 2" xfId="6660"/>
    <cellStyle name="Процентный 8 11 2" xfId="6661"/>
    <cellStyle name="Обычный 4 70 2" xfId="6662"/>
    <cellStyle name="Процентный 4 70 2" xfId="6663"/>
    <cellStyle name="Обычный 5 63 2" xfId="6664"/>
    <cellStyle name="Процентный 5 63 2" xfId="6665"/>
    <cellStyle name="Обычный 4 2 57 2" xfId="6666"/>
    <cellStyle name="Процентный 4 2 57 2" xfId="6667"/>
    <cellStyle name="Обычный 5 2 57 2" xfId="6668"/>
    <cellStyle name="Процентный 5 2 57 2" xfId="6669"/>
    <cellStyle name="Обычный 6 54 2" xfId="6670"/>
    <cellStyle name="Процентный 6 54 2" xfId="6671"/>
    <cellStyle name="Обычный 7 24 2" xfId="6672"/>
    <cellStyle name="Процентный 7 24 2" xfId="6673"/>
    <cellStyle name="Обычный 4 3 16 2" xfId="6674"/>
    <cellStyle name="Процентный 4 3 16 2" xfId="6675"/>
    <cellStyle name="Обычный 5 3 16 2" xfId="6676"/>
    <cellStyle name="Процентный 5 3 16 2" xfId="6677"/>
    <cellStyle name="Обычный 4 2 2 16 2" xfId="6678"/>
    <cellStyle name="Процентный 4 2 2 16 2" xfId="6679"/>
    <cellStyle name="Обычный 5 2 2 16 2" xfId="6680"/>
    <cellStyle name="Процентный 5 2 2 16 2" xfId="6681"/>
    <cellStyle name="Обычный 6 2 16 2" xfId="6682"/>
    <cellStyle name="Процентный 6 2 16 2" xfId="6683"/>
    <cellStyle name="Обычный 7 2 16 2" xfId="6684"/>
    <cellStyle name="Процентный 7 2 16 2" xfId="6685"/>
    <cellStyle name="Обычный 8 12 2" xfId="6686"/>
    <cellStyle name="Процентный 8 12 2" xfId="6687"/>
    <cellStyle name="Обычный 4 71 2" xfId="6688"/>
    <cellStyle name="Процентный 4 71 2" xfId="6689"/>
    <cellStyle name="Обычный 5 64 2" xfId="6690"/>
    <cellStyle name="Процентный 5 64 2" xfId="6691"/>
    <cellStyle name="Обычный 4 2 58 2" xfId="6692"/>
    <cellStyle name="Процентный 4 2 58 2" xfId="6693"/>
    <cellStyle name="Обычный 5 2 58 2" xfId="6694"/>
    <cellStyle name="Процентный 5 2 58 2" xfId="6695"/>
    <cellStyle name="Обычный 6 55 2" xfId="6696"/>
    <cellStyle name="Процентный 6 55 2" xfId="6697"/>
    <cellStyle name="Обычный 7 25 2" xfId="6698"/>
    <cellStyle name="Процентный 7 25 2" xfId="6699"/>
    <cellStyle name="Обычный 4 3 17 2" xfId="6700"/>
    <cellStyle name="Процентный 4 3 17 2" xfId="6701"/>
    <cellStyle name="Обычный 5 3 17 2" xfId="6702"/>
    <cellStyle name="Процентный 5 3 17 2" xfId="6703"/>
    <cellStyle name="Обычный 4 2 2 17 2" xfId="6704"/>
    <cellStyle name="Процентный 4 2 2 17 2" xfId="6705"/>
    <cellStyle name="Обычный 5 2 2 17 2" xfId="6706"/>
    <cellStyle name="Процентный 5 2 2 17 2" xfId="6707"/>
    <cellStyle name="Обычный 6 2 17 2" xfId="6708"/>
    <cellStyle name="Процентный 6 2 17 2" xfId="6709"/>
    <cellStyle name="Обычный 7 2 17 2" xfId="6710"/>
    <cellStyle name="Процентный 7 2 17 2" xfId="6711"/>
    <cellStyle name="Обычный 8 13 2" xfId="6712"/>
    <cellStyle name="Процентный 8 13 2" xfId="6713"/>
    <cellStyle name="Обычный 4 72 2" xfId="6714"/>
    <cellStyle name="Процентный 4 72 2" xfId="6715"/>
    <cellStyle name="Обычный 5 65 2" xfId="6716"/>
    <cellStyle name="Процентный 5 65 2" xfId="6717"/>
    <cellStyle name="Обычный 4 2 59 2" xfId="6718"/>
    <cellStyle name="Процентный 4 2 59 2" xfId="6719"/>
    <cellStyle name="Обычный 5 2 59 2" xfId="6720"/>
    <cellStyle name="Процентный 5 2 59 2" xfId="6721"/>
    <cellStyle name="Обычный 6 56 2" xfId="6722"/>
    <cellStyle name="Процентный 6 56 2" xfId="6723"/>
    <cellStyle name="Обычный 7 26 2" xfId="6724"/>
    <cellStyle name="Процентный 7 26 2" xfId="6725"/>
    <cellStyle name="Обычный 4 3 18 2" xfId="6726"/>
    <cellStyle name="Процентный 4 3 18 2" xfId="6727"/>
    <cellStyle name="Обычный 5 3 18 2" xfId="6728"/>
    <cellStyle name="Процентный 5 3 18 2" xfId="6729"/>
    <cellStyle name="Обычный 4 2 2 18 2" xfId="6730"/>
    <cellStyle name="Процентный 4 2 2 18 2" xfId="6731"/>
    <cellStyle name="Обычный 5 2 2 18 2" xfId="6732"/>
    <cellStyle name="Процентный 5 2 2 18 2" xfId="6733"/>
    <cellStyle name="Обычный 6 2 18 2" xfId="6734"/>
    <cellStyle name="Процентный 6 2 18 2" xfId="6735"/>
    <cellStyle name="Обычный 7 2 18 2" xfId="6736"/>
    <cellStyle name="Процентный 7 2 18 2" xfId="6737"/>
    <cellStyle name="Обычный 8 14 2" xfId="6738"/>
    <cellStyle name="Процентный 8 14 2" xfId="6739"/>
    <cellStyle name="Обычный 4 73 2" xfId="6740"/>
    <cellStyle name="Процентный 4 73 2" xfId="6741"/>
    <cellStyle name="Обычный 5 66 2" xfId="6742"/>
    <cellStyle name="Процентный 5 66 2" xfId="6743"/>
    <cellStyle name="Обычный 4 2 60 2" xfId="6744"/>
    <cellStyle name="Процентный 4 2 60 2" xfId="6745"/>
    <cellStyle name="Обычный 5 2 60 2" xfId="6746"/>
    <cellStyle name="Процентный 5 2 60 2" xfId="6747"/>
    <cellStyle name="Обычный 6 57 2" xfId="6748"/>
    <cellStyle name="Процентный 6 57 2" xfId="6749"/>
    <cellStyle name="Обычный 7 27 2" xfId="6750"/>
    <cellStyle name="Процентный 7 27 2" xfId="6751"/>
    <cellStyle name="Обычный 4 3 19 2" xfId="6752"/>
    <cellStyle name="Процентный 4 3 19 2" xfId="6753"/>
    <cellStyle name="Обычный 5 3 19 2" xfId="6754"/>
    <cellStyle name="Процентный 5 3 19 2" xfId="6755"/>
    <cellStyle name="Обычный 4 2 2 19 2" xfId="6756"/>
    <cellStyle name="Процентный 4 2 2 19 2" xfId="6757"/>
    <cellStyle name="Обычный 5 2 2 19 2" xfId="6758"/>
    <cellStyle name="Процентный 5 2 2 19 2" xfId="6759"/>
    <cellStyle name="Обычный 6 2 19 2" xfId="6760"/>
    <cellStyle name="Процентный 6 2 19 2" xfId="6761"/>
    <cellStyle name="Обычный 7 2 19 2" xfId="6762"/>
    <cellStyle name="Процентный 7 2 19 2" xfId="6763"/>
    <cellStyle name="Обычный 8 15 2" xfId="6764"/>
    <cellStyle name="Процентный 8 15 2" xfId="6765"/>
    <cellStyle name="Обычный 4 74 2" xfId="6766"/>
    <cellStyle name="Процентный 4 74 2" xfId="6767"/>
    <cellStyle name="Обычный 5 67 2" xfId="6768"/>
    <cellStyle name="Процентный 5 67 2" xfId="6769"/>
    <cellStyle name="Обычный 4 2 61 2" xfId="6770"/>
    <cellStyle name="Процентный 4 2 61 2" xfId="6771"/>
    <cellStyle name="Обычный 5 2 61 2" xfId="6772"/>
    <cellStyle name="Процентный 5 2 61 2" xfId="6773"/>
    <cellStyle name="Обычный 6 58 2" xfId="6774"/>
    <cellStyle name="Процентный 6 58 2" xfId="6775"/>
    <cellStyle name="Обычный 7 28 2" xfId="6776"/>
    <cellStyle name="Процентный 7 28 2" xfId="6777"/>
    <cellStyle name="Обычный 4 3 20 2" xfId="6778"/>
    <cellStyle name="Процентный 4 3 20 2" xfId="6779"/>
    <cellStyle name="Обычный 5 3 20 2" xfId="6780"/>
    <cellStyle name="Процентный 5 3 20 2" xfId="6781"/>
    <cellStyle name="Обычный 4 2 2 20 2" xfId="6782"/>
    <cellStyle name="Процентный 4 2 2 20 2" xfId="6783"/>
    <cellStyle name="Обычный 5 2 2 20 2" xfId="6784"/>
    <cellStyle name="Процентный 5 2 2 20 2" xfId="6785"/>
    <cellStyle name="Обычный 6 2 20 2" xfId="6786"/>
    <cellStyle name="Процентный 6 2 20 2" xfId="6787"/>
    <cellStyle name="Обычный 7 2 20 2" xfId="6788"/>
    <cellStyle name="Процентный 7 2 20 2" xfId="6789"/>
    <cellStyle name="Обычный 8 16 2" xfId="6790"/>
    <cellStyle name="Процентный 8 16 2" xfId="6791"/>
    <cellStyle name="Обычный 4 75 2" xfId="6792"/>
    <cellStyle name="Процентный 4 75 2" xfId="6793"/>
    <cellStyle name="Обычный 5 68 2" xfId="6794"/>
    <cellStyle name="Процентный 5 68 2" xfId="6795"/>
    <cellStyle name="Обычный 4 2 62 2" xfId="6796"/>
    <cellStyle name="Процентный 4 2 62 2" xfId="6797"/>
    <cellStyle name="Обычный 5 2 62 2" xfId="6798"/>
    <cellStyle name="Процентный 5 2 62 2" xfId="6799"/>
    <cellStyle name="Обычный 6 59 2" xfId="6800"/>
    <cellStyle name="Процентный 6 59 2" xfId="6801"/>
    <cellStyle name="Обычный 7 29 2" xfId="6802"/>
    <cellStyle name="Процентный 7 29 2" xfId="6803"/>
    <cellStyle name="Обычный 4 3 21 2" xfId="6804"/>
    <cellStyle name="Процентный 4 3 21 2" xfId="6805"/>
    <cellStyle name="Обычный 5 3 21 2" xfId="6806"/>
    <cellStyle name="Процентный 5 3 21 2" xfId="6807"/>
    <cellStyle name="Обычный 4 2 2 21 2" xfId="6808"/>
    <cellStyle name="Процентный 4 2 2 21 2" xfId="6809"/>
    <cellStyle name="Обычный 5 2 2 21 2" xfId="6810"/>
    <cellStyle name="Процентный 5 2 2 21 2" xfId="6811"/>
    <cellStyle name="Обычный 6 2 21 2" xfId="6812"/>
    <cellStyle name="Процентный 6 2 21 2" xfId="6813"/>
    <cellStyle name="Обычный 7 2 21 2" xfId="6814"/>
    <cellStyle name="Процентный 7 2 21 2" xfId="6815"/>
    <cellStyle name="Обычный 8 17 2" xfId="6816"/>
    <cellStyle name="Процентный 8 17 2" xfId="6817"/>
    <cellStyle name="Обычный 4 76 2" xfId="6818"/>
    <cellStyle name="Процентный 4 76 2" xfId="6819"/>
    <cellStyle name="Обычный 5 69 2" xfId="6820"/>
    <cellStyle name="Процентный 5 69 2" xfId="6821"/>
    <cellStyle name="Обычный 4 2 63 2" xfId="6822"/>
    <cellStyle name="Процентный 4 2 63 2" xfId="6823"/>
    <cellStyle name="Обычный 5 2 63 2" xfId="6824"/>
    <cellStyle name="Процентный 5 2 63 2" xfId="6825"/>
    <cellStyle name="Обычный 6 60 2" xfId="6826"/>
    <cellStyle name="Процентный 6 60 2" xfId="6827"/>
    <cellStyle name="Обычный 7 30 2" xfId="6828"/>
    <cellStyle name="Процентный 7 30 2" xfId="6829"/>
    <cellStyle name="Обычный 4 3 22 2" xfId="6830"/>
    <cellStyle name="Процентный 4 3 22 2" xfId="6831"/>
    <cellStyle name="Обычный 5 3 22 2" xfId="6832"/>
    <cellStyle name="Процентный 5 3 22 2" xfId="6833"/>
    <cellStyle name="Обычный 4 2 2 22 2" xfId="6834"/>
    <cellStyle name="Процентный 4 2 2 22 2" xfId="6835"/>
    <cellStyle name="Обычный 5 2 2 22 2" xfId="6836"/>
    <cellStyle name="Процентный 5 2 2 22 2" xfId="6837"/>
    <cellStyle name="Обычный 6 2 22 2" xfId="6838"/>
    <cellStyle name="Процентный 6 2 22 2" xfId="6839"/>
    <cellStyle name="Обычный 7 2 22 2" xfId="6840"/>
    <cellStyle name="Процентный 7 2 22 2" xfId="6841"/>
    <cellStyle name="Обычный 8 18 2" xfId="6842"/>
    <cellStyle name="Процентный 8 18 2" xfId="6843"/>
    <cellStyle name="Обычный 4 77 2" xfId="6844"/>
    <cellStyle name="Процентный 4 77 2" xfId="6845"/>
    <cellStyle name="Обычный 5 70 2" xfId="6846"/>
    <cellStyle name="Процентный 5 70 2" xfId="6847"/>
    <cellStyle name="Обычный 4 2 64 2" xfId="6848"/>
    <cellStyle name="Процентный 4 2 64 2" xfId="6849"/>
    <cellStyle name="Обычный 5 2 64 2" xfId="6850"/>
    <cellStyle name="Процентный 5 2 64 2" xfId="6851"/>
    <cellStyle name="Обычный 6 61 2" xfId="6852"/>
    <cellStyle name="Процентный 6 61 2" xfId="6853"/>
    <cellStyle name="Обычный 7 31 2" xfId="6854"/>
    <cellStyle name="Процентный 7 31 2" xfId="6855"/>
    <cellStyle name="Обычный 4 3 23 2" xfId="6856"/>
    <cellStyle name="Процентный 4 3 23 2" xfId="6857"/>
    <cellStyle name="Обычный 5 3 23 2" xfId="6858"/>
    <cellStyle name="Процентный 5 3 23 2" xfId="6859"/>
    <cellStyle name="Обычный 4 2 2 23 2" xfId="6860"/>
    <cellStyle name="Процентный 4 2 2 23 2" xfId="6861"/>
    <cellStyle name="Обычный 5 2 2 23 2" xfId="6862"/>
    <cellStyle name="Процентный 5 2 2 23 2" xfId="6863"/>
    <cellStyle name="Обычный 6 2 23 2" xfId="6864"/>
    <cellStyle name="Процентный 6 2 23 2" xfId="6865"/>
    <cellStyle name="Обычный 7 2 23 2" xfId="6866"/>
    <cellStyle name="Процентный 7 2 23 2" xfId="6867"/>
    <cellStyle name="Обычный 8 19 2" xfId="6868"/>
    <cellStyle name="Процентный 8 19 2" xfId="6869"/>
    <cellStyle name="Обычный 4 78 2" xfId="6870"/>
    <cellStyle name="Процентный 4 78 2" xfId="6871"/>
    <cellStyle name="Обычный 5 71 2" xfId="6872"/>
    <cellStyle name="Процентный 5 71 2" xfId="6873"/>
    <cellStyle name="Обычный 4 2 65 2" xfId="6874"/>
    <cellStyle name="Процентный 4 2 65 2" xfId="6875"/>
    <cellStyle name="Обычный 5 2 65 2" xfId="6876"/>
    <cellStyle name="Процентный 5 2 65 2" xfId="6877"/>
    <cellStyle name="Обычный 6 62 2" xfId="6878"/>
    <cellStyle name="Процентный 6 62 2" xfId="6879"/>
    <cellStyle name="Обычный 7 32 2" xfId="6880"/>
    <cellStyle name="Процентный 7 32 2" xfId="6881"/>
    <cellStyle name="Обычный 4 3 24 2" xfId="6882"/>
    <cellStyle name="Процентный 4 3 24 2" xfId="6883"/>
    <cellStyle name="Обычный 5 3 24 2" xfId="6884"/>
    <cellStyle name="Процентный 5 3 24 2" xfId="6885"/>
    <cellStyle name="Обычный 4 2 2 24 2" xfId="6886"/>
    <cellStyle name="Процентный 4 2 2 24 2" xfId="6887"/>
    <cellStyle name="Обычный 5 2 2 24 2" xfId="6888"/>
    <cellStyle name="Процентный 5 2 2 24 2" xfId="6889"/>
    <cellStyle name="Обычный 6 2 24 2" xfId="6890"/>
    <cellStyle name="Процентный 6 2 24 2" xfId="6891"/>
    <cellStyle name="Обычный 7 2 24 2" xfId="6892"/>
    <cellStyle name="Процентный 7 2 24 2" xfId="6893"/>
    <cellStyle name="Обычный 8 20 2" xfId="6894"/>
    <cellStyle name="Процентный 8 20 2" xfId="6895"/>
    <cellStyle name="Обычный 4 79 2" xfId="6896"/>
    <cellStyle name="Процентный 4 79 2" xfId="6897"/>
    <cellStyle name="Обычный 5 72 2" xfId="6898"/>
    <cellStyle name="Процентный 5 72 2" xfId="6899"/>
    <cellStyle name="Обычный 4 2 66 2" xfId="6900"/>
    <cellStyle name="Процентный 4 2 66 2" xfId="6901"/>
    <cellStyle name="Обычный 5 2 66 2" xfId="6902"/>
    <cellStyle name="Процентный 5 2 66 2" xfId="6903"/>
    <cellStyle name="Обычный 6 63 2" xfId="6904"/>
    <cellStyle name="Процентный 6 63 2" xfId="6905"/>
    <cellStyle name="Обычный 7 33 2" xfId="6906"/>
    <cellStyle name="Процентный 7 33 2" xfId="6907"/>
    <cellStyle name="Обычный 4 3 25 2" xfId="6908"/>
    <cellStyle name="Процентный 4 3 25 2" xfId="6909"/>
    <cellStyle name="Обычный 5 3 25 2" xfId="6910"/>
    <cellStyle name="Процентный 5 3 25 2" xfId="6911"/>
    <cellStyle name="Обычный 4 2 2 25 2" xfId="6912"/>
    <cellStyle name="Процентный 4 2 2 25 2" xfId="6913"/>
    <cellStyle name="Обычный 5 2 2 25 2" xfId="6914"/>
    <cellStyle name="Процентный 5 2 2 25 2" xfId="6915"/>
    <cellStyle name="Обычный 6 2 25 2" xfId="6916"/>
    <cellStyle name="Процентный 6 2 25 2" xfId="6917"/>
    <cellStyle name="Обычный 7 2 25 2" xfId="6918"/>
    <cellStyle name="Процентный 7 2 25 2" xfId="6919"/>
    <cellStyle name="Обычный 8 21 2" xfId="6920"/>
    <cellStyle name="Процентный 8 21 2" xfId="6921"/>
    <cellStyle name="Обычный 4 80 2" xfId="6922"/>
    <cellStyle name="Процентный 4 80 2" xfId="6923"/>
    <cellStyle name="Обычный 5 73 2" xfId="6924"/>
    <cellStyle name="Процентный 5 73 2" xfId="6925"/>
    <cellStyle name="Обычный 4 2 67 2" xfId="6926"/>
    <cellStyle name="Процентный 4 2 67 2" xfId="6927"/>
    <cellStyle name="Обычный 5 2 67 2" xfId="6928"/>
    <cellStyle name="Процентный 5 2 67 2" xfId="6929"/>
    <cellStyle name="Обычный 6 64 2" xfId="6930"/>
    <cellStyle name="Процентный 6 64 2" xfId="6931"/>
    <cellStyle name="Обычный 7 34 2" xfId="6932"/>
    <cellStyle name="Процентный 7 34 2" xfId="6933"/>
    <cellStyle name="Обычный 4 3 26 2" xfId="6934"/>
    <cellStyle name="Процентный 4 3 26 2" xfId="6935"/>
    <cellStyle name="Обычный 5 3 26 2" xfId="6936"/>
    <cellStyle name="Процентный 5 3 26 2" xfId="6937"/>
    <cellStyle name="Обычный 4 2 2 26 2" xfId="6938"/>
    <cellStyle name="Процентный 4 2 2 26 2" xfId="6939"/>
    <cellStyle name="Обычный 5 2 2 26 2" xfId="6940"/>
    <cellStyle name="Процентный 5 2 2 26 2" xfId="6941"/>
    <cellStyle name="Обычный 6 2 26 2" xfId="6942"/>
    <cellStyle name="Процентный 6 2 26 2" xfId="6943"/>
    <cellStyle name="Обычный 7 2 26 2" xfId="6944"/>
    <cellStyle name="Процентный 7 2 26 2" xfId="6945"/>
    <cellStyle name="Обычный 8 22 2" xfId="6946"/>
    <cellStyle name="Процентный 8 22 2" xfId="6947"/>
    <cellStyle name="Обычный 4 81 2" xfId="6948"/>
    <cellStyle name="Процентный 4 81 2" xfId="6949"/>
    <cellStyle name="Обычный 5 74 2" xfId="6950"/>
    <cellStyle name="Процентный 5 74 2" xfId="6951"/>
    <cellStyle name="Обычный 4 2 68 2" xfId="6952"/>
    <cellStyle name="Процентный 4 2 68 2" xfId="6953"/>
    <cellStyle name="Обычный 5 2 68 2" xfId="6954"/>
    <cellStyle name="Процентный 5 2 68 2" xfId="6955"/>
    <cellStyle name="Обычный 6 65 2" xfId="6956"/>
    <cellStyle name="Процентный 6 65 2" xfId="6957"/>
    <cellStyle name="Обычный 7 35 2" xfId="6958"/>
    <cellStyle name="Процентный 7 35 2" xfId="6959"/>
    <cellStyle name="Обычный 4 3 27 2" xfId="6960"/>
    <cellStyle name="Процентный 4 3 27 2" xfId="6961"/>
    <cellStyle name="Обычный 5 3 27 2" xfId="6962"/>
    <cellStyle name="Процентный 5 3 27 2" xfId="6963"/>
    <cellStyle name="Обычный 4 2 2 27 2" xfId="6964"/>
    <cellStyle name="Процентный 4 2 2 27 2" xfId="6965"/>
    <cellStyle name="Обычный 5 2 2 27 2" xfId="6966"/>
    <cellStyle name="Процентный 5 2 2 27 2" xfId="6967"/>
    <cellStyle name="Обычный 6 2 27 2" xfId="6968"/>
    <cellStyle name="Процентный 6 2 27 2" xfId="6969"/>
    <cellStyle name="Обычный 7 2 27 2" xfId="6970"/>
    <cellStyle name="Процентный 7 2 27 2" xfId="6971"/>
    <cellStyle name="Обычный 8 23 2" xfId="6972"/>
    <cellStyle name="Процентный 8 23 2" xfId="6973"/>
    <cellStyle name="Обычный 4 82 2" xfId="6974"/>
    <cellStyle name="Процентный 4 82 2" xfId="6975"/>
    <cellStyle name="Обычный 5 75 2" xfId="6976"/>
    <cellStyle name="Процентный 5 75 2" xfId="6977"/>
    <cellStyle name="Обычный 4 2 69 2" xfId="6978"/>
    <cellStyle name="Процентный 4 2 69 2" xfId="6979"/>
    <cellStyle name="Обычный 5 2 69 2" xfId="6980"/>
    <cellStyle name="Процентный 5 2 69 2" xfId="6981"/>
    <cellStyle name="Обычный 6 66 2" xfId="6982"/>
    <cellStyle name="Процентный 6 66 2" xfId="6983"/>
    <cellStyle name="Обычный 7 36 2" xfId="6984"/>
    <cellStyle name="Процентный 7 36 2" xfId="6985"/>
    <cellStyle name="Обычный 4 3 28 2" xfId="6986"/>
    <cellStyle name="Процентный 4 3 28 2" xfId="6987"/>
    <cellStyle name="Обычный 5 3 28 2" xfId="6988"/>
    <cellStyle name="Процентный 5 3 28 2" xfId="6989"/>
    <cellStyle name="Обычный 4 2 2 28 2" xfId="6990"/>
    <cellStyle name="Процентный 4 2 2 28 2" xfId="6991"/>
    <cellStyle name="Обычный 5 2 2 28 2" xfId="6992"/>
    <cellStyle name="Процентный 5 2 2 28 2" xfId="6993"/>
    <cellStyle name="Обычный 6 2 28 2" xfId="6994"/>
    <cellStyle name="Процентный 6 2 28 2" xfId="6995"/>
    <cellStyle name="Обычный 7 2 28 2" xfId="6996"/>
    <cellStyle name="Процентный 7 2 28 2" xfId="6997"/>
    <cellStyle name="Обычный 8 24 2" xfId="6998"/>
    <cellStyle name="Процентный 8 24 2" xfId="6999"/>
    <cellStyle name="Обычный 4 83 2" xfId="7000"/>
    <cellStyle name="Процентный 4 83 2" xfId="7001"/>
    <cellStyle name="Обычный 5 76 2" xfId="7002"/>
    <cellStyle name="Процентный 5 76 2" xfId="7003"/>
    <cellStyle name="Обычный 4 2 70 2" xfId="7004"/>
    <cellStyle name="Процентный 4 2 70 2" xfId="7005"/>
    <cellStyle name="Обычный 5 2 70 2" xfId="7006"/>
    <cellStyle name="Процентный 5 2 70 2" xfId="7007"/>
    <cellStyle name="Обычный 6 67 2" xfId="7008"/>
    <cellStyle name="Процентный 6 67 2" xfId="7009"/>
    <cellStyle name="Обычный 7 37 2" xfId="7010"/>
    <cellStyle name="Процентный 7 37 2" xfId="7011"/>
    <cellStyle name="Обычный 4 3 29 2" xfId="7012"/>
    <cellStyle name="Процентный 4 3 29 2" xfId="7013"/>
    <cellStyle name="Обычный 5 3 29 2" xfId="7014"/>
    <cellStyle name="Процентный 5 3 29 2" xfId="7015"/>
    <cellStyle name="Обычный 4 2 2 29 2" xfId="7016"/>
    <cellStyle name="Процентный 4 2 2 29 2" xfId="7017"/>
    <cellStyle name="Обычный 5 2 2 29 2" xfId="7018"/>
    <cellStyle name="Процентный 5 2 2 29 2" xfId="7019"/>
    <cellStyle name="Обычный 6 2 29 2" xfId="7020"/>
    <cellStyle name="Процентный 6 2 29 2" xfId="7021"/>
    <cellStyle name="Обычный 7 2 29 2" xfId="7022"/>
    <cellStyle name="Процентный 7 2 29 2" xfId="7023"/>
    <cellStyle name="Обычный 8 25 2" xfId="7024"/>
    <cellStyle name="Процентный 8 25 2" xfId="7025"/>
    <cellStyle name="Обычный 4 84 2" xfId="7026"/>
    <cellStyle name="Процентный 4 84 2" xfId="7027"/>
    <cellStyle name="Обычный 5 77 2" xfId="7028"/>
    <cellStyle name="Процентный 5 77 2" xfId="7029"/>
    <cellStyle name="Обычный 4 2 71 2" xfId="7030"/>
    <cellStyle name="Процентный 4 2 71 2" xfId="7031"/>
    <cellStyle name="Обычный 5 2 71 2" xfId="7032"/>
    <cellStyle name="Процентный 5 2 71 2" xfId="7033"/>
    <cellStyle name="Обычный 6 68 2" xfId="7034"/>
    <cellStyle name="Процентный 6 68 2" xfId="7035"/>
    <cellStyle name="Обычный 7 38 2" xfId="7036"/>
    <cellStyle name="Процентный 7 38 2" xfId="7037"/>
    <cellStyle name="Обычный 4 3 30 2" xfId="7038"/>
    <cellStyle name="Процентный 4 3 30 2" xfId="7039"/>
    <cellStyle name="Обычный 5 3 30 2" xfId="7040"/>
    <cellStyle name="Процентный 5 3 30 2" xfId="7041"/>
    <cellStyle name="Обычный 4 2 2 30 2" xfId="7042"/>
    <cellStyle name="Процентный 4 2 2 30 2" xfId="7043"/>
    <cellStyle name="Обычный 5 2 2 30 2" xfId="7044"/>
    <cellStyle name="Процентный 5 2 2 30 2" xfId="7045"/>
    <cellStyle name="Обычный 6 2 30 2" xfId="7046"/>
    <cellStyle name="Процентный 6 2 30 2" xfId="7047"/>
    <cellStyle name="Обычный 7 2 30 2" xfId="7048"/>
    <cellStyle name="Процентный 7 2 30 2" xfId="7049"/>
    <cellStyle name="Обычный 8 26 2" xfId="7050"/>
    <cellStyle name="Процентный 8 26 2" xfId="7051"/>
    <cellStyle name="Обычный 4 85 2" xfId="7052"/>
    <cellStyle name="Процентный 4 85 2" xfId="7053"/>
    <cellStyle name="Обычный 5 78 2" xfId="7054"/>
    <cellStyle name="Процентный 5 78 2" xfId="7055"/>
    <cellStyle name="Обычный 4 2 72 2" xfId="7056"/>
    <cellStyle name="Процентный 4 2 72 2" xfId="7057"/>
    <cellStyle name="Обычный 5 2 72 2" xfId="7058"/>
    <cellStyle name="Процентный 5 2 72 2" xfId="7059"/>
    <cellStyle name="Обычный 6 69 2" xfId="7060"/>
    <cellStyle name="Процентный 6 69 2" xfId="7061"/>
    <cellStyle name="Обычный 7 39 2" xfId="7062"/>
    <cellStyle name="Процентный 7 39 2" xfId="7063"/>
    <cellStyle name="Обычный 4 3 31 2" xfId="7064"/>
    <cellStyle name="Процентный 4 3 31 2" xfId="7065"/>
    <cellStyle name="Обычный 5 3 31 2" xfId="7066"/>
    <cellStyle name="Процентный 5 3 31 2" xfId="7067"/>
    <cellStyle name="Обычный 4 2 2 31 2" xfId="7068"/>
    <cellStyle name="Процентный 4 2 2 31 2" xfId="7069"/>
    <cellStyle name="Обычный 5 2 2 31 2" xfId="7070"/>
    <cellStyle name="Процентный 5 2 2 31 2" xfId="7071"/>
    <cellStyle name="Обычный 6 2 31 2" xfId="7072"/>
    <cellStyle name="Процентный 6 2 31 2" xfId="7073"/>
    <cellStyle name="Обычный 7 2 31 2" xfId="7074"/>
    <cellStyle name="Процентный 7 2 31 2" xfId="7075"/>
    <cellStyle name="Обычный 8 27 2" xfId="7076"/>
    <cellStyle name="Процентный 8 27 2" xfId="7077"/>
    <cellStyle name="Обычный 4 86 2" xfId="7078"/>
    <cellStyle name="Процентный 4 86 2" xfId="7079"/>
    <cellStyle name="Обычный 5 79 2" xfId="7080"/>
    <cellStyle name="Процентный 5 79 2" xfId="7081"/>
    <cellStyle name="Обычный 4 2 73 2" xfId="7082"/>
    <cellStyle name="Процентный 4 2 73 2" xfId="7083"/>
    <cellStyle name="Обычный 5 2 73 2" xfId="7084"/>
    <cellStyle name="Процентный 5 2 73 2" xfId="7085"/>
    <cellStyle name="Обычный 6 70 2" xfId="7086"/>
    <cellStyle name="Процентный 6 70 2" xfId="7087"/>
    <cellStyle name="Обычный 7 40 2" xfId="7088"/>
    <cellStyle name="Процентный 7 40 2" xfId="7089"/>
    <cellStyle name="Обычный 4 3 32 2" xfId="7090"/>
    <cellStyle name="Процентный 4 3 32 2" xfId="7091"/>
    <cellStyle name="Обычный 5 3 32 2" xfId="7092"/>
    <cellStyle name="Процентный 5 3 32 2" xfId="7093"/>
    <cellStyle name="Обычный 4 2 2 32 2" xfId="7094"/>
    <cellStyle name="Процентный 4 2 2 32 2" xfId="7095"/>
    <cellStyle name="Обычный 5 2 2 32 2" xfId="7096"/>
    <cellStyle name="Процентный 5 2 2 32 2" xfId="7097"/>
    <cellStyle name="Обычный 6 2 32 2" xfId="7098"/>
    <cellStyle name="Процентный 6 2 32 2" xfId="7099"/>
    <cellStyle name="Обычный 7 2 32 2" xfId="7100"/>
    <cellStyle name="Процентный 7 2 32 2" xfId="7101"/>
    <cellStyle name="Обычный 8 28 2" xfId="7102"/>
    <cellStyle name="Процентный 8 28 2" xfId="7103"/>
    <cellStyle name="Обычный 4 87 2" xfId="7104"/>
    <cellStyle name="Процентный 4 87 2" xfId="7105"/>
    <cellStyle name="Обычный 5 80 2" xfId="7106"/>
    <cellStyle name="Процентный 5 80 2" xfId="7107"/>
    <cellStyle name="Обычный 4 2 74 2" xfId="7108"/>
    <cellStyle name="Процентный 4 2 74 2" xfId="7109"/>
    <cellStyle name="Обычный 5 2 74 2" xfId="7110"/>
    <cellStyle name="Процентный 5 2 74 2" xfId="7111"/>
    <cellStyle name="Обычный 6 71 2" xfId="7112"/>
    <cellStyle name="Процентный 6 71 2" xfId="7113"/>
    <cellStyle name="Обычный 7 41 2" xfId="7114"/>
    <cellStyle name="Процентный 7 41 2" xfId="7115"/>
    <cellStyle name="Обычный 4 3 33 2" xfId="7116"/>
    <cellStyle name="Процентный 4 3 33 2" xfId="7117"/>
    <cellStyle name="Обычный 5 3 33 2" xfId="7118"/>
    <cellStyle name="Процентный 5 3 33 2" xfId="7119"/>
    <cellStyle name="Обычный 4 2 2 33 2" xfId="7120"/>
    <cellStyle name="Процентный 4 2 2 33 2" xfId="7121"/>
    <cellStyle name="Обычный 5 2 2 33 2" xfId="7122"/>
    <cellStyle name="Процентный 5 2 2 33 2" xfId="7123"/>
    <cellStyle name="Обычный 6 2 33 2" xfId="7124"/>
    <cellStyle name="Процентный 6 2 33 2" xfId="7125"/>
    <cellStyle name="Обычный 7 2 33 2" xfId="7126"/>
    <cellStyle name="Процентный 7 2 33 2" xfId="7127"/>
    <cellStyle name="Обычный 8 29 2" xfId="7128"/>
    <cellStyle name="Процентный 8 29 2" xfId="7129"/>
    <cellStyle name="Обычный 4 88 2" xfId="7130"/>
    <cellStyle name="Процентный 4 88 2" xfId="7131"/>
    <cellStyle name="Обычный 5 81 2" xfId="7132"/>
    <cellStyle name="Процентный 5 81 2" xfId="7133"/>
    <cellStyle name="Обычный 4 2 75 2" xfId="7134"/>
    <cellStyle name="Процентный 4 2 75 2" xfId="7135"/>
    <cellStyle name="Обычный 5 2 75 2" xfId="7136"/>
    <cellStyle name="Процентный 5 2 75 2" xfId="7137"/>
    <cellStyle name="Обычный 6 72 2" xfId="7138"/>
    <cellStyle name="Процентный 6 72 2" xfId="7139"/>
    <cellStyle name="Обычный 7 42 2" xfId="7140"/>
    <cellStyle name="Процентный 7 42 2" xfId="7141"/>
    <cellStyle name="Обычный 4 3 34 2" xfId="7142"/>
    <cellStyle name="Процентный 4 3 34 2" xfId="7143"/>
    <cellStyle name="Обычный 5 3 34 2" xfId="7144"/>
    <cellStyle name="Процентный 5 3 34 2" xfId="7145"/>
    <cellStyle name="Обычный 4 2 2 34 2" xfId="7146"/>
    <cellStyle name="Процентный 4 2 2 34 2" xfId="7147"/>
    <cellStyle name="Обычный 5 2 2 34 2" xfId="7148"/>
    <cellStyle name="Процентный 5 2 2 34 2" xfId="7149"/>
    <cellStyle name="Обычный 6 2 34 2" xfId="7150"/>
    <cellStyle name="Процентный 6 2 34 2" xfId="7151"/>
    <cellStyle name="Обычный 7 2 34 2" xfId="7152"/>
    <cellStyle name="Процентный 7 2 34 2" xfId="7153"/>
    <cellStyle name="Обычный 8 30 2" xfId="7154"/>
    <cellStyle name="Процентный 8 30 2" xfId="7155"/>
    <cellStyle name="Обычный 4 89 2" xfId="7156"/>
    <cellStyle name="Процентный 4 89 2" xfId="7157"/>
    <cellStyle name="Обычный 5 82 2" xfId="7158"/>
    <cellStyle name="Процентный 5 82 2" xfId="7159"/>
    <cellStyle name="Обычный 4 2 76 2" xfId="7160"/>
    <cellStyle name="Процентный 4 2 76 2" xfId="7161"/>
    <cellStyle name="Обычный 5 2 76 2" xfId="7162"/>
    <cellStyle name="Процентный 5 2 76 2" xfId="7163"/>
    <cellStyle name="Обычный 6 73 2" xfId="7164"/>
    <cellStyle name="Процентный 6 73 2" xfId="7165"/>
    <cellStyle name="Обычный 7 43 2" xfId="7166"/>
    <cellStyle name="Процентный 7 43 2" xfId="7167"/>
    <cellStyle name="Обычный 4 3 35 2" xfId="7168"/>
    <cellStyle name="Процентный 4 3 35 2" xfId="7169"/>
    <cellStyle name="Обычный 5 3 35 2" xfId="7170"/>
    <cellStyle name="Процентный 5 3 35 2" xfId="7171"/>
    <cellStyle name="Обычный 4 2 2 35 2" xfId="7172"/>
    <cellStyle name="Процентный 4 2 2 35 2" xfId="7173"/>
    <cellStyle name="Обычный 5 2 2 35 2" xfId="7174"/>
    <cellStyle name="Процентный 5 2 2 35 2" xfId="7175"/>
    <cellStyle name="Обычный 6 2 35 2" xfId="7176"/>
    <cellStyle name="Процентный 6 2 35 2" xfId="7177"/>
    <cellStyle name="Обычный 7 2 35 2" xfId="7178"/>
    <cellStyle name="Процентный 7 2 35 2" xfId="7179"/>
    <cellStyle name="Обычный 8 31 2" xfId="7180"/>
    <cellStyle name="Процентный 8 31 2" xfId="7181"/>
    <cellStyle name="Обычный 4 90 2" xfId="7182"/>
    <cellStyle name="Процентный 4 90 2" xfId="7183"/>
    <cellStyle name="Обычный 5 83 2" xfId="7184"/>
    <cellStyle name="Процентный 5 83 2" xfId="7185"/>
    <cellStyle name="Обычный 4 2 77 2" xfId="7186"/>
    <cellStyle name="Процентный 4 2 77 2" xfId="7187"/>
    <cellStyle name="Обычный 5 2 77 2" xfId="7188"/>
    <cellStyle name="Процентный 5 2 77 2" xfId="7189"/>
    <cellStyle name="Обычный 6 74 2" xfId="7190"/>
    <cellStyle name="Процентный 6 74 2" xfId="7191"/>
    <cellStyle name="Обычный 7 44 2" xfId="7192"/>
    <cellStyle name="Процентный 7 44 2" xfId="7193"/>
    <cellStyle name="Обычный 4 3 36 2" xfId="7194"/>
    <cellStyle name="Процентный 4 3 36 2" xfId="7195"/>
    <cellStyle name="Обычный 5 3 36 2" xfId="7196"/>
    <cellStyle name="Процентный 5 3 36 2" xfId="7197"/>
    <cellStyle name="Обычный 4 2 2 36 2" xfId="7198"/>
    <cellStyle name="Процентный 4 2 2 36 2" xfId="7199"/>
    <cellStyle name="Обычный 5 2 2 36 2" xfId="7200"/>
    <cellStyle name="Процентный 5 2 2 36 2" xfId="7201"/>
    <cellStyle name="Обычный 6 2 36 2" xfId="7202"/>
    <cellStyle name="Процентный 6 2 36 2" xfId="7203"/>
    <cellStyle name="Обычный 7 2 36 2" xfId="7204"/>
    <cellStyle name="Процентный 7 2 36 2" xfId="7205"/>
    <cellStyle name="Обычный 8 32 2" xfId="7206"/>
    <cellStyle name="Процентный 8 32 2" xfId="7207"/>
    <cellStyle name="Обычный 4 91 2" xfId="7208"/>
    <cellStyle name="Процентный 4 91 2" xfId="7209"/>
    <cellStyle name="Обычный 5 84 2" xfId="7210"/>
    <cellStyle name="Процентный 5 84 2" xfId="7211"/>
    <cellStyle name="Обычный 4 2 78 2" xfId="7212"/>
    <cellStyle name="Процентный 4 2 78 2" xfId="7213"/>
    <cellStyle name="Обычный 5 2 78 2" xfId="7214"/>
    <cellStyle name="Процентный 5 2 78 2" xfId="7215"/>
    <cellStyle name="Обычный 6 75 2" xfId="7216"/>
    <cellStyle name="Процентный 6 75 2" xfId="7217"/>
    <cellStyle name="Обычный 7 45 2" xfId="7218"/>
    <cellStyle name="Процентный 7 45 2" xfId="7219"/>
    <cellStyle name="Обычный 4 3 37 2" xfId="7220"/>
    <cellStyle name="Процентный 4 3 37 2" xfId="7221"/>
    <cellStyle name="Обычный 5 3 37 2" xfId="7222"/>
    <cellStyle name="Процентный 5 3 37 2" xfId="7223"/>
    <cellStyle name="Обычный 4 2 2 37 2" xfId="7224"/>
    <cellStyle name="Процентный 4 2 2 37 2" xfId="7225"/>
    <cellStyle name="Обычный 5 2 2 37 2" xfId="7226"/>
    <cellStyle name="Процентный 5 2 2 37 2" xfId="7227"/>
    <cellStyle name="Обычный 6 2 37 2" xfId="7228"/>
    <cellStyle name="Процентный 6 2 37 2" xfId="7229"/>
    <cellStyle name="Обычный 7 2 37 2" xfId="7230"/>
    <cellStyle name="Процентный 7 2 37 2" xfId="7231"/>
    <cellStyle name="Обычный 8 33 2" xfId="7232"/>
    <cellStyle name="Процентный 8 33 2" xfId="7233"/>
    <cellStyle name="Обычный 4 92 2" xfId="7234"/>
    <cellStyle name="Процентный 4 92 2" xfId="7235"/>
    <cellStyle name="Обычный 5 85 2" xfId="7236"/>
    <cellStyle name="Процентный 5 85 2" xfId="7237"/>
    <cellStyle name="Обычный 4 2 79 2" xfId="7238"/>
    <cellStyle name="Процентный 4 2 79 2" xfId="7239"/>
    <cellStyle name="Обычный 5 2 79 2" xfId="7240"/>
    <cellStyle name="Процентный 5 2 79 2" xfId="7241"/>
    <cellStyle name="Обычный 6 76 2" xfId="7242"/>
    <cellStyle name="Процентный 6 76 2" xfId="7243"/>
    <cellStyle name="Обычный 7 46 2" xfId="7244"/>
    <cellStyle name="Процентный 7 46 2" xfId="7245"/>
    <cellStyle name="Обычный 4 3 38 2" xfId="7246"/>
    <cellStyle name="Процентный 4 3 38 2" xfId="7247"/>
    <cellStyle name="Обычный 5 3 38 2" xfId="7248"/>
    <cellStyle name="Процентный 5 3 38 2" xfId="7249"/>
    <cellStyle name="Обычный 4 2 2 38 2" xfId="7250"/>
    <cellStyle name="Процентный 4 2 2 38 2" xfId="7251"/>
    <cellStyle name="Обычный 5 2 2 38 2" xfId="7252"/>
    <cellStyle name="Процентный 5 2 2 38 2" xfId="7253"/>
    <cellStyle name="Обычный 6 2 38 2" xfId="7254"/>
    <cellStyle name="Процентный 6 2 38 2" xfId="7255"/>
    <cellStyle name="Обычный 7 2 38 2" xfId="7256"/>
    <cellStyle name="Процентный 7 2 38 2" xfId="7257"/>
    <cellStyle name="Обычный 8 34 2" xfId="7258"/>
    <cellStyle name="Процентный 8 34 2" xfId="7259"/>
    <cellStyle name="Обычный 4 93 2" xfId="7260"/>
    <cellStyle name="Процентный 4 93 2" xfId="7261"/>
    <cellStyle name="Обычный 5 86 2" xfId="7262"/>
    <cellStyle name="Процентный 5 86 2" xfId="7263"/>
    <cellStyle name="Обычный 4 2 80 2" xfId="7264"/>
    <cellStyle name="Процентный 4 2 80 2" xfId="7265"/>
    <cellStyle name="Обычный 5 2 80 2" xfId="7266"/>
    <cellStyle name="Процентный 5 2 80 2" xfId="7267"/>
    <cellStyle name="Обычный 6 77 2" xfId="7268"/>
    <cellStyle name="Процентный 6 77 2" xfId="7269"/>
    <cellStyle name="Обычный 7 47 2" xfId="7270"/>
    <cellStyle name="Процентный 7 47 2" xfId="7271"/>
    <cellStyle name="Обычный 4 3 39 2" xfId="7272"/>
    <cellStyle name="Процентный 4 3 39 2" xfId="7273"/>
    <cellStyle name="Обычный 5 3 39 2" xfId="7274"/>
    <cellStyle name="Процентный 5 3 39 2" xfId="7275"/>
    <cellStyle name="Обычный 4 2 2 39 2" xfId="7276"/>
    <cellStyle name="Процентный 4 2 2 39 2" xfId="7277"/>
    <cellStyle name="Обычный 5 2 2 39 2" xfId="7278"/>
    <cellStyle name="Процентный 5 2 2 39 2" xfId="7279"/>
    <cellStyle name="Обычный 6 2 39 2" xfId="7280"/>
    <cellStyle name="Процентный 6 2 39 2" xfId="7281"/>
    <cellStyle name="Обычный 7 2 39 2" xfId="7282"/>
    <cellStyle name="Процентный 7 2 39 2" xfId="7283"/>
    <cellStyle name="Обычный 8 35 2" xfId="7284"/>
    <cellStyle name="Процентный 8 35 2" xfId="7285"/>
    <cellStyle name="Обычный 9 111" xfId="7286"/>
    <cellStyle name="Процентный 9 2 2" xfId="7287"/>
    <cellStyle name="Обычный 4 94 2" xfId="7288"/>
    <cellStyle name="Процентный 4 94 2" xfId="7289"/>
    <cellStyle name="Обычный 5 87 2" xfId="7290"/>
    <cellStyle name="Процентный 5 87 2" xfId="7291"/>
    <cellStyle name="Обычный 4 2 81 2" xfId="7292"/>
    <cellStyle name="Процентный 4 2 81 2" xfId="7293"/>
    <cellStyle name="Обычный 5 2 81 2" xfId="7294"/>
    <cellStyle name="Процентный 5 2 81 2" xfId="7295"/>
    <cellStyle name="Обычный 6 78 2" xfId="7296"/>
    <cellStyle name="Процентный 6 78 2" xfId="7297"/>
    <cellStyle name="Обычный 7 48 2" xfId="7298"/>
    <cellStyle name="Процентный 7 48 2" xfId="7299"/>
    <cellStyle name="Обычный 4 3 40 2" xfId="7300"/>
    <cellStyle name="Процентный 4 3 40 2" xfId="7301"/>
    <cellStyle name="Обычный 5 3 40 2" xfId="7302"/>
    <cellStyle name="Процентный 5 3 40 2" xfId="7303"/>
    <cellStyle name="Обычный 4 2 2 40 2" xfId="7304"/>
    <cellStyle name="Процентный 4 2 2 40 2" xfId="7305"/>
    <cellStyle name="Обычный 5 2 2 40 2" xfId="7306"/>
    <cellStyle name="Процентный 5 2 2 40 2" xfId="7307"/>
    <cellStyle name="Обычный 6 2 40 2" xfId="7308"/>
    <cellStyle name="Процентный 6 2 40 2" xfId="7309"/>
    <cellStyle name="Обычный 7 2 40 2" xfId="7310"/>
    <cellStyle name="Процентный 7 2 40 2" xfId="7311"/>
    <cellStyle name="Обычный 8 36 2" xfId="7312"/>
    <cellStyle name="Процентный 8 36 2" xfId="7313"/>
    <cellStyle name="Обычный 9 2 2" xfId="7314"/>
    <cellStyle name="Процентный 9 3 2" xfId="7315"/>
    <cellStyle name="Обычный 4 95 2" xfId="7316"/>
    <cellStyle name="Процентный 4 95 2" xfId="7317"/>
    <cellStyle name="Обычный 5 88 2" xfId="7318"/>
    <cellStyle name="Процентный 5 88 2" xfId="7319"/>
    <cellStyle name="Обычный 4 2 82 2" xfId="7320"/>
    <cellStyle name="Процентный 4 2 82 2" xfId="7321"/>
    <cellStyle name="Обычный 5 2 82 2" xfId="7322"/>
    <cellStyle name="Процентный 5 2 82 2" xfId="7323"/>
    <cellStyle name="Обычный 6 79 2" xfId="7324"/>
    <cellStyle name="Процентный 6 79 2" xfId="7325"/>
    <cellStyle name="Обычный 7 49 2" xfId="7326"/>
    <cellStyle name="Процентный 7 49 2" xfId="7327"/>
    <cellStyle name="Обычный 4 3 41 2" xfId="7328"/>
    <cellStyle name="Процентный 4 3 41 2" xfId="7329"/>
    <cellStyle name="Обычный 5 3 41 2" xfId="7330"/>
    <cellStyle name="Процентный 5 3 41 2" xfId="7331"/>
    <cellStyle name="Обычный 4 2 2 41 2" xfId="7332"/>
    <cellStyle name="Процентный 4 2 2 41 2" xfId="7333"/>
    <cellStyle name="Обычный 5 2 2 41 2" xfId="7334"/>
    <cellStyle name="Процентный 5 2 2 41 2" xfId="7335"/>
    <cellStyle name="Обычный 6 2 41 2" xfId="7336"/>
    <cellStyle name="Процентный 6 2 41 2" xfId="7337"/>
    <cellStyle name="Обычный 7 2 41 2" xfId="7338"/>
    <cellStyle name="Процентный 7 2 41 2" xfId="7339"/>
    <cellStyle name="Обычный 8 37 2" xfId="7340"/>
    <cellStyle name="Процентный 8 37 2" xfId="7341"/>
    <cellStyle name="Обычный 9 3 2" xfId="7342"/>
    <cellStyle name="Процентный 9 4 2" xfId="7343"/>
    <cellStyle name="Обычный 4 96 2" xfId="7344"/>
    <cellStyle name="Процентный 4 96 2" xfId="7345"/>
    <cellStyle name="Обычный 5 89 2" xfId="7346"/>
    <cellStyle name="Процентный 5 89 2" xfId="7347"/>
    <cellStyle name="Обычный 4 2 83 2" xfId="7348"/>
    <cellStyle name="Процентный 4 2 83 2" xfId="7349"/>
    <cellStyle name="Обычный 5 2 83 2" xfId="7350"/>
    <cellStyle name="Процентный 5 2 83 2" xfId="7351"/>
    <cellStyle name="Обычный 6 80 2" xfId="7352"/>
    <cellStyle name="Процентный 6 80 2" xfId="7353"/>
    <cellStyle name="Обычный 7 50 2" xfId="7354"/>
    <cellStyle name="Процентный 7 50 2" xfId="7355"/>
    <cellStyle name="Обычный 4 3 42 2" xfId="7356"/>
    <cellStyle name="Процентный 4 3 42 2" xfId="7357"/>
    <cellStyle name="Обычный 5 3 42 2" xfId="7358"/>
    <cellStyle name="Процентный 5 3 42 2" xfId="7359"/>
    <cellStyle name="Обычный 4 2 2 42 2" xfId="7360"/>
    <cellStyle name="Процентный 4 2 2 42 2" xfId="7361"/>
    <cellStyle name="Обычный 5 2 2 42 2" xfId="7362"/>
    <cellStyle name="Процентный 5 2 2 42 2" xfId="7363"/>
    <cellStyle name="Обычный 6 2 42 2" xfId="7364"/>
    <cellStyle name="Процентный 6 2 42 2" xfId="7365"/>
    <cellStyle name="Обычный 7 2 42 2" xfId="7366"/>
    <cellStyle name="Процентный 7 2 42 2" xfId="7367"/>
    <cellStyle name="Обычный 8 38 2" xfId="7368"/>
    <cellStyle name="Процентный 8 38 2" xfId="7369"/>
    <cellStyle name="Обычный 9 4 2" xfId="7370"/>
    <cellStyle name="Процентный 9 5 2" xfId="7371"/>
    <cellStyle name="Обычный 4 97 2" xfId="7372"/>
    <cellStyle name="Процентный 4 97 2" xfId="7373"/>
    <cellStyle name="Обычный 5 90 2" xfId="7374"/>
    <cellStyle name="Процентный 5 90 2" xfId="7375"/>
    <cellStyle name="Обычный 4 2 84 2" xfId="7376"/>
    <cellStyle name="Процентный 4 2 84 2" xfId="7377"/>
    <cellStyle name="Обычный 5 2 84 2" xfId="7378"/>
    <cellStyle name="Процентный 5 2 84 2" xfId="7379"/>
    <cellStyle name="Обычный 6 81 2" xfId="7380"/>
    <cellStyle name="Процентный 6 81 2" xfId="7381"/>
    <cellStyle name="Обычный 7 51 2" xfId="7382"/>
    <cellStyle name="Процентный 7 51 2" xfId="7383"/>
    <cellStyle name="Обычный 4 3 43 2" xfId="7384"/>
    <cellStyle name="Процентный 4 3 43 2" xfId="7385"/>
    <cellStyle name="Обычный 5 3 43 2" xfId="7386"/>
    <cellStyle name="Процентный 5 3 43 2" xfId="7387"/>
    <cellStyle name="Обычный 4 2 2 43 2" xfId="7388"/>
    <cellStyle name="Процентный 4 2 2 43 2" xfId="7389"/>
    <cellStyle name="Обычный 5 2 2 43 2" xfId="7390"/>
    <cellStyle name="Процентный 5 2 2 43 2" xfId="7391"/>
    <cellStyle name="Обычный 6 2 43 2" xfId="7392"/>
    <cellStyle name="Процентный 6 2 43 2" xfId="7393"/>
    <cellStyle name="Обычный 7 2 43 2" xfId="7394"/>
    <cellStyle name="Процентный 7 2 43 2" xfId="7395"/>
    <cellStyle name="Обычный 8 39 2" xfId="7396"/>
    <cellStyle name="Процентный 8 39 2" xfId="7397"/>
    <cellStyle name="Обычный 9 5 2" xfId="7398"/>
    <cellStyle name="Процентный 9 6 2" xfId="7399"/>
    <cellStyle name="Обычный 4 98 2" xfId="7400"/>
    <cellStyle name="Процентный 4 98 2" xfId="7401"/>
    <cellStyle name="Обычный 5 91 2" xfId="7402"/>
    <cellStyle name="Процентный 5 91 2" xfId="7403"/>
    <cellStyle name="Обычный 4 2 85 2" xfId="7404"/>
    <cellStyle name="Процентный 4 2 85 2" xfId="7405"/>
    <cellStyle name="Обычный 5 2 85 2" xfId="7406"/>
    <cellStyle name="Процентный 5 2 85 2" xfId="7407"/>
    <cellStyle name="Обычный 6 82 2" xfId="7408"/>
    <cellStyle name="Процентный 6 82 2" xfId="7409"/>
    <cellStyle name="Обычный 7 52 2" xfId="7410"/>
    <cellStyle name="Процентный 7 52 2" xfId="7411"/>
    <cellStyle name="Обычный 4 3 44 2" xfId="7412"/>
    <cellStyle name="Процентный 4 3 44 2" xfId="7413"/>
    <cellStyle name="Обычный 5 3 44 2" xfId="7414"/>
    <cellStyle name="Процентный 5 3 44 2" xfId="7415"/>
    <cellStyle name="Обычный 4 2 2 44 2" xfId="7416"/>
    <cellStyle name="Процентный 4 2 2 44 2" xfId="7417"/>
    <cellStyle name="Обычный 5 2 2 44 2" xfId="7418"/>
    <cellStyle name="Процентный 5 2 2 44 2" xfId="7419"/>
    <cellStyle name="Обычный 6 2 44 2" xfId="7420"/>
    <cellStyle name="Процентный 6 2 44 2" xfId="7421"/>
    <cellStyle name="Обычный 7 2 44 2" xfId="7422"/>
    <cellStyle name="Процентный 7 2 44 2" xfId="7423"/>
    <cellStyle name="Обычный 8 40 2" xfId="7424"/>
    <cellStyle name="Процентный 8 40 2" xfId="7425"/>
    <cellStyle name="Обычный 9 6 2" xfId="7426"/>
    <cellStyle name="Процентный 9 7 2" xfId="7427"/>
    <cellStyle name="Обычный 4 99 2" xfId="7428"/>
    <cellStyle name="Процентный 4 99 2" xfId="7429"/>
    <cellStyle name="Обычный 5 92 2" xfId="7430"/>
    <cellStyle name="Процентный 5 92 2" xfId="7431"/>
    <cellStyle name="Обычный 4 2 86 2" xfId="7432"/>
    <cellStyle name="Процентный 4 2 86 2" xfId="7433"/>
    <cellStyle name="Обычный 5 2 86 2" xfId="7434"/>
    <cellStyle name="Процентный 5 2 86 2" xfId="7435"/>
    <cellStyle name="Обычный 6 83 2" xfId="7436"/>
    <cellStyle name="Процентный 6 83 2" xfId="7437"/>
    <cellStyle name="Обычный 7 53 2" xfId="7438"/>
    <cellStyle name="Процентный 7 53 2" xfId="7439"/>
    <cellStyle name="Обычный 4 3 45 2" xfId="7440"/>
    <cellStyle name="Процентный 4 3 45 2" xfId="7441"/>
    <cellStyle name="Обычный 5 3 45 2" xfId="7442"/>
    <cellStyle name="Процентный 5 3 45 2" xfId="7443"/>
    <cellStyle name="Обычный 4 2 2 45 2" xfId="7444"/>
    <cellStyle name="Процентный 4 2 2 45 2" xfId="7445"/>
    <cellStyle name="Обычный 5 2 2 45 2" xfId="7446"/>
    <cellStyle name="Процентный 5 2 2 45 2" xfId="7447"/>
    <cellStyle name="Обычный 6 2 45 2" xfId="7448"/>
    <cellStyle name="Процентный 6 2 45 2" xfId="7449"/>
    <cellStyle name="Обычный 7 2 45 2" xfId="7450"/>
    <cellStyle name="Процентный 7 2 45 2" xfId="7451"/>
    <cellStyle name="Обычный 8 41 2" xfId="7452"/>
    <cellStyle name="Процентный 8 41 2" xfId="7453"/>
    <cellStyle name="Обычный 9 7 2" xfId="7454"/>
    <cellStyle name="Процентный 9 8 2" xfId="7455"/>
    <cellStyle name="Обычный 4 100 2" xfId="7456"/>
    <cellStyle name="Процентный 4 100 2" xfId="7457"/>
    <cellStyle name="Обычный 5 93 2" xfId="7458"/>
    <cellStyle name="Процентный 5 93 2" xfId="7459"/>
    <cellStyle name="Обычный 4 2 87 2" xfId="7460"/>
    <cellStyle name="Процентный 4 2 87 2" xfId="7461"/>
    <cellStyle name="Обычный 5 2 87 2" xfId="7462"/>
    <cellStyle name="Процентный 5 2 87 2" xfId="7463"/>
    <cellStyle name="Обычный 6 84 2" xfId="7464"/>
    <cellStyle name="Процентный 6 84 2" xfId="7465"/>
    <cellStyle name="Обычный 7 54 2" xfId="7466"/>
    <cellStyle name="Процентный 7 54 2" xfId="7467"/>
    <cellStyle name="Обычный 4 3 46 2" xfId="7468"/>
    <cellStyle name="Процентный 4 3 46 2" xfId="7469"/>
    <cellStyle name="Обычный 5 3 46 2" xfId="7470"/>
    <cellStyle name="Процентный 5 3 46 2" xfId="7471"/>
    <cellStyle name="Обычный 4 2 2 46 2" xfId="7472"/>
    <cellStyle name="Процентный 4 2 2 46 2" xfId="7473"/>
    <cellStyle name="Обычный 5 2 2 46 2" xfId="7474"/>
    <cellStyle name="Процентный 5 2 2 46 2" xfId="7475"/>
    <cellStyle name="Обычный 6 2 46 2" xfId="7476"/>
    <cellStyle name="Процентный 6 2 46 2" xfId="7477"/>
    <cellStyle name="Обычный 7 2 46 2" xfId="7478"/>
    <cellStyle name="Процентный 7 2 46 2" xfId="7479"/>
    <cellStyle name="Обычный 8 42 2" xfId="7480"/>
    <cellStyle name="Процентный 8 42 2" xfId="7481"/>
    <cellStyle name="Обычный 9 8 2" xfId="7482"/>
    <cellStyle name="Процентный 9 9 2" xfId="7483"/>
    <cellStyle name="Обычный 10 104" xfId="7484"/>
    <cellStyle name="Процентный 10 104" xfId="7485"/>
    <cellStyle name="Обычный 4 101 2" xfId="7486"/>
    <cellStyle name="Процентный 4 101 2" xfId="7487"/>
    <cellStyle name="Обычный 5 94 2" xfId="7488"/>
    <cellStyle name="Процентный 5 94 2" xfId="7489"/>
    <cellStyle name="Обычный 4 2 88 2" xfId="7490"/>
    <cellStyle name="Процентный 4 2 88 2" xfId="7491"/>
    <cellStyle name="Обычный 5 2 88 2" xfId="7492"/>
    <cellStyle name="Процентный 5 2 88 2" xfId="7493"/>
    <cellStyle name="Обычный 6 85 2" xfId="7494"/>
    <cellStyle name="Процентный 6 85 2" xfId="7495"/>
    <cellStyle name="Обычный 7 55 2" xfId="7496"/>
    <cellStyle name="Процентный 7 55 2" xfId="7497"/>
    <cellStyle name="Обычный 4 3 47 2" xfId="7498"/>
    <cellStyle name="Процентный 4 3 47 2" xfId="7499"/>
    <cellStyle name="Обычный 5 3 47 2" xfId="7500"/>
    <cellStyle name="Процентный 5 3 47 2" xfId="7501"/>
    <cellStyle name="Обычный 4 2 2 47 2" xfId="7502"/>
    <cellStyle name="Процентный 4 2 2 47 2" xfId="7503"/>
    <cellStyle name="Обычный 5 2 2 47 2" xfId="7504"/>
    <cellStyle name="Процентный 5 2 2 47 2" xfId="7505"/>
    <cellStyle name="Обычный 6 2 47 2" xfId="7506"/>
    <cellStyle name="Процентный 6 2 47 2" xfId="7507"/>
    <cellStyle name="Обычный 7 2 47 2" xfId="7508"/>
    <cellStyle name="Процентный 7 2 47 2" xfId="7509"/>
    <cellStyle name="Обычный 8 43 2" xfId="7510"/>
    <cellStyle name="Процентный 8 43 2" xfId="7511"/>
    <cellStyle name="Обычный 9 9 2" xfId="7512"/>
    <cellStyle name="Процентный 9 10 2" xfId="7513"/>
    <cellStyle name="Обычный 10 2 2" xfId="7514"/>
    <cellStyle name="Процентный 10 2 2" xfId="7515"/>
    <cellStyle name="Обычный 4 102 2" xfId="7516"/>
    <cellStyle name="Процентный 4 102 2" xfId="7517"/>
    <cellStyle name="Обычный 5 95 2" xfId="7518"/>
    <cellStyle name="Процентный 5 95 2" xfId="7519"/>
    <cellStyle name="Обычный 4 2 89 2" xfId="7520"/>
    <cellStyle name="Процентный 4 2 89 2" xfId="7521"/>
    <cellStyle name="Обычный 5 2 89 2" xfId="7522"/>
    <cellStyle name="Процентный 5 2 89 2" xfId="7523"/>
    <cellStyle name="Обычный 6 86 2" xfId="7524"/>
    <cellStyle name="Процентный 6 86 2" xfId="7525"/>
    <cellStyle name="Обычный 7 56 2" xfId="7526"/>
    <cellStyle name="Процентный 7 56 2" xfId="7527"/>
    <cellStyle name="Обычный 4 3 48 2" xfId="7528"/>
    <cellStyle name="Процентный 4 3 48 2" xfId="7529"/>
    <cellStyle name="Обычный 5 3 48 2" xfId="7530"/>
    <cellStyle name="Процентный 5 3 48 2" xfId="7531"/>
    <cellStyle name="Обычный 4 2 2 48 2" xfId="7532"/>
    <cellStyle name="Процентный 4 2 2 48 2" xfId="7533"/>
    <cellStyle name="Обычный 5 2 2 48 2" xfId="7534"/>
    <cellStyle name="Процентный 5 2 2 48 2" xfId="7535"/>
    <cellStyle name="Обычный 6 2 48 2" xfId="7536"/>
    <cellStyle name="Процентный 6 2 48 2" xfId="7537"/>
    <cellStyle name="Обычный 7 2 48 2" xfId="7538"/>
    <cellStyle name="Процентный 7 2 48 2" xfId="7539"/>
    <cellStyle name="Обычный 8 44 2" xfId="7540"/>
    <cellStyle name="Процентный 8 44 2" xfId="7541"/>
    <cellStyle name="Обычный 9 10 2" xfId="7542"/>
    <cellStyle name="Процентный 9 11 2" xfId="7543"/>
    <cellStyle name="Обычный 10 3 2" xfId="7544"/>
    <cellStyle name="Процентный 10 3 2" xfId="7545"/>
    <cellStyle name="Обычный 4 103 2" xfId="7546"/>
    <cellStyle name="Процентный 4 103 2" xfId="7547"/>
    <cellStyle name="Обычный 5 96 2" xfId="7548"/>
    <cellStyle name="Процентный 5 96 2" xfId="7549"/>
    <cellStyle name="Обычный 4 2 90 2" xfId="7550"/>
    <cellStyle name="Процентный 4 2 90 2" xfId="7551"/>
    <cellStyle name="Обычный 5 2 90 2" xfId="7552"/>
    <cellStyle name="Процентный 5 2 90 2" xfId="7553"/>
    <cellStyle name="Обычный 6 87 2" xfId="7554"/>
    <cellStyle name="Процентный 6 87 2" xfId="7555"/>
    <cellStyle name="Обычный 7 57 2" xfId="7556"/>
    <cellStyle name="Процентный 7 57 2" xfId="7557"/>
    <cellStyle name="Обычный 4 3 49 2" xfId="7558"/>
    <cellStyle name="Процентный 4 3 49 2" xfId="7559"/>
    <cellStyle name="Обычный 5 3 49 2" xfId="7560"/>
    <cellStyle name="Процентный 5 3 49 2" xfId="7561"/>
    <cellStyle name="Обычный 4 2 2 49 2" xfId="7562"/>
    <cellStyle name="Процентный 4 2 2 49 2" xfId="7563"/>
    <cellStyle name="Обычный 5 2 2 49 2" xfId="7564"/>
    <cellStyle name="Процентный 5 2 2 49 2" xfId="7565"/>
    <cellStyle name="Обычный 6 2 49 2" xfId="7566"/>
    <cellStyle name="Процентный 6 2 49 2" xfId="7567"/>
    <cellStyle name="Обычный 7 2 49 2" xfId="7568"/>
    <cellStyle name="Процентный 7 2 49 2" xfId="7569"/>
    <cellStyle name="Обычный 8 45 2" xfId="7570"/>
    <cellStyle name="Процентный 8 45 2" xfId="7571"/>
    <cellStyle name="Обычный 9 11 2" xfId="7572"/>
    <cellStyle name="Процентный 9 12 2" xfId="7573"/>
    <cellStyle name="Обычный 10 4 2" xfId="7574"/>
    <cellStyle name="Процентный 10 4 2" xfId="7575"/>
    <cellStyle name="Обычный 4 104 2" xfId="7576"/>
    <cellStyle name="Процентный 4 104 2" xfId="7577"/>
    <cellStyle name="Обычный 5 97 2" xfId="7578"/>
    <cellStyle name="Процентный 5 97 2" xfId="7579"/>
    <cellStyle name="Обычный 4 2 91 2" xfId="7580"/>
    <cellStyle name="Процентный 4 2 91 2" xfId="7581"/>
    <cellStyle name="Обычный 5 2 91 2" xfId="7582"/>
    <cellStyle name="Процентный 5 2 91 2" xfId="7583"/>
    <cellStyle name="Обычный 6 88 2" xfId="7584"/>
    <cellStyle name="Процентный 6 88 2" xfId="7585"/>
    <cellStyle name="Обычный 7 58 2" xfId="7586"/>
    <cellStyle name="Процентный 7 58 2" xfId="7587"/>
    <cellStyle name="Обычный 4 3 50 2" xfId="7588"/>
    <cellStyle name="Процентный 4 3 50 2" xfId="7589"/>
    <cellStyle name="Обычный 5 3 50 2" xfId="7590"/>
    <cellStyle name="Процентный 5 3 50 2" xfId="7591"/>
    <cellStyle name="Обычный 4 2 2 50 2" xfId="7592"/>
    <cellStyle name="Процентный 4 2 2 50 2" xfId="7593"/>
    <cellStyle name="Обычный 5 2 2 50 2" xfId="7594"/>
    <cellStyle name="Процентный 5 2 2 50 2" xfId="7595"/>
    <cellStyle name="Обычный 6 2 50 2" xfId="7596"/>
    <cellStyle name="Процентный 6 2 50 2" xfId="7597"/>
    <cellStyle name="Обычный 7 2 50 2" xfId="7598"/>
    <cellStyle name="Процентный 7 2 50 2" xfId="7599"/>
    <cellStyle name="Обычный 8 46 2" xfId="7600"/>
    <cellStyle name="Процентный 8 46 2" xfId="7601"/>
    <cellStyle name="Обычный 9 12 2" xfId="7602"/>
    <cellStyle name="Процентный 9 13 2" xfId="7603"/>
    <cellStyle name="Обычный 10 5 2" xfId="7604"/>
    <cellStyle name="Процентный 10 5 2" xfId="7605"/>
    <cellStyle name="Обычный 4 105 2" xfId="7606"/>
    <cellStyle name="Процентный 4 105 2" xfId="7607"/>
    <cellStyle name="Обычный 5 98 2" xfId="7608"/>
    <cellStyle name="Процентный 5 98 2" xfId="7609"/>
    <cellStyle name="Обычный 4 2 92 2" xfId="7610"/>
    <cellStyle name="Процентный 4 2 92 2" xfId="7611"/>
    <cellStyle name="Обычный 5 2 92 2" xfId="7612"/>
    <cellStyle name="Процентный 5 2 92 2" xfId="7613"/>
    <cellStyle name="Обычный 6 89 2" xfId="7614"/>
    <cellStyle name="Процентный 6 89 2" xfId="7615"/>
    <cellStyle name="Обычный 7 59 2" xfId="7616"/>
    <cellStyle name="Процентный 7 59 2" xfId="7617"/>
    <cellStyle name="Обычный 4 3 51 2" xfId="7618"/>
    <cellStyle name="Процентный 4 3 51 2" xfId="7619"/>
    <cellStyle name="Обычный 5 3 51 2" xfId="7620"/>
    <cellStyle name="Процентный 5 3 51 2" xfId="7621"/>
    <cellStyle name="Обычный 4 2 2 51 2" xfId="7622"/>
    <cellStyle name="Процентный 4 2 2 51 2" xfId="7623"/>
    <cellStyle name="Обычный 5 2 2 51 2" xfId="7624"/>
    <cellStyle name="Процентный 5 2 2 51 2" xfId="7625"/>
    <cellStyle name="Обычный 6 2 51 2" xfId="7626"/>
    <cellStyle name="Процентный 6 2 51 2" xfId="7627"/>
    <cellStyle name="Обычный 7 2 51 2" xfId="7628"/>
    <cellStyle name="Процентный 7 2 51 2" xfId="7629"/>
    <cellStyle name="Обычный 8 47 2" xfId="7630"/>
    <cellStyle name="Процентный 8 47 2" xfId="7631"/>
    <cellStyle name="Обычный 9 13 2" xfId="7632"/>
    <cellStyle name="Процентный 9 14 2" xfId="7633"/>
    <cellStyle name="Обычный 10 6 2" xfId="7634"/>
    <cellStyle name="Процентный 10 6 2" xfId="7635"/>
    <cellStyle name="Обычный 4 106 2" xfId="7636"/>
    <cellStyle name="Процентный 4 106 2" xfId="7637"/>
    <cellStyle name="Обычный 5 99 2" xfId="7638"/>
    <cellStyle name="Процентный 5 99 2" xfId="7639"/>
    <cellStyle name="Обычный 4 2 93 2" xfId="7640"/>
    <cellStyle name="Процентный 4 2 93 2" xfId="7641"/>
    <cellStyle name="Обычный 5 2 93 2" xfId="7642"/>
    <cellStyle name="Процентный 5 2 93 2" xfId="7643"/>
    <cellStyle name="Обычный 6 90 2" xfId="7644"/>
    <cellStyle name="Процентный 6 90 2" xfId="7645"/>
    <cellStyle name="Обычный 7 60 2" xfId="7646"/>
    <cellStyle name="Процентный 7 60 2" xfId="7647"/>
    <cellStyle name="Обычный 4 3 52 2" xfId="7648"/>
    <cellStyle name="Процентный 4 3 52 2" xfId="7649"/>
    <cellStyle name="Обычный 5 3 52 2" xfId="7650"/>
    <cellStyle name="Процентный 5 3 52 2" xfId="7651"/>
    <cellStyle name="Обычный 4 2 2 52 2" xfId="7652"/>
    <cellStyle name="Процентный 4 2 2 52 2" xfId="7653"/>
    <cellStyle name="Обычный 5 2 2 52 2" xfId="7654"/>
    <cellStyle name="Процентный 5 2 2 52 2" xfId="7655"/>
    <cellStyle name="Обычный 6 2 52 2" xfId="7656"/>
    <cellStyle name="Процентный 6 2 52 2" xfId="7657"/>
    <cellStyle name="Обычный 7 2 52 2" xfId="7658"/>
    <cellStyle name="Процентный 7 2 52 2" xfId="7659"/>
    <cellStyle name="Обычный 8 48 2" xfId="7660"/>
    <cellStyle name="Процентный 8 48 2" xfId="7661"/>
    <cellStyle name="Обычный 9 14 2" xfId="7662"/>
    <cellStyle name="Процентный 9 15 2" xfId="7663"/>
    <cellStyle name="Обычный 10 7 2" xfId="7664"/>
    <cellStyle name="Процентный 10 7 2" xfId="7665"/>
    <cellStyle name="Обычный 4 107 2" xfId="7666"/>
    <cellStyle name="Процентный 4 107 2" xfId="7667"/>
    <cellStyle name="Обычный 5 100 2" xfId="7668"/>
    <cellStyle name="Процентный 5 100 2" xfId="7669"/>
    <cellStyle name="Обычный 4 2 94 2" xfId="7670"/>
    <cellStyle name="Процентный 4 2 94 2" xfId="7671"/>
    <cellStyle name="Обычный 5 2 94 2" xfId="7672"/>
    <cellStyle name="Процентный 5 2 94 2" xfId="7673"/>
    <cellStyle name="Обычный 6 91 2" xfId="7674"/>
    <cellStyle name="Процентный 6 91 2" xfId="7675"/>
    <cellStyle name="Обычный 7 61 2" xfId="7676"/>
    <cellStyle name="Процентный 7 61 2" xfId="7677"/>
    <cellStyle name="Обычный 4 3 53 2" xfId="7678"/>
    <cellStyle name="Процентный 4 3 53 2" xfId="7679"/>
    <cellStyle name="Обычный 5 3 53 2" xfId="7680"/>
    <cellStyle name="Процентный 5 3 53 2" xfId="7681"/>
    <cellStyle name="Обычный 4 2 2 53 2" xfId="7682"/>
    <cellStyle name="Процентный 4 2 2 53 2" xfId="7683"/>
    <cellStyle name="Обычный 5 2 2 53 2" xfId="7684"/>
    <cellStyle name="Процентный 5 2 2 53 2" xfId="7685"/>
    <cellStyle name="Обычный 6 2 53 2" xfId="7686"/>
    <cellStyle name="Процентный 6 2 53 2" xfId="7687"/>
    <cellStyle name="Обычный 7 2 53 2" xfId="7688"/>
    <cellStyle name="Процентный 7 2 53 2" xfId="7689"/>
    <cellStyle name="Обычный 8 49 2" xfId="7690"/>
    <cellStyle name="Процентный 8 49 2" xfId="7691"/>
    <cellStyle name="Обычный 9 15 2" xfId="7692"/>
    <cellStyle name="Процентный 9 16 2" xfId="7693"/>
    <cellStyle name="Обычный 10 8 2" xfId="7694"/>
    <cellStyle name="Процентный 10 8 2" xfId="7695"/>
    <cellStyle name="Обычный 4 108 2" xfId="7696"/>
    <cellStyle name="Процентный 4 108 2" xfId="7697"/>
    <cellStyle name="Обычный 5 101 2" xfId="7698"/>
    <cellStyle name="Процентный 5 101 2" xfId="7699"/>
    <cellStyle name="Обычный 4 2 95 2" xfId="7700"/>
    <cellStyle name="Процентный 4 2 95 2" xfId="7701"/>
    <cellStyle name="Обычный 5 2 95 2" xfId="7702"/>
    <cellStyle name="Процентный 5 2 95 2" xfId="7703"/>
    <cellStyle name="Обычный 6 92 2" xfId="7704"/>
    <cellStyle name="Процентный 6 92 2" xfId="7705"/>
    <cellStyle name="Обычный 7 62 2" xfId="7706"/>
    <cellStyle name="Процентный 7 62 2" xfId="7707"/>
    <cellStyle name="Обычный 4 3 54 2" xfId="7708"/>
    <cellStyle name="Процентный 4 3 54 2" xfId="7709"/>
    <cellStyle name="Обычный 5 3 54 2" xfId="7710"/>
    <cellStyle name="Процентный 5 3 54 2" xfId="7711"/>
    <cellStyle name="Обычный 4 2 2 54 2" xfId="7712"/>
    <cellStyle name="Процентный 4 2 2 54 2" xfId="7713"/>
    <cellStyle name="Обычный 5 2 2 54 2" xfId="7714"/>
    <cellStyle name="Процентный 5 2 2 54 2" xfId="7715"/>
    <cellStyle name="Обычный 6 2 54 2" xfId="7716"/>
    <cellStyle name="Процентный 6 2 54 2" xfId="7717"/>
    <cellStyle name="Обычный 7 2 54 2" xfId="7718"/>
    <cellStyle name="Процентный 7 2 54 2" xfId="7719"/>
    <cellStyle name="Обычный 8 50 2" xfId="7720"/>
    <cellStyle name="Процентный 8 50 2" xfId="7721"/>
    <cellStyle name="Обычный 9 16 2" xfId="7722"/>
    <cellStyle name="Процентный 9 17 2" xfId="7723"/>
    <cellStyle name="Обычный 10 9 2" xfId="7724"/>
    <cellStyle name="Процентный 10 9 2" xfId="7725"/>
    <cellStyle name="Обычный 4 109 2" xfId="7726"/>
    <cellStyle name="Процентный 4 109 2" xfId="7727"/>
    <cellStyle name="Обычный 5 102 2" xfId="7728"/>
    <cellStyle name="Процентный 5 102 2" xfId="7729"/>
    <cellStyle name="Обычный 4 2 96 2" xfId="7730"/>
    <cellStyle name="Процентный 4 2 96 2" xfId="7731"/>
    <cellStyle name="Обычный 5 2 96 2" xfId="7732"/>
    <cellStyle name="Процентный 5 2 96 2" xfId="7733"/>
    <cellStyle name="Обычный 6 93 2" xfId="7734"/>
    <cellStyle name="Процентный 6 93 2" xfId="7735"/>
    <cellStyle name="Обычный 7 63 2" xfId="7736"/>
    <cellStyle name="Процентный 7 63 2" xfId="7737"/>
    <cellStyle name="Обычный 4 3 55 2" xfId="7738"/>
    <cellStyle name="Процентный 4 3 55 2" xfId="7739"/>
    <cellStyle name="Обычный 5 3 55 2" xfId="7740"/>
    <cellStyle name="Процентный 5 3 55 2" xfId="7741"/>
    <cellStyle name="Обычный 4 2 2 55 2" xfId="7742"/>
    <cellStyle name="Процентный 4 2 2 55 2" xfId="7743"/>
    <cellStyle name="Обычный 5 2 2 55 2" xfId="7744"/>
    <cellStyle name="Процентный 5 2 2 55 2" xfId="7745"/>
    <cellStyle name="Обычный 6 2 55 2" xfId="7746"/>
    <cellStyle name="Процентный 6 2 55 2" xfId="7747"/>
    <cellStyle name="Обычный 7 2 55 2" xfId="7748"/>
    <cellStyle name="Процентный 7 2 55 2" xfId="7749"/>
    <cellStyle name="Обычный 8 51 2" xfId="7750"/>
    <cellStyle name="Процентный 8 51 2" xfId="7751"/>
    <cellStyle name="Обычный 9 17 2" xfId="7752"/>
    <cellStyle name="Процентный 9 18 2" xfId="7753"/>
    <cellStyle name="Обычный 10 10 2" xfId="7754"/>
    <cellStyle name="Процентный 10 10 2" xfId="7755"/>
    <cellStyle name="Обычный 4 110 2" xfId="7756"/>
    <cellStyle name="Процентный 4 110 2" xfId="7757"/>
    <cellStyle name="Обычный 5 103 2" xfId="7758"/>
    <cellStyle name="Процентный 5 103 2" xfId="7759"/>
    <cellStyle name="Обычный 4 2 97 2" xfId="7760"/>
    <cellStyle name="Процентный 4 2 97 2" xfId="7761"/>
    <cellStyle name="Обычный 5 2 97 2" xfId="7762"/>
    <cellStyle name="Процентный 5 2 97 2" xfId="7763"/>
    <cellStyle name="Обычный 6 94 2" xfId="7764"/>
    <cellStyle name="Процентный 6 94 2" xfId="7765"/>
    <cellStyle name="Обычный 7 64 2" xfId="7766"/>
    <cellStyle name="Процентный 7 64 2" xfId="7767"/>
    <cellStyle name="Обычный 4 3 56 2" xfId="7768"/>
    <cellStyle name="Процентный 4 3 56 2" xfId="7769"/>
    <cellStyle name="Обычный 5 3 56 2" xfId="7770"/>
    <cellStyle name="Процентный 5 3 56 2" xfId="7771"/>
    <cellStyle name="Обычный 4 2 2 56 2" xfId="7772"/>
    <cellStyle name="Процентный 4 2 2 56 2" xfId="7773"/>
    <cellStyle name="Обычный 5 2 2 56 2" xfId="7774"/>
    <cellStyle name="Процентный 5 2 2 56 2" xfId="7775"/>
    <cellStyle name="Обычный 6 2 56 2" xfId="7776"/>
    <cellStyle name="Процентный 6 2 56 2" xfId="7777"/>
    <cellStyle name="Обычный 7 2 56 2" xfId="7778"/>
    <cellStyle name="Процентный 7 2 56 2" xfId="7779"/>
    <cellStyle name="Обычный 8 52 2" xfId="7780"/>
    <cellStyle name="Процентный 8 52 2" xfId="7781"/>
    <cellStyle name="Обычный 9 18 2" xfId="7782"/>
    <cellStyle name="Процентный 9 19 2" xfId="7783"/>
    <cellStyle name="Обычный 10 11 2" xfId="7784"/>
    <cellStyle name="Процентный 10 11 2" xfId="7785"/>
    <cellStyle name="Обычный 4 111 2" xfId="7786"/>
    <cellStyle name="Процентный 4 111 2" xfId="7787"/>
    <cellStyle name="Обычный 5 104 2" xfId="7788"/>
    <cellStyle name="Процентный 5 104 2" xfId="7789"/>
    <cellStyle name="Обычный 4 2 98 2" xfId="7790"/>
    <cellStyle name="Процентный 4 2 98 2" xfId="7791"/>
    <cellStyle name="Обычный 5 2 98 2" xfId="7792"/>
    <cellStyle name="Процентный 5 2 98 2" xfId="7793"/>
    <cellStyle name="Обычный 6 95 2" xfId="7794"/>
    <cellStyle name="Процентный 6 95 2" xfId="7795"/>
    <cellStyle name="Обычный 7 65 2" xfId="7796"/>
    <cellStyle name="Процентный 7 65 2" xfId="7797"/>
    <cellStyle name="Обычный 4 3 57 2" xfId="7798"/>
    <cellStyle name="Процентный 4 3 57 2" xfId="7799"/>
    <cellStyle name="Обычный 5 3 57 2" xfId="7800"/>
    <cellStyle name="Процентный 5 3 57 2" xfId="7801"/>
    <cellStyle name="Обычный 4 2 2 57 2" xfId="7802"/>
    <cellStyle name="Процентный 4 2 2 57 2" xfId="7803"/>
    <cellStyle name="Обычный 5 2 2 57 2" xfId="7804"/>
    <cellStyle name="Процентный 5 2 2 57 2" xfId="7805"/>
    <cellStyle name="Обычный 6 2 57 2" xfId="7806"/>
    <cellStyle name="Процентный 6 2 57 2" xfId="7807"/>
    <cellStyle name="Обычный 7 2 57 2" xfId="7808"/>
    <cellStyle name="Процентный 7 2 57 2" xfId="7809"/>
    <cellStyle name="Обычный 8 53 2" xfId="7810"/>
    <cellStyle name="Процентный 8 53 2" xfId="7811"/>
    <cellStyle name="Обычный 9 19 2" xfId="7812"/>
    <cellStyle name="Процентный 9 20 2" xfId="7813"/>
    <cellStyle name="Обычный 10 12 2" xfId="7814"/>
    <cellStyle name="Процентный 10 12 2" xfId="7815"/>
    <cellStyle name="Обычный 4 112 2" xfId="7816"/>
    <cellStyle name="Процентный 4 112 2" xfId="7817"/>
    <cellStyle name="Обычный 5 105 2" xfId="7818"/>
    <cellStyle name="Процентный 5 105 2" xfId="7819"/>
    <cellStyle name="Обычный 4 2 99 2" xfId="7820"/>
    <cellStyle name="Процентный 4 2 99 2" xfId="7821"/>
    <cellStyle name="Обычный 5 2 99 2" xfId="7822"/>
    <cellStyle name="Процентный 5 2 99 2" xfId="7823"/>
    <cellStyle name="Обычный 6 96 2" xfId="7824"/>
    <cellStyle name="Процентный 6 96 2" xfId="7825"/>
    <cellStyle name="Обычный 7 66 2" xfId="7826"/>
    <cellStyle name="Процентный 7 66 2" xfId="7827"/>
    <cellStyle name="Обычный 4 3 58 2" xfId="7828"/>
    <cellStyle name="Процентный 4 3 58 2" xfId="7829"/>
    <cellStyle name="Обычный 5 3 58 2" xfId="7830"/>
    <cellStyle name="Процентный 5 3 58 2" xfId="7831"/>
    <cellStyle name="Обычный 4 2 2 58 2" xfId="7832"/>
    <cellStyle name="Процентный 4 2 2 58 2" xfId="7833"/>
    <cellStyle name="Обычный 5 2 2 58 2" xfId="7834"/>
    <cellStyle name="Процентный 5 2 2 58 2" xfId="7835"/>
    <cellStyle name="Обычный 6 2 58 2" xfId="7836"/>
    <cellStyle name="Процентный 6 2 58 2" xfId="7837"/>
    <cellStyle name="Обычный 7 2 58 2" xfId="7838"/>
    <cellStyle name="Процентный 7 2 58 2" xfId="7839"/>
    <cellStyle name="Обычный 8 54 2" xfId="7840"/>
    <cellStyle name="Процентный 8 54 2" xfId="7841"/>
    <cellStyle name="Обычный 9 20 2" xfId="7842"/>
    <cellStyle name="Процентный 9 21 2" xfId="7843"/>
    <cellStyle name="Обычный 10 13 2" xfId="7844"/>
    <cellStyle name="Процентный 10 13 2" xfId="7845"/>
    <cellStyle name="Обычный 11 92" xfId="7846"/>
    <cellStyle name="Процентный 11 92" xfId="7847"/>
    <cellStyle name="Обычный 4 113 2" xfId="7848"/>
    <cellStyle name="Процентный 4 113 2" xfId="7849"/>
    <cellStyle name="Обычный 5 106 2" xfId="7850"/>
    <cellStyle name="Процентный 5 106 2" xfId="7851"/>
    <cellStyle name="Обычный 4 2 100 2" xfId="7852"/>
    <cellStyle name="Процентный 4 2 100 2" xfId="7853"/>
    <cellStyle name="Обычный 5 2 100 2" xfId="7854"/>
    <cellStyle name="Процентный 5 2 100 2" xfId="7855"/>
    <cellStyle name="Обычный 6 97 2" xfId="7856"/>
    <cellStyle name="Процентный 6 97 2" xfId="7857"/>
    <cellStyle name="Обычный 7 67 2" xfId="7858"/>
    <cellStyle name="Процентный 7 67 2" xfId="7859"/>
    <cellStyle name="Обычный 4 3 59 2" xfId="7860"/>
    <cellStyle name="Процентный 4 3 59 2" xfId="7861"/>
    <cellStyle name="Обычный 5 3 59 2" xfId="7862"/>
    <cellStyle name="Процентный 5 3 59 2" xfId="7863"/>
    <cellStyle name="Обычный 4 2 2 59 2" xfId="7864"/>
    <cellStyle name="Процентный 4 2 2 59 2" xfId="7865"/>
    <cellStyle name="Обычный 5 2 2 59 2" xfId="7866"/>
    <cellStyle name="Процентный 5 2 2 59 2" xfId="7867"/>
    <cellStyle name="Обычный 6 2 59 2" xfId="7868"/>
    <cellStyle name="Процентный 6 2 59 2" xfId="7869"/>
    <cellStyle name="Обычный 7 2 59 2" xfId="7870"/>
    <cellStyle name="Процентный 7 2 59 2" xfId="7871"/>
    <cellStyle name="Обычный 8 55 2" xfId="7872"/>
    <cellStyle name="Процентный 8 55 2" xfId="7873"/>
    <cellStyle name="Обычный 9 21 2" xfId="7874"/>
    <cellStyle name="Процентный 9 22 2" xfId="7875"/>
    <cellStyle name="Обычный 10 14 2" xfId="7876"/>
    <cellStyle name="Процентный 10 14 2" xfId="7877"/>
    <cellStyle name="Обычный 11 2 2" xfId="7878"/>
    <cellStyle name="Процентный 11 2 2" xfId="7879"/>
    <cellStyle name="Обычный 12 2" xfId="7880"/>
    <cellStyle name="Процентный 12 2" xfId="7881"/>
    <cellStyle name="Обычный 4 114 2" xfId="7882"/>
    <cellStyle name="Процентный 4 114 2" xfId="7883"/>
    <cellStyle name="Обычный 5 107 2" xfId="7884"/>
    <cellStyle name="Процентный 5 107 2" xfId="7885"/>
    <cellStyle name="Обычный 4 2 101 2" xfId="7886"/>
    <cellStyle name="Процентный 4 2 101 2" xfId="7887"/>
    <cellStyle name="Обычный 5 2 101 2" xfId="7888"/>
    <cellStyle name="Процентный 5 2 101 2" xfId="7889"/>
    <cellStyle name="Обычный 6 98 2" xfId="7890"/>
    <cellStyle name="Процентный 6 98 2" xfId="7891"/>
    <cellStyle name="Обычный 7 68 2" xfId="7892"/>
    <cellStyle name="Процентный 7 68 2" xfId="7893"/>
    <cellStyle name="Обычный 4 3 60 2" xfId="7894"/>
    <cellStyle name="Процентный 4 3 60 2" xfId="7895"/>
    <cellStyle name="Обычный 5 3 60 2" xfId="7896"/>
    <cellStyle name="Процентный 5 3 60 2" xfId="7897"/>
    <cellStyle name="Обычный 4 2 2 60 2" xfId="7898"/>
    <cellStyle name="Процентный 4 2 2 60 2" xfId="7899"/>
    <cellStyle name="Обычный 5 2 2 60 2" xfId="7900"/>
    <cellStyle name="Процентный 5 2 2 60 2" xfId="7901"/>
    <cellStyle name="Обычный 6 2 60 2" xfId="7902"/>
    <cellStyle name="Процентный 6 2 60 2" xfId="7903"/>
    <cellStyle name="Обычный 7 2 60 2" xfId="7904"/>
    <cellStyle name="Процентный 7 2 60 2" xfId="7905"/>
    <cellStyle name="Обычный 8 56 2" xfId="7906"/>
    <cellStyle name="Процентный 8 56 2" xfId="7907"/>
    <cellStyle name="Обычный 9 22 2" xfId="7908"/>
    <cellStyle name="Процентный 9 23 2" xfId="7909"/>
    <cellStyle name="Обычный 10 15 2" xfId="7910"/>
    <cellStyle name="Процентный 10 15 2" xfId="7911"/>
    <cellStyle name="Обычный 11 3 2" xfId="7912"/>
    <cellStyle name="Процентный 11 3 2" xfId="7913"/>
    <cellStyle name="Обычный 4 115 2" xfId="7914"/>
    <cellStyle name="Процентный 4 115 2" xfId="7915"/>
    <cellStyle name="Обычный 5 108 2" xfId="7916"/>
    <cellStyle name="Процентный 5 108 2" xfId="7917"/>
    <cellStyle name="Обычный 4 2 102 2" xfId="7918"/>
    <cellStyle name="Процентный 4 2 102 2" xfId="7919"/>
    <cellStyle name="Обычный 5 2 102 2" xfId="7920"/>
    <cellStyle name="Процентный 5 2 102 2" xfId="7921"/>
    <cellStyle name="Обычный 6 99 2" xfId="7922"/>
    <cellStyle name="Процентный 6 99 2" xfId="7923"/>
    <cellStyle name="Обычный 7 69 2" xfId="7924"/>
    <cellStyle name="Процентный 7 69 2" xfId="7925"/>
    <cellStyle name="Обычный 4 3 61 2" xfId="7926"/>
    <cellStyle name="Процентный 4 3 61 2" xfId="7927"/>
    <cellStyle name="Обычный 5 3 61 2" xfId="7928"/>
    <cellStyle name="Процентный 5 3 61 2" xfId="7929"/>
    <cellStyle name="Обычный 4 2 2 61 2" xfId="7930"/>
    <cellStyle name="Процентный 4 2 2 61 2" xfId="7931"/>
    <cellStyle name="Обычный 5 2 2 61 2" xfId="7932"/>
    <cellStyle name="Процентный 5 2 2 61 2" xfId="7933"/>
    <cellStyle name="Обычный 6 2 61 2" xfId="7934"/>
    <cellStyle name="Процентный 6 2 61 2" xfId="7935"/>
    <cellStyle name="Обычный 7 2 61 2" xfId="7936"/>
    <cellStyle name="Процентный 7 2 61 2" xfId="7937"/>
    <cellStyle name="Обычный 8 57 2" xfId="7938"/>
    <cellStyle name="Процентный 8 57 2" xfId="7939"/>
    <cellStyle name="Обычный 9 23 2" xfId="7940"/>
    <cellStyle name="Процентный 9 24 2" xfId="7941"/>
    <cellStyle name="Обычный 10 16 2" xfId="7942"/>
    <cellStyle name="Процентный 10 16 2" xfId="7943"/>
    <cellStyle name="Обычный 11 4 2" xfId="7944"/>
    <cellStyle name="Процентный 11 4 2" xfId="7945"/>
    <cellStyle name="Обычный 4 116 2" xfId="7946"/>
    <cellStyle name="Процентный 4 116 2" xfId="7947"/>
    <cellStyle name="Обычный 5 109 2" xfId="7948"/>
    <cellStyle name="Процентный 5 109 2" xfId="7949"/>
    <cellStyle name="Обычный 4 2 103 2" xfId="7950"/>
    <cellStyle name="Процентный 4 2 103 2" xfId="7951"/>
    <cellStyle name="Обычный 5 2 103 2" xfId="7952"/>
    <cellStyle name="Процентный 5 2 103 2" xfId="7953"/>
    <cellStyle name="Обычный 6 100 2" xfId="7954"/>
    <cellStyle name="Процентный 6 100 2" xfId="7955"/>
    <cellStyle name="Обычный 7 70 2" xfId="7956"/>
    <cellStyle name="Процентный 7 70 2" xfId="7957"/>
    <cellStyle name="Обычный 4 3 62 2" xfId="7958"/>
    <cellStyle name="Процентный 4 3 62 2" xfId="7959"/>
    <cellStyle name="Обычный 5 3 62 2" xfId="7960"/>
    <cellStyle name="Процентный 5 3 62 2" xfId="7961"/>
    <cellStyle name="Обычный 4 2 2 62 2" xfId="7962"/>
    <cellStyle name="Процентный 4 2 2 62 2" xfId="7963"/>
    <cellStyle name="Обычный 5 2 2 62 2" xfId="7964"/>
    <cellStyle name="Процентный 5 2 2 62 2" xfId="7965"/>
    <cellStyle name="Обычный 6 2 62 2" xfId="7966"/>
    <cellStyle name="Процентный 6 2 62 2" xfId="7967"/>
    <cellStyle name="Обычный 7 2 62 2" xfId="7968"/>
    <cellStyle name="Процентный 7 2 62 2" xfId="7969"/>
    <cellStyle name="Обычный 8 58 2" xfId="7970"/>
    <cellStyle name="Процентный 8 58 2" xfId="7971"/>
    <cellStyle name="Обычный 9 24 2" xfId="7972"/>
    <cellStyle name="Процентный 9 25 2" xfId="7973"/>
    <cellStyle name="Обычный 10 17 2" xfId="7974"/>
    <cellStyle name="Процентный 10 17 2" xfId="7975"/>
    <cellStyle name="Обычный 11 5 2" xfId="7976"/>
    <cellStyle name="Процентный 11 5 2" xfId="7977"/>
    <cellStyle name="Обычный 4 117 2" xfId="7978"/>
    <cellStyle name="Процентный 4 117 2" xfId="7979"/>
    <cellStyle name="Обычный 5 110 2" xfId="7980"/>
    <cellStyle name="Процентный 5 110 2" xfId="7981"/>
    <cellStyle name="Обычный 4 2 104 2" xfId="7982"/>
    <cellStyle name="Процентный 4 2 104 2" xfId="7983"/>
    <cellStyle name="Обычный 5 2 104 2" xfId="7984"/>
    <cellStyle name="Процентный 5 2 104 2" xfId="7985"/>
    <cellStyle name="Обычный 6 101 2" xfId="7986"/>
    <cellStyle name="Процентный 6 101 2" xfId="7987"/>
    <cellStyle name="Обычный 7 71 2" xfId="7988"/>
    <cellStyle name="Процентный 7 71 2" xfId="7989"/>
    <cellStyle name="Обычный 4 3 63 2" xfId="7990"/>
    <cellStyle name="Процентный 4 3 63 2" xfId="7991"/>
    <cellStyle name="Обычный 5 3 63 2" xfId="7992"/>
    <cellStyle name="Процентный 5 3 63 2" xfId="7993"/>
    <cellStyle name="Обычный 4 2 2 63 2" xfId="7994"/>
    <cellStyle name="Процентный 4 2 2 63 2" xfId="7995"/>
    <cellStyle name="Обычный 5 2 2 63 2" xfId="7996"/>
    <cellStyle name="Процентный 5 2 2 63 2" xfId="7997"/>
    <cellStyle name="Обычный 6 2 63 2" xfId="7998"/>
    <cellStyle name="Процентный 6 2 63 2" xfId="7999"/>
    <cellStyle name="Обычный 7 2 63 2" xfId="8000"/>
    <cellStyle name="Процентный 7 2 63 2" xfId="8001"/>
    <cellStyle name="Обычный 8 59 2" xfId="8002"/>
    <cellStyle name="Процентный 8 59 2" xfId="8003"/>
    <cellStyle name="Обычный 9 25 2" xfId="8004"/>
    <cellStyle name="Процентный 9 26 2" xfId="8005"/>
    <cellStyle name="Обычный 10 18 2" xfId="8006"/>
    <cellStyle name="Процентный 10 18 2" xfId="8007"/>
    <cellStyle name="Обычный 11 6 2" xfId="8008"/>
    <cellStyle name="Процентный 11 6 2" xfId="8009"/>
    <cellStyle name="Обычный 4 118 2" xfId="8010"/>
    <cellStyle name="Процентный 4 118 2" xfId="8011"/>
    <cellStyle name="Обычный 5 111 2" xfId="8012"/>
    <cellStyle name="Процентный 5 111 2" xfId="8013"/>
    <cellStyle name="Обычный 4 2 105 2" xfId="8014"/>
    <cellStyle name="Процентный 4 2 105 2" xfId="8015"/>
    <cellStyle name="Обычный 5 2 105 2" xfId="8016"/>
    <cellStyle name="Процентный 5 2 105 2" xfId="8017"/>
    <cellStyle name="Обычный 6 102 2" xfId="8018"/>
    <cellStyle name="Процентный 6 102 2" xfId="8019"/>
    <cellStyle name="Обычный 7 72 2" xfId="8020"/>
    <cellStyle name="Процентный 7 72 2" xfId="8021"/>
    <cellStyle name="Обычный 4 3 64 2" xfId="8022"/>
    <cellStyle name="Процентный 4 3 64 2" xfId="8023"/>
    <cellStyle name="Обычный 5 3 64 2" xfId="8024"/>
    <cellStyle name="Процентный 5 3 64 2" xfId="8025"/>
    <cellStyle name="Обычный 4 2 2 64 2" xfId="8026"/>
    <cellStyle name="Процентный 4 2 2 64 2" xfId="8027"/>
    <cellStyle name="Обычный 5 2 2 64 2" xfId="8028"/>
    <cellStyle name="Процентный 5 2 2 64 2" xfId="8029"/>
    <cellStyle name="Обычный 6 2 64 2" xfId="8030"/>
    <cellStyle name="Процентный 6 2 64 2" xfId="8031"/>
    <cellStyle name="Обычный 7 2 64 2" xfId="8032"/>
    <cellStyle name="Процентный 7 2 64 2" xfId="8033"/>
    <cellStyle name="Обычный 8 60 2" xfId="8034"/>
    <cellStyle name="Процентный 8 60 2" xfId="8035"/>
    <cellStyle name="Обычный 9 26 2" xfId="8036"/>
    <cellStyle name="Процентный 9 27 2" xfId="8037"/>
    <cellStyle name="Обычный 10 19 2" xfId="8038"/>
    <cellStyle name="Процентный 10 19 2" xfId="8039"/>
    <cellStyle name="Обычный 11 7 2" xfId="8040"/>
    <cellStyle name="Процентный 11 7 2" xfId="8041"/>
    <cellStyle name="Обычный 4 119 2" xfId="8042"/>
    <cellStyle name="Процентный 4 119 2" xfId="8043"/>
    <cellStyle name="Обычный 5 112 2" xfId="8044"/>
    <cellStyle name="Процентный 5 112 2" xfId="8045"/>
    <cellStyle name="Обычный 4 2 106 2" xfId="8046"/>
    <cellStyle name="Процентный 4 2 106 2" xfId="8047"/>
    <cellStyle name="Обычный 5 2 106 2" xfId="8048"/>
    <cellStyle name="Процентный 5 2 106 2" xfId="8049"/>
    <cellStyle name="Обычный 6 103 2" xfId="8050"/>
    <cellStyle name="Процентный 6 103 2" xfId="8051"/>
    <cellStyle name="Обычный 7 73 2" xfId="8052"/>
    <cellStyle name="Процентный 7 73 2" xfId="8053"/>
    <cellStyle name="Обычный 4 3 65 2" xfId="8054"/>
    <cellStyle name="Процентный 4 3 65 2" xfId="8055"/>
    <cellStyle name="Обычный 5 3 65 2" xfId="8056"/>
    <cellStyle name="Процентный 5 3 65 2" xfId="8057"/>
    <cellStyle name="Обычный 4 2 2 65 2" xfId="8058"/>
    <cellStyle name="Процентный 4 2 2 65 2" xfId="8059"/>
    <cellStyle name="Обычный 5 2 2 65 2" xfId="8060"/>
    <cellStyle name="Процентный 5 2 2 65 2" xfId="8061"/>
    <cellStyle name="Обычный 6 2 65 2" xfId="8062"/>
    <cellStyle name="Процентный 6 2 65 2" xfId="8063"/>
    <cellStyle name="Обычный 7 2 65 2" xfId="8064"/>
    <cellStyle name="Процентный 7 2 65 2" xfId="8065"/>
    <cellStyle name="Обычный 8 61 2" xfId="8066"/>
    <cellStyle name="Процентный 8 61 2" xfId="8067"/>
    <cellStyle name="Обычный 9 27 2" xfId="8068"/>
    <cellStyle name="Процентный 9 28 2" xfId="8069"/>
    <cellStyle name="Обычный 10 20 2" xfId="8070"/>
    <cellStyle name="Процентный 10 20 2" xfId="8071"/>
    <cellStyle name="Обычный 11 8 2" xfId="8072"/>
    <cellStyle name="Процентный 11 8 2" xfId="8073"/>
    <cellStyle name="Обычный 4 120 2" xfId="8074"/>
    <cellStyle name="Процентный 4 120 2" xfId="8075"/>
    <cellStyle name="Обычный 5 113 2" xfId="8076"/>
    <cellStyle name="Процентный 5 113 2" xfId="8077"/>
    <cellStyle name="Обычный 4 2 107 2" xfId="8078"/>
    <cellStyle name="Процентный 4 2 107 2" xfId="8079"/>
    <cellStyle name="Обычный 5 2 107 2" xfId="8080"/>
    <cellStyle name="Процентный 5 2 107 2" xfId="8081"/>
    <cellStyle name="Обычный 6 104 2" xfId="8082"/>
    <cellStyle name="Процентный 6 104 2" xfId="8083"/>
    <cellStyle name="Обычный 7 74 2" xfId="8084"/>
    <cellStyle name="Процентный 7 74 2" xfId="8085"/>
    <cellStyle name="Обычный 4 3 66 2" xfId="8086"/>
    <cellStyle name="Процентный 4 3 66 2" xfId="8087"/>
    <cellStyle name="Обычный 5 3 66 2" xfId="8088"/>
    <cellStyle name="Процентный 5 3 66 2" xfId="8089"/>
    <cellStyle name="Обычный 4 2 2 66 2" xfId="8090"/>
    <cellStyle name="Процентный 4 2 2 66 2" xfId="8091"/>
    <cellStyle name="Обычный 5 2 2 66 2" xfId="8092"/>
    <cellStyle name="Процентный 5 2 2 66 2" xfId="8093"/>
    <cellStyle name="Обычный 6 2 66 2" xfId="8094"/>
    <cellStyle name="Процентный 6 2 66 2" xfId="8095"/>
    <cellStyle name="Обычный 7 2 66 2" xfId="8096"/>
    <cellStyle name="Процентный 7 2 66 2" xfId="8097"/>
    <cellStyle name="Обычный 8 62 2" xfId="8098"/>
    <cellStyle name="Процентный 8 62 2" xfId="8099"/>
    <cellStyle name="Обычный 9 28 2" xfId="8100"/>
    <cellStyle name="Процентный 9 29 2" xfId="8101"/>
    <cellStyle name="Обычный 10 21 2" xfId="8102"/>
    <cellStyle name="Процентный 10 21 2" xfId="8103"/>
    <cellStyle name="Обычный 11 9 2" xfId="8104"/>
    <cellStyle name="Процентный 11 9 2" xfId="8105"/>
    <cellStyle name="Обычный 13 2" xfId="8106"/>
    <cellStyle name="Процентный 13 2" xfId="8107"/>
    <cellStyle name="Обычный 4 121 2" xfId="8108"/>
    <cellStyle name="Процентный 4 121 2" xfId="8109"/>
    <cellStyle name="Обычный 5 114 2" xfId="8110"/>
    <cellStyle name="Процентный 5 114 2" xfId="8111"/>
    <cellStyle name="Обычный 4 2 108 2" xfId="8112"/>
    <cellStyle name="Процентный 4 2 108 2" xfId="8113"/>
    <cellStyle name="Обычный 5 2 108 2" xfId="8114"/>
    <cellStyle name="Процентный 5 2 108 2" xfId="8115"/>
    <cellStyle name="Обычный 6 105 2" xfId="8116"/>
    <cellStyle name="Процентный 6 105 2" xfId="8117"/>
    <cellStyle name="Обычный 7 75 2" xfId="8118"/>
    <cellStyle name="Процентный 7 75 2" xfId="8119"/>
    <cellStyle name="Обычный 4 3 67 2" xfId="8120"/>
    <cellStyle name="Процентный 4 3 67 2" xfId="8121"/>
    <cellStyle name="Обычный 5 3 67 2" xfId="8122"/>
    <cellStyle name="Процентный 5 3 67 2" xfId="8123"/>
    <cellStyle name="Обычный 4 2 2 67 2" xfId="8124"/>
    <cellStyle name="Процентный 4 2 2 67 2" xfId="8125"/>
    <cellStyle name="Обычный 5 2 2 67 2" xfId="8126"/>
    <cellStyle name="Процентный 5 2 2 67 2" xfId="8127"/>
    <cellStyle name="Обычный 6 2 67 2" xfId="8128"/>
    <cellStyle name="Процентный 6 2 67 2" xfId="8129"/>
    <cellStyle name="Обычный 7 2 67 2" xfId="8130"/>
    <cellStyle name="Процентный 7 2 67 2" xfId="8131"/>
    <cellStyle name="Обычный 8 63 2" xfId="8132"/>
    <cellStyle name="Процентный 8 63 2" xfId="8133"/>
    <cellStyle name="Обычный 9 29 2" xfId="8134"/>
    <cellStyle name="Процентный 9 30 2" xfId="8135"/>
    <cellStyle name="Обычный 10 22 2" xfId="8136"/>
    <cellStyle name="Процентный 10 22 2" xfId="8137"/>
    <cellStyle name="Обычный 11 10 2" xfId="8138"/>
    <cellStyle name="Процентный 11 10 2" xfId="8139"/>
    <cellStyle name="Обычный 4 122 2" xfId="8140"/>
    <cellStyle name="Процентный 4 122 2" xfId="8141"/>
    <cellStyle name="Обычный 5 115 2" xfId="8142"/>
    <cellStyle name="Процентный 5 115 2" xfId="8143"/>
    <cellStyle name="Обычный 4 2 109 2" xfId="8144"/>
    <cellStyle name="Процентный 4 2 109 2" xfId="8145"/>
    <cellStyle name="Обычный 5 2 109 2" xfId="8146"/>
    <cellStyle name="Процентный 5 2 109 2" xfId="8147"/>
    <cellStyle name="Обычный 6 106 2" xfId="8148"/>
    <cellStyle name="Процентный 6 106 2" xfId="8149"/>
    <cellStyle name="Обычный 7 76 2" xfId="8150"/>
    <cellStyle name="Процентный 7 76 2" xfId="8151"/>
    <cellStyle name="Обычный 4 3 68 2" xfId="8152"/>
    <cellStyle name="Процентный 4 3 68 2" xfId="8153"/>
    <cellStyle name="Обычный 5 3 68 2" xfId="8154"/>
    <cellStyle name="Процентный 5 3 68 2" xfId="8155"/>
    <cellStyle name="Обычный 4 2 2 68 2" xfId="8156"/>
    <cellStyle name="Процентный 4 2 2 68 2" xfId="8157"/>
    <cellStyle name="Обычный 5 2 2 68 2" xfId="8158"/>
    <cellStyle name="Процентный 5 2 2 68 2" xfId="8159"/>
    <cellStyle name="Обычный 6 2 68 2" xfId="8160"/>
    <cellStyle name="Процентный 6 2 68 2" xfId="8161"/>
    <cellStyle name="Обычный 7 2 68 2" xfId="8162"/>
    <cellStyle name="Процентный 7 2 68 2" xfId="8163"/>
    <cellStyle name="Обычный 8 64 2" xfId="8164"/>
    <cellStyle name="Процентный 8 64 2" xfId="8165"/>
    <cellStyle name="Обычный 9 30 2" xfId="8166"/>
    <cellStyle name="Процентный 9 31 2" xfId="8167"/>
    <cellStyle name="Обычный 10 23 2" xfId="8168"/>
    <cellStyle name="Процентный 10 23 2" xfId="8169"/>
    <cellStyle name="Обычный 11 11 2" xfId="8170"/>
    <cellStyle name="Процентный 11 11 2" xfId="8171"/>
    <cellStyle name="Обычный 4 123 2" xfId="8172"/>
    <cellStyle name="Процентный 4 123 2" xfId="8173"/>
    <cellStyle name="Обычный 5 116 2" xfId="8174"/>
    <cellStyle name="Процентный 5 116 2" xfId="8175"/>
    <cellStyle name="Обычный 4 2 110 2" xfId="8176"/>
    <cellStyle name="Процентный 4 2 110 2" xfId="8177"/>
    <cellStyle name="Обычный 5 2 110 2" xfId="8178"/>
    <cellStyle name="Процентный 5 2 110 2" xfId="8179"/>
    <cellStyle name="Обычный 6 107 2" xfId="8180"/>
    <cellStyle name="Процентный 6 107 2" xfId="8181"/>
    <cellStyle name="Обычный 7 77 2" xfId="8182"/>
    <cellStyle name="Процентный 7 77 2" xfId="8183"/>
    <cellStyle name="Обычный 4 3 69 2" xfId="8184"/>
    <cellStyle name="Процентный 4 3 69 2" xfId="8185"/>
    <cellStyle name="Обычный 5 3 69 2" xfId="8186"/>
    <cellStyle name="Процентный 5 3 69 2" xfId="8187"/>
    <cellStyle name="Обычный 4 2 2 69 2" xfId="8188"/>
    <cellStyle name="Процентный 4 2 2 69 2" xfId="8189"/>
    <cellStyle name="Обычный 5 2 2 69 2" xfId="8190"/>
    <cellStyle name="Процентный 5 2 2 69 2" xfId="8191"/>
    <cellStyle name="Обычный 6 2 69 2" xfId="8192"/>
    <cellStyle name="Процентный 6 2 69 2" xfId="8193"/>
    <cellStyle name="Обычный 7 2 69 2" xfId="8194"/>
    <cellStyle name="Процентный 7 2 69 2" xfId="8195"/>
    <cellStyle name="Обычный 8 65 2" xfId="8196"/>
    <cellStyle name="Процентный 8 65 2" xfId="8197"/>
    <cellStyle name="Обычный 9 31 2" xfId="8198"/>
    <cellStyle name="Процентный 9 32 2" xfId="8199"/>
    <cellStyle name="Обычный 10 24 2" xfId="8200"/>
    <cellStyle name="Процентный 10 24 2" xfId="8201"/>
    <cellStyle name="Обычный 11 12 2" xfId="8202"/>
    <cellStyle name="Процентный 11 12 2" xfId="8203"/>
    <cellStyle name="Обычный 4 124 2" xfId="8204"/>
    <cellStyle name="Процентный 4 124 2" xfId="8205"/>
    <cellStyle name="Обычный 5 117 2" xfId="8206"/>
    <cellStyle name="Процентный 5 117 2" xfId="8207"/>
    <cellStyle name="Обычный 4 2 111 2" xfId="8208"/>
    <cellStyle name="Процентный 4 2 111 2" xfId="8209"/>
    <cellStyle name="Обычный 5 2 111 2" xfId="8210"/>
    <cellStyle name="Процентный 5 2 111 2" xfId="8211"/>
    <cellStyle name="Обычный 6 108 2" xfId="8212"/>
    <cellStyle name="Процентный 6 108 2" xfId="8213"/>
    <cellStyle name="Обычный 7 78 2" xfId="8214"/>
    <cellStyle name="Процентный 7 78 2" xfId="8215"/>
    <cellStyle name="Обычный 4 3 70 2" xfId="8216"/>
    <cellStyle name="Процентный 4 3 70 2" xfId="8217"/>
    <cellStyle name="Обычный 5 3 70 2" xfId="8218"/>
    <cellStyle name="Процентный 5 3 70 2" xfId="8219"/>
    <cellStyle name="Обычный 4 2 2 70 2" xfId="8220"/>
    <cellStyle name="Процентный 4 2 2 70 2" xfId="8221"/>
    <cellStyle name="Обычный 5 2 2 70 2" xfId="8222"/>
    <cellStyle name="Процентный 5 2 2 70 2" xfId="8223"/>
    <cellStyle name="Обычный 6 2 70 2" xfId="8224"/>
    <cellStyle name="Процентный 6 2 70 2" xfId="8225"/>
    <cellStyle name="Обычный 7 2 70 2" xfId="8226"/>
    <cellStyle name="Процентный 7 2 70 2" xfId="8227"/>
    <cellStyle name="Обычный 8 66 2" xfId="8228"/>
    <cellStyle name="Процентный 8 66 2" xfId="8229"/>
    <cellStyle name="Обычный 9 32 2" xfId="8230"/>
    <cellStyle name="Процентный 9 33 2" xfId="8231"/>
    <cellStyle name="Обычный 10 25 2" xfId="8232"/>
    <cellStyle name="Процентный 10 25 2" xfId="8233"/>
    <cellStyle name="Обычный 11 13 2" xfId="8234"/>
    <cellStyle name="Процентный 11 13 2" xfId="8235"/>
    <cellStyle name="Обычный 4 125 2" xfId="8236"/>
    <cellStyle name="Процентный 4 125 2" xfId="8237"/>
    <cellStyle name="Обычный 5 118 2" xfId="8238"/>
    <cellStyle name="Процентный 5 118 2" xfId="8239"/>
    <cellStyle name="Обычный 4 2 112 2" xfId="8240"/>
    <cellStyle name="Процентный 4 2 112 2" xfId="8241"/>
    <cellStyle name="Обычный 5 2 112 2" xfId="8242"/>
    <cellStyle name="Процентный 5 2 112 2" xfId="8243"/>
    <cellStyle name="Обычный 6 109 2" xfId="8244"/>
    <cellStyle name="Процентный 6 109 2" xfId="8245"/>
    <cellStyle name="Обычный 7 79 2" xfId="8246"/>
    <cellStyle name="Процентный 7 79 2" xfId="8247"/>
    <cellStyle name="Обычный 4 3 71 2" xfId="8248"/>
    <cellStyle name="Процентный 4 3 71 2" xfId="8249"/>
    <cellStyle name="Обычный 5 3 71 2" xfId="8250"/>
    <cellStyle name="Процентный 5 3 71 2" xfId="8251"/>
    <cellStyle name="Обычный 4 2 2 71 2" xfId="8252"/>
    <cellStyle name="Процентный 4 2 2 71 2" xfId="8253"/>
    <cellStyle name="Обычный 5 2 2 71 2" xfId="8254"/>
    <cellStyle name="Процентный 5 2 2 71 2" xfId="8255"/>
    <cellStyle name="Обычный 6 2 71 2" xfId="8256"/>
    <cellStyle name="Процентный 6 2 71 2" xfId="8257"/>
    <cellStyle name="Обычный 7 2 71 2" xfId="8258"/>
    <cellStyle name="Процентный 7 2 71 2" xfId="8259"/>
    <cellStyle name="Обычный 8 67 2" xfId="8260"/>
    <cellStyle name="Процентный 8 67 2" xfId="8261"/>
    <cellStyle name="Обычный 9 33 2" xfId="8262"/>
    <cellStyle name="Процентный 9 34 2" xfId="8263"/>
    <cellStyle name="Обычный 10 26 2" xfId="8264"/>
    <cellStyle name="Процентный 10 26 2" xfId="8265"/>
    <cellStyle name="Обычный 11 14 2" xfId="8266"/>
    <cellStyle name="Процентный 11 14 2" xfId="8267"/>
    <cellStyle name="Обычный 4 126 2" xfId="8268"/>
    <cellStyle name="Процентный 4 126 2" xfId="8269"/>
    <cellStyle name="Обычный 5 119 2" xfId="8270"/>
    <cellStyle name="Процентный 5 119 2" xfId="8271"/>
    <cellStyle name="Обычный 4 2 113 2" xfId="8272"/>
    <cellStyle name="Процентный 4 2 113 2" xfId="8273"/>
    <cellStyle name="Обычный 5 2 113 2" xfId="8274"/>
    <cellStyle name="Процентный 5 2 113 2" xfId="8275"/>
    <cellStyle name="Обычный 6 110 2" xfId="8276"/>
    <cellStyle name="Процентный 6 110 2" xfId="8277"/>
    <cellStyle name="Обычный 7 80 2" xfId="8278"/>
    <cellStyle name="Процентный 7 80 2" xfId="8279"/>
    <cellStyle name="Обычный 4 3 72 2" xfId="8280"/>
    <cellStyle name="Процентный 4 3 72 2" xfId="8281"/>
    <cellStyle name="Обычный 5 3 72 2" xfId="8282"/>
    <cellStyle name="Процентный 5 3 72 2" xfId="8283"/>
    <cellStyle name="Обычный 4 2 2 72 2" xfId="8284"/>
    <cellStyle name="Процентный 4 2 2 72 2" xfId="8285"/>
    <cellStyle name="Обычный 5 2 2 72 2" xfId="8286"/>
    <cellStyle name="Процентный 5 2 2 72 2" xfId="8287"/>
    <cellStyle name="Обычный 6 2 72 2" xfId="8288"/>
    <cellStyle name="Процентный 6 2 72 2" xfId="8289"/>
    <cellStyle name="Обычный 7 2 72 2" xfId="8290"/>
    <cellStyle name="Процентный 7 2 72 2" xfId="8291"/>
    <cellStyle name="Обычный 8 68 2" xfId="8292"/>
    <cellStyle name="Процентный 8 68 2" xfId="8293"/>
    <cellStyle name="Обычный 9 34 2" xfId="8294"/>
    <cellStyle name="Процентный 9 35 2" xfId="8295"/>
    <cellStyle name="Обычный 10 27 2" xfId="8296"/>
    <cellStyle name="Процентный 10 27 2" xfId="8297"/>
    <cellStyle name="Обычный 11 15 2" xfId="8298"/>
    <cellStyle name="Процентный 11 15 2" xfId="8299"/>
    <cellStyle name="Обычный 4 127 2" xfId="8300"/>
    <cellStyle name="Процентный 4 127 2" xfId="8301"/>
    <cellStyle name="Обычный 5 120 2" xfId="8302"/>
    <cellStyle name="Процентный 5 120 2" xfId="8303"/>
    <cellStyle name="Обычный 4 2 114 2" xfId="8304"/>
    <cellStyle name="Процентный 4 2 114 2" xfId="8305"/>
    <cellStyle name="Обычный 5 2 114 2" xfId="8306"/>
    <cellStyle name="Процентный 5 2 114 2" xfId="8307"/>
    <cellStyle name="Обычный 6 111 2" xfId="8308"/>
    <cellStyle name="Процентный 6 111 2" xfId="8309"/>
    <cellStyle name="Обычный 7 81 2" xfId="8310"/>
    <cellStyle name="Процентный 7 81 2" xfId="8311"/>
    <cellStyle name="Обычный 4 3 73 2" xfId="8312"/>
    <cellStyle name="Процентный 4 3 73 2" xfId="8313"/>
    <cellStyle name="Обычный 5 3 73 2" xfId="8314"/>
    <cellStyle name="Процентный 5 3 73 2" xfId="8315"/>
    <cellStyle name="Обычный 4 2 2 73 2" xfId="8316"/>
    <cellStyle name="Процентный 4 2 2 73 2" xfId="8317"/>
    <cellStyle name="Обычный 5 2 2 73 2" xfId="8318"/>
    <cellStyle name="Процентный 5 2 2 73 2" xfId="8319"/>
    <cellStyle name="Обычный 6 2 73 2" xfId="8320"/>
    <cellStyle name="Процентный 6 2 73 2" xfId="8321"/>
    <cellStyle name="Обычный 7 2 73 2" xfId="8322"/>
    <cellStyle name="Процентный 7 2 73 2" xfId="8323"/>
    <cellStyle name="Обычный 8 69 2" xfId="8324"/>
    <cellStyle name="Процентный 8 69 2" xfId="8325"/>
    <cellStyle name="Обычный 9 35 2" xfId="8326"/>
    <cellStyle name="Процентный 9 36 2" xfId="8327"/>
    <cellStyle name="Обычный 10 28 2" xfId="8328"/>
    <cellStyle name="Процентный 10 28 2" xfId="8329"/>
    <cellStyle name="Обычный 11 16 2" xfId="8330"/>
    <cellStyle name="Процентный 11 16 2" xfId="8331"/>
    <cellStyle name="Обычный 4 128 2" xfId="8332"/>
    <cellStyle name="Процентный 4 128 2" xfId="8333"/>
    <cellStyle name="Обычный 5 121 2" xfId="8334"/>
    <cellStyle name="Процентный 5 121 2" xfId="8335"/>
    <cellStyle name="Обычный 4 2 115 2" xfId="8336"/>
    <cellStyle name="Процентный 4 2 115 2" xfId="8337"/>
    <cellStyle name="Обычный 5 2 115 2" xfId="8338"/>
    <cellStyle name="Процентный 5 2 115 2" xfId="8339"/>
    <cellStyle name="Обычный 6 112 2" xfId="8340"/>
    <cellStyle name="Процентный 6 112 2" xfId="8341"/>
    <cellStyle name="Обычный 7 82 2" xfId="8342"/>
    <cellStyle name="Процентный 7 82 2" xfId="8343"/>
    <cellStyle name="Обычный 4 3 74 2" xfId="8344"/>
    <cellStyle name="Процентный 4 3 74 2" xfId="8345"/>
    <cellStyle name="Обычный 5 3 74 2" xfId="8346"/>
    <cellStyle name="Процентный 5 3 74 2" xfId="8347"/>
    <cellStyle name="Обычный 4 2 2 74 2" xfId="8348"/>
    <cellStyle name="Процентный 4 2 2 74 2" xfId="8349"/>
    <cellStyle name="Обычный 5 2 2 74 2" xfId="8350"/>
    <cellStyle name="Процентный 5 2 2 74 2" xfId="8351"/>
    <cellStyle name="Обычный 6 2 74 2" xfId="8352"/>
    <cellStyle name="Процентный 6 2 74 2" xfId="8353"/>
    <cellStyle name="Обычный 7 2 74 2" xfId="8354"/>
    <cellStyle name="Процентный 7 2 74 2" xfId="8355"/>
    <cellStyle name="Обычный 8 70 2" xfId="8356"/>
    <cellStyle name="Процентный 8 70 2" xfId="8357"/>
    <cellStyle name="Обычный 9 36 2" xfId="8358"/>
    <cellStyle name="Процентный 9 37 2" xfId="8359"/>
    <cellStyle name="Обычный 10 29 2" xfId="8360"/>
    <cellStyle name="Процентный 10 29 2" xfId="8361"/>
    <cellStyle name="Обычный 11 17 2" xfId="8362"/>
    <cellStyle name="Процентный 11 17 2" xfId="8363"/>
    <cellStyle name="Обычный 4 129 2" xfId="8364"/>
    <cellStyle name="Процентный 4 129 2" xfId="8365"/>
    <cellStyle name="Обычный 5 122 2" xfId="8366"/>
    <cellStyle name="Процентный 5 122 2" xfId="8367"/>
    <cellStyle name="Обычный 4 2 116 2" xfId="8368"/>
    <cellStyle name="Процентный 4 2 116 2" xfId="8369"/>
    <cellStyle name="Обычный 5 2 116 2" xfId="8370"/>
    <cellStyle name="Процентный 5 2 116 2" xfId="8371"/>
    <cellStyle name="Обычный 6 113 2" xfId="8372"/>
    <cellStyle name="Процентный 6 113 2" xfId="8373"/>
    <cellStyle name="Обычный 7 83 2" xfId="8374"/>
    <cellStyle name="Процентный 7 83 2" xfId="8375"/>
    <cellStyle name="Обычный 4 3 75 2" xfId="8376"/>
    <cellStyle name="Процентный 4 3 75 2" xfId="8377"/>
    <cellStyle name="Обычный 5 3 75 2" xfId="8378"/>
    <cellStyle name="Процентный 5 3 75 2" xfId="8379"/>
    <cellStyle name="Обычный 4 2 2 75 2" xfId="8380"/>
    <cellStyle name="Процентный 4 2 2 75 2" xfId="8381"/>
    <cellStyle name="Обычный 5 2 2 75 2" xfId="8382"/>
    <cellStyle name="Процентный 5 2 2 75 2" xfId="8383"/>
    <cellStyle name="Обычный 6 2 75 2" xfId="8384"/>
    <cellStyle name="Процентный 6 2 75 2" xfId="8385"/>
    <cellStyle name="Обычный 7 2 75 2" xfId="8386"/>
    <cellStyle name="Процентный 7 2 75 2" xfId="8387"/>
    <cellStyle name="Обычный 8 71 2" xfId="8388"/>
    <cellStyle name="Процентный 8 71 2" xfId="8389"/>
    <cellStyle name="Обычный 9 37 2" xfId="8390"/>
    <cellStyle name="Процентный 9 38 2" xfId="8391"/>
    <cellStyle name="Обычный 10 30 2" xfId="8392"/>
    <cellStyle name="Процентный 10 30 2" xfId="8393"/>
    <cellStyle name="Обычный 11 18 2" xfId="8394"/>
    <cellStyle name="Процентный 11 18 2" xfId="8395"/>
    <cellStyle name="Обычный 4 130 2" xfId="8396"/>
    <cellStyle name="Процентный 4 130 2" xfId="8397"/>
    <cellStyle name="Обычный 5 123 2" xfId="8398"/>
    <cellStyle name="Процентный 5 123 2" xfId="8399"/>
    <cellStyle name="Обычный 4 2 117 2" xfId="8400"/>
    <cellStyle name="Процентный 4 2 117 2" xfId="8401"/>
    <cellStyle name="Обычный 5 2 117 2" xfId="8402"/>
    <cellStyle name="Процентный 5 2 117 2" xfId="8403"/>
    <cellStyle name="Обычный 6 114 2" xfId="8404"/>
    <cellStyle name="Процентный 6 114 2" xfId="8405"/>
    <cellStyle name="Обычный 7 84 2" xfId="8406"/>
    <cellStyle name="Процентный 7 84 2" xfId="8407"/>
    <cellStyle name="Обычный 4 3 76 2" xfId="8408"/>
    <cellStyle name="Процентный 4 3 76 2" xfId="8409"/>
    <cellStyle name="Обычный 5 3 76 2" xfId="8410"/>
    <cellStyle name="Процентный 5 3 76 2" xfId="8411"/>
    <cellStyle name="Обычный 4 2 2 76 2" xfId="8412"/>
    <cellStyle name="Процентный 4 2 2 76 2" xfId="8413"/>
    <cellStyle name="Обычный 5 2 2 76 2" xfId="8414"/>
    <cellStyle name="Процентный 5 2 2 76 2" xfId="8415"/>
    <cellStyle name="Обычный 6 2 76 2" xfId="8416"/>
    <cellStyle name="Процентный 6 2 76 2" xfId="8417"/>
    <cellStyle name="Обычный 7 2 76 2" xfId="8418"/>
    <cellStyle name="Процентный 7 2 76 2" xfId="8419"/>
    <cellStyle name="Обычный 8 72 2" xfId="8420"/>
    <cellStyle name="Процентный 8 72 2" xfId="8421"/>
    <cellStyle name="Обычный 9 38 2" xfId="8422"/>
    <cellStyle name="Процентный 9 39 2" xfId="8423"/>
    <cellStyle name="Обычный 10 31 2" xfId="8424"/>
    <cellStyle name="Процентный 10 31 2" xfId="8425"/>
    <cellStyle name="Обычный 11 19 2" xfId="8426"/>
    <cellStyle name="Процентный 11 19 2" xfId="8427"/>
    <cellStyle name="Обычный 4 131 2" xfId="8428"/>
    <cellStyle name="Процентный 4 131 2" xfId="8429"/>
    <cellStyle name="Обычный 5 124 2" xfId="8430"/>
    <cellStyle name="Процентный 5 124 2" xfId="8431"/>
    <cellStyle name="Обычный 4 2 118 2" xfId="8432"/>
    <cellStyle name="Процентный 4 2 118 2" xfId="8433"/>
    <cellStyle name="Обычный 5 2 118 2" xfId="8434"/>
    <cellStyle name="Процентный 5 2 118 2" xfId="8435"/>
    <cellStyle name="Обычный 6 115 2" xfId="8436"/>
    <cellStyle name="Процентный 6 115 2" xfId="8437"/>
    <cellStyle name="Обычный 7 85 2" xfId="8438"/>
    <cellStyle name="Процентный 7 85 2" xfId="8439"/>
    <cellStyle name="Обычный 4 3 77 2" xfId="8440"/>
    <cellStyle name="Процентный 4 3 77 2" xfId="8441"/>
    <cellStyle name="Обычный 5 3 77 2" xfId="8442"/>
    <cellStyle name="Процентный 5 3 77 2" xfId="8443"/>
    <cellStyle name="Обычный 4 2 2 77 2" xfId="8444"/>
    <cellStyle name="Процентный 4 2 2 77 2" xfId="8445"/>
    <cellStyle name="Обычный 5 2 2 77 2" xfId="8446"/>
    <cellStyle name="Процентный 5 2 2 77 2" xfId="8447"/>
    <cellStyle name="Обычный 6 2 77 2" xfId="8448"/>
    <cellStyle name="Процентный 6 2 77 2" xfId="8449"/>
    <cellStyle name="Обычный 7 2 77 2" xfId="8450"/>
    <cellStyle name="Процентный 7 2 77 2" xfId="8451"/>
    <cellStyle name="Обычный 8 73 2" xfId="8452"/>
    <cellStyle name="Процентный 8 73 2" xfId="8453"/>
    <cellStyle name="Обычный 9 39 2" xfId="8454"/>
    <cellStyle name="Процентный 9 40 2" xfId="8455"/>
    <cellStyle name="Обычный 10 32 2" xfId="8456"/>
    <cellStyle name="Процентный 10 32 2" xfId="8457"/>
    <cellStyle name="Обычный 11 20 2" xfId="8458"/>
    <cellStyle name="Процентный 11 20 2" xfId="8459"/>
    <cellStyle name="Финансовый 5 2" xfId="8460"/>
    <cellStyle name="Обычный 4 132 2" xfId="8461"/>
    <cellStyle name="Процентный 4 132 2" xfId="8462"/>
    <cellStyle name="Обычный 5 125 2" xfId="8463"/>
    <cellStyle name="Процентный 5 125 2" xfId="8464"/>
    <cellStyle name="Обычный 4 2 119 2" xfId="8465"/>
    <cellStyle name="Процентный 4 2 119 2" xfId="8466"/>
    <cellStyle name="Обычный 5 2 119 2" xfId="8467"/>
    <cellStyle name="Процентный 5 2 119 2" xfId="8468"/>
    <cellStyle name="Обычный 6 116 2" xfId="8469"/>
    <cellStyle name="Процентный 6 116 2" xfId="8470"/>
    <cellStyle name="Обычный 7 86 2" xfId="8471"/>
    <cellStyle name="Процентный 7 86 2" xfId="8472"/>
    <cellStyle name="Обычный 4 3 78 2" xfId="8473"/>
    <cellStyle name="Процентный 4 3 78 2" xfId="8474"/>
    <cellStyle name="Обычный 5 3 78 2" xfId="8475"/>
    <cellStyle name="Процентный 5 3 78 2" xfId="8476"/>
    <cellStyle name="Обычный 4 2 2 78 2" xfId="8477"/>
    <cellStyle name="Процентный 4 2 2 78 2" xfId="8478"/>
    <cellStyle name="Обычный 5 2 2 78 2" xfId="8479"/>
    <cellStyle name="Процентный 5 2 2 78 2" xfId="8480"/>
    <cellStyle name="Обычный 6 2 78 2" xfId="8481"/>
    <cellStyle name="Процентный 6 2 78 2" xfId="8482"/>
    <cellStyle name="Обычный 7 2 78 2" xfId="8483"/>
    <cellStyle name="Процентный 7 2 78 2" xfId="8484"/>
    <cellStyle name="Обычный 8 74 2" xfId="8485"/>
    <cellStyle name="Процентный 8 74 2" xfId="8486"/>
    <cellStyle name="Обычный 9 40 2" xfId="8487"/>
    <cellStyle name="Процентный 9 41 2" xfId="8488"/>
    <cellStyle name="Обычный 10 33 2" xfId="8489"/>
    <cellStyle name="Процентный 10 33 2" xfId="8490"/>
    <cellStyle name="Обычный 11 21 2" xfId="8491"/>
    <cellStyle name="Процентный 11 21 2" xfId="8492"/>
    <cellStyle name="Обычный 4 133 2" xfId="8493"/>
    <cellStyle name="Процентный 4 133 2" xfId="8494"/>
    <cellStyle name="Обычный 5 126 2" xfId="8495"/>
    <cellStyle name="Процентный 5 126 2" xfId="8496"/>
    <cellStyle name="Обычный 4 2 120 2" xfId="8497"/>
    <cellStyle name="Процентный 4 2 120 2" xfId="8498"/>
    <cellStyle name="Обычный 5 2 120 2" xfId="8499"/>
    <cellStyle name="Процентный 5 2 120 2" xfId="8500"/>
    <cellStyle name="Обычный 6 117 2" xfId="8501"/>
    <cellStyle name="Процентный 6 117 2" xfId="8502"/>
    <cellStyle name="Обычный 7 87 2" xfId="8503"/>
    <cellStyle name="Процентный 7 87 2" xfId="8504"/>
    <cellStyle name="Обычный 4 3 79 2" xfId="8505"/>
    <cellStyle name="Процентный 4 3 79 2" xfId="8506"/>
    <cellStyle name="Обычный 5 3 79 2" xfId="8507"/>
    <cellStyle name="Процентный 5 3 79 2" xfId="8508"/>
    <cellStyle name="Обычный 4 2 2 79 2" xfId="8509"/>
    <cellStyle name="Процентный 4 2 2 79 2" xfId="8510"/>
    <cellStyle name="Обычный 5 2 2 79 2" xfId="8511"/>
    <cellStyle name="Процентный 5 2 2 79 2" xfId="8512"/>
    <cellStyle name="Обычный 6 2 79 2" xfId="8513"/>
    <cellStyle name="Процентный 6 2 79 2" xfId="8514"/>
    <cellStyle name="Обычный 7 2 79 2" xfId="8515"/>
    <cellStyle name="Процентный 7 2 79 2" xfId="8516"/>
    <cellStyle name="Обычный 8 75 2" xfId="8517"/>
    <cellStyle name="Процентный 8 75 2" xfId="8518"/>
    <cellStyle name="Обычный 9 41 2" xfId="8519"/>
    <cellStyle name="Процентный 9 42 2" xfId="8520"/>
    <cellStyle name="Обычный 10 34 2" xfId="8521"/>
    <cellStyle name="Процентный 10 34 2" xfId="8522"/>
    <cellStyle name="Обычный 11 22 2" xfId="8523"/>
    <cellStyle name="Процентный 11 22 2" xfId="8524"/>
    <cellStyle name="Обычный 4 134 2" xfId="8525"/>
    <cellStyle name="Процентный 4 134 2" xfId="8526"/>
    <cellStyle name="Обычный 5 127 2" xfId="8527"/>
    <cellStyle name="Процентный 5 127 2" xfId="8528"/>
    <cellStyle name="Обычный 4 2 121 2" xfId="8529"/>
    <cellStyle name="Процентный 4 2 121 2" xfId="8530"/>
    <cellStyle name="Обычный 5 2 121 2" xfId="8531"/>
    <cellStyle name="Процентный 5 2 121 2" xfId="8532"/>
    <cellStyle name="Обычный 6 118 2" xfId="8533"/>
    <cellStyle name="Процентный 6 118 2" xfId="8534"/>
    <cellStyle name="Обычный 7 88 2" xfId="8535"/>
    <cellStyle name="Процентный 7 88 2" xfId="8536"/>
    <cellStyle name="Обычный 4 3 80 2" xfId="8537"/>
    <cellStyle name="Процентный 4 3 80 2" xfId="8538"/>
    <cellStyle name="Обычный 5 3 80 2" xfId="8539"/>
    <cellStyle name="Процентный 5 3 80 2" xfId="8540"/>
    <cellStyle name="Обычный 4 2 2 80 2" xfId="8541"/>
    <cellStyle name="Процентный 4 2 2 80 2" xfId="8542"/>
    <cellStyle name="Обычный 5 2 2 80 2" xfId="8543"/>
    <cellStyle name="Процентный 5 2 2 80 2" xfId="8544"/>
    <cellStyle name="Обычный 6 2 80 2" xfId="8545"/>
    <cellStyle name="Процентный 6 2 80 2" xfId="8546"/>
    <cellStyle name="Обычный 7 2 80 2" xfId="8547"/>
    <cellStyle name="Процентный 7 2 80 2" xfId="8548"/>
    <cellStyle name="Обычный 8 76 2" xfId="8549"/>
    <cellStyle name="Процентный 8 76 2" xfId="8550"/>
    <cellStyle name="Обычный 9 42 2" xfId="8551"/>
    <cellStyle name="Процентный 9 43 2" xfId="8552"/>
    <cellStyle name="Обычный 10 35 2" xfId="8553"/>
    <cellStyle name="Процентный 10 35 2" xfId="8554"/>
    <cellStyle name="Обычный 11 23 2" xfId="8555"/>
    <cellStyle name="Процентный 11 23 2" xfId="8556"/>
    <cellStyle name="Обычный 4 135 2" xfId="8557"/>
    <cellStyle name="Процентный 4 135 2" xfId="8558"/>
    <cellStyle name="Обычный 5 128 2" xfId="8559"/>
    <cellStyle name="Процентный 5 128 2" xfId="8560"/>
    <cellStyle name="Обычный 4 2 122 2" xfId="8561"/>
    <cellStyle name="Процентный 4 2 122 2" xfId="8562"/>
    <cellStyle name="Обычный 5 2 122 2" xfId="8563"/>
    <cellStyle name="Процентный 5 2 122 2" xfId="8564"/>
    <cellStyle name="Обычный 6 119 2" xfId="8565"/>
    <cellStyle name="Процентный 6 119 2" xfId="8566"/>
    <cellStyle name="Обычный 7 89 2" xfId="8567"/>
    <cellStyle name="Процентный 7 89 2" xfId="8568"/>
    <cellStyle name="Обычный 4 3 81 2" xfId="8569"/>
    <cellStyle name="Процентный 4 3 81 2" xfId="8570"/>
    <cellStyle name="Обычный 5 3 81 2" xfId="8571"/>
    <cellStyle name="Процентный 5 3 81 2" xfId="8572"/>
    <cellStyle name="Обычный 4 2 2 81 2" xfId="8573"/>
    <cellStyle name="Процентный 4 2 2 81 2" xfId="8574"/>
    <cellStyle name="Обычный 5 2 2 81 2" xfId="8575"/>
    <cellStyle name="Процентный 5 2 2 81 2" xfId="8576"/>
    <cellStyle name="Обычный 6 2 81 2" xfId="8577"/>
    <cellStyle name="Процентный 6 2 81 2" xfId="8578"/>
    <cellStyle name="Обычный 7 2 81 2" xfId="8579"/>
    <cellStyle name="Процентный 7 2 81 2" xfId="8580"/>
    <cellStyle name="Обычный 8 77 2" xfId="8581"/>
    <cellStyle name="Процентный 8 77 2" xfId="8582"/>
    <cellStyle name="Обычный 9 43 2" xfId="8583"/>
    <cellStyle name="Процентный 9 44 2" xfId="8584"/>
    <cellStyle name="Обычный 10 36 2" xfId="8585"/>
    <cellStyle name="Процентный 10 36 2" xfId="8586"/>
    <cellStyle name="Обычный 11 24 2" xfId="8587"/>
    <cellStyle name="Процентный 11 24 2" xfId="8588"/>
    <cellStyle name="Обычный 4 136 2" xfId="8589"/>
    <cellStyle name="Процентный 4 136 2" xfId="8590"/>
    <cellStyle name="Обычный 5 129 2" xfId="8591"/>
    <cellStyle name="Процентный 5 129 2" xfId="8592"/>
    <cellStyle name="Обычный 4 2 123 2" xfId="8593"/>
    <cellStyle name="Процентный 4 2 123 2" xfId="8594"/>
    <cellStyle name="Обычный 5 2 123 2" xfId="8595"/>
    <cellStyle name="Процентный 5 2 123 2" xfId="8596"/>
    <cellStyle name="Обычный 6 120 2" xfId="8597"/>
    <cellStyle name="Процентный 6 120 2" xfId="8598"/>
    <cellStyle name="Обычный 7 90 2" xfId="8599"/>
    <cellStyle name="Процентный 7 90 2" xfId="8600"/>
    <cellStyle name="Обычный 4 3 82 2" xfId="8601"/>
    <cellStyle name="Процентный 4 3 82 2" xfId="8602"/>
    <cellStyle name="Обычный 5 3 82 2" xfId="8603"/>
    <cellStyle name="Процентный 5 3 82 2" xfId="8604"/>
    <cellStyle name="Обычный 4 2 2 82 2" xfId="8605"/>
    <cellStyle name="Процентный 4 2 2 82 2" xfId="8606"/>
    <cellStyle name="Обычный 5 2 2 82 2" xfId="8607"/>
    <cellStyle name="Процентный 5 2 2 82 2" xfId="8608"/>
    <cellStyle name="Обычный 6 2 82 2" xfId="8609"/>
    <cellStyle name="Процентный 6 2 82 2" xfId="8610"/>
    <cellStyle name="Обычный 7 2 82 2" xfId="8611"/>
    <cellStyle name="Процентный 7 2 82 2" xfId="8612"/>
    <cellStyle name="Обычный 8 78 2" xfId="8613"/>
    <cellStyle name="Процентный 8 78 2" xfId="8614"/>
    <cellStyle name="Обычный 9 44 2" xfId="8615"/>
    <cellStyle name="Процентный 9 45 2" xfId="8616"/>
    <cellStyle name="Обычный 10 37 2" xfId="8617"/>
    <cellStyle name="Процентный 10 37 2" xfId="8618"/>
    <cellStyle name="Обычный 11 25 2" xfId="8619"/>
    <cellStyle name="Процентный 11 25 2" xfId="8620"/>
    <cellStyle name="Обычный 4 137 2" xfId="8621"/>
    <cellStyle name="Процентный 4 137 2" xfId="8622"/>
    <cellStyle name="Обычный 5 130 2" xfId="8623"/>
    <cellStyle name="Процентный 5 130 2" xfId="8624"/>
    <cellStyle name="Обычный 4 2 124 2" xfId="8625"/>
    <cellStyle name="Процентный 4 2 124 2" xfId="8626"/>
    <cellStyle name="Обычный 5 2 124 2" xfId="8627"/>
    <cellStyle name="Процентный 5 2 124 2" xfId="8628"/>
    <cellStyle name="Обычный 6 121 2" xfId="8629"/>
    <cellStyle name="Процентный 6 121 2" xfId="8630"/>
    <cellStyle name="Обычный 7 91 2" xfId="8631"/>
    <cellStyle name="Процентный 7 91 2" xfId="8632"/>
    <cellStyle name="Обычный 4 3 83 2" xfId="8633"/>
    <cellStyle name="Процентный 4 3 83 2" xfId="8634"/>
    <cellStyle name="Обычный 5 3 83 2" xfId="8635"/>
    <cellStyle name="Процентный 5 3 83 2" xfId="8636"/>
    <cellStyle name="Обычный 4 2 2 83 2" xfId="8637"/>
    <cellStyle name="Процентный 4 2 2 83 2" xfId="8638"/>
    <cellStyle name="Обычный 5 2 2 83 2" xfId="8639"/>
    <cellStyle name="Процентный 5 2 2 83 2" xfId="8640"/>
    <cellStyle name="Обычный 6 2 83 2" xfId="8641"/>
    <cellStyle name="Процентный 6 2 83 2" xfId="8642"/>
    <cellStyle name="Обычный 7 2 83 2" xfId="8643"/>
    <cellStyle name="Процентный 7 2 83 2" xfId="8644"/>
    <cellStyle name="Обычный 8 79 2" xfId="8645"/>
    <cellStyle name="Процентный 8 79 2" xfId="8646"/>
    <cellStyle name="Обычный 9 45 2" xfId="8647"/>
    <cellStyle name="Процентный 9 46 2" xfId="8648"/>
    <cellStyle name="Обычный 10 38 2" xfId="8649"/>
    <cellStyle name="Процентный 10 38 2" xfId="8650"/>
    <cellStyle name="Обычный 11 26 2" xfId="8651"/>
    <cellStyle name="Процентный 11 26 2" xfId="8652"/>
    <cellStyle name="Обычный 4 138 2" xfId="8653"/>
    <cellStyle name="Процентный 4 138 2" xfId="8654"/>
    <cellStyle name="Обычный 5 131 2" xfId="8655"/>
    <cellStyle name="Процентный 5 131 2" xfId="8656"/>
    <cellStyle name="Обычный 4 2 125 2" xfId="8657"/>
    <cellStyle name="Процентный 4 2 125 2" xfId="8658"/>
    <cellStyle name="Обычный 5 2 125 2" xfId="8659"/>
    <cellStyle name="Процентный 5 2 125 2" xfId="8660"/>
    <cellStyle name="Обычный 6 122 2" xfId="8661"/>
    <cellStyle name="Процентный 6 122 2" xfId="8662"/>
    <cellStyle name="Обычный 7 92 2" xfId="8663"/>
    <cellStyle name="Процентный 7 92 2" xfId="8664"/>
    <cellStyle name="Обычный 4 3 84 2" xfId="8665"/>
    <cellStyle name="Процентный 4 3 84 2" xfId="8666"/>
    <cellStyle name="Обычный 5 3 84 2" xfId="8667"/>
    <cellStyle name="Процентный 5 3 84 2" xfId="8668"/>
    <cellStyle name="Обычный 4 2 2 84 2" xfId="8669"/>
    <cellStyle name="Процентный 4 2 2 84 2" xfId="8670"/>
    <cellStyle name="Обычный 5 2 2 84 2" xfId="8671"/>
    <cellStyle name="Процентный 5 2 2 84 2" xfId="8672"/>
    <cellStyle name="Обычный 6 2 84 2" xfId="8673"/>
    <cellStyle name="Процентный 6 2 84 2" xfId="8674"/>
    <cellStyle name="Обычный 7 2 84 2" xfId="8675"/>
    <cellStyle name="Процентный 7 2 84 2" xfId="8676"/>
    <cellStyle name="Обычный 8 80 2" xfId="8677"/>
    <cellStyle name="Процентный 8 80 2" xfId="8678"/>
    <cellStyle name="Обычный 9 46 2" xfId="8679"/>
    <cellStyle name="Процентный 9 47 2" xfId="8680"/>
    <cellStyle name="Обычный 10 39 2" xfId="8681"/>
    <cellStyle name="Процентный 10 39 2" xfId="8682"/>
    <cellStyle name="Обычный 11 27 2" xfId="8683"/>
    <cellStyle name="Процентный 11 27 2" xfId="8684"/>
    <cellStyle name="Обычный 4 139 2" xfId="8685"/>
    <cellStyle name="Процентный 4 139 2" xfId="8686"/>
    <cellStyle name="Обычный 5 132 2" xfId="8687"/>
    <cellStyle name="Процентный 5 132 2" xfId="8688"/>
    <cellStyle name="Обычный 4 2 126 2" xfId="8689"/>
    <cellStyle name="Процентный 4 2 126 2" xfId="8690"/>
    <cellStyle name="Обычный 5 2 126 2" xfId="8691"/>
    <cellStyle name="Процентный 5 2 126 2" xfId="8692"/>
    <cellStyle name="Обычный 6 123 2" xfId="8693"/>
    <cellStyle name="Процентный 6 123 2" xfId="8694"/>
    <cellStyle name="Обычный 7 93 2" xfId="8695"/>
    <cellStyle name="Процентный 7 93 2" xfId="8696"/>
    <cellStyle name="Обычный 4 3 85 2" xfId="8697"/>
    <cellStyle name="Процентный 4 3 85 2" xfId="8698"/>
    <cellStyle name="Обычный 5 3 85 2" xfId="8699"/>
    <cellStyle name="Процентный 5 3 85 2" xfId="8700"/>
    <cellStyle name="Обычный 4 2 2 85 2" xfId="8701"/>
    <cellStyle name="Процентный 4 2 2 85 2" xfId="8702"/>
    <cellStyle name="Обычный 5 2 2 85 2" xfId="8703"/>
    <cellStyle name="Процентный 5 2 2 85 2" xfId="8704"/>
    <cellStyle name="Обычный 6 2 85 2" xfId="8705"/>
    <cellStyle name="Процентный 6 2 85 2" xfId="8706"/>
    <cellStyle name="Обычный 7 2 85 2" xfId="8707"/>
    <cellStyle name="Процентный 7 2 85 2" xfId="8708"/>
    <cellStyle name="Обычный 8 81 2" xfId="8709"/>
    <cellStyle name="Процентный 8 81 2" xfId="8710"/>
    <cellStyle name="Обычный 9 47 2" xfId="8711"/>
    <cellStyle name="Процентный 9 48 2" xfId="8712"/>
    <cellStyle name="Обычный 10 40 2" xfId="8713"/>
    <cellStyle name="Процентный 10 40 2" xfId="8714"/>
    <cellStyle name="Обычный 11 28 2" xfId="8715"/>
    <cellStyle name="Процентный 11 28 2" xfId="8716"/>
    <cellStyle name="Обычный 4 140 2" xfId="8717"/>
    <cellStyle name="Процентный 4 140 2" xfId="8718"/>
    <cellStyle name="Обычный 5 133 2" xfId="8719"/>
    <cellStyle name="Процентный 5 133 2" xfId="8720"/>
    <cellStyle name="Обычный 4 2 127 2" xfId="8721"/>
    <cellStyle name="Процентный 4 2 127 2" xfId="8722"/>
    <cellStyle name="Обычный 5 2 127 2" xfId="8723"/>
    <cellStyle name="Процентный 5 2 127 2" xfId="8724"/>
    <cellStyle name="Обычный 6 124 2" xfId="8725"/>
    <cellStyle name="Процентный 6 124 2" xfId="8726"/>
    <cellStyle name="Обычный 7 94 2" xfId="8727"/>
    <cellStyle name="Процентный 7 94 2" xfId="8728"/>
    <cellStyle name="Обычный 4 3 86 2" xfId="8729"/>
    <cellStyle name="Процентный 4 3 86 2" xfId="8730"/>
    <cellStyle name="Обычный 5 3 86 2" xfId="8731"/>
    <cellStyle name="Процентный 5 3 86 2" xfId="8732"/>
    <cellStyle name="Обычный 4 2 2 86 2" xfId="8733"/>
    <cellStyle name="Процентный 4 2 2 86 2" xfId="8734"/>
    <cellStyle name="Обычный 5 2 2 86 2" xfId="8735"/>
    <cellStyle name="Процентный 5 2 2 86 2" xfId="8736"/>
    <cellStyle name="Обычный 6 2 86 2" xfId="8737"/>
    <cellStyle name="Процентный 6 2 86 2" xfId="8738"/>
    <cellStyle name="Обычный 7 2 86 2" xfId="8739"/>
    <cellStyle name="Процентный 7 2 86 2" xfId="8740"/>
    <cellStyle name="Обычный 8 82 2" xfId="8741"/>
    <cellStyle name="Процентный 8 82 2" xfId="8742"/>
    <cellStyle name="Обычный 9 48 2" xfId="8743"/>
    <cellStyle name="Процентный 9 49 2" xfId="8744"/>
    <cellStyle name="Обычный 10 41 2" xfId="8745"/>
    <cellStyle name="Процентный 10 41 2" xfId="8746"/>
    <cellStyle name="Обычный 11 29 2" xfId="8747"/>
    <cellStyle name="Процентный 11 29 2" xfId="8748"/>
    <cellStyle name="Обычный 4 141 2" xfId="8749"/>
    <cellStyle name="Процентный 4 141 2" xfId="8750"/>
    <cellStyle name="Обычный 5 134 2" xfId="8751"/>
    <cellStyle name="Процентный 5 134 2" xfId="8752"/>
    <cellStyle name="Обычный 4 2 128 2" xfId="8753"/>
    <cellStyle name="Процентный 4 2 128 2" xfId="8754"/>
    <cellStyle name="Обычный 5 2 128 2" xfId="8755"/>
    <cellStyle name="Процентный 5 2 128 2" xfId="8756"/>
    <cellStyle name="Обычный 6 125 2" xfId="8757"/>
    <cellStyle name="Процентный 6 125 2" xfId="8758"/>
    <cellStyle name="Обычный 7 95 2" xfId="8759"/>
    <cellStyle name="Процентный 7 95 2" xfId="8760"/>
    <cellStyle name="Обычный 4 3 87 2" xfId="8761"/>
    <cellStyle name="Процентный 4 3 87 2" xfId="8762"/>
    <cellStyle name="Обычный 5 3 87 2" xfId="8763"/>
    <cellStyle name="Процентный 5 3 87 2" xfId="8764"/>
    <cellStyle name="Обычный 4 2 2 87 2" xfId="8765"/>
    <cellStyle name="Процентный 4 2 2 87 2" xfId="8766"/>
    <cellStyle name="Обычный 5 2 2 87 2" xfId="8767"/>
    <cellStyle name="Процентный 5 2 2 87 2" xfId="8768"/>
    <cellStyle name="Обычный 6 2 87 2" xfId="8769"/>
    <cellStyle name="Процентный 6 2 87 2" xfId="8770"/>
    <cellStyle name="Обычный 7 2 87 2" xfId="8771"/>
    <cellStyle name="Процентный 7 2 87 2" xfId="8772"/>
    <cellStyle name="Обычный 8 83 2" xfId="8773"/>
    <cellStyle name="Процентный 8 83 2" xfId="8774"/>
    <cellStyle name="Обычный 9 49 2" xfId="8775"/>
    <cellStyle name="Процентный 9 50 2" xfId="8776"/>
    <cellStyle name="Обычный 10 42 2" xfId="8777"/>
    <cellStyle name="Процентный 10 42 2" xfId="8778"/>
    <cellStyle name="Обычный 11 30 2" xfId="8779"/>
    <cellStyle name="Процентный 11 30 2" xfId="8780"/>
    <cellStyle name="Обычный 4 142 2" xfId="8781"/>
    <cellStyle name="Процентный 4 142 2" xfId="8782"/>
    <cellStyle name="Обычный 5 135 2" xfId="8783"/>
    <cellStyle name="Процентный 5 135 2" xfId="8784"/>
    <cellStyle name="Обычный 4 2 129 2" xfId="8785"/>
    <cellStyle name="Процентный 4 2 129 2" xfId="8786"/>
    <cellStyle name="Обычный 5 2 129 2" xfId="8787"/>
    <cellStyle name="Процентный 5 2 129 2" xfId="8788"/>
    <cellStyle name="Обычный 6 126 2" xfId="8789"/>
    <cellStyle name="Процентный 6 126 2" xfId="8790"/>
    <cellStyle name="Обычный 7 96 2" xfId="8791"/>
    <cellStyle name="Процентный 7 96 2" xfId="8792"/>
    <cellStyle name="Обычный 4 3 88 2" xfId="8793"/>
    <cellStyle name="Процентный 4 3 88 2" xfId="8794"/>
    <cellStyle name="Обычный 5 3 88 2" xfId="8795"/>
    <cellStyle name="Процентный 5 3 88 2" xfId="8796"/>
    <cellStyle name="Обычный 4 2 2 88 2" xfId="8797"/>
    <cellStyle name="Процентный 4 2 2 88 2" xfId="8798"/>
    <cellStyle name="Обычный 5 2 2 88 2" xfId="8799"/>
    <cellStyle name="Процентный 5 2 2 88 2" xfId="8800"/>
    <cellStyle name="Обычный 6 2 88 2" xfId="8801"/>
    <cellStyle name="Процентный 6 2 88 2" xfId="8802"/>
    <cellStyle name="Обычный 7 2 88 2" xfId="8803"/>
    <cellStyle name="Процентный 7 2 88 2" xfId="8804"/>
    <cellStyle name="Обычный 8 84 2" xfId="8805"/>
    <cellStyle name="Процентный 8 84 2" xfId="8806"/>
    <cellStyle name="Обычный 9 50 2" xfId="8807"/>
    <cellStyle name="Процентный 9 51 2" xfId="8808"/>
    <cellStyle name="Обычный 10 43 2" xfId="8809"/>
    <cellStyle name="Процентный 10 43 2" xfId="8810"/>
    <cellStyle name="Обычный 11 31 2" xfId="8811"/>
    <cellStyle name="Процентный 11 31 2" xfId="8812"/>
    <cellStyle name="Обычный 4 143 2" xfId="8813"/>
    <cellStyle name="Процентный 4 143 2" xfId="8814"/>
    <cellStyle name="Обычный 5 136 2" xfId="8815"/>
    <cellStyle name="Процентный 5 136 2" xfId="8816"/>
    <cellStyle name="Обычный 4 2 130 2" xfId="8817"/>
    <cellStyle name="Процентный 4 2 130 2" xfId="8818"/>
    <cellStyle name="Обычный 5 2 130 2" xfId="8819"/>
    <cellStyle name="Процентный 5 2 130 2" xfId="8820"/>
    <cellStyle name="Обычный 6 127 2" xfId="8821"/>
    <cellStyle name="Процентный 6 127 2" xfId="8822"/>
    <cellStyle name="Обычный 7 97 2" xfId="8823"/>
    <cellStyle name="Процентный 7 97 2" xfId="8824"/>
    <cellStyle name="Обычный 4 3 89 2" xfId="8825"/>
    <cellStyle name="Процентный 4 3 89 2" xfId="8826"/>
    <cellStyle name="Обычный 5 3 89 2" xfId="8827"/>
    <cellStyle name="Процентный 5 3 89 2" xfId="8828"/>
    <cellStyle name="Обычный 4 2 2 89 2" xfId="8829"/>
    <cellStyle name="Процентный 4 2 2 89 2" xfId="8830"/>
    <cellStyle name="Обычный 5 2 2 89 2" xfId="8831"/>
    <cellStyle name="Процентный 5 2 2 89 2" xfId="8832"/>
    <cellStyle name="Обычный 6 2 89 2" xfId="8833"/>
    <cellStyle name="Процентный 6 2 89 2" xfId="8834"/>
    <cellStyle name="Обычный 7 2 89 2" xfId="8835"/>
    <cellStyle name="Процентный 7 2 89 2" xfId="8836"/>
    <cellStyle name="Обычный 8 85 2" xfId="8837"/>
    <cellStyle name="Процентный 8 85 2" xfId="8838"/>
    <cellStyle name="Обычный 9 51 2" xfId="8839"/>
    <cellStyle name="Процентный 9 52 2" xfId="8840"/>
    <cellStyle name="Обычный 10 44 2" xfId="8841"/>
    <cellStyle name="Процентный 10 44 2" xfId="8842"/>
    <cellStyle name="Обычный 11 32 2" xfId="8843"/>
    <cellStyle name="Процентный 11 32 2" xfId="8844"/>
    <cellStyle name="Обычный 4 144 2" xfId="8845"/>
    <cellStyle name="Процентный 4 144 2" xfId="8846"/>
    <cellStyle name="Обычный 5 137 2" xfId="8847"/>
    <cellStyle name="Процентный 5 137 2" xfId="8848"/>
    <cellStyle name="Обычный 4 2 131 2" xfId="8849"/>
    <cellStyle name="Процентный 4 2 131 2" xfId="8850"/>
    <cellStyle name="Обычный 5 2 131 2" xfId="8851"/>
    <cellStyle name="Процентный 5 2 131 2" xfId="8852"/>
    <cellStyle name="Обычный 6 128 2" xfId="8853"/>
    <cellStyle name="Процентный 6 128 2" xfId="8854"/>
    <cellStyle name="Обычный 7 98 2" xfId="8855"/>
    <cellStyle name="Процентный 7 98 2" xfId="8856"/>
    <cellStyle name="Обычный 4 3 90 2" xfId="8857"/>
    <cellStyle name="Процентный 4 3 90 2" xfId="8858"/>
    <cellStyle name="Обычный 5 3 90 2" xfId="8859"/>
    <cellStyle name="Процентный 5 3 90 2" xfId="8860"/>
    <cellStyle name="Обычный 4 2 2 90 2" xfId="8861"/>
    <cellStyle name="Процентный 4 2 2 90 2" xfId="8862"/>
    <cellStyle name="Обычный 5 2 2 90 2" xfId="8863"/>
    <cellStyle name="Процентный 5 2 2 90 2" xfId="8864"/>
    <cellStyle name="Обычный 6 2 90 2" xfId="8865"/>
    <cellStyle name="Процентный 6 2 90 2" xfId="8866"/>
    <cellStyle name="Обычный 7 2 90 2" xfId="8867"/>
    <cellStyle name="Процентный 7 2 90 2" xfId="8868"/>
    <cellStyle name="Обычный 8 86 2" xfId="8869"/>
    <cellStyle name="Процентный 8 86 2" xfId="8870"/>
    <cellStyle name="Обычный 9 52 2" xfId="8871"/>
    <cellStyle name="Процентный 9 53 2" xfId="8872"/>
    <cellStyle name="Обычный 10 45 2" xfId="8873"/>
    <cellStyle name="Процентный 10 45 2" xfId="8874"/>
    <cellStyle name="Обычный 11 33 2" xfId="8875"/>
    <cellStyle name="Процентный 11 33 2" xfId="8876"/>
    <cellStyle name="Обычный 4 145 2" xfId="8877"/>
    <cellStyle name="Процентный 4 145 2" xfId="8878"/>
    <cellStyle name="Обычный 5 138 2" xfId="8879"/>
    <cellStyle name="Процентный 5 138 2" xfId="8880"/>
    <cellStyle name="Обычный 4 2 132 2" xfId="8881"/>
    <cellStyle name="Процентный 4 2 132 2" xfId="8882"/>
    <cellStyle name="Обычный 5 2 132 2" xfId="8883"/>
    <cellStyle name="Процентный 5 2 132 2" xfId="8884"/>
    <cellStyle name="Обычный 6 129 2" xfId="8885"/>
    <cellStyle name="Процентный 6 129 2" xfId="8886"/>
    <cellStyle name="Обычный 7 99 2" xfId="8887"/>
    <cellStyle name="Процентный 7 99 2" xfId="8888"/>
    <cellStyle name="Обычный 4 3 91 2" xfId="8889"/>
    <cellStyle name="Процентный 4 3 91 2" xfId="8890"/>
    <cellStyle name="Обычный 5 3 91 2" xfId="8891"/>
    <cellStyle name="Процентный 5 3 91 2" xfId="8892"/>
    <cellStyle name="Обычный 4 2 2 91 2" xfId="8893"/>
    <cellStyle name="Процентный 4 2 2 91 2" xfId="8894"/>
    <cellStyle name="Обычный 5 2 2 91 2" xfId="8895"/>
    <cellStyle name="Процентный 5 2 2 91 2" xfId="8896"/>
    <cellStyle name="Обычный 6 2 91 2" xfId="8897"/>
    <cellStyle name="Процентный 6 2 91 2" xfId="8898"/>
    <cellStyle name="Обычный 7 2 91 2" xfId="8899"/>
    <cellStyle name="Процентный 7 2 91 2" xfId="8900"/>
    <cellStyle name="Обычный 8 87 2" xfId="8901"/>
    <cellStyle name="Процентный 8 87 2" xfId="8902"/>
    <cellStyle name="Обычный 9 53 2" xfId="8903"/>
    <cellStyle name="Процентный 9 54 2" xfId="8904"/>
    <cellStyle name="Обычный 10 46 2" xfId="8905"/>
    <cellStyle name="Процентный 10 46 2" xfId="8906"/>
    <cellStyle name="Обычный 11 34 2" xfId="8907"/>
    <cellStyle name="Процентный 11 34 2" xfId="8908"/>
    <cellStyle name="Обычный 4 146 2" xfId="8909"/>
    <cellStyle name="Процентный 4 146 2" xfId="8910"/>
    <cellStyle name="Обычный 5 139 2" xfId="8911"/>
    <cellStyle name="Процентный 5 139 2" xfId="8912"/>
    <cellStyle name="Обычный 4 2 133 2" xfId="8913"/>
    <cellStyle name="Процентный 4 2 133 2" xfId="8914"/>
    <cellStyle name="Обычный 5 2 133 2" xfId="8915"/>
    <cellStyle name="Процентный 5 2 133 2" xfId="8916"/>
    <cellStyle name="Обычный 6 130 2" xfId="8917"/>
    <cellStyle name="Процентный 6 130 2" xfId="8918"/>
    <cellStyle name="Обычный 7 100 2" xfId="8919"/>
    <cellStyle name="Процентный 7 100 2" xfId="8920"/>
    <cellStyle name="Обычный 4 3 92 2" xfId="8921"/>
    <cellStyle name="Процентный 4 3 92 2" xfId="8922"/>
    <cellStyle name="Обычный 5 3 92 2" xfId="8923"/>
    <cellStyle name="Процентный 5 3 92 2" xfId="8924"/>
    <cellStyle name="Обычный 4 2 2 92 2" xfId="8925"/>
    <cellStyle name="Процентный 4 2 2 92 2" xfId="8926"/>
    <cellStyle name="Обычный 5 2 2 92 2" xfId="8927"/>
    <cellStyle name="Процентный 5 2 2 92 2" xfId="8928"/>
    <cellStyle name="Обычный 6 2 92 2" xfId="8929"/>
    <cellStyle name="Процентный 6 2 92 2" xfId="8930"/>
    <cellStyle name="Обычный 7 2 92 2" xfId="8931"/>
    <cellStyle name="Процентный 7 2 92 2" xfId="8932"/>
    <cellStyle name="Обычный 8 88 2" xfId="8933"/>
    <cellStyle name="Процентный 8 88 2" xfId="8934"/>
    <cellStyle name="Обычный 9 54 2" xfId="8935"/>
    <cellStyle name="Процентный 9 55 2" xfId="8936"/>
    <cellStyle name="Обычный 10 47 2" xfId="8937"/>
    <cellStyle name="Процентный 10 47 2" xfId="8938"/>
    <cellStyle name="Обычный 11 35 2" xfId="8939"/>
    <cellStyle name="Процентный 11 35 2" xfId="8940"/>
    <cellStyle name="Обычный 4 147 2" xfId="8941"/>
    <cellStyle name="Процентный 4 147 2" xfId="8942"/>
    <cellStyle name="Обычный 5 140 2" xfId="8943"/>
    <cellStyle name="Процентный 5 140 2" xfId="8944"/>
    <cellStyle name="Обычный 4 2 134 2" xfId="8945"/>
    <cellStyle name="Процентный 4 2 134 2" xfId="8946"/>
    <cellStyle name="Обычный 5 2 134 2" xfId="8947"/>
    <cellStyle name="Процентный 5 2 134 2" xfId="8948"/>
    <cellStyle name="Обычный 6 131 2" xfId="8949"/>
    <cellStyle name="Процентный 6 131 2" xfId="8950"/>
    <cellStyle name="Обычный 7 101 2" xfId="8951"/>
    <cellStyle name="Процентный 7 101 2" xfId="8952"/>
    <cellStyle name="Обычный 4 3 93 2" xfId="8953"/>
    <cellStyle name="Процентный 4 3 93 2" xfId="8954"/>
    <cellStyle name="Обычный 5 3 93 2" xfId="8955"/>
    <cellStyle name="Процентный 5 3 93 2" xfId="8956"/>
    <cellStyle name="Обычный 4 2 2 93 2" xfId="8957"/>
    <cellStyle name="Процентный 4 2 2 93 2" xfId="8958"/>
    <cellStyle name="Обычный 5 2 2 93 2" xfId="8959"/>
    <cellStyle name="Процентный 5 2 2 93 2" xfId="8960"/>
    <cellStyle name="Обычный 6 2 93 2" xfId="8961"/>
    <cellStyle name="Процентный 6 2 93 2" xfId="8962"/>
    <cellStyle name="Обычный 7 2 93 2" xfId="8963"/>
    <cellStyle name="Процентный 7 2 93 2" xfId="8964"/>
    <cellStyle name="Обычный 8 89 2" xfId="8965"/>
    <cellStyle name="Процентный 8 89 2" xfId="8966"/>
    <cellStyle name="Обычный 9 55 2" xfId="8967"/>
    <cellStyle name="Процентный 9 56 2" xfId="8968"/>
    <cellStyle name="Обычный 10 48 2" xfId="8969"/>
    <cellStyle name="Процентный 10 48 2" xfId="8970"/>
    <cellStyle name="Обычный 11 36 2" xfId="8971"/>
    <cellStyle name="Процентный 11 36 2" xfId="8972"/>
    <cellStyle name="Обычный 4 148 2" xfId="8973"/>
    <cellStyle name="Процентный 4 148 2" xfId="8974"/>
    <cellStyle name="Обычный 5 141 2" xfId="8975"/>
    <cellStyle name="Процентный 5 141 2" xfId="8976"/>
    <cellStyle name="Обычный 4 2 135 2" xfId="8977"/>
    <cellStyle name="Процентный 4 2 135 2" xfId="8978"/>
    <cellStyle name="Обычный 5 2 135 2" xfId="8979"/>
    <cellStyle name="Процентный 5 2 135 2" xfId="8980"/>
    <cellStyle name="Обычный 6 132 2" xfId="8981"/>
    <cellStyle name="Процентный 6 132 2" xfId="8982"/>
    <cellStyle name="Обычный 7 102 2" xfId="8983"/>
    <cellStyle name="Процентный 7 102 2" xfId="8984"/>
    <cellStyle name="Обычный 4 3 94 2" xfId="8985"/>
    <cellStyle name="Процентный 4 3 94 2" xfId="8986"/>
    <cellStyle name="Обычный 5 3 94 2" xfId="8987"/>
    <cellStyle name="Процентный 5 3 94 2" xfId="8988"/>
    <cellStyle name="Обычный 4 2 2 94 2" xfId="8989"/>
    <cellStyle name="Процентный 4 2 2 94 2" xfId="8990"/>
    <cellStyle name="Обычный 5 2 2 94 2" xfId="8991"/>
    <cellStyle name="Процентный 5 2 2 94 2" xfId="8992"/>
    <cellStyle name="Обычный 6 2 94 2" xfId="8993"/>
    <cellStyle name="Процентный 6 2 94 2" xfId="8994"/>
    <cellStyle name="Обычный 7 2 94 2" xfId="8995"/>
    <cellStyle name="Процентный 7 2 94 2" xfId="8996"/>
    <cellStyle name="Обычный 8 90 2" xfId="8997"/>
    <cellStyle name="Процентный 8 90 2" xfId="8998"/>
    <cellStyle name="Обычный 9 56 2" xfId="8999"/>
    <cellStyle name="Процентный 9 57 2" xfId="9000"/>
    <cellStyle name="Обычный 10 49 2" xfId="9001"/>
    <cellStyle name="Процентный 10 49 2" xfId="9002"/>
    <cellStyle name="Обычный 11 37 2" xfId="9003"/>
    <cellStyle name="Процентный 11 37 2" xfId="9004"/>
    <cellStyle name="Обычный 4 149 2" xfId="9005"/>
    <cellStyle name="Процентный 4 149 2" xfId="9006"/>
    <cellStyle name="Обычный 5 142 2" xfId="9007"/>
    <cellStyle name="Процентный 5 142 2" xfId="9008"/>
    <cellStyle name="Обычный 4 2 136 2" xfId="9009"/>
    <cellStyle name="Процентный 4 2 136 2" xfId="9010"/>
    <cellStyle name="Обычный 5 2 136 2" xfId="9011"/>
    <cellStyle name="Процентный 5 2 136 2" xfId="9012"/>
    <cellStyle name="Обычный 6 133 2" xfId="9013"/>
    <cellStyle name="Процентный 6 133 2" xfId="9014"/>
    <cellStyle name="Обычный 7 103 2" xfId="9015"/>
    <cellStyle name="Процентный 7 103 2" xfId="9016"/>
    <cellStyle name="Обычный 4 3 95 2" xfId="9017"/>
    <cellStyle name="Процентный 4 3 95 2" xfId="9018"/>
    <cellStyle name="Обычный 5 3 95 2" xfId="9019"/>
    <cellStyle name="Процентный 5 3 95 2" xfId="9020"/>
    <cellStyle name="Обычный 4 2 2 95 2" xfId="9021"/>
    <cellStyle name="Процентный 4 2 2 95 2" xfId="9022"/>
    <cellStyle name="Обычный 5 2 2 95 2" xfId="9023"/>
    <cellStyle name="Процентный 5 2 2 95 2" xfId="9024"/>
    <cellStyle name="Обычный 6 2 95 2" xfId="9025"/>
    <cellStyle name="Процентный 6 2 95 2" xfId="9026"/>
    <cellStyle name="Обычный 7 2 95 2" xfId="9027"/>
    <cellStyle name="Процентный 7 2 95 2" xfId="9028"/>
    <cellStyle name="Обычный 8 91 2" xfId="9029"/>
    <cellStyle name="Процентный 8 91 2" xfId="9030"/>
    <cellStyle name="Обычный 9 57 2" xfId="9031"/>
    <cellStyle name="Процентный 9 58 2" xfId="9032"/>
    <cellStyle name="Обычный 10 50 2" xfId="9033"/>
    <cellStyle name="Процентный 10 50 2" xfId="9034"/>
    <cellStyle name="Обычный 11 38 2" xfId="9035"/>
    <cellStyle name="Процентный 11 38 2" xfId="9036"/>
    <cellStyle name="Обычный 4 150 2" xfId="9037"/>
    <cellStyle name="Процентный 4 150 2" xfId="9038"/>
    <cellStyle name="Обычный 5 143 2" xfId="9039"/>
    <cellStyle name="Процентный 5 143 2" xfId="9040"/>
    <cellStyle name="Обычный 4 2 137 2" xfId="9041"/>
    <cellStyle name="Процентный 4 2 137 2" xfId="9042"/>
    <cellStyle name="Обычный 5 2 137 2" xfId="9043"/>
    <cellStyle name="Процентный 5 2 137 2" xfId="9044"/>
    <cellStyle name="Обычный 6 134 2" xfId="9045"/>
    <cellStyle name="Процентный 6 134 2" xfId="9046"/>
    <cellStyle name="Обычный 7 104 2" xfId="9047"/>
    <cellStyle name="Процентный 7 104 2" xfId="9048"/>
    <cellStyle name="Обычный 4 3 96 2" xfId="9049"/>
    <cellStyle name="Процентный 4 3 96 2" xfId="9050"/>
    <cellStyle name="Обычный 5 3 96 2" xfId="9051"/>
    <cellStyle name="Процентный 5 3 96 2" xfId="9052"/>
    <cellStyle name="Обычный 4 2 2 96 2" xfId="9053"/>
    <cellStyle name="Процентный 4 2 2 96 2" xfId="9054"/>
    <cellStyle name="Обычный 5 2 2 96 2" xfId="9055"/>
    <cellStyle name="Процентный 5 2 2 96 2" xfId="9056"/>
    <cellStyle name="Обычный 6 2 96 2" xfId="9057"/>
    <cellStyle name="Процентный 6 2 96 2" xfId="9058"/>
    <cellStyle name="Обычный 7 2 96 2" xfId="9059"/>
    <cellStyle name="Процентный 7 2 96 2" xfId="9060"/>
    <cellStyle name="Обычный 8 92 2" xfId="9061"/>
    <cellStyle name="Процентный 8 92 2" xfId="9062"/>
    <cellStyle name="Обычный 9 58 2" xfId="9063"/>
    <cellStyle name="Процентный 9 59 2" xfId="9064"/>
    <cellStyle name="Обычный 10 51 2" xfId="9065"/>
    <cellStyle name="Процентный 10 51 2" xfId="9066"/>
    <cellStyle name="Обычный 11 39 2" xfId="9067"/>
    <cellStyle name="Процентный 11 39 2" xfId="9068"/>
    <cellStyle name="Обычный 4 151 2" xfId="9069"/>
    <cellStyle name="Процентный 4 151 2" xfId="9070"/>
    <cellStyle name="Обычный 5 144 2" xfId="9071"/>
    <cellStyle name="Процентный 5 144 2" xfId="9072"/>
    <cellStyle name="Обычный 4 2 138 2" xfId="9073"/>
    <cellStyle name="Процентный 4 2 138 2" xfId="9074"/>
    <cellStyle name="Обычный 5 2 138 2" xfId="9075"/>
    <cellStyle name="Процентный 5 2 138 2" xfId="9076"/>
    <cellStyle name="Обычный 6 135 2" xfId="9077"/>
    <cellStyle name="Процентный 6 135 2" xfId="9078"/>
    <cellStyle name="Обычный 7 105 2" xfId="9079"/>
    <cellStyle name="Процентный 7 105 2" xfId="9080"/>
    <cellStyle name="Обычный 4 3 97 2" xfId="9081"/>
    <cellStyle name="Процентный 4 3 97 2" xfId="9082"/>
    <cellStyle name="Обычный 5 3 97 2" xfId="9083"/>
    <cellStyle name="Процентный 5 3 97 2" xfId="9084"/>
    <cellStyle name="Обычный 4 2 2 97 2" xfId="9085"/>
    <cellStyle name="Процентный 4 2 2 97 2" xfId="9086"/>
    <cellStyle name="Обычный 5 2 2 97 2" xfId="9087"/>
    <cellStyle name="Процентный 5 2 2 97 2" xfId="9088"/>
    <cellStyle name="Обычный 6 2 97 2" xfId="9089"/>
    <cellStyle name="Процентный 6 2 97 2" xfId="9090"/>
    <cellStyle name="Обычный 7 2 97 2" xfId="9091"/>
    <cellStyle name="Процентный 7 2 97 2" xfId="9092"/>
    <cellStyle name="Обычный 8 93 2" xfId="9093"/>
    <cellStyle name="Процентный 8 93 2" xfId="9094"/>
    <cellStyle name="Обычный 9 59 2" xfId="9095"/>
    <cellStyle name="Процентный 9 60 2" xfId="9096"/>
    <cellStyle name="Обычный 10 52 2" xfId="9097"/>
    <cellStyle name="Процентный 10 52 2" xfId="9098"/>
    <cellStyle name="Обычный 11 40 2" xfId="9099"/>
    <cellStyle name="Процентный 11 40 2" xfId="9100"/>
    <cellStyle name="Обычный 4 152 2" xfId="9101"/>
    <cellStyle name="Процентный 4 152 2" xfId="9102"/>
    <cellStyle name="Обычный 5 145 2" xfId="9103"/>
    <cellStyle name="Процентный 5 145 2" xfId="9104"/>
    <cellStyle name="Обычный 4 2 139 2" xfId="9105"/>
    <cellStyle name="Процентный 4 2 139 2" xfId="9106"/>
    <cellStyle name="Обычный 5 2 139 2" xfId="9107"/>
    <cellStyle name="Процентный 5 2 139 2" xfId="9108"/>
    <cellStyle name="Обычный 6 136 2" xfId="9109"/>
    <cellStyle name="Процентный 6 136 2" xfId="9110"/>
    <cellStyle name="Обычный 7 106 2" xfId="9111"/>
    <cellStyle name="Процентный 7 106 2" xfId="9112"/>
    <cellStyle name="Обычный 4 3 98 2" xfId="9113"/>
    <cellStyle name="Процентный 4 3 98 2" xfId="9114"/>
    <cellStyle name="Обычный 5 3 98 2" xfId="9115"/>
    <cellStyle name="Процентный 5 3 98 2" xfId="9116"/>
    <cellStyle name="Обычный 4 2 2 98 2" xfId="9117"/>
    <cellStyle name="Процентный 4 2 2 98 2" xfId="9118"/>
    <cellStyle name="Обычный 5 2 2 98 2" xfId="9119"/>
    <cellStyle name="Процентный 5 2 2 98 2" xfId="9120"/>
    <cellStyle name="Обычный 6 2 98 2" xfId="9121"/>
    <cellStyle name="Процентный 6 2 98 2" xfId="9122"/>
    <cellStyle name="Обычный 7 2 98 2" xfId="9123"/>
    <cellStyle name="Процентный 7 2 98 2" xfId="9124"/>
    <cellStyle name="Обычный 8 94 2" xfId="9125"/>
    <cellStyle name="Процентный 8 94 2" xfId="9126"/>
    <cellStyle name="Обычный 9 60 2" xfId="9127"/>
    <cellStyle name="Процентный 9 61 2" xfId="9128"/>
    <cellStyle name="Обычный 10 53 2" xfId="9129"/>
    <cellStyle name="Процентный 10 53 2" xfId="9130"/>
    <cellStyle name="Обычный 11 41 2" xfId="9131"/>
    <cellStyle name="Процентный 11 41 2" xfId="9132"/>
    <cellStyle name="Обычный 4 153 2" xfId="9133"/>
    <cellStyle name="Процентный 4 153 2" xfId="9134"/>
    <cellStyle name="Обычный 5 146 2" xfId="9135"/>
    <cellStyle name="Процентный 5 146 2" xfId="9136"/>
    <cellStyle name="Обычный 4 2 140 2" xfId="9137"/>
    <cellStyle name="Процентный 4 2 140 2" xfId="9138"/>
    <cellStyle name="Обычный 5 2 140 2" xfId="9139"/>
    <cellStyle name="Процентный 5 2 140 2" xfId="9140"/>
    <cellStyle name="Обычный 6 137 2" xfId="9141"/>
    <cellStyle name="Процентный 6 137 2" xfId="9142"/>
    <cellStyle name="Обычный 7 107 2" xfId="9143"/>
    <cellStyle name="Процентный 7 107 2" xfId="9144"/>
    <cellStyle name="Обычный 4 3 99 2" xfId="9145"/>
    <cellStyle name="Процентный 4 3 99 2" xfId="9146"/>
    <cellStyle name="Обычный 5 3 99 2" xfId="9147"/>
    <cellStyle name="Процентный 5 3 99 2" xfId="9148"/>
    <cellStyle name="Обычный 4 2 2 99 2" xfId="9149"/>
    <cellStyle name="Процентный 4 2 2 99 2" xfId="9150"/>
    <cellStyle name="Обычный 5 2 2 99 2" xfId="9151"/>
    <cellStyle name="Процентный 5 2 2 99 2" xfId="9152"/>
    <cellStyle name="Обычный 6 2 99 2" xfId="9153"/>
    <cellStyle name="Процентный 6 2 99 2" xfId="9154"/>
    <cellStyle name="Обычный 7 2 99 2" xfId="9155"/>
    <cellStyle name="Процентный 7 2 99 2" xfId="9156"/>
    <cellStyle name="Обычный 8 95 2" xfId="9157"/>
    <cellStyle name="Процентный 8 95 2" xfId="9158"/>
    <cellStyle name="Обычный 9 61 2" xfId="9159"/>
    <cellStyle name="Процентный 9 62 2" xfId="9160"/>
    <cellStyle name="Обычный 10 54 2" xfId="9161"/>
    <cellStyle name="Процентный 10 54 2" xfId="9162"/>
    <cellStyle name="Обычный 11 42 2" xfId="9163"/>
    <cellStyle name="Процентный 11 42 2" xfId="9164"/>
    <cellStyle name="Обычный 4 154 2" xfId="9165"/>
    <cellStyle name="Процентный 4 154 2" xfId="9166"/>
    <cellStyle name="Обычный 5 147 2" xfId="9167"/>
    <cellStyle name="Процентный 5 147 2" xfId="9168"/>
    <cellStyle name="Обычный 4 2 141 2" xfId="9169"/>
    <cellStyle name="Процентный 4 2 141 2" xfId="9170"/>
    <cellStyle name="Обычный 5 2 141 2" xfId="9171"/>
    <cellStyle name="Процентный 5 2 141 2" xfId="9172"/>
    <cellStyle name="Обычный 6 138 2" xfId="9173"/>
    <cellStyle name="Процентный 6 138 2" xfId="9174"/>
    <cellStyle name="Обычный 7 108 2" xfId="9175"/>
    <cellStyle name="Процентный 7 108 2" xfId="9176"/>
    <cellStyle name="Обычный 4 3 100 2" xfId="9177"/>
    <cellStyle name="Процентный 4 3 100 2" xfId="9178"/>
    <cellStyle name="Обычный 5 3 100 2" xfId="9179"/>
    <cellStyle name="Процентный 5 3 100 2" xfId="9180"/>
    <cellStyle name="Обычный 4 2 2 100 2" xfId="9181"/>
    <cellStyle name="Процентный 4 2 2 100 2" xfId="9182"/>
    <cellStyle name="Обычный 5 2 2 100 2" xfId="9183"/>
    <cellStyle name="Процентный 5 2 2 100 2" xfId="9184"/>
    <cellStyle name="Обычный 6 2 100 2" xfId="9185"/>
    <cellStyle name="Процентный 6 2 100 2" xfId="9186"/>
    <cellStyle name="Обычный 7 2 100 2" xfId="9187"/>
    <cellStyle name="Процентный 7 2 100 2" xfId="9188"/>
    <cellStyle name="Обычный 8 96 2" xfId="9189"/>
    <cellStyle name="Процентный 8 96 2" xfId="9190"/>
    <cellStyle name="Обычный 9 62 2" xfId="9191"/>
    <cellStyle name="Процентный 9 63 2" xfId="9192"/>
    <cellStyle name="Обычный 10 55 2" xfId="9193"/>
    <cellStyle name="Процентный 10 55 2" xfId="9194"/>
    <cellStyle name="Обычный 11 43 2" xfId="9195"/>
    <cellStyle name="Процентный 11 43 2" xfId="9196"/>
    <cellStyle name="Обычный 4 155 2" xfId="9197"/>
    <cellStyle name="Процентный 4 155 2" xfId="9198"/>
    <cellStyle name="Обычный 5 148 2" xfId="9199"/>
    <cellStyle name="Процентный 5 148 2" xfId="9200"/>
    <cellStyle name="Обычный 4 2 142 2" xfId="9201"/>
    <cellStyle name="Процентный 4 2 142 2" xfId="9202"/>
    <cellStyle name="Обычный 5 2 142 2" xfId="9203"/>
    <cellStyle name="Процентный 5 2 142 2" xfId="9204"/>
    <cellStyle name="Обычный 6 139 2" xfId="9205"/>
    <cellStyle name="Процентный 6 139 2" xfId="9206"/>
    <cellStyle name="Обычный 7 109 2" xfId="9207"/>
    <cellStyle name="Процентный 7 109 2" xfId="9208"/>
    <cellStyle name="Обычный 4 3 101 2" xfId="9209"/>
    <cellStyle name="Процентный 4 3 101 2" xfId="9210"/>
    <cellStyle name="Обычный 5 3 101 2" xfId="9211"/>
    <cellStyle name="Процентный 5 3 101 2" xfId="9212"/>
    <cellStyle name="Обычный 4 2 2 101 2" xfId="9213"/>
    <cellStyle name="Процентный 4 2 2 101 2" xfId="9214"/>
    <cellStyle name="Обычный 5 2 2 101 2" xfId="9215"/>
    <cellStyle name="Процентный 5 2 2 101 2" xfId="9216"/>
    <cellStyle name="Обычный 6 2 101 2" xfId="9217"/>
    <cellStyle name="Процентный 6 2 101 2" xfId="9218"/>
    <cellStyle name="Обычный 7 2 101 2" xfId="9219"/>
    <cellStyle name="Процентный 7 2 101 2" xfId="9220"/>
    <cellStyle name="Обычный 8 97 2" xfId="9221"/>
    <cellStyle name="Процентный 8 97 2" xfId="9222"/>
    <cellStyle name="Обычный 9 63 2" xfId="9223"/>
    <cellStyle name="Процентный 9 64 2" xfId="9224"/>
    <cellStyle name="Обычный 10 56 2" xfId="9225"/>
    <cellStyle name="Процентный 10 56 2" xfId="9226"/>
    <cellStyle name="Обычный 11 44 2" xfId="9227"/>
    <cellStyle name="Процентный 11 44 2" xfId="9228"/>
    <cellStyle name="Обычный 4 156 2" xfId="9229"/>
    <cellStyle name="Процентный 4 156 2" xfId="9230"/>
    <cellStyle name="Обычный 5 149 2" xfId="9231"/>
    <cellStyle name="Процентный 5 149 2" xfId="9232"/>
    <cellStyle name="Обычный 4 2 143 2" xfId="9233"/>
    <cellStyle name="Процентный 4 2 143 2" xfId="9234"/>
    <cellStyle name="Обычный 5 2 143 2" xfId="9235"/>
    <cellStyle name="Процентный 5 2 143 2" xfId="9236"/>
    <cellStyle name="Обычный 6 140 2" xfId="9237"/>
    <cellStyle name="Процентный 6 140 2" xfId="9238"/>
    <cellStyle name="Обычный 7 110 2" xfId="9239"/>
    <cellStyle name="Процентный 7 110 2" xfId="9240"/>
    <cellStyle name="Обычный 4 3 102 2" xfId="9241"/>
    <cellStyle name="Процентный 4 3 102 2" xfId="9242"/>
    <cellStyle name="Обычный 5 3 102 2" xfId="9243"/>
    <cellStyle name="Процентный 5 3 102 2" xfId="9244"/>
    <cellStyle name="Обычный 4 2 2 102 2" xfId="9245"/>
    <cellStyle name="Процентный 4 2 2 102 2" xfId="9246"/>
    <cellStyle name="Обычный 5 2 2 102 2" xfId="9247"/>
    <cellStyle name="Процентный 5 2 2 102 2" xfId="9248"/>
    <cellStyle name="Обычный 6 2 102 2" xfId="9249"/>
    <cellStyle name="Процентный 6 2 102 2" xfId="9250"/>
    <cellStyle name="Обычный 7 2 102 2" xfId="9251"/>
    <cellStyle name="Процентный 7 2 102 2" xfId="9252"/>
    <cellStyle name="Обычный 8 98 2" xfId="9253"/>
    <cellStyle name="Процентный 8 98 2" xfId="9254"/>
    <cellStyle name="Обычный 9 64 2" xfId="9255"/>
    <cellStyle name="Процентный 9 65 2" xfId="9256"/>
    <cellStyle name="Обычный 10 57 2" xfId="9257"/>
    <cellStyle name="Процентный 10 57 2" xfId="9258"/>
    <cellStyle name="Обычный 11 45 2" xfId="9259"/>
    <cellStyle name="Процентный 11 45 2" xfId="9260"/>
    <cellStyle name="Обычный 4 157 2" xfId="9261"/>
    <cellStyle name="Процентный 4 157 2" xfId="9262"/>
    <cellStyle name="Обычный 5 150 2" xfId="9263"/>
    <cellStyle name="Процентный 5 150 2" xfId="9264"/>
    <cellStyle name="Обычный 4 2 144 2" xfId="9265"/>
    <cellStyle name="Процентный 4 2 144 2" xfId="9266"/>
    <cellStyle name="Обычный 5 2 144 2" xfId="9267"/>
    <cellStyle name="Процентный 5 2 144 2" xfId="9268"/>
    <cellStyle name="Обычный 6 141 2" xfId="9269"/>
    <cellStyle name="Процентный 6 141 2" xfId="9270"/>
    <cellStyle name="Обычный 7 111 2" xfId="9271"/>
    <cellStyle name="Процентный 7 111 2" xfId="9272"/>
    <cellStyle name="Обычный 4 3 103 2" xfId="9273"/>
    <cellStyle name="Процентный 4 3 103 2" xfId="9274"/>
    <cellStyle name="Обычный 5 3 103 2" xfId="9275"/>
    <cellStyle name="Процентный 5 3 103 2" xfId="9276"/>
    <cellStyle name="Обычный 4 2 2 103 2" xfId="9277"/>
    <cellStyle name="Процентный 4 2 2 103 2" xfId="9278"/>
    <cellStyle name="Обычный 5 2 2 103 2" xfId="9279"/>
    <cellStyle name="Процентный 5 2 2 103 2" xfId="9280"/>
    <cellStyle name="Обычный 6 2 103 2" xfId="9281"/>
    <cellStyle name="Процентный 6 2 103 2" xfId="9282"/>
    <cellStyle name="Обычный 7 2 103 2" xfId="9283"/>
    <cellStyle name="Процентный 7 2 103 2" xfId="9284"/>
    <cellStyle name="Обычный 8 99 2" xfId="9285"/>
    <cellStyle name="Процентный 8 99 2" xfId="9286"/>
    <cellStyle name="Обычный 9 65 2" xfId="9287"/>
    <cellStyle name="Процентный 9 66 2" xfId="9288"/>
    <cellStyle name="Обычный 10 58 2" xfId="9289"/>
    <cellStyle name="Процентный 10 58 2" xfId="9290"/>
    <cellStyle name="Обычный 11 46 2" xfId="9291"/>
    <cellStyle name="Процентный 11 46 2" xfId="9292"/>
    <cellStyle name="Обычный 4 158 2" xfId="9293"/>
    <cellStyle name="Процентный 4 158 2" xfId="9294"/>
    <cellStyle name="Обычный 5 151 2" xfId="9295"/>
    <cellStyle name="Процентный 5 151 2" xfId="9296"/>
    <cellStyle name="Обычный 4 2 145 2" xfId="9297"/>
    <cellStyle name="Процентный 4 2 145 2" xfId="9298"/>
    <cellStyle name="Обычный 5 2 145 2" xfId="9299"/>
    <cellStyle name="Процентный 5 2 145 2" xfId="9300"/>
    <cellStyle name="Обычный 6 142 2" xfId="9301"/>
    <cellStyle name="Процентный 6 142 2" xfId="9302"/>
    <cellStyle name="Обычный 7 112 2" xfId="9303"/>
    <cellStyle name="Процентный 7 112 2" xfId="9304"/>
    <cellStyle name="Обычный 4 3 104 2" xfId="9305"/>
    <cellStyle name="Процентный 4 3 104 2" xfId="9306"/>
    <cellStyle name="Обычный 5 3 104 2" xfId="9307"/>
    <cellStyle name="Процентный 5 3 104 2" xfId="9308"/>
    <cellStyle name="Обычный 4 2 2 104 2" xfId="9309"/>
    <cellStyle name="Процентный 4 2 2 104 2" xfId="9310"/>
    <cellStyle name="Обычный 5 2 2 104 2" xfId="9311"/>
    <cellStyle name="Процентный 5 2 2 104 2" xfId="9312"/>
    <cellStyle name="Обычный 6 2 104 2" xfId="9313"/>
    <cellStyle name="Процентный 6 2 104 2" xfId="9314"/>
    <cellStyle name="Обычный 7 2 104 2" xfId="9315"/>
    <cellStyle name="Процентный 7 2 104 2" xfId="9316"/>
    <cellStyle name="Обычный 8 100 2" xfId="9317"/>
    <cellStyle name="Процентный 8 100 2" xfId="9318"/>
    <cellStyle name="Обычный 9 66 2" xfId="9319"/>
    <cellStyle name="Процентный 9 67 2" xfId="9320"/>
    <cellStyle name="Обычный 10 59 2" xfId="9321"/>
    <cellStyle name="Процентный 10 59 2" xfId="9322"/>
    <cellStyle name="Обычный 11 47 2" xfId="9323"/>
    <cellStyle name="Процентный 11 47 2" xfId="9324"/>
    <cellStyle name="Обычный 4 159 2" xfId="9325"/>
    <cellStyle name="Процентный 4 159 2" xfId="9326"/>
    <cellStyle name="Обычный 5 152 2" xfId="9327"/>
    <cellStyle name="Процентный 5 152 2" xfId="9328"/>
    <cellStyle name="Обычный 4 2 146 2" xfId="9329"/>
    <cellStyle name="Процентный 4 2 146 2" xfId="9330"/>
    <cellStyle name="Обычный 5 2 146 2" xfId="9331"/>
    <cellStyle name="Процентный 5 2 146 2" xfId="9332"/>
    <cellStyle name="Обычный 6 143 2" xfId="9333"/>
    <cellStyle name="Процентный 6 143 2" xfId="9334"/>
    <cellStyle name="Обычный 7 113 2" xfId="9335"/>
    <cellStyle name="Процентный 7 113 2" xfId="9336"/>
    <cellStyle name="Обычный 4 3 105 2" xfId="9337"/>
    <cellStyle name="Процентный 4 3 105 2" xfId="9338"/>
    <cellStyle name="Обычный 5 3 105 2" xfId="9339"/>
    <cellStyle name="Процентный 5 3 105 2" xfId="9340"/>
    <cellStyle name="Обычный 4 2 2 105 2" xfId="9341"/>
    <cellStyle name="Процентный 4 2 2 105 2" xfId="9342"/>
    <cellStyle name="Обычный 5 2 2 105 2" xfId="9343"/>
    <cellStyle name="Процентный 5 2 2 105 2" xfId="9344"/>
    <cellStyle name="Обычный 6 2 105 2" xfId="9345"/>
    <cellStyle name="Процентный 6 2 105 2" xfId="9346"/>
    <cellStyle name="Обычный 7 2 105 2" xfId="9347"/>
    <cellStyle name="Процентный 7 2 105 2" xfId="9348"/>
    <cellStyle name="Обычный 8 101 2" xfId="9349"/>
    <cellStyle name="Процентный 8 101 2" xfId="9350"/>
    <cellStyle name="Обычный 9 67 2" xfId="9351"/>
    <cellStyle name="Процентный 9 68 2" xfId="9352"/>
    <cellStyle name="Обычный 10 60 2" xfId="9353"/>
    <cellStyle name="Процентный 10 60 2" xfId="9354"/>
    <cellStyle name="Обычный 11 48 2" xfId="9355"/>
    <cellStyle name="Процентный 11 48 2" xfId="9356"/>
    <cellStyle name="Обычный 4 160 2" xfId="9357"/>
    <cellStyle name="Процентный 4 160 2" xfId="9358"/>
    <cellStyle name="Обычный 5 153 2" xfId="9359"/>
    <cellStyle name="Процентный 5 153 2" xfId="9360"/>
    <cellStyle name="Обычный 4 2 147 2" xfId="9361"/>
    <cellStyle name="Процентный 4 2 147 2" xfId="9362"/>
    <cellStyle name="Обычный 5 2 147 2" xfId="9363"/>
    <cellStyle name="Процентный 5 2 147 2" xfId="9364"/>
    <cellStyle name="Обычный 6 144 2" xfId="9365"/>
    <cellStyle name="Процентный 6 144 2" xfId="9366"/>
    <cellStyle name="Обычный 7 114 2" xfId="9367"/>
    <cellStyle name="Процентный 7 114 2" xfId="9368"/>
    <cellStyle name="Обычный 4 3 106 2" xfId="9369"/>
    <cellStyle name="Процентный 4 3 106 2" xfId="9370"/>
    <cellStyle name="Обычный 5 3 106 2" xfId="9371"/>
    <cellStyle name="Процентный 5 3 106 2" xfId="9372"/>
    <cellStyle name="Обычный 4 2 2 106 2" xfId="9373"/>
    <cellStyle name="Процентный 4 2 2 106 2" xfId="9374"/>
    <cellStyle name="Обычный 5 2 2 106 2" xfId="9375"/>
    <cellStyle name="Процентный 5 2 2 106 2" xfId="9376"/>
    <cellStyle name="Обычный 6 2 106 2" xfId="9377"/>
    <cellStyle name="Процентный 6 2 106 2" xfId="9378"/>
    <cellStyle name="Обычный 7 2 106 2" xfId="9379"/>
    <cellStyle name="Процентный 7 2 106 2" xfId="9380"/>
    <cellStyle name="Обычный 8 102 2" xfId="9381"/>
    <cellStyle name="Процентный 8 102 2" xfId="9382"/>
    <cellStyle name="Обычный 9 68 2" xfId="9383"/>
    <cellStyle name="Процентный 9 69 2" xfId="9384"/>
    <cellStyle name="Обычный 10 61 2" xfId="9385"/>
    <cellStyle name="Процентный 10 61 2" xfId="9386"/>
    <cellStyle name="Обычный 11 49 2" xfId="9387"/>
    <cellStyle name="Процентный 11 49 2" xfId="9388"/>
    <cellStyle name="Обычный 4 161 2" xfId="9389"/>
    <cellStyle name="Процентный 4 161 2" xfId="9390"/>
    <cellStyle name="Обычный 5 154 2" xfId="9391"/>
    <cellStyle name="Процентный 5 154 2" xfId="9392"/>
    <cellStyle name="Обычный 4 2 148 2" xfId="9393"/>
    <cellStyle name="Процентный 4 2 148 2" xfId="9394"/>
    <cellStyle name="Обычный 5 2 148 2" xfId="9395"/>
    <cellStyle name="Процентный 5 2 148 2" xfId="9396"/>
    <cellStyle name="Обычный 6 145 2" xfId="9397"/>
    <cellStyle name="Процентный 6 145 2" xfId="9398"/>
    <cellStyle name="Обычный 7 115 2" xfId="9399"/>
    <cellStyle name="Процентный 7 115 2" xfId="9400"/>
    <cellStyle name="Обычный 4 3 107 2" xfId="9401"/>
    <cellStyle name="Процентный 4 3 107 2" xfId="9402"/>
    <cellStyle name="Обычный 5 3 107 2" xfId="9403"/>
    <cellStyle name="Процентный 5 3 107 2" xfId="9404"/>
    <cellStyle name="Обычный 4 2 2 107 2" xfId="9405"/>
    <cellStyle name="Процентный 4 2 2 107 2" xfId="9406"/>
    <cellStyle name="Обычный 5 2 2 107 2" xfId="9407"/>
    <cellStyle name="Процентный 5 2 2 107 2" xfId="9408"/>
    <cellStyle name="Обычный 6 2 107 2" xfId="9409"/>
    <cellStyle name="Процентный 6 2 107 2" xfId="9410"/>
    <cellStyle name="Обычный 7 2 107 2" xfId="9411"/>
    <cellStyle name="Процентный 7 2 107 2" xfId="9412"/>
    <cellStyle name="Обычный 8 103 2" xfId="9413"/>
    <cellStyle name="Процентный 8 103 2" xfId="9414"/>
    <cellStyle name="Обычный 9 69 2" xfId="9415"/>
    <cellStyle name="Процентный 9 70 2" xfId="9416"/>
    <cellStyle name="Обычный 10 62 2" xfId="9417"/>
    <cellStyle name="Процентный 10 62 2" xfId="9418"/>
    <cellStyle name="Обычный 11 50 2" xfId="9419"/>
    <cellStyle name="Процентный 11 50 2" xfId="9420"/>
    <cellStyle name="Обычный 4 162 2" xfId="9421"/>
    <cellStyle name="Процентный 4 162 2" xfId="9422"/>
    <cellStyle name="Обычный 5 155 2" xfId="9423"/>
    <cellStyle name="Процентный 5 155 2" xfId="9424"/>
    <cellStyle name="Обычный 4 2 149 2" xfId="9425"/>
    <cellStyle name="Процентный 4 2 149 2" xfId="9426"/>
    <cellStyle name="Обычный 5 2 149 2" xfId="9427"/>
    <cellStyle name="Процентный 5 2 149 2" xfId="9428"/>
    <cellStyle name="Обычный 6 146 2" xfId="9429"/>
    <cellStyle name="Процентный 6 146 2" xfId="9430"/>
    <cellStyle name="Обычный 7 116 2" xfId="9431"/>
    <cellStyle name="Процентный 7 116 2" xfId="9432"/>
    <cellStyle name="Обычный 4 3 108 2" xfId="9433"/>
    <cellStyle name="Процентный 4 3 108 2" xfId="9434"/>
    <cellStyle name="Обычный 5 3 108 2" xfId="9435"/>
    <cellStyle name="Процентный 5 3 108 2" xfId="9436"/>
    <cellStyle name="Обычный 4 2 2 108 2" xfId="9437"/>
    <cellStyle name="Процентный 4 2 2 108 2" xfId="9438"/>
    <cellStyle name="Обычный 5 2 2 108 2" xfId="9439"/>
    <cellStyle name="Процентный 5 2 2 108 2" xfId="9440"/>
    <cellStyle name="Обычный 6 2 108 2" xfId="9441"/>
    <cellStyle name="Процентный 6 2 108 2" xfId="9442"/>
    <cellStyle name="Обычный 7 2 108 2" xfId="9443"/>
    <cellStyle name="Процентный 7 2 108 2" xfId="9444"/>
    <cellStyle name="Обычный 8 104 2" xfId="9445"/>
    <cellStyle name="Процентный 8 104 2" xfId="9446"/>
    <cellStyle name="Обычный 9 70 2" xfId="9447"/>
    <cellStyle name="Процентный 9 71 2" xfId="9448"/>
    <cellStyle name="Обычный 10 63 2" xfId="9449"/>
    <cellStyle name="Процентный 10 63 2" xfId="9450"/>
    <cellStyle name="Обычный 11 51 2" xfId="9451"/>
    <cellStyle name="Процентный 11 51 2" xfId="9452"/>
    <cellStyle name="Обычный 4 163 2" xfId="9453"/>
    <cellStyle name="Процентный 4 163 2" xfId="9454"/>
    <cellStyle name="Обычный 5 156 2" xfId="9455"/>
    <cellStyle name="Процентный 5 156 2" xfId="9456"/>
    <cellStyle name="Обычный 4 2 150 2" xfId="9457"/>
    <cellStyle name="Процентный 4 2 150 2" xfId="9458"/>
    <cellStyle name="Обычный 5 2 150 2" xfId="9459"/>
    <cellStyle name="Процентный 5 2 150 2" xfId="9460"/>
    <cellStyle name="Обычный 6 147 2" xfId="9461"/>
    <cellStyle name="Процентный 6 147 2" xfId="9462"/>
    <cellStyle name="Обычный 7 117 2" xfId="9463"/>
    <cellStyle name="Процентный 7 117 2" xfId="9464"/>
    <cellStyle name="Обычный 4 3 109 2" xfId="9465"/>
    <cellStyle name="Процентный 4 3 109 2" xfId="9466"/>
    <cellStyle name="Обычный 5 3 109 2" xfId="9467"/>
    <cellStyle name="Процентный 5 3 109 2" xfId="9468"/>
    <cellStyle name="Обычный 4 2 2 109 2" xfId="9469"/>
    <cellStyle name="Процентный 4 2 2 109 2" xfId="9470"/>
    <cellStyle name="Обычный 5 2 2 109 2" xfId="9471"/>
    <cellStyle name="Процентный 5 2 2 109 2" xfId="9472"/>
    <cellStyle name="Обычный 6 2 109 2" xfId="9473"/>
    <cellStyle name="Процентный 6 2 109 2" xfId="9474"/>
    <cellStyle name="Обычный 7 2 109 2" xfId="9475"/>
    <cellStyle name="Процентный 7 2 109 2" xfId="9476"/>
    <cellStyle name="Обычный 8 105 2" xfId="9477"/>
    <cellStyle name="Процентный 8 105 2" xfId="9478"/>
    <cellStyle name="Обычный 9 71 2" xfId="9479"/>
    <cellStyle name="Процентный 9 72 2" xfId="9480"/>
    <cellStyle name="Обычный 10 64 2" xfId="9481"/>
    <cellStyle name="Процентный 10 64 2" xfId="9482"/>
    <cellStyle name="Обычный 11 52 2" xfId="9483"/>
    <cellStyle name="Процентный 11 52 2" xfId="9484"/>
    <cellStyle name="Обычный 4 164 2" xfId="9485"/>
    <cellStyle name="Процентный 4 164 2" xfId="9486"/>
    <cellStyle name="Обычный 5 157 2" xfId="9487"/>
    <cellStyle name="Процентный 5 157 2" xfId="9488"/>
    <cellStyle name="Обычный 4 2 151 2" xfId="9489"/>
    <cellStyle name="Процентный 4 2 151 2" xfId="9490"/>
    <cellStyle name="Обычный 5 2 151 2" xfId="9491"/>
    <cellStyle name="Процентный 5 2 151 2" xfId="9492"/>
    <cellStyle name="Обычный 6 148 2" xfId="9493"/>
    <cellStyle name="Процентный 6 148 2" xfId="9494"/>
    <cellStyle name="Обычный 7 118 2" xfId="9495"/>
    <cellStyle name="Процентный 7 118 2" xfId="9496"/>
    <cellStyle name="Обычный 4 3 110 2" xfId="9497"/>
    <cellStyle name="Процентный 4 3 110 2" xfId="9498"/>
    <cellStyle name="Обычный 5 3 110 2" xfId="9499"/>
    <cellStyle name="Процентный 5 3 110 2" xfId="9500"/>
    <cellStyle name="Обычный 4 2 2 110 2" xfId="9501"/>
    <cellStyle name="Процентный 4 2 2 110 2" xfId="9502"/>
    <cellStyle name="Обычный 5 2 2 110 2" xfId="9503"/>
    <cellStyle name="Процентный 5 2 2 110 2" xfId="9504"/>
    <cellStyle name="Обычный 6 2 110 2" xfId="9505"/>
    <cellStyle name="Процентный 6 2 110 2" xfId="9506"/>
    <cellStyle name="Обычный 7 2 110 2" xfId="9507"/>
    <cellStyle name="Процентный 7 2 110 2" xfId="9508"/>
    <cellStyle name="Обычный 8 106 2" xfId="9509"/>
    <cellStyle name="Процентный 8 106 2" xfId="9510"/>
    <cellStyle name="Обычный 9 72 2" xfId="9511"/>
    <cellStyle name="Процентный 9 73 2" xfId="9512"/>
    <cellStyle name="Обычный 10 65 2" xfId="9513"/>
    <cellStyle name="Процентный 10 65 2" xfId="9514"/>
    <cellStyle name="Обычный 11 53 2" xfId="9515"/>
    <cellStyle name="Процентный 11 53 2" xfId="9516"/>
    <cellStyle name="Обычный 4 165 2" xfId="9517"/>
    <cellStyle name="Процентный 4 165 2" xfId="9518"/>
    <cellStyle name="Обычный 5 158 2" xfId="9519"/>
    <cellStyle name="Процентный 5 158 2" xfId="9520"/>
    <cellStyle name="Обычный 4 2 152 2" xfId="9521"/>
    <cellStyle name="Процентный 4 2 152 2" xfId="9522"/>
    <cellStyle name="Обычный 5 2 152 2" xfId="9523"/>
    <cellStyle name="Процентный 5 2 152 2" xfId="9524"/>
    <cellStyle name="Обычный 6 149 2" xfId="9525"/>
    <cellStyle name="Процентный 6 149 2" xfId="9526"/>
    <cellStyle name="Обычный 7 119 2" xfId="9527"/>
    <cellStyle name="Процентный 7 119 2" xfId="9528"/>
    <cellStyle name="Обычный 4 3 111 2" xfId="9529"/>
    <cellStyle name="Процентный 4 3 111 2" xfId="9530"/>
    <cellStyle name="Обычный 5 3 111 2" xfId="9531"/>
    <cellStyle name="Процентный 5 3 111 2" xfId="9532"/>
    <cellStyle name="Обычный 4 2 2 111 2" xfId="9533"/>
    <cellStyle name="Процентный 4 2 2 111 2" xfId="9534"/>
    <cellStyle name="Обычный 5 2 2 111 2" xfId="9535"/>
    <cellStyle name="Процентный 5 2 2 111 2" xfId="9536"/>
    <cellStyle name="Обычный 6 2 111 2" xfId="9537"/>
    <cellStyle name="Процентный 6 2 111 2" xfId="9538"/>
    <cellStyle name="Обычный 7 2 111 2" xfId="9539"/>
    <cellStyle name="Процентный 7 2 111 2" xfId="9540"/>
    <cellStyle name="Обычный 8 107 2" xfId="9541"/>
    <cellStyle name="Процентный 8 107 2" xfId="9542"/>
    <cellStyle name="Обычный 9 73 2" xfId="9543"/>
    <cellStyle name="Процентный 9 74 2" xfId="9544"/>
    <cellStyle name="Обычный 10 66 2" xfId="9545"/>
    <cellStyle name="Процентный 10 66 2" xfId="9546"/>
    <cellStyle name="Обычный 11 54 2" xfId="9547"/>
    <cellStyle name="Процентный 11 54 2" xfId="9548"/>
    <cellStyle name="Обычный 4 166 2" xfId="9549"/>
    <cellStyle name="Процентный 4 166 2" xfId="9550"/>
    <cellStyle name="Обычный 5 159 2" xfId="9551"/>
    <cellStyle name="Процентный 5 159 2" xfId="9552"/>
    <cellStyle name="Обычный 4 2 153 2" xfId="9553"/>
    <cellStyle name="Процентный 4 2 153 2" xfId="9554"/>
    <cellStyle name="Обычный 5 2 153 2" xfId="9555"/>
    <cellStyle name="Процентный 5 2 153 2" xfId="9556"/>
    <cellStyle name="Обычный 6 150 2" xfId="9557"/>
    <cellStyle name="Процентный 6 150 2" xfId="9558"/>
    <cellStyle name="Обычный 7 120 2" xfId="9559"/>
    <cellStyle name="Процентный 7 120 2" xfId="9560"/>
    <cellStyle name="Обычный 4 3 112 2" xfId="9561"/>
    <cellStyle name="Процентный 4 3 112 2" xfId="9562"/>
    <cellStyle name="Обычный 5 3 112 2" xfId="9563"/>
    <cellStyle name="Процентный 5 3 112 2" xfId="9564"/>
    <cellStyle name="Обычный 4 2 2 112 2" xfId="9565"/>
    <cellStyle name="Процентный 4 2 2 112 2" xfId="9566"/>
    <cellStyle name="Обычный 5 2 2 112 2" xfId="9567"/>
    <cellStyle name="Процентный 5 2 2 112 2" xfId="9568"/>
    <cellStyle name="Обычный 6 2 112 2" xfId="9569"/>
    <cellStyle name="Процентный 6 2 112 2" xfId="9570"/>
    <cellStyle name="Обычный 7 2 112 2" xfId="9571"/>
    <cellStyle name="Процентный 7 2 112 2" xfId="9572"/>
    <cellStyle name="Обычный 8 108 2" xfId="9573"/>
    <cellStyle name="Процентный 8 108 2" xfId="9574"/>
    <cellStyle name="Обычный 9 74 2" xfId="9575"/>
    <cellStyle name="Процентный 9 75 2" xfId="9576"/>
    <cellStyle name="Обычный 10 67 2" xfId="9577"/>
    <cellStyle name="Процентный 10 67 2" xfId="9578"/>
    <cellStyle name="Обычный 11 55 2" xfId="9579"/>
    <cellStyle name="Процентный 11 55 2" xfId="9580"/>
    <cellStyle name="Обычный 4 167 2" xfId="9581"/>
    <cellStyle name="Процентный 4 167 2" xfId="9582"/>
    <cellStyle name="Обычный 5 160 2" xfId="9583"/>
    <cellStyle name="Процентный 5 160 2" xfId="9584"/>
    <cellStyle name="Обычный 4 2 154 2" xfId="9585"/>
    <cellStyle name="Процентный 4 2 154 2" xfId="9586"/>
    <cellStyle name="Обычный 5 2 154 2" xfId="9587"/>
    <cellStyle name="Процентный 5 2 154 2" xfId="9588"/>
    <cellStyle name="Обычный 6 151 2" xfId="9589"/>
    <cellStyle name="Процентный 6 151 2" xfId="9590"/>
    <cellStyle name="Обычный 7 121 2" xfId="9591"/>
    <cellStyle name="Процентный 7 121 2" xfId="9592"/>
    <cellStyle name="Обычный 4 3 113 2" xfId="9593"/>
    <cellStyle name="Процентный 4 3 113 2" xfId="9594"/>
    <cellStyle name="Обычный 5 3 113 2" xfId="9595"/>
    <cellStyle name="Процентный 5 3 113 2" xfId="9596"/>
    <cellStyle name="Обычный 4 2 2 113 2" xfId="9597"/>
    <cellStyle name="Процентный 4 2 2 113 2" xfId="9598"/>
    <cellStyle name="Обычный 5 2 2 113 2" xfId="9599"/>
    <cellStyle name="Процентный 5 2 2 113 2" xfId="9600"/>
    <cellStyle name="Обычный 6 2 113 2" xfId="9601"/>
    <cellStyle name="Процентный 6 2 113 2" xfId="9602"/>
    <cellStyle name="Обычный 7 2 113 2" xfId="9603"/>
    <cellStyle name="Процентный 7 2 113 2" xfId="9604"/>
    <cellStyle name="Обычный 8 109 2" xfId="9605"/>
    <cellStyle name="Процентный 8 109 2" xfId="9606"/>
    <cellStyle name="Обычный 9 75 2" xfId="9607"/>
    <cellStyle name="Процентный 9 76 2" xfId="9608"/>
    <cellStyle name="Обычный 10 68 2" xfId="9609"/>
    <cellStyle name="Процентный 10 68 2" xfId="9610"/>
    <cellStyle name="Обычный 11 56 2" xfId="9611"/>
    <cellStyle name="Процентный 11 56 2" xfId="9612"/>
    <cellStyle name="Обычный 4 168 2" xfId="9613"/>
    <cellStyle name="Процентный 4 168 2" xfId="9614"/>
    <cellStyle name="Обычный 5 161 2" xfId="9615"/>
    <cellStyle name="Процентный 5 161 2" xfId="9616"/>
    <cellStyle name="Обычный 4 2 155 2" xfId="9617"/>
    <cellStyle name="Процентный 4 2 155 2" xfId="9618"/>
    <cellStyle name="Обычный 5 2 155 2" xfId="9619"/>
    <cellStyle name="Процентный 5 2 155 2" xfId="9620"/>
    <cellStyle name="Обычный 6 152 2" xfId="9621"/>
    <cellStyle name="Процентный 6 152 2" xfId="9622"/>
    <cellStyle name="Обычный 7 122 2" xfId="9623"/>
    <cellStyle name="Процентный 7 122 2" xfId="9624"/>
    <cellStyle name="Обычный 4 3 114 2" xfId="9625"/>
    <cellStyle name="Процентный 4 3 114 2" xfId="9626"/>
    <cellStyle name="Обычный 5 3 114 2" xfId="9627"/>
    <cellStyle name="Процентный 5 3 114 2" xfId="9628"/>
    <cellStyle name="Обычный 4 2 2 114 2" xfId="9629"/>
    <cellStyle name="Процентный 4 2 2 114 2" xfId="9630"/>
    <cellStyle name="Обычный 5 2 2 114 2" xfId="9631"/>
    <cellStyle name="Процентный 5 2 2 114 2" xfId="9632"/>
    <cellStyle name="Обычный 6 2 114 2" xfId="9633"/>
    <cellStyle name="Процентный 6 2 114 2" xfId="9634"/>
    <cellStyle name="Обычный 7 2 114 2" xfId="9635"/>
    <cellStyle name="Процентный 7 2 114 2" xfId="9636"/>
    <cellStyle name="Обычный 8 110 2" xfId="9637"/>
    <cellStyle name="Процентный 8 110 2" xfId="9638"/>
    <cellStyle name="Обычный 9 76 2" xfId="9639"/>
    <cellStyle name="Процентный 9 77 2" xfId="9640"/>
    <cellStyle name="Обычный 10 69 2" xfId="9641"/>
    <cellStyle name="Процентный 10 69 2" xfId="9642"/>
    <cellStyle name="Обычный 11 57 2" xfId="9643"/>
    <cellStyle name="Процентный 11 57 2" xfId="9644"/>
    <cellStyle name="Обычный 4 169 2" xfId="9645"/>
    <cellStyle name="Процентный 4 169 2" xfId="9646"/>
    <cellStyle name="Обычный 5 162 2" xfId="9647"/>
    <cellStyle name="Процентный 5 162 2" xfId="9648"/>
    <cellStyle name="Обычный 4 2 156 2" xfId="9649"/>
    <cellStyle name="Процентный 4 2 156 2" xfId="9650"/>
    <cellStyle name="Обычный 5 2 156 2" xfId="9651"/>
    <cellStyle name="Процентный 5 2 156 2" xfId="9652"/>
    <cellStyle name="Обычный 6 153 2" xfId="9653"/>
    <cellStyle name="Процентный 6 153 2" xfId="9654"/>
    <cellStyle name="Обычный 7 123 2" xfId="9655"/>
    <cellStyle name="Процентный 7 123 2" xfId="9656"/>
    <cellStyle name="Обычный 4 3 115 2" xfId="9657"/>
    <cellStyle name="Процентный 4 3 115 2" xfId="9658"/>
    <cellStyle name="Обычный 5 3 115 2" xfId="9659"/>
    <cellStyle name="Процентный 5 3 115 2" xfId="9660"/>
    <cellStyle name="Обычный 4 2 2 115 2" xfId="9661"/>
    <cellStyle name="Процентный 4 2 2 115 2" xfId="9662"/>
    <cellStyle name="Обычный 5 2 2 115 2" xfId="9663"/>
    <cellStyle name="Процентный 5 2 2 115 2" xfId="9664"/>
    <cellStyle name="Обычный 6 2 115 2" xfId="9665"/>
    <cellStyle name="Процентный 6 2 115 2" xfId="9666"/>
    <cellStyle name="Обычный 7 2 115 2" xfId="9667"/>
    <cellStyle name="Процентный 7 2 115 2" xfId="9668"/>
    <cellStyle name="Обычный 8 111 2" xfId="9669"/>
    <cellStyle name="Процентный 8 111 2" xfId="9670"/>
    <cellStyle name="Обычный 9 77 2" xfId="9671"/>
    <cellStyle name="Процентный 9 78 2" xfId="9672"/>
    <cellStyle name="Обычный 10 70 2" xfId="9673"/>
    <cellStyle name="Процентный 10 70 2" xfId="9674"/>
    <cellStyle name="Обычный 11 58 2" xfId="9675"/>
    <cellStyle name="Процентный 11 58 2" xfId="9676"/>
    <cellStyle name="Обычный 4 170 2" xfId="9677"/>
    <cellStyle name="Процентный 4 170 2" xfId="9678"/>
    <cellStyle name="Обычный 5 163 2" xfId="9679"/>
    <cellStyle name="Процентный 5 163 2" xfId="9680"/>
    <cellStyle name="Обычный 4 2 157 2" xfId="9681"/>
    <cellStyle name="Процентный 4 2 157 2" xfId="9682"/>
    <cellStyle name="Обычный 5 2 157 2" xfId="9683"/>
    <cellStyle name="Процентный 5 2 157 2" xfId="9684"/>
    <cellStyle name="Обычный 6 154 2" xfId="9685"/>
    <cellStyle name="Процентный 6 154 2" xfId="9686"/>
    <cellStyle name="Обычный 7 124 2" xfId="9687"/>
    <cellStyle name="Процентный 7 124 2" xfId="9688"/>
    <cellStyle name="Обычный 4 3 116 2" xfId="9689"/>
    <cellStyle name="Процентный 4 3 116 2" xfId="9690"/>
    <cellStyle name="Обычный 5 3 116 2" xfId="9691"/>
    <cellStyle name="Процентный 5 3 116 2" xfId="9692"/>
    <cellStyle name="Обычный 4 2 2 116 2" xfId="9693"/>
    <cellStyle name="Процентный 4 2 2 116 2" xfId="9694"/>
    <cellStyle name="Обычный 5 2 2 116 2" xfId="9695"/>
    <cellStyle name="Процентный 5 2 2 116 2" xfId="9696"/>
    <cellStyle name="Обычный 6 2 116 2" xfId="9697"/>
    <cellStyle name="Процентный 6 2 116 2" xfId="9698"/>
    <cellStyle name="Обычный 7 2 116 2" xfId="9699"/>
    <cellStyle name="Процентный 7 2 116 2" xfId="9700"/>
    <cellStyle name="Обычный 8 112 2" xfId="9701"/>
    <cellStyle name="Процентный 8 112 2" xfId="9702"/>
    <cellStyle name="Обычный 9 78 2" xfId="9703"/>
    <cellStyle name="Процентный 9 79 2" xfId="9704"/>
    <cellStyle name="Обычный 10 71 2" xfId="9705"/>
    <cellStyle name="Процентный 10 71 2" xfId="9706"/>
    <cellStyle name="Обычный 11 59 2" xfId="9707"/>
    <cellStyle name="Процентный 11 59 2" xfId="9708"/>
    <cellStyle name="Обычный 4 171 2" xfId="9709"/>
    <cellStyle name="Процентный 4 171 2" xfId="9710"/>
    <cellStyle name="Обычный 5 164 2" xfId="9711"/>
    <cellStyle name="Процентный 5 164 2" xfId="9712"/>
    <cellStyle name="Обычный 4 2 158 2" xfId="9713"/>
    <cellStyle name="Процентный 4 2 158 2" xfId="9714"/>
    <cellStyle name="Обычный 5 2 158 2" xfId="9715"/>
    <cellStyle name="Процентный 5 2 158 2" xfId="9716"/>
    <cellStyle name="Обычный 6 155 2" xfId="9717"/>
    <cellStyle name="Процентный 6 155 2" xfId="9718"/>
    <cellStyle name="Обычный 7 125 2" xfId="9719"/>
    <cellStyle name="Процентный 7 125 2" xfId="9720"/>
    <cellStyle name="Обычный 4 3 117 2" xfId="9721"/>
    <cellStyle name="Процентный 4 3 117 2" xfId="9722"/>
    <cellStyle name="Обычный 5 3 117 2" xfId="9723"/>
    <cellStyle name="Процентный 5 3 117 2" xfId="9724"/>
    <cellStyle name="Обычный 4 2 2 117 2" xfId="9725"/>
    <cellStyle name="Процентный 4 2 2 117 2" xfId="9726"/>
    <cellStyle name="Обычный 5 2 2 117 2" xfId="9727"/>
    <cellStyle name="Процентный 5 2 2 117 2" xfId="9728"/>
    <cellStyle name="Обычный 6 2 117 2" xfId="9729"/>
    <cellStyle name="Процентный 6 2 117 2" xfId="9730"/>
    <cellStyle name="Обычный 7 2 117 2" xfId="9731"/>
    <cellStyle name="Процентный 7 2 117 2" xfId="9732"/>
    <cellStyle name="Обычный 8 113 2" xfId="9733"/>
    <cellStyle name="Процентный 8 113 2" xfId="9734"/>
    <cellStyle name="Обычный 9 79 2" xfId="9735"/>
    <cellStyle name="Процентный 9 80 2" xfId="9736"/>
    <cellStyle name="Обычный 10 72 2" xfId="9737"/>
    <cellStyle name="Процентный 10 72 2" xfId="9738"/>
    <cellStyle name="Обычный 11 60 2" xfId="9739"/>
    <cellStyle name="Процентный 11 60 2" xfId="9740"/>
    <cellStyle name="Обычный 4 172 2" xfId="9741"/>
    <cellStyle name="Процентный 4 172 2" xfId="9742"/>
    <cellStyle name="Обычный 5 165 2" xfId="9743"/>
    <cellStyle name="Процентный 5 165 2" xfId="9744"/>
    <cellStyle name="Обычный 4 2 159 2" xfId="9745"/>
    <cellStyle name="Процентный 4 2 159 2" xfId="9746"/>
    <cellStyle name="Обычный 5 2 159 2" xfId="9747"/>
    <cellStyle name="Процентный 5 2 159 2" xfId="9748"/>
    <cellStyle name="Обычный 6 156 2" xfId="9749"/>
    <cellStyle name="Процентный 6 156 2" xfId="9750"/>
    <cellStyle name="Обычный 7 126 2" xfId="9751"/>
    <cellStyle name="Процентный 7 126 2" xfId="9752"/>
    <cellStyle name="Обычный 4 3 118 2" xfId="9753"/>
    <cellStyle name="Процентный 4 3 118 2" xfId="9754"/>
    <cellStyle name="Обычный 5 3 118 2" xfId="9755"/>
    <cellStyle name="Процентный 5 3 118 2" xfId="9756"/>
    <cellStyle name="Обычный 4 2 2 118 2" xfId="9757"/>
    <cellStyle name="Процентный 4 2 2 118 2" xfId="9758"/>
    <cellStyle name="Обычный 5 2 2 118 2" xfId="9759"/>
    <cellStyle name="Процентный 5 2 2 118 2" xfId="9760"/>
    <cellStyle name="Обычный 6 2 118 2" xfId="9761"/>
    <cellStyle name="Процентный 6 2 118 2" xfId="9762"/>
    <cellStyle name="Обычный 7 2 118 2" xfId="9763"/>
    <cellStyle name="Процентный 7 2 118 2" xfId="9764"/>
    <cellStyle name="Обычный 8 114 2" xfId="9765"/>
    <cellStyle name="Процентный 8 114 2" xfId="9766"/>
    <cellStyle name="Обычный 9 80 2" xfId="9767"/>
    <cellStyle name="Процентный 9 81 2" xfId="9768"/>
    <cellStyle name="Обычный 10 73 2" xfId="9769"/>
    <cellStyle name="Процентный 10 73 2" xfId="9770"/>
    <cellStyle name="Обычный 11 61 2" xfId="9771"/>
    <cellStyle name="Процентный 11 61 2" xfId="9772"/>
    <cellStyle name="Обычный 4 173 2" xfId="9773"/>
    <cellStyle name="Процентный 4 173 2" xfId="9774"/>
    <cellStyle name="Обычный 5 166 2" xfId="9775"/>
    <cellStyle name="Процентный 5 166 2" xfId="9776"/>
    <cellStyle name="Обычный 4 2 160 2" xfId="9777"/>
    <cellStyle name="Процентный 4 2 160 2" xfId="9778"/>
    <cellStyle name="Обычный 5 2 160 2" xfId="9779"/>
    <cellStyle name="Процентный 5 2 160 2" xfId="9780"/>
    <cellStyle name="Обычный 6 157 2" xfId="9781"/>
    <cellStyle name="Процентный 6 157 2" xfId="9782"/>
    <cellStyle name="Обычный 7 127 2" xfId="9783"/>
    <cellStyle name="Процентный 7 127 2" xfId="9784"/>
    <cellStyle name="Обычный 4 3 119 2" xfId="9785"/>
    <cellStyle name="Процентный 4 3 119 2" xfId="9786"/>
    <cellStyle name="Обычный 5 3 119 2" xfId="9787"/>
    <cellStyle name="Процентный 5 3 119 2" xfId="9788"/>
    <cellStyle name="Обычный 4 2 2 119 2" xfId="9789"/>
    <cellStyle name="Процентный 4 2 2 119 2" xfId="9790"/>
    <cellStyle name="Обычный 5 2 2 119 2" xfId="9791"/>
    <cellStyle name="Процентный 5 2 2 119 2" xfId="9792"/>
    <cellStyle name="Обычный 6 2 119 2" xfId="9793"/>
    <cellStyle name="Процентный 6 2 119 2" xfId="9794"/>
    <cellStyle name="Обычный 7 2 119 2" xfId="9795"/>
    <cellStyle name="Процентный 7 2 119 2" xfId="9796"/>
    <cellStyle name="Обычный 8 115 2" xfId="9797"/>
    <cellStyle name="Процентный 8 115 2" xfId="9798"/>
    <cellStyle name="Обычный 9 81 2" xfId="9799"/>
    <cellStyle name="Процентный 9 82 2" xfId="9800"/>
    <cellStyle name="Обычный 10 74 2" xfId="9801"/>
    <cellStyle name="Процентный 10 74 2" xfId="9802"/>
    <cellStyle name="Обычный 11 62 2" xfId="9803"/>
    <cellStyle name="Процентный 11 62 2" xfId="9804"/>
    <cellStyle name="Обычный 4 174 2" xfId="9805"/>
    <cellStyle name="Процентный 4 174 2" xfId="9806"/>
    <cellStyle name="Обычный 5 167 2" xfId="9807"/>
    <cellStyle name="Процентный 5 167 2" xfId="9808"/>
    <cellStyle name="Обычный 4 2 161 2" xfId="9809"/>
    <cellStyle name="Процентный 4 2 161 2" xfId="9810"/>
    <cellStyle name="Обычный 5 2 161 2" xfId="9811"/>
    <cellStyle name="Процентный 5 2 161 2" xfId="9812"/>
    <cellStyle name="Обычный 6 158 2" xfId="9813"/>
    <cellStyle name="Процентный 6 158 2" xfId="9814"/>
    <cellStyle name="Обычный 7 128 2" xfId="9815"/>
    <cellStyle name="Процентный 7 128 2" xfId="9816"/>
    <cellStyle name="Обычный 4 3 120 2" xfId="9817"/>
    <cellStyle name="Процентный 4 3 120 2" xfId="9818"/>
    <cellStyle name="Обычный 5 3 120 2" xfId="9819"/>
    <cellStyle name="Процентный 5 3 120 2" xfId="9820"/>
    <cellStyle name="Обычный 4 2 2 120 2" xfId="9821"/>
    <cellStyle name="Процентный 4 2 2 120 2" xfId="9822"/>
    <cellStyle name="Обычный 5 2 2 120 2" xfId="9823"/>
    <cellStyle name="Процентный 5 2 2 120 2" xfId="9824"/>
    <cellStyle name="Обычный 6 2 120 2" xfId="9825"/>
    <cellStyle name="Процентный 6 2 120 2" xfId="9826"/>
    <cellStyle name="Обычный 7 2 120 2" xfId="9827"/>
    <cellStyle name="Процентный 7 2 120 2" xfId="9828"/>
    <cellStyle name="Обычный 8 116 2" xfId="9829"/>
    <cellStyle name="Процентный 8 116 2" xfId="9830"/>
    <cellStyle name="Обычный 9 82 2" xfId="9831"/>
    <cellStyle name="Процентный 9 83 2" xfId="9832"/>
    <cellStyle name="Обычный 10 75 2" xfId="9833"/>
    <cellStyle name="Процентный 10 75 2" xfId="9834"/>
    <cellStyle name="Обычный 11 63 2" xfId="9835"/>
    <cellStyle name="Процентный 11 63 2" xfId="9836"/>
    <cellStyle name="Обычный 4 175 2" xfId="9837"/>
    <cellStyle name="Процентный 4 175 2" xfId="9838"/>
    <cellStyle name="Обычный 5 168 2" xfId="9839"/>
    <cellStyle name="Процентный 5 168 2" xfId="9840"/>
    <cellStyle name="Обычный 4 2 162 2" xfId="9841"/>
    <cellStyle name="Процентный 4 2 162 2" xfId="9842"/>
    <cellStyle name="Обычный 5 2 162 2" xfId="9843"/>
    <cellStyle name="Процентный 5 2 162 2" xfId="9844"/>
    <cellStyle name="Обычный 6 159 2" xfId="9845"/>
    <cellStyle name="Процентный 6 159 2" xfId="9846"/>
    <cellStyle name="Обычный 7 129 2" xfId="9847"/>
    <cellStyle name="Процентный 7 129 2" xfId="9848"/>
    <cellStyle name="Обычный 4 3 121 2" xfId="9849"/>
    <cellStyle name="Процентный 4 3 121 2" xfId="9850"/>
    <cellStyle name="Обычный 5 3 121 2" xfId="9851"/>
    <cellStyle name="Процентный 5 3 121 2" xfId="9852"/>
    <cellStyle name="Обычный 4 2 2 121 2" xfId="9853"/>
    <cellStyle name="Процентный 4 2 2 121 2" xfId="9854"/>
    <cellStyle name="Обычный 5 2 2 121 2" xfId="9855"/>
    <cellStyle name="Процентный 5 2 2 121 2" xfId="9856"/>
    <cellStyle name="Обычный 6 2 121 2" xfId="9857"/>
    <cellStyle name="Процентный 6 2 121 2" xfId="9858"/>
    <cellStyle name="Обычный 7 2 121 2" xfId="9859"/>
    <cellStyle name="Процентный 7 2 121 2" xfId="9860"/>
    <cellStyle name="Обычный 8 117 2" xfId="9861"/>
    <cellStyle name="Процентный 8 117 2" xfId="9862"/>
    <cellStyle name="Обычный 9 83 2" xfId="9863"/>
    <cellStyle name="Процентный 9 84 2" xfId="9864"/>
    <cellStyle name="Обычный 10 76 2" xfId="9865"/>
    <cellStyle name="Процентный 10 76 2" xfId="9866"/>
    <cellStyle name="Обычный 11 64 2" xfId="9867"/>
    <cellStyle name="Процентный 11 64 2" xfId="9868"/>
    <cellStyle name="Обычный 4 176 2" xfId="9869"/>
    <cellStyle name="Процентный 4 176 2" xfId="9870"/>
    <cellStyle name="Обычный 5 169 2" xfId="9871"/>
    <cellStyle name="Процентный 5 169 2" xfId="9872"/>
    <cellStyle name="Обычный 4 2 163 2" xfId="9873"/>
    <cellStyle name="Процентный 4 2 163 2" xfId="9874"/>
    <cellStyle name="Обычный 5 2 163 2" xfId="9875"/>
    <cellStyle name="Процентный 5 2 163 2" xfId="9876"/>
    <cellStyle name="Обычный 6 160 2" xfId="9877"/>
    <cellStyle name="Процентный 6 160 2" xfId="9878"/>
    <cellStyle name="Обычный 7 130 2" xfId="9879"/>
    <cellStyle name="Процентный 7 130 2" xfId="9880"/>
    <cellStyle name="Обычный 4 3 122 2" xfId="9881"/>
    <cellStyle name="Процентный 4 3 122 2" xfId="9882"/>
    <cellStyle name="Обычный 5 3 122 2" xfId="9883"/>
    <cellStyle name="Процентный 5 3 122 2" xfId="9884"/>
    <cellStyle name="Обычный 4 2 2 122 2" xfId="9885"/>
    <cellStyle name="Процентный 4 2 2 122 2" xfId="9886"/>
    <cellStyle name="Обычный 5 2 2 122 2" xfId="9887"/>
    <cellStyle name="Процентный 5 2 2 122 2" xfId="9888"/>
    <cellStyle name="Обычный 6 2 122 2" xfId="9889"/>
    <cellStyle name="Процентный 6 2 122 2" xfId="9890"/>
    <cellStyle name="Обычный 7 2 122 2" xfId="9891"/>
    <cellStyle name="Процентный 7 2 122 2" xfId="9892"/>
    <cellStyle name="Обычный 8 118 2" xfId="9893"/>
    <cellStyle name="Процентный 8 118 2" xfId="9894"/>
    <cellStyle name="Обычный 9 84 2" xfId="9895"/>
    <cellStyle name="Процентный 9 85 2" xfId="9896"/>
    <cellStyle name="Обычный 10 77 2" xfId="9897"/>
    <cellStyle name="Процентный 10 77 2" xfId="9898"/>
    <cellStyle name="Обычный 11 65 2" xfId="9899"/>
    <cellStyle name="Процентный 11 65 2" xfId="9900"/>
    <cellStyle name="Обычный 4 177 2" xfId="9901"/>
    <cellStyle name="Процентный 4 177 2" xfId="9902"/>
    <cellStyle name="Обычный 5 170 2" xfId="9903"/>
    <cellStyle name="Процентный 5 170 2" xfId="9904"/>
    <cellStyle name="Обычный 4 2 164 2" xfId="9905"/>
    <cellStyle name="Процентный 4 2 164 2" xfId="9906"/>
    <cellStyle name="Обычный 5 2 164 2" xfId="9907"/>
    <cellStyle name="Процентный 5 2 164 2" xfId="9908"/>
    <cellStyle name="Обычный 6 161 2" xfId="9909"/>
    <cellStyle name="Процентный 6 161 2" xfId="9910"/>
    <cellStyle name="Обычный 7 131 2" xfId="9911"/>
    <cellStyle name="Процентный 7 131 2" xfId="9912"/>
    <cellStyle name="Обычный 4 3 123 2" xfId="9913"/>
    <cellStyle name="Процентный 4 3 123 2" xfId="9914"/>
    <cellStyle name="Обычный 5 3 123 2" xfId="9915"/>
    <cellStyle name="Процентный 5 3 123 2" xfId="9916"/>
    <cellStyle name="Обычный 4 2 2 123 2" xfId="9917"/>
    <cellStyle name="Процентный 4 2 2 123 2" xfId="9918"/>
    <cellStyle name="Обычный 5 2 2 123 2" xfId="9919"/>
    <cellStyle name="Процентный 5 2 2 123 2" xfId="9920"/>
    <cellStyle name="Обычный 6 2 123 2" xfId="9921"/>
    <cellStyle name="Процентный 6 2 123 2" xfId="9922"/>
    <cellStyle name="Обычный 7 2 123 2" xfId="9923"/>
    <cellStyle name="Процентный 7 2 123 2" xfId="9924"/>
    <cellStyle name="Обычный 8 119 2" xfId="9925"/>
    <cellStyle name="Процентный 8 119 2" xfId="9926"/>
    <cellStyle name="Обычный 9 85 2" xfId="9927"/>
    <cellStyle name="Процентный 9 86 2" xfId="9928"/>
    <cellStyle name="Обычный 10 78 2" xfId="9929"/>
    <cellStyle name="Процентный 10 78 2" xfId="9930"/>
    <cellStyle name="Обычный 11 66 2" xfId="9931"/>
    <cellStyle name="Процентный 11 66 2" xfId="9932"/>
    <cellStyle name="Обычный 4 178 2" xfId="9933"/>
    <cellStyle name="Процентный 4 178 2" xfId="9934"/>
    <cellStyle name="Обычный 5 171 2" xfId="9935"/>
    <cellStyle name="Процентный 5 171 2" xfId="9936"/>
    <cellStyle name="Обычный 4 2 165 2" xfId="9937"/>
    <cellStyle name="Процентный 4 2 165 2" xfId="9938"/>
    <cellStyle name="Обычный 5 2 165 2" xfId="9939"/>
    <cellStyle name="Процентный 5 2 165 2" xfId="9940"/>
    <cellStyle name="Обычный 6 162 2" xfId="9941"/>
    <cellStyle name="Процентный 6 162 2" xfId="9942"/>
    <cellStyle name="Обычный 7 132 2" xfId="9943"/>
    <cellStyle name="Процентный 7 132 2" xfId="9944"/>
    <cellStyle name="Обычный 4 3 124 2" xfId="9945"/>
    <cellStyle name="Процентный 4 3 124 2" xfId="9946"/>
    <cellStyle name="Обычный 5 3 124 2" xfId="9947"/>
    <cellStyle name="Процентный 5 3 124 2" xfId="9948"/>
    <cellStyle name="Обычный 4 2 2 124 2" xfId="9949"/>
    <cellStyle name="Процентный 4 2 2 124 2" xfId="9950"/>
    <cellStyle name="Обычный 5 2 2 124 2" xfId="9951"/>
    <cellStyle name="Процентный 5 2 2 124 2" xfId="9952"/>
    <cellStyle name="Обычный 6 2 124 2" xfId="9953"/>
    <cellStyle name="Процентный 6 2 124 2" xfId="9954"/>
    <cellStyle name="Обычный 7 2 124 2" xfId="9955"/>
    <cellStyle name="Процентный 7 2 124 2" xfId="9956"/>
    <cellStyle name="Обычный 8 120 2" xfId="9957"/>
    <cellStyle name="Процентный 8 120 2" xfId="9958"/>
    <cellStyle name="Обычный 9 86 2" xfId="9959"/>
    <cellStyle name="Процентный 9 87 2" xfId="9960"/>
    <cellStyle name="Обычный 10 79 2" xfId="9961"/>
    <cellStyle name="Процентный 10 79 2" xfId="9962"/>
    <cellStyle name="Обычный 11 67 2" xfId="9963"/>
    <cellStyle name="Процентный 11 67 2" xfId="9964"/>
    <cellStyle name="Обычный 4 179 2" xfId="9965"/>
    <cellStyle name="Процентный 4 179 2" xfId="9966"/>
    <cellStyle name="Обычный 5 172 2" xfId="9967"/>
    <cellStyle name="Процентный 5 172 2" xfId="9968"/>
    <cellStyle name="Обычный 4 2 166 2" xfId="9969"/>
    <cellStyle name="Процентный 4 2 166 2" xfId="9970"/>
    <cellStyle name="Обычный 5 2 166 2" xfId="9971"/>
    <cellStyle name="Процентный 5 2 166 2" xfId="9972"/>
    <cellStyle name="Обычный 6 163 2" xfId="9973"/>
    <cellStyle name="Процентный 6 163 2" xfId="9974"/>
    <cellStyle name="Обычный 7 133 2" xfId="9975"/>
    <cellStyle name="Процентный 7 133 2" xfId="9976"/>
    <cellStyle name="Обычный 4 3 125 2" xfId="9977"/>
    <cellStyle name="Процентный 4 3 125 2" xfId="9978"/>
    <cellStyle name="Обычный 5 3 125 2" xfId="9979"/>
    <cellStyle name="Процентный 5 3 125 2" xfId="9980"/>
    <cellStyle name="Обычный 4 2 2 125 2" xfId="9981"/>
    <cellStyle name="Процентный 4 2 2 125 2" xfId="9982"/>
    <cellStyle name="Обычный 5 2 2 125 2" xfId="9983"/>
    <cellStyle name="Процентный 5 2 2 125 2" xfId="9984"/>
    <cellStyle name="Обычный 6 2 125 2" xfId="9985"/>
    <cellStyle name="Процентный 6 2 125 2" xfId="9986"/>
    <cellStyle name="Обычный 7 2 125 2" xfId="9987"/>
    <cellStyle name="Процентный 7 2 125 2" xfId="9988"/>
    <cellStyle name="Обычный 8 121 2" xfId="9989"/>
    <cellStyle name="Процентный 8 121 2" xfId="9990"/>
    <cellStyle name="Обычный 9 87 2" xfId="9991"/>
    <cellStyle name="Процентный 9 88 2" xfId="9992"/>
    <cellStyle name="Обычный 10 80 2" xfId="9993"/>
    <cellStyle name="Процентный 10 80 2" xfId="9994"/>
    <cellStyle name="Обычный 11 68 2" xfId="9995"/>
    <cellStyle name="Процентный 11 68 2" xfId="9996"/>
    <cellStyle name="Обычный 4 180 2" xfId="9997"/>
    <cellStyle name="Процентный 4 180 2" xfId="9998"/>
    <cellStyle name="Обычный 5 173 2" xfId="9999"/>
    <cellStyle name="Процентный 5 173 2" xfId="10000"/>
    <cellStyle name="Обычный 4 2 167 2" xfId="10001"/>
    <cellStyle name="Процентный 4 2 167 2" xfId="10002"/>
    <cellStyle name="Обычный 5 2 167 2" xfId="10003"/>
    <cellStyle name="Процентный 5 2 167 2" xfId="10004"/>
    <cellStyle name="Обычный 6 164 2" xfId="10005"/>
    <cellStyle name="Процентный 6 164 2" xfId="10006"/>
    <cellStyle name="Обычный 7 134 2" xfId="10007"/>
    <cellStyle name="Процентный 7 134 2" xfId="10008"/>
    <cellStyle name="Обычный 4 3 126 2" xfId="10009"/>
    <cellStyle name="Процентный 4 3 126 2" xfId="10010"/>
    <cellStyle name="Обычный 5 3 126 2" xfId="10011"/>
    <cellStyle name="Процентный 5 3 126 2" xfId="10012"/>
    <cellStyle name="Обычный 4 2 2 126 2" xfId="10013"/>
    <cellStyle name="Процентный 4 2 2 126 2" xfId="10014"/>
    <cellStyle name="Обычный 5 2 2 126 2" xfId="10015"/>
    <cellStyle name="Процентный 5 2 2 126 2" xfId="10016"/>
    <cellStyle name="Обычный 6 2 126 2" xfId="10017"/>
    <cellStyle name="Процентный 6 2 126 2" xfId="10018"/>
    <cellStyle name="Обычный 7 2 126 2" xfId="10019"/>
    <cellStyle name="Процентный 7 2 126 2" xfId="10020"/>
    <cellStyle name="Обычный 8 122 2" xfId="10021"/>
    <cellStyle name="Процентный 8 122 2" xfId="10022"/>
    <cellStyle name="Обычный 9 88 2" xfId="10023"/>
    <cellStyle name="Процентный 9 89 2" xfId="10024"/>
    <cellStyle name="Обычный 10 81 2" xfId="10025"/>
    <cellStyle name="Процентный 10 81 2" xfId="10026"/>
    <cellStyle name="Обычный 11 69 2" xfId="10027"/>
    <cellStyle name="Процентный 11 69 2" xfId="10028"/>
    <cellStyle name="Обычный 4 181 2" xfId="10029"/>
    <cellStyle name="Процентный 4 181 2" xfId="10030"/>
    <cellStyle name="Обычный 5 174 2" xfId="10031"/>
    <cellStyle name="Процентный 5 174 2" xfId="10032"/>
    <cellStyle name="Обычный 4 2 168 2" xfId="10033"/>
    <cellStyle name="Процентный 4 2 168 2" xfId="10034"/>
    <cellStyle name="Обычный 5 2 168 2" xfId="10035"/>
    <cellStyle name="Процентный 5 2 168 2" xfId="10036"/>
    <cellStyle name="Обычный 6 165 2" xfId="10037"/>
    <cellStyle name="Процентный 6 165 2" xfId="10038"/>
    <cellStyle name="Обычный 7 135 2" xfId="10039"/>
    <cellStyle name="Процентный 7 135 2" xfId="10040"/>
    <cellStyle name="Обычный 4 3 127 2" xfId="10041"/>
    <cellStyle name="Процентный 4 3 127 2" xfId="10042"/>
    <cellStyle name="Обычный 5 3 127 2" xfId="10043"/>
    <cellStyle name="Процентный 5 3 127 2" xfId="10044"/>
    <cellStyle name="Обычный 4 2 2 127 2" xfId="10045"/>
    <cellStyle name="Процентный 4 2 2 127 2" xfId="10046"/>
    <cellStyle name="Обычный 5 2 2 127 2" xfId="10047"/>
    <cellStyle name="Процентный 5 2 2 127 2" xfId="10048"/>
    <cellStyle name="Обычный 6 2 127 2" xfId="10049"/>
    <cellStyle name="Процентный 6 2 127 2" xfId="10050"/>
    <cellStyle name="Обычный 7 2 127 2" xfId="10051"/>
    <cellStyle name="Процентный 7 2 127 2" xfId="10052"/>
    <cellStyle name="Обычный 8 123 2" xfId="10053"/>
    <cellStyle name="Процентный 8 123 2" xfId="10054"/>
    <cellStyle name="Обычный 9 89 2" xfId="10055"/>
    <cellStyle name="Процентный 9 90 2" xfId="10056"/>
    <cellStyle name="Обычный 10 82 2" xfId="10057"/>
    <cellStyle name="Процентный 10 82 2" xfId="10058"/>
    <cellStyle name="Обычный 11 70 2" xfId="10059"/>
    <cellStyle name="Процентный 11 70 2" xfId="10060"/>
    <cellStyle name="Обычный 14 2" xfId="10061"/>
    <cellStyle name="Процентный 14 2" xfId="10062"/>
    <cellStyle name="Обычный 4 182 2" xfId="10063"/>
    <cellStyle name="Процентный 4 182 2" xfId="10064"/>
    <cellStyle name="Обычный 5 175 2" xfId="10065"/>
    <cellStyle name="Процентный 5 175 2" xfId="10066"/>
    <cellStyle name="Обычный 4 2 169 2" xfId="10067"/>
    <cellStyle name="Процентный 4 2 169 2" xfId="10068"/>
    <cellStyle name="Обычный 5 2 169 2" xfId="10069"/>
    <cellStyle name="Процентный 5 2 169 2" xfId="10070"/>
    <cellStyle name="Обычный 6 166 2" xfId="10071"/>
    <cellStyle name="Процентный 6 166 2" xfId="10072"/>
    <cellStyle name="Обычный 7 136 2" xfId="10073"/>
    <cellStyle name="Процентный 7 136 2" xfId="10074"/>
    <cellStyle name="Обычный 4 3 128 2" xfId="10075"/>
    <cellStyle name="Процентный 4 3 128 2" xfId="10076"/>
    <cellStyle name="Обычный 5 3 128 2" xfId="10077"/>
    <cellStyle name="Процентный 5 3 128 2" xfId="10078"/>
    <cellStyle name="Обычный 4 2 2 128 2" xfId="10079"/>
    <cellStyle name="Процентный 4 2 2 128 2" xfId="10080"/>
    <cellStyle name="Обычный 5 2 2 128 2" xfId="10081"/>
    <cellStyle name="Процентный 5 2 2 128 2" xfId="10082"/>
    <cellStyle name="Обычный 6 2 128 2" xfId="10083"/>
    <cellStyle name="Процентный 6 2 128 2" xfId="10084"/>
    <cellStyle name="Обычный 7 2 128 2" xfId="10085"/>
    <cellStyle name="Процентный 7 2 128 2" xfId="10086"/>
    <cellStyle name="Обычный 8 124 2" xfId="10087"/>
    <cellStyle name="Процентный 8 124 2" xfId="10088"/>
    <cellStyle name="Обычный 9 90 2" xfId="10089"/>
    <cellStyle name="Процентный 9 91 2" xfId="10090"/>
    <cellStyle name="Обычный 10 83 2" xfId="10091"/>
    <cellStyle name="Процентный 10 83 2" xfId="10092"/>
    <cellStyle name="Обычный 11 71 2" xfId="10093"/>
    <cellStyle name="Процентный 11 71 2" xfId="10094"/>
    <cellStyle name="Обычный 4 183 2" xfId="10095"/>
    <cellStyle name="Процентный 4 183 2" xfId="10096"/>
    <cellStyle name="Обычный 5 176 2" xfId="10097"/>
    <cellStyle name="Процентный 5 176 2" xfId="10098"/>
    <cellStyle name="Обычный 4 2 170 2" xfId="10099"/>
    <cellStyle name="Процентный 4 2 170 2" xfId="10100"/>
    <cellStyle name="Обычный 5 2 170 2" xfId="10101"/>
    <cellStyle name="Процентный 5 2 170 2" xfId="10102"/>
    <cellStyle name="Обычный 6 167 2" xfId="10103"/>
    <cellStyle name="Процентный 6 167 2" xfId="10104"/>
    <cellStyle name="Обычный 7 137 2" xfId="10105"/>
    <cellStyle name="Процентный 7 137 2" xfId="10106"/>
    <cellStyle name="Обычный 4 3 129 2" xfId="10107"/>
    <cellStyle name="Процентный 4 3 129 2" xfId="10108"/>
    <cellStyle name="Обычный 5 3 129 2" xfId="10109"/>
    <cellStyle name="Процентный 5 3 129 2" xfId="10110"/>
    <cellStyle name="Обычный 4 2 2 129 2" xfId="10111"/>
    <cellStyle name="Процентный 4 2 2 129 2" xfId="10112"/>
    <cellStyle name="Обычный 5 2 2 129 2" xfId="10113"/>
    <cellStyle name="Процентный 5 2 2 129 2" xfId="10114"/>
    <cellStyle name="Обычный 6 2 129 2" xfId="10115"/>
    <cellStyle name="Процентный 6 2 129 2" xfId="10116"/>
    <cellStyle name="Обычный 7 2 129 2" xfId="10117"/>
    <cellStyle name="Процентный 7 2 129 2" xfId="10118"/>
    <cellStyle name="Обычный 8 125 2" xfId="10119"/>
    <cellStyle name="Процентный 8 125 2" xfId="10120"/>
    <cellStyle name="Обычный 9 91 2" xfId="10121"/>
    <cellStyle name="Процентный 9 92 2" xfId="10122"/>
    <cellStyle name="Обычный 10 84 2" xfId="10123"/>
    <cellStyle name="Процентный 10 84 2" xfId="10124"/>
    <cellStyle name="Обычный 11 72 2" xfId="10125"/>
    <cellStyle name="Процентный 11 72 2" xfId="10126"/>
    <cellStyle name="Обычный 4 184 2" xfId="10127"/>
    <cellStyle name="Процентный 4 184 2" xfId="10128"/>
    <cellStyle name="Обычный 5 177 2" xfId="10129"/>
    <cellStyle name="Процентный 5 177 2" xfId="10130"/>
    <cellStyle name="Обычный 4 2 171 2" xfId="10131"/>
    <cellStyle name="Процентный 4 2 171 2" xfId="10132"/>
    <cellStyle name="Обычный 5 2 171 2" xfId="10133"/>
    <cellStyle name="Процентный 5 2 171 2" xfId="10134"/>
    <cellStyle name="Обычный 6 168 2" xfId="10135"/>
    <cellStyle name="Процентный 6 168 2" xfId="10136"/>
    <cellStyle name="Обычный 7 138 2" xfId="10137"/>
    <cellStyle name="Процентный 7 138 2" xfId="10138"/>
    <cellStyle name="Обычный 4 3 130 2" xfId="10139"/>
    <cellStyle name="Процентный 4 3 130 2" xfId="10140"/>
    <cellStyle name="Обычный 5 3 130 2" xfId="10141"/>
    <cellStyle name="Процентный 5 3 130 2" xfId="10142"/>
    <cellStyle name="Обычный 4 2 2 130 2" xfId="10143"/>
    <cellStyle name="Процентный 4 2 2 130 2" xfId="10144"/>
    <cellStyle name="Обычный 5 2 2 130 2" xfId="10145"/>
    <cellStyle name="Процентный 5 2 2 130 2" xfId="10146"/>
    <cellStyle name="Обычный 6 2 130 2" xfId="10147"/>
    <cellStyle name="Процентный 6 2 130 2" xfId="10148"/>
    <cellStyle name="Обычный 7 2 130 2" xfId="10149"/>
    <cellStyle name="Процентный 7 2 130 2" xfId="10150"/>
    <cellStyle name="Обычный 8 126 2" xfId="10151"/>
    <cellStyle name="Процентный 8 126 2" xfId="10152"/>
    <cellStyle name="Обычный 9 92 2" xfId="10153"/>
    <cellStyle name="Процентный 9 93 2" xfId="10154"/>
    <cellStyle name="Обычный 10 85 2" xfId="10155"/>
    <cellStyle name="Процентный 10 85 2" xfId="10156"/>
    <cellStyle name="Обычный 11 73 2" xfId="10157"/>
    <cellStyle name="Процентный 11 73 2" xfId="10158"/>
    <cellStyle name="Обычный 4 185 2" xfId="10159"/>
    <cellStyle name="Процентный 4 185 2" xfId="10160"/>
    <cellStyle name="Обычный 5 178 2" xfId="10161"/>
    <cellStyle name="Процентный 5 178 2" xfId="10162"/>
    <cellStyle name="Обычный 4 2 172 2" xfId="10163"/>
    <cellStyle name="Процентный 4 2 172 2" xfId="10164"/>
    <cellStyle name="Обычный 5 2 172 2" xfId="10165"/>
    <cellStyle name="Процентный 5 2 172 2" xfId="10166"/>
    <cellStyle name="Обычный 6 169 2" xfId="10167"/>
    <cellStyle name="Процентный 6 169 2" xfId="10168"/>
    <cellStyle name="Обычный 7 139 2" xfId="10169"/>
    <cellStyle name="Процентный 7 139 2" xfId="10170"/>
    <cellStyle name="Обычный 4 3 131 2" xfId="10171"/>
    <cellStyle name="Процентный 4 3 131 2" xfId="10172"/>
    <cellStyle name="Обычный 5 3 131 2" xfId="10173"/>
    <cellStyle name="Процентный 5 3 131 2" xfId="10174"/>
    <cellStyle name="Обычный 4 2 2 131 2" xfId="10175"/>
    <cellStyle name="Процентный 4 2 2 131 2" xfId="10176"/>
    <cellStyle name="Обычный 5 2 2 131 2" xfId="10177"/>
    <cellStyle name="Процентный 5 2 2 131 2" xfId="10178"/>
    <cellStyle name="Обычный 6 2 131 2" xfId="10179"/>
    <cellStyle name="Процентный 6 2 131 2" xfId="10180"/>
    <cellStyle name="Обычный 7 2 131 2" xfId="10181"/>
    <cellStyle name="Процентный 7 2 131 2" xfId="10182"/>
    <cellStyle name="Обычный 8 127 2" xfId="10183"/>
    <cellStyle name="Процентный 8 127 2" xfId="10184"/>
    <cellStyle name="Обычный 9 93 2" xfId="10185"/>
    <cellStyle name="Процентный 9 94 2" xfId="10186"/>
    <cellStyle name="Обычный 10 86 2" xfId="10187"/>
    <cellStyle name="Процентный 10 86 2" xfId="10188"/>
    <cellStyle name="Обычный 11 74 2" xfId="10189"/>
    <cellStyle name="Процентный 11 74 2" xfId="10190"/>
    <cellStyle name="Обычный 4 186 2" xfId="10191"/>
    <cellStyle name="Процентный 4 186 2" xfId="10192"/>
    <cellStyle name="Обычный 5 179 2" xfId="10193"/>
    <cellStyle name="Процентный 5 179 2" xfId="10194"/>
    <cellStyle name="Обычный 4 2 173 2" xfId="10195"/>
    <cellStyle name="Процентный 4 2 173 2" xfId="10196"/>
    <cellStyle name="Обычный 5 2 173 2" xfId="10197"/>
    <cellStyle name="Процентный 5 2 173 2" xfId="10198"/>
    <cellStyle name="Обычный 6 170 2" xfId="10199"/>
    <cellStyle name="Процентный 6 170 2" xfId="10200"/>
    <cellStyle name="Обычный 7 140 2" xfId="10201"/>
    <cellStyle name="Процентный 7 140 2" xfId="10202"/>
    <cellStyle name="Обычный 4 3 132 2" xfId="10203"/>
    <cellStyle name="Процентный 4 3 132 2" xfId="10204"/>
    <cellStyle name="Обычный 5 3 132 2" xfId="10205"/>
    <cellStyle name="Процентный 5 3 132 2" xfId="10206"/>
    <cellStyle name="Обычный 4 2 2 132 2" xfId="10207"/>
    <cellStyle name="Процентный 4 2 2 132 2" xfId="10208"/>
    <cellStyle name="Обычный 5 2 2 132 2" xfId="10209"/>
    <cellStyle name="Процентный 5 2 2 132 2" xfId="10210"/>
    <cellStyle name="Обычный 6 2 132 2" xfId="10211"/>
    <cellStyle name="Процентный 6 2 132 2" xfId="10212"/>
    <cellStyle name="Обычный 7 2 132 2" xfId="10213"/>
    <cellStyle name="Процентный 7 2 132 2" xfId="10214"/>
    <cellStyle name="Обычный 8 128 2" xfId="10215"/>
    <cellStyle name="Процентный 8 128 2" xfId="10216"/>
    <cellStyle name="Обычный 9 94 2" xfId="10217"/>
    <cellStyle name="Процентный 9 95 2" xfId="10218"/>
    <cellStyle name="Обычный 10 87 2" xfId="10219"/>
    <cellStyle name="Процентный 10 87 2" xfId="10220"/>
    <cellStyle name="Обычный 11 75 2" xfId="10221"/>
    <cellStyle name="Процентный 11 75 2" xfId="10222"/>
    <cellStyle name="Обычный 4 187 2" xfId="10223"/>
    <cellStyle name="Процентный 4 187 2" xfId="10224"/>
    <cellStyle name="Обычный 5 180 2" xfId="10225"/>
    <cellStyle name="Процентный 5 180 2" xfId="10226"/>
    <cellStyle name="Обычный 4 2 174 2" xfId="10227"/>
    <cellStyle name="Процентный 4 2 174 2" xfId="10228"/>
    <cellStyle name="Обычный 5 2 174 2" xfId="10229"/>
    <cellStyle name="Процентный 5 2 174 2" xfId="10230"/>
    <cellStyle name="Обычный 6 171 2" xfId="10231"/>
    <cellStyle name="Процентный 6 171 2" xfId="10232"/>
    <cellStyle name="Обычный 7 141 2" xfId="10233"/>
    <cellStyle name="Процентный 7 141 2" xfId="10234"/>
    <cellStyle name="Обычный 4 3 133 2" xfId="10235"/>
    <cellStyle name="Процентный 4 3 133 2" xfId="10236"/>
    <cellStyle name="Обычный 5 3 133 2" xfId="10237"/>
    <cellStyle name="Процентный 5 3 133 2" xfId="10238"/>
    <cellStyle name="Обычный 4 2 2 133 2" xfId="10239"/>
    <cellStyle name="Процентный 4 2 2 133 2" xfId="10240"/>
    <cellStyle name="Обычный 5 2 2 133 2" xfId="10241"/>
    <cellStyle name="Процентный 5 2 2 133 2" xfId="10242"/>
    <cellStyle name="Обычный 6 2 133 2" xfId="10243"/>
    <cellStyle name="Процентный 6 2 133 2" xfId="10244"/>
    <cellStyle name="Обычный 7 2 133 2" xfId="10245"/>
    <cellStyle name="Процентный 7 2 133 2" xfId="10246"/>
    <cellStyle name="Обычный 8 129 2" xfId="10247"/>
    <cellStyle name="Процентный 8 129 2" xfId="10248"/>
    <cellStyle name="Обычный 9 95 2" xfId="10249"/>
    <cellStyle name="Процентный 9 96 2" xfId="10250"/>
    <cellStyle name="Обычный 10 88 2" xfId="10251"/>
    <cellStyle name="Процентный 10 88 2" xfId="10252"/>
    <cellStyle name="Обычный 11 76 2" xfId="10253"/>
    <cellStyle name="Процентный 11 76 2" xfId="10254"/>
    <cellStyle name="Обычный 4 188 2" xfId="10255"/>
    <cellStyle name="Процентный 4 188 2" xfId="10256"/>
    <cellStyle name="Обычный 5 181 2" xfId="10257"/>
    <cellStyle name="Процентный 5 181 2" xfId="10258"/>
    <cellStyle name="Обычный 4 2 175 2" xfId="10259"/>
    <cellStyle name="Процентный 4 2 175 2" xfId="10260"/>
    <cellStyle name="Обычный 5 2 175 2" xfId="10261"/>
    <cellStyle name="Процентный 5 2 175 2" xfId="10262"/>
    <cellStyle name="Обычный 6 172 2" xfId="10263"/>
    <cellStyle name="Процентный 6 172 2" xfId="10264"/>
    <cellStyle name="Обычный 7 142 2" xfId="10265"/>
    <cellStyle name="Процентный 7 142 2" xfId="10266"/>
    <cellStyle name="Обычный 4 3 134 2" xfId="10267"/>
    <cellStyle name="Процентный 4 3 134 2" xfId="10268"/>
    <cellStyle name="Обычный 5 3 134 2" xfId="10269"/>
    <cellStyle name="Процентный 5 3 134 2" xfId="10270"/>
    <cellStyle name="Обычный 4 2 2 134 2" xfId="10271"/>
    <cellStyle name="Процентный 4 2 2 134 2" xfId="10272"/>
    <cellStyle name="Обычный 5 2 2 134 2" xfId="10273"/>
    <cellStyle name="Процентный 5 2 2 134 2" xfId="10274"/>
    <cellStyle name="Обычный 6 2 134 2" xfId="10275"/>
    <cellStyle name="Процентный 6 2 134 2" xfId="10276"/>
    <cellStyle name="Обычный 7 2 134 2" xfId="10277"/>
    <cellStyle name="Процентный 7 2 134 2" xfId="10278"/>
    <cellStyle name="Обычный 8 130 2" xfId="10279"/>
    <cellStyle name="Процентный 8 130 2" xfId="10280"/>
    <cellStyle name="Обычный 9 96 2" xfId="10281"/>
    <cellStyle name="Процентный 9 97 2" xfId="10282"/>
    <cellStyle name="Обычный 10 89 2" xfId="10283"/>
    <cellStyle name="Процентный 10 89 2" xfId="10284"/>
    <cellStyle name="Обычный 11 77 2" xfId="10285"/>
    <cellStyle name="Процентный 11 77 2" xfId="10286"/>
    <cellStyle name="Обычный 4 189 2" xfId="10287"/>
    <cellStyle name="Процентный 4 189 2" xfId="10288"/>
    <cellStyle name="Обычный 5 182 2" xfId="10289"/>
    <cellStyle name="Процентный 5 182 2" xfId="10290"/>
    <cellStyle name="Обычный 4 2 176 2" xfId="10291"/>
    <cellStyle name="Процентный 4 2 176 2" xfId="10292"/>
    <cellStyle name="Обычный 5 2 176 2" xfId="10293"/>
    <cellStyle name="Процентный 5 2 176 2" xfId="10294"/>
    <cellStyle name="Обычный 6 173 2" xfId="10295"/>
    <cellStyle name="Процентный 6 173 2" xfId="10296"/>
    <cellStyle name="Обычный 7 143 2" xfId="10297"/>
    <cellStyle name="Процентный 7 143 2" xfId="10298"/>
    <cellStyle name="Обычный 4 3 135 2" xfId="10299"/>
    <cellStyle name="Процентный 4 3 135 2" xfId="10300"/>
    <cellStyle name="Обычный 5 3 135 2" xfId="10301"/>
    <cellStyle name="Процентный 5 3 135 2" xfId="10302"/>
    <cellStyle name="Обычный 4 2 2 135 2" xfId="10303"/>
    <cellStyle name="Процентный 4 2 2 135 2" xfId="10304"/>
    <cellStyle name="Обычный 5 2 2 135 2" xfId="10305"/>
    <cellStyle name="Процентный 5 2 2 135 2" xfId="10306"/>
    <cellStyle name="Обычный 6 2 135 2" xfId="10307"/>
    <cellStyle name="Процентный 6 2 135 2" xfId="10308"/>
    <cellStyle name="Обычный 7 2 135 2" xfId="10309"/>
    <cellStyle name="Процентный 7 2 135 2" xfId="10310"/>
    <cellStyle name="Обычный 8 131 2" xfId="10311"/>
    <cellStyle name="Процентный 8 131 2" xfId="10312"/>
    <cellStyle name="Обычный 9 97 2" xfId="10313"/>
    <cellStyle name="Процентный 9 98 2" xfId="10314"/>
    <cellStyle name="Обычный 10 90 2" xfId="10315"/>
    <cellStyle name="Процентный 10 90 2" xfId="10316"/>
    <cellStyle name="Обычный 11 78 2" xfId="10317"/>
    <cellStyle name="Процентный 11 78 2" xfId="10318"/>
    <cellStyle name="Обычный 4 190 2" xfId="10319"/>
    <cellStyle name="Процентный 4 190 2" xfId="10320"/>
    <cellStyle name="Обычный 5 183 2" xfId="10321"/>
    <cellStyle name="Процентный 5 183 2" xfId="10322"/>
    <cellStyle name="Обычный 4 2 177 2" xfId="10323"/>
    <cellStyle name="Процентный 4 2 177 2" xfId="10324"/>
    <cellStyle name="Обычный 5 2 177 2" xfId="10325"/>
    <cellStyle name="Процентный 5 2 177 2" xfId="10326"/>
    <cellStyle name="Обычный 6 174 2" xfId="10327"/>
    <cellStyle name="Процентный 6 174 2" xfId="10328"/>
    <cellStyle name="Обычный 7 144 2" xfId="10329"/>
    <cellStyle name="Процентный 7 144 2" xfId="10330"/>
    <cellStyle name="Обычный 4 3 136 2" xfId="10331"/>
    <cellStyle name="Процентный 4 3 136 2" xfId="10332"/>
    <cellStyle name="Обычный 5 3 136 2" xfId="10333"/>
    <cellStyle name="Процентный 5 3 136 2" xfId="10334"/>
    <cellStyle name="Обычный 4 2 2 136 2" xfId="10335"/>
    <cellStyle name="Процентный 4 2 2 136 2" xfId="10336"/>
    <cellStyle name="Обычный 5 2 2 136 2" xfId="10337"/>
    <cellStyle name="Процентный 5 2 2 136 2" xfId="10338"/>
    <cellStyle name="Обычный 6 2 136 2" xfId="10339"/>
    <cellStyle name="Процентный 6 2 136 2" xfId="10340"/>
    <cellStyle name="Обычный 7 2 136 2" xfId="10341"/>
    <cellStyle name="Процентный 7 2 136 2" xfId="10342"/>
    <cellStyle name="Обычный 8 132 2" xfId="10343"/>
    <cellStyle name="Процентный 8 132 2" xfId="10344"/>
    <cellStyle name="Обычный 9 98 2" xfId="10345"/>
    <cellStyle name="Процентный 9 99 2" xfId="10346"/>
    <cellStyle name="Обычный 10 91 2" xfId="10347"/>
    <cellStyle name="Процентный 10 91 2" xfId="10348"/>
    <cellStyle name="Обычный 11 79 2" xfId="10349"/>
    <cellStyle name="Процентный 11 79 2" xfId="10350"/>
    <cellStyle name="Обычный 4 191 2" xfId="10351"/>
    <cellStyle name="Процентный 4 191 2" xfId="10352"/>
    <cellStyle name="Обычный 5 184 2" xfId="10353"/>
    <cellStyle name="Процентный 5 184 2" xfId="10354"/>
    <cellStyle name="Обычный 4 2 178 2" xfId="10355"/>
    <cellStyle name="Процентный 4 2 178 2" xfId="10356"/>
    <cellStyle name="Обычный 5 2 178 2" xfId="10357"/>
    <cellStyle name="Процентный 5 2 178 2" xfId="10358"/>
    <cellStyle name="Обычный 6 175 2" xfId="10359"/>
    <cellStyle name="Процентный 6 175 2" xfId="10360"/>
    <cellStyle name="Обычный 7 145 2" xfId="10361"/>
    <cellStyle name="Процентный 7 145 2" xfId="10362"/>
    <cellStyle name="Обычный 4 3 137 2" xfId="10363"/>
    <cellStyle name="Процентный 4 3 137 2" xfId="10364"/>
    <cellStyle name="Обычный 5 3 137 2" xfId="10365"/>
    <cellStyle name="Процентный 5 3 137 2" xfId="10366"/>
    <cellStyle name="Обычный 4 2 2 137 2" xfId="10367"/>
    <cellStyle name="Процентный 4 2 2 137 2" xfId="10368"/>
    <cellStyle name="Обычный 5 2 2 137 2" xfId="10369"/>
    <cellStyle name="Процентный 5 2 2 137 2" xfId="10370"/>
    <cellStyle name="Обычный 6 2 137 2" xfId="10371"/>
    <cellStyle name="Процентный 6 2 137 2" xfId="10372"/>
    <cellStyle name="Обычный 7 2 137 2" xfId="10373"/>
    <cellStyle name="Процентный 7 2 137 2" xfId="10374"/>
    <cellStyle name="Обычный 8 133 2" xfId="10375"/>
    <cellStyle name="Процентный 8 133 2" xfId="10376"/>
    <cellStyle name="Обычный 9 99 2" xfId="10377"/>
    <cellStyle name="Процентный 9 100 2" xfId="10378"/>
    <cellStyle name="Обычный 10 92 2" xfId="10379"/>
    <cellStyle name="Процентный 10 92 2" xfId="10380"/>
    <cellStyle name="Обычный 11 80 2" xfId="10381"/>
    <cellStyle name="Процентный 11 80 2" xfId="10382"/>
    <cellStyle name="Обычный 4 192 2" xfId="10383"/>
    <cellStyle name="Процентный 4 192 2" xfId="10384"/>
    <cellStyle name="Обычный 5 185 2" xfId="10385"/>
    <cellStyle name="Процентный 5 185 2" xfId="10386"/>
    <cellStyle name="Обычный 4 2 179 2" xfId="10387"/>
    <cellStyle name="Процентный 4 2 179 2" xfId="10388"/>
    <cellStyle name="Обычный 5 2 179 2" xfId="10389"/>
    <cellStyle name="Процентный 5 2 179 2" xfId="10390"/>
    <cellStyle name="Обычный 6 176 2" xfId="10391"/>
    <cellStyle name="Процентный 6 176 2" xfId="10392"/>
    <cellStyle name="Обычный 7 146 2" xfId="10393"/>
    <cellStyle name="Процентный 7 146 2" xfId="10394"/>
    <cellStyle name="Обычный 4 3 138 2" xfId="10395"/>
    <cellStyle name="Процентный 4 3 138 2" xfId="10396"/>
    <cellStyle name="Обычный 5 3 138 2" xfId="10397"/>
    <cellStyle name="Процентный 5 3 138 2" xfId="10398"/>
    <cellStyle name="Обычный 4 2 2 138 2" xfId="10399"/>
    <cellStyle name="Процентный 4 2 2 138 2" xfId="10400"/>
    <cellStyle name="Обычный 5 2 2 138 2" xfId="10401"/>
    <cellStyle name="Процентный 5 2 2 138 2" xfId="10402"/>
    <cellStyle name="Обычный 6 2 138 2" xfId="10403"/>
    <cellStyle name="Процентный 6 2 138 2" xfId="10404"/>
    <cellStyle name="Обычный 7 2 138 2" xfId="10405"/>
    <cellStyle name="Процентный 7 2 138 2" xfId="10406"/>
    <cellStyle name="Обычный 8 134 2" xfId="10407"/>
    <cellStyle name="Процентный 8 134 2" xfId="10408"/>
    <cellStyle name="Обычный 9 100 2" xfId="10409"/>
    <cellStyle name="Процентный 9 101 2" xfId="10410"/>
    <cellStyle name="Обычный 10 93 2" xfId="10411"/>
    <cellStyle name="Процентный 10 93 2" xfId="10412"/>
    <cellStyle name="Обычный 11 81 2" xfId="10413"/>
    <cellStyle name="Процентный 11 81 2" xfId="10414"/>
    <cellStyle name="Обычный 4 193 2" xfId="10415"/>
    <cellStyle name="Процентный 4 193 2" xfId="10416"/>
    <cellStyle name="Обычный 5 186 2" xfId="10417"/>
    <cellStyle name="Процентный 5 186 2" xfId="10418"/>
    <cellStyle name="Обычный 4 2 180 2" xfId="10419"/>
    <cellStyle name="Процентный 4 2 180 2" xfId="10420"/>
    <cellStyle name="Обычный 5 2 180 2" xfId="10421"/>
    <cellStyle name="Процентный 5 2 180 2" xfId="10422"/>
    <cellStyle name="Обычный 6 177 2" xfId="10423"/>
    <cellStyle name="Процентный 6 177 2" xfId="10424"/>
    <cellStyle name="Обычный 7 147 2" xfId="10425"/>
    <cellStyle name="Процентный 7 147 2" xfId="10426"/>
    <cellStyle name="Обычный 4 3 139 2" xfId="10427"/>
    <cellStyle name="Процентный 4 3 139 2" xfId="10428"/>
    <cellStyle name="Обычный 5 3 139 2" xfId="10429"/>
    <cellStyle name="Процентный 5 3 139 2" xfId="10430"/>
    <cellStyle name="Обычный 4 2 2 139 2" xfId="10431"/>
    <cellStyle name="Процентный 4 2 2 139 2" xfId="10432"/>
    <cellStyle name="Обычный 5 2 2 139 2" xfId="10433"/>
    <cellStyle name="Процентный 5 2 2 139 2" xfId="10434"/>
    <cellStyle name="Обычный 6 2 139 2" xfId="10435"/>
    <cellStyle name="Процентный 6 2 139 2" xfId="10436"/>
    <cellStyle name="Обычный 7 2 139 2" xfId="10437"/>
    <cellStyle name="Процентный 7 2 139 2" xfId="10438"/>
    <cellStyle name="Обычный 8 135 2" xfId="10439"/>
    <cellStyle name="Процентный 8 135 2" xfId="10440"/>
    <cellStyle name="Обычный 9 101 2" xfId="10441"/>
    <cellStyle name="Процентный 9 102 2" xfId="10442"/>
    <cellStyle name="Обычный 10 94 2" xfId="10443"/>
    <cellStyle name="Процентный 10 94 2" xfId="10444"/>
    <cellStyle name="Обычный 11 82 2" xfId="10445"/>
    <cellStyle name="Процентный 11 82 2" xfId="10446"/>
    <cellStyle name="Обычный 4 194 2" xfId="10447"/>
    <cellStyle name="Процентный 4 194 2" xfId="10448"/>
    <cellStyle name="Обычный 5 187 2" xfId="10449"/>
    <cellStyle name="Процентный 5 187 2" xfId="10450"/>
    <cellStyle name="Обычный 4 2 181 2" xfId="10451"/>
    <cellStyle name="Процентный 4 2 181 2" xfId="10452"/>
    <cellStyle name="Обычный 5 2 181 2" xfId="10453"/>
    <cellStyle name="Процентный 5 2 181 2" xfId="10454"/>
    <cellStyle name="Обычный 6 178 2" xfId="10455"/>
    <cellStyle name="Процентный 6 178 2" xfId="10456"/>
    <cellStyle name="Обычный 7 148 2" xfId="10457"/>
    <cellStyle name="Процентный 7 148 2" xfId="10458"/>
    <cellStyle name="Обычный 4 3 140 2" xfId="10459"/>
    <cellStyle name="Процентный 4 3 140 2" xfId="10460"/>
    <cellStyle name="Обычный 5 3 140 2" xfId="10461"/>
    <cellStyle name="Процентный 5 3 140 2" xfId="10462"/>
    <cellStyle name="Обычный 4 2 2 140 2" xfId="10463"/>
    <cellStyle name="Процентный 4 2 2 140 2" xfId="10464"/>
    <cellStyle name="Обычный 5 2 2 140 2" xfId="10465"/>
    <cellStyle name="Процентный 5 2 2 140 2" xfId="10466"/>
    <cellStyle name="Обычный 6 2 140 2" xfId="10467"/>
    <cellStyle name="Процентный 6 2 140 2" xfId="10468"/>
    <cellStyle name="Обычный 7 2 140 2" xfId="10469"/>
    <cellStyle name="Процентный 7 2 140 2" xfId="10470"/>
    <cellStyle name="Обычный 8 136 2" xfId="10471"/>
    <cellStyle name="Процентный 8 136 2" xfId="10472"/>
    <cellStyle name="Обычный 9 102 2" xfId="10473"/>
    <cellStyle name="Процентный 9 103 2" xfId="10474"/>
    <cellStyle name="Обычный 10 95 2" xfId="10475"/>
    <cellStyle name="Процентный 10 95 2" xfId="10476"/>
    <cellStyle name="Обычный 11 83 2" xfId="10477"/>
    <cellStyle name="Процентный 11 83 2" xfId="10478"/>
    <cellStyle name="Обычный 4 195 2" xfId="10479"/>
    <cellStyle name="Процентный 4 195 2" xfId="10480"/>
    <cellStyle name="Обычный 5 188 2" xfId="10481"/>
    <cellStyle name="Процентный 5 188 2" xfId="10482"/>
    <cellStyle name="Обычный 4 2 182 2" xfId="10483"/>
    <cellStyle name="Процентный 4 2 182 2" xfId="10484"/>
    <cellStyle name="Обычный 5 2 182 2" xfId="10485"/>
    <cellStyle name="Процентный 5 2 182 2" xfId="10486"/>
    <cellStyle name="Обычный 6 179 2" xfId="10487"/>
    <cellStyle name="Процентный 6 179 2" xfId="10488"/>
    <cellStyle name="Обычный 7 149 2" xfId="10489"/>
    <cellStyle name="Процентный 7 149 2" xfId="10490"/>
    <cellStyle name="Обычный 4 3 141 2" xfId="10491"/>
    <cellStyle name="Процентный 4 3 141 2" xfId="10492"/>
    <cellStyle name="Обычный 5 3 141 2" xfId="10493"/>
    <cellStyle name="Процентный 5 3 141 2" xfId="10494"/>
    <cellStyle name="Обычный 4 2 2 141 2" xfId="10495"/>
    <cellStyle name="Процентный 4 2 2 141 2" xfId="10496"/>
    <cellStyle name="Обычный 5 2 2 141 2" xfId="10497"/>
    <cellStyle name="Процентный 5 2 2 141 2" xfId="10498"/>
    <cellStyle name="Обычный 6 2 141 2" xfId="10499"/>
    <cellStyle name="Процентный 6 2 141 2" xfId="10500"/>
    <cellStyle name="Обычный 7 2 141 2" xfId="10501"/>
    <cellStyle name="Процентный 7 2 141 2" xfId="10502"/>
    <cellStyle name="Обычный 8 137 2" xfId="10503"/>
    <cellStyle name="Процентный 8 137 2" xfId="10504"/>
    <cellStyle name="Обычный 9 103 2" xfId="10505"/>
    <cellStyle name="Процентный 9 104 2" xfId="10506"/>
    <cellStyle name="Обычный 10 96 2" xfId="10507"/>
    <cellStyle name="Процентный 10 96 2" xfId="10508"/>
    <cellStyle name="Обычный 11 84 2" xfId="10509"/>
    <cellStyle name="Процентный 11 84 2" xfId="10510"/>
    <cellStyle name="Обычный 4 196 2" xfId="10511"/>
    <cellStyle name="Процентный 4 196 2" xfId="10512"/>
    <cellStyle name="Обычный 5 189 2" xfId="10513"/>
    <cellStyle name="Процентный 5 189 2" xfId="10514"/>
    <cellStyle name="Обычный 4 2 183 2" xfId="10515"/>
    <cellStyle name="Процентный 4 2 183 2" xfId="10516"/>
    <cellStyle name="Обычный 5 2 183 2" xfId="10517"/>
    <cellStyle name="Процентный 5 2 183 2" xfId="10518"/>
    <cellStyle name="Обычный 6 180 2" xfId="10519"/>
    <cellStyle name="Процентный 6 180 2" xfId="10520"/>
    <cellStyle name="Обычный 7 150 2" xfId="10521"/>
    <cellStyle name="Процентный 7 150 2" xfId="10522"/>
    <cellStyle name="Обычный 4 3 142 2" xfId="10523"/>
    <cellStyle name="Процентный 4 3 142 2" xfId="10524"/>
    <cellStyle name="Обычный 5 3 142 2" xfId="10525"/>
    <cellStyle name="Процентный 5 3 142 2" xfId="10526"/>
    <cellStyle name="Обычный 4 2 2 142 2" xfId="10527"/>
    <cellStyle name="Процентный 4 2 2 142 2" xfId="10528"/>
    <cellStyle name="Обычный 5 2 2 142 2" xfId="10529"/>
    <cellStyle name="Процентный 5 2 2 142 2" xfId="10530"/>
    <cellStyle name="Обычный 6 2 142 2" xfId="10531"/>
    <cellStyle name="Процентный 6 2 142 2" xfId="10532"/>
    <cellStyle name="Обычный 7 2 142 2" xfId="10533"/>
    <cellStyle name="Процентный 7 2 142 2" xfId="10534"/>
    <cellStyle name="Обычный 8 138 2" xfId="10535"/>
    <cellStyle name="Процентный 8 138 2" xfId="10536"/>
    <cellStyle name="Обычный 9 104 2" xfId="10537"/>
    <cellStyle name="Процентный 9 105 2" xfId="10538"/>
    <cellStyle name="Обычный 10 97 2" xfId="10539"/>
    <cellStyle name="Процентный 10 97 2" xfId="10540"/>
    <cellStyle name="Обычный 11 85 2" xfId="10541"/>
    <cellStyle name="Процентный 11 85 2" xfId="10542"/>
    <cellStyle name="Обычный 4 197 2" xfId="10543"/>
    <cellStyle name="Процентный 4 197 2" xfId="10544"/>
    <cellStyle name="Обычный 5 190 2" xfId="10545"/>
    <cellStyle name="Процентный 5 190 2" xfId="10546"/>
    <cellStyle name="Обычный 4 2 184 2" xfId="10547"/>
    <cellStyle name="Процентный 4 2 184 2" xfId="10548"/>
    <cellStyle name="Обычный 5 2 184 2" xfId="10549"/>
    <cellStyle name="Процентный 5 2 184 2" xfId="10550"/>
    <cellStyle name="Обычный 6 181 2" xfId="10551"/>
    <cellStyle name="Процентный 6 181 2" xfId="10552"/>
    <cellStyle name="Обычный 7 151 2" xfId="10553"/>
    <cellStyle name="Процентный 7 151 2" xfId="10554"/>
    <cellStyle name="Обычный 4 3 143 2" xfId="10555"/>
    <cellStyle name="Процентный 4 3 143 2" xfId="10556"/>
    <cellStyle name="Обычный 5 3 143 2" xfId="10557"/>
    <cellStyle name="Процентный 5 3 143 2" xfId="10558"/>
    <cellStyle name="Обычный 4 2 2 143 2" xfId="10559"/>
    <cellStyle name="Процентный 4 2 2 143 2" xfId="10560"/>
    <cellStyle name="Обычный 5 2 2 143 2" xfId="10561"/>
    <cellStyle name="Процентный 5 2 2 143 2" xfId="10562"/>
    <cellStyle name="Обычный 6 2 143 2" xfId="10563"/>
    <cellStyle name="Процентный 6 2 143 2" xfId="10564"/>
    <cellStyle name="Обычный 7 2 143 2" xfId="10565"/>
    <cellStyle name="Процентный 7 2 143 2" xfId="10566"/>
    <cellStyle name="Обычный 8 139 2" xfId="10567"/>
    <cellStyle name="Процентный 8 139 2" xfId="10568"/>
    <cellStyle name="Обычный 9 105 2" xfId="10569"/>
    <cellStyle name="Процентный 9 106 2" xfId="10570"/>
    <cellStyle name="Обычный 10 98 2" xfId="10571"/>
    <cellStyle name="Процентный 10 98 2" xfId="10572"/>
    <cellStyle name="Обычный 11 86 2" xfId="10573"/>
    <cellStyle name="Процентный 11 86 2" xfId="10574"/>
    <cellStyle name="Обычный 4 198 2" xfId="10575"/>
    <cellStyle name="Процентный 4 198 2" xfId="10576"/>
    <cellStyle name="Обычный 5 191 2" xfId="10577"/>
    <cellStyle name="Процентный 5 191 2" xfId="10578"/>
    <cellStyle name="Обычный 4 2 185 2" xfId="10579"/>
    <cellStyle name="Процентный 4 2 185 2" xfId="10580"/>
    <cellStyle name="Обычный 5 2 185 2" xfId="10581"/>
    <cellStyle name="Процентный 5 2 185 2" xfId="10582"/>
    <cellStyle name="Обычный 6 182 2" xfId="10583"/>
    <cellStyle name="Процентный 6 182 2" xfId="10584"/>
    <cellStyle name="Обычный 7 152 2" xfId="10585"/>
    <cellStyle name="Процентный 7 152 2" xfId="10586"/>
    <cellStyle name="Обычный 4 3 144 2" xfId="10587"/>
    <cellStyle name="Процентный 4 3 144 2" xfId="10588"/>
    <cellStyle name="Обычный 5 3 144 2" xfId="10589"/>
    <cellStyle name="Процентный 5 3 144 2" xfId="10590"/>
    <cellStyle name="Обычный 4 2 2 144 2" xfId="10591"/>
    <cellStyle name="Процентный 4 2 2 144 2" xfId="10592"/>
    <cellStyle name="Обычный 5 2 2 144 2" xfId="10593"/>
    <cellStyle name="Процентный 5 2 2 144 2" xfId="10594"/>
    <cellStyle name="Обычный 6 2 144 2" xfId="10595"/>
    <cellStyle name="Процентный 6 2 144 2" xfId="10596"/>
    <cellStyle name="Обычный 7 2 144 2" xfId="10597"/>
    <cellStyle name="Процентный 7 2 144 2" xfId="10598"/>
    <cellStyle name="Обычный 8 140 2" xfId="10599"/>
    <cellStyle name="Процентный 8 140 2" xfId="10600"/>
    <cellStyle name="Обычный 9 106 2" xfId="10601"/>
    <cellStyle name="Процентный 9 107 2" xfId="10602"/>
    <cellStyle name="Обычный 10 99 2" xfId="10603"/>
    <cellStyle name="Процентный 10 99 2" xfId="10604"/>
    <cellStyle name="Обычный 11 87 2" xfId="10605"/>
    <cellStyle name="Процентный 11 87 2" xfId="10606"/>
    <cellStyle name="Обычный 4 199 2" xfId="10607"/>
    <cellStyle name="Процентный 4 199 2" xfId="10608"/>
    <cellStyle name="Обычный 5 192 2" xfId="10609"/>
    <cellStyle name="Процентный 5 192 2" xfId="10610"/>
    <cellStyle name="Обычный 4 2 186 2" xfId="10611"/>
    <cellStyle name="Процентный 4 2 186 2" xfId="10612"/>
    <cellStyle name="Обычный 5 2 186 2" xfId="10613"/>
    <cellStyle name="Процентный 5 2 186 2" xfId="10614"/>
    <cellStyle name="Обычный 6 183 2" xfId="10615"/>
    <cellStyle name="Процентный 6 183 2" xfId="10616"/>
    <cellStyle name="Обычный 7 153 2" xfId="10617"/>
    <cellStyle name="Процентный 7 153 2" xfId="10618"/>
    <cellStyle name="Обычный 4 3 145 2" xfId="10619"/>
    <cellStyle name="Процентный 4 3 145 2" xfId="10620"/>
    <cellStyle name="Обычный 5 3 145 2" xfId="10621"/>
    <cellStyle name="Процентный 5 3 145 2" xfId="10622"/>
    <cellStyle name="Обычный 4 2 2 145 2" xfId="10623"/>
    <cellStyle name="Процентный 4 2 2 145 2" xfId="10624"/>
    <cellStyle name="Обычный 5 2 2 145 2" xfId="10625"/>
    <cellStyle name="Процентный 5 2 2 145 2" xfId="10626"/>
    <cellStyle name="Обычный 6 2 145 2" xfId="10627"/>
    <cellStyle name="Процентный 6 2 145 2" xfId="10628"/>
    <cellStyle name="Обычный 7 2 145 2" xfId="10629"/>
    <cellStyle name="Процентный 7 2 145 2" xfId="10630"/>
    <cellStyle name="Обычный 8 141 2" xfId="10631"/>
    <cellStyle name="Процентный 8 141 2" xfId="10632"/>
    <cellStyle name="Обычный 9 107 2" xfId="10633"/>
    <cellStyle name="Процентный 9 108 2" xfId="10634"/>
    <cellStyle name="Обычный 10 100 2" xfId="10635"/>
    <cellStyle name="Процентный 10 100 2" xfId="10636"/>
    <cellStyle name="Обычный 11 88 2" xfId="10637"/>
    <cellStyle name="Процентный 11 88 2" xfId="10638"/>
    <cellStyle name="Обычный 4 200 2" xfId="10639"/>
    <cellStyle name="Процентный 4 200 2" xfId="10640"/>
    <cellStyle name="Обычный 5 193 2" xfId="10641"/>
    <cellStyle name="Процентный 5 193 2" xfId="10642"/>
    <cellStyle name="Обычный 4 2 187 2" xfId="10643"/>
    <cellStyle name="Процентный 4 2 187 2" xfId="10644"/>
    <cellStyle name="Обычный 5 2 187 2" xfId="10645"/>
    <cellStyle name="Процентный 5 2 187 2" xfId="10646"/>
    <cellStyle name="Обычный 6 184 2" xfId="10647"/>
    <cellStyle name="Процентный 6 184 2" xfId="10648"/>
    <cellStyle name="Обычный 7 154 2" xfId="10649"/>
    <cellStyle name="Процентный 7 154 2" xfId="10650"/>
    <cellStyle name="Обычный 4 3 146 2" xfId="10651"/>
    <cellStyle name="Процентный 4 3 146 2" xfId="10652"/>
    <cellStyle name="Обычный 5 3 146 2" xfId="10653"/>
    <cellStyle name="Процентный 5 3 146 2" xfId="10654"/>
    <cellStyle name="Обычный 4 2 2 146 2" xfId="10655"/>
    <cellStyle name="Процентный 4 2 2 146 2" xfId="10656"/>
    <cellStyle name="Обычный 5 2 2 146 2" xfId="10657"/>
    <cellStyle name="Процентный 5 2 2 146 2" xfId="10658"/>
    <cellStyle name="Обычный 6 2 146 2" xfId="10659"/>
    <cellStyle name="Процентный 6 2 146 2" xfId="10660"/>
    <cellStyle name="Обычный 7 2 146 2" xfId="10661"/>
    <cellStyle name="Процентный 7 2 146 2" xfId="10662"/>
    <cellStyle name="Обычный 8 142 2" xfId="10663"/>
    <cellStyle name="Процентный 8 142 2" xfId="10664"/>
    <cellStyle name="Обычный 9 108 2" xfId="10665"/>
    <cellStyle name="Процентный 9 109 2" xfId="10666"/>
    <cellStyle name="Обычный 10 101 2" xfId="10667"/>
    <cellStyle name="Процентный 10 101 2" xfId="10668"/>
    <cellStyle name="Обычный 11 89 2" xfId="10669"/>
    <cellStyle name="Процентный 11 89 2" xfId="10670"/>
    <cellStyle name="Обычный 4 201 2" xfId="10671"/>
    <cellStyle name="Процентный 4 201 2" xfId="10672"/>
    <cellStyle name="Обычный 5 194 2" xfId="10673"/>
    <cellStyle name="Процентный 5 194 2" xfId="10674"/>
    <cellStyle name="Обычный 4 2 188 2" xfId="10675"/>
    <cellStyle name="Процентный 4 2 188 2" xfId="10676"/>
    <cellStyle name="Обычный 5 2 188 2" xfId="10677"/>
    <cellStyle name="Процентный 5 2 188 2" xfId="10678"/>
    <cellStyle name="Обычный 6 185 2" xfId="10679"/>
    <cellStyle name="Процентный 6 185 2" xfId="10680"/>
    <cellStyle name="Обычный 7 155 2" xfId="10681"/>
    <cellStyle name="Процентный 7 155 2" xfId="10682"/>
    <cellStyle name="Обычный 4 3 147 2" xfId="10683"/>
    <cellStyle name="Процентный 4 3 147 2" xfId="10684"/>
    <cellStyle name="Обычный 5 3 147 2" xfId="10685"/>
    <cellStyle name="Процентный 5 3 147 2" xfId="10686"/>
    <cellStyle name="Обычный 4 2 2 147 2" xfId="10687"/>
    <cellStyle name="Процентный 4 2 2 147 2" xfId="10688"/>
    <cellStyle name="Обычный 5 2 2 147 2" xfId="10689"/>
    <cellStyle name="Процентный 5 2 2 147 2" xfId="10690"/>
    <cellStyle name="Обычный 6 2 147 2" xfId="10691"/>
    <cellStyle name="Процентный 6 2 147 2" xfId="10692"/>
    <cellStyle name="Обычный 7 2 147 2" xfId="10693"/>
    <cellStyle name="Процентный 7 2 147 2" xfId="10694"/>
    <cellStyle name="Обычный 8 143 2" xfId="10695"/>
    <cellStyle name="Процентный 8 143 2" xfId="10696"/>
    <cellStyle name="Обычный 9 109 2" xfId="10697"/>
    <cellStyle name="Процентный 9 110 2" xfId="10698"/>
    <cellStyle name="Обычный 10 102 2" xfId="10699"/>
    <cellStyle name="Процентный 10 102 2" xfId="10700"/>
    <cellStyle name="Обычный 11 90 2" xfId="10701"/>
    <cellStyle name="Процентный 11 90 2" xfId="10702"/>
    <cellStyle name="Обычный 4 202 2" xfId="10703"/>
    <cellStyle name="Процентный 4 202 2" xfId="10704"/>
    <cellStyle name="Обычный 5 195 2" xfId="10705"/>
    <cellStyle name="Процентный 5 195 2" xfId="10706"/>
    <cellStyle name="Обычный 4 2 189 2" xfId="10707"/>
    <cellStyle name="Процентный 4 2 189 2" xfId="10708"/>
    <cellStyle name="Обычный 5 2 189 2" xfId="10709"/>
    <cellStyle name="Процентный 5 2 189 2" xfId="10710"/>
    <cellStyle name="Обычный 6 186 2" xfId="10711"/>
    <cellStyle name="Процентный 6 186 2" xfId="10712"/>
    <cellStyle name="Обычный 7 156 2" xfId="10713"/>
    <cellStyle name="Процентный 7 156 2" xfId="10714"/>
    <cellStyle name="Обычный 4 3 148 2" xfId="10715"/>
    <cellStyle name="Процентный 4 3 148 2" xfId="10716"/>
    <cellStyle name="Обычный 5 3 148 2" xfId="10717"/>
    <cellStyle name="Процентный 5 3 148 2" xfId="10718"/>
    <cellStyle name="Обычный 4 2 2 148 2" xfId="10719"/>
    <cellStyle name="Процентный 4 2 2 148 2" xfId="10720"/>
    <cellStyle name="Обычный 5 2 2 148 2" xfId="10721"/>
    <cellStyle name="Процентный 5 2 2 148 2" xfId="10722"/>
    <cellStyle name="Обычный 6 2 148 2" xfId="10723"/>
    <cellStyle name="Процентный 6 2 148 2" xfId="10724"/>
    <cellStyle name="Обычный 7 2 148 2" xfId="10725"/>
    <cellStyle name="Процентный 7 2 148 2" xfId="10726"/>
    <cellStyle name="Обычный 8 144 2" xfId="10727"/>
    <cellStyle name="Процентный 8 144 2" xfId="10728"/>
    <cellStyle name="Обычный 9 110 2" xfId="10729"/>
    <cellStyle name="Процентный 9 111 2" xfId="10730"/>
    <cellStyle name="Обычный 10 103 2" xfId="10731"/>
    <cellStyle name="Процентный 10 103 2" xfId="10732"/>
    <cellStyle name="Обычный 11 91 2" xfId="10733"/>
    <cellStyle name="Процентный 11 91 2" xfId="10734"/>
    <cellStyle name="Обычный 3 5" xfId="10735"/>
    <cellStyle name="Обычный 4 204" xfId="10736"/>
    <cellStyle name="Процентный 4 204" xfId="10737"/>
    <cellStyle name="Обычный 4 2 191" xfId="10738"/>
    <cellStyle name="Процентный 4 2 191" xfId="10739"/>
    <cellStyle name="Обычный 4 3 150" xfId="10740"/>
    <cellStyle name="Процентный 4 3 150" xfId="10741"/>
    <cellStyle name="Обычный 5 197" xfId="10742"/>
    <cellStyle name="Процентный 5 197" xfId="10743"/>
    <cellStyle name="Обычный 4 4 4" xfId="10744"/>
    <cellStyle name="Процентный 4 4 4" xfId="10745"/>
    <cellStyle name="Обычный 4 5 4" xfId="10746"/>
    <cellStyle name="Процентный 4 5 4" xfId="10747"/>
    <cellStyle name="Обычный 4 6 4" xfId="10748"/>
    <cellStyle name="Процентный 4 6 4" xfId="10749"/>
    <cellStyle name="Обычный 4 7 4" xfId="10750"/>
    <cellStyle name="Процентный 4 7 4" xfId="10751"/>
    <cellStyle name="Обычный 4 8 4" xfId="10752"/>
    <cellStyle name="Процентный 4 8 4" xfId="10753"/>
    <cellStyle name="Обычный 4 9 4" xfId="10754"/>
    <cellStyle name="Процентный 4 9 4" xfId="10755"/>
    <cellStyle name="Обычный 5 2 191" xfId="10756"/>
    <cellStyle name="Процентный 5 2 191" xfId="10757"/>
    <cellStyle name="Обычный 4 10 4" xfId="10758"/>
    <cellStyle name="Процентный 4 10 4" xfId="10759"/>
    <cellStyle name="Обычный 5 3 150" xfId="10760"/>
    <cellStyle name="Процентный 5 3 150" xfId="10761"/>
    <cellStyle name="Обычный 4 11 4" xfId="10762"/>
    <cellStyle name="Процентный 4 11 4" xfId="10763"/>
    <cellStyle name="Обычный 5 4 4" xfId="10764"/>
    <cellStyle name="Процентный 5 4 4" xfId="10765"/>
    <cellStyle name="Обычный 4 12 4" xfId="10766"/>
    <cellStyle name="Процентный 4 12 4" xfId="10767"/>
    <cellStyle name="Обычный 5 5 4" xfId="10768"/>
    <cellStyle name="Процентный 5 5 4" xfId="10769"/>
    <cellStyle name="Обычный 4 13 4" xfId="10770"/>
    <cellStyle name="Процентный 4 13 4" xfId="10771"/>
    <cellStyle name="Обычный 5 6 4" xfId="10772"/>
    <cellStyle name="Процентный 5 6 4" xfId="10773"/>
    <cellStyle name="Обычный 4 14 4" xfId="10774"/>
    <cellStyle name="Процентный 4 14 4" xfId="10775"/>
    <cellStyle name="Обычный 5 7 4" xfId="10776"/>
    <cellStyle name="Процентный 5 7 4" xfId="10777"/>
    <cellStyle name="Обычный 4 15 4" xfId="10778"/>
    <cellStyle name="Процентный 4 15 4" xfId="10779"/>
    <cellStyle name="Обычный 5 8 4" xfId="10780"/>
    <cellStyle name="Процентный 5 8 4" xfId="10781"/>
    <cellStyle name="Обычный 4 2 2 150" xfId="10782"/>
    <cellStyle name="Процентный 4 2 2 150" xfId="10783"/>
    <cellStyle name="Обычный 5 2 2 150" xfId="10784"/>
    <cellStyle name="Процентный 5 2 2 150" xfId="10785"/>
    <cellStyle name="Обычный 4 16 4" xfId="10786"/>
    <cellStyle name="Процентный 4 16 4" xfId="10787"/>
    <cellStyle name="Обычный 5 9 4" xfId="10788"/>
    <cellStyle name="Процентный 5 9 4" xfId="10789"/>
    <cellStyle name="Обычный 4 2 3 4" xfId="10790"/>
    <cellStyle name="Процентный 4 2 3 4" xfId="10791"/>
    <cellStyle name="Обычный 5 2 3 4" xfId="10792"/>
    <cellStyle name="Процентный 5 2 3 4" xfId="10793"/>
    <cellStyle name="Обычный 4 17 4" xfId="10794"/>
    <cellStyle name="Процентный 4 17 4" xfId="10795"/>
    <cellStyle name="Обычный 5 10 4" xfId="10796"/>
    <cellStyle name="Процентный 5 10 4" xfId="10797"/>
    <cellStyle name="Обычный 4 2 4 4" xfId="10798"/>
    <cellStyle name="Процентный 4 2 4 4" xfId="10799"/>
    <cellStyle name="Обычный 5 2 4 4" xfId="10800"/>
    <cellStyle name="Процентный 5 2 4 4" xfId="10801"/>
    <cellStyle name="Обычный 6 188" xfId="10802"/>
    <cellStyle name="Процентный 6 188" xfId="10803"/>
    <cellStyle name="Обычный 4 18 4" xfId="10804"/>
    <cellStyle name="Процентный 4 18 4" xfId="10805"/>
    <cellStyle name="Обычный 5 11 4" xfId="10806"/>
    <cellStyle name="Процентный 5 11 4" xfId="10807"/>
    <cellStyle name="Обычный 4 2 5 4" xfId="10808"/>
    <cellStyle name="Процентный 4 2 5 4" xfId="10809"/>
    <cellStyle name="Обычный 5 2 5 4" xfId="10810"/>
    <cellStyle name="Процентный 5 2 5 4" xfId="10811"/>
    <cellStyle name="Обычный 6 2 150" xfId="10812"/>
    <cellStyle name="Процентный 6 2 150" xfId="10813"/>
    <cellStyle name="Обычный 4 19 4" xfId="10814"/>
    <cellStyle name="Процентный 4 19 4" xfId="10815"/>
    <cellStyle name="Обычный 5 12 4" xfId="10816"/>
    <cellStyle name="Процентный 5 12 4" xfId="10817"/>
    <cellStyle name="Обычный 4 2 6 4" xfId="10818"/>
    <cellStyle name="Процентный 4 2 6 4" xfId="10819"/>
    <cellStyle name="Обычный 5 2 6 4" xfId="10820"/>
    <cellStyle name="Процентный 5 2 6 4" xfId="10821"/>
    <cellStyle name="Обычный 6 3 4" xfId="10822"/>
    <cellStyle name="Процентный 6 3 4" xfId="10823"/>
    <cellStyle name="Обычный 4 20 4" xfId="10824"/>
    <cellStyle name="Процентный 4 20 4" xfId="10825"/>
    <cellStyle name="Обычный 5 13 4" xfId="10826"/>
    <cellStyle name="Процентный 5 13 4" xfId="10827"/>
    <cellStyle name="Обычный 4 2 7 4" xfId="10828"/>
    <cellStyle name="Процентный 4 2 7 4" xfId="10829"/>
    <cellStyle name="Обычный 5 2 7 4" xfId="10830"/>
    <cellStyle name="Процентный 5 2 7 4" xfId="10831"/>
    <cellStyle name="Обычный 6 4 4" xfId="10832"/>
    <cellStyle name="Процентный 6 4 4" xfId="10833"/>
    <cellStyle name="Обычный 4 21 4" xfId="10834"/>
    <cellStyle name="Процентный 4 21 4" xfId="10835"/>
    <cellStyle name="Обычный 5 14 4" xfId="10836"/>
    <cellStyle name="Процентный 5 14 4" xfId="10837"/>
    <cellStyle name="Обычный 4 2 8 4" xfId="10838"/>
    <cellStyle name="Процентный 4 2 8 4" xfId="10839"/>
    <cellStyle name="Обычный 5 2 8 4" xfId="10840"/>
    <cellStyle name="Процентный 5 2 8 4" xfId="10841"/>
    <cellStyle name="Обычный 6 5 4" xfId="10842"/>
    <cellStyle name="Процентный 6 5 4" xfId="10843"/>
    <cellStyle name="Обычный 4 22 4" xfId="10844"/>
    <cellStyle name="Процентный 4 22 4" xfId="10845"/>
    <cellStyle name="Обычный 5 15 4" xfId="10846"/>
    <cellStyle name="Процентный 5 15 4" xfId="10847"/>
    <cellStyle name="Обычный 4 2 9 4" xfId="10848"/>
    <cellStyle name="Процентный 4 2 9 4" xfId="10849"/>
    <cellStyle name="Обычный 5 2 9 4" xfId="10850"/>
    <cellStyle name="Процентный 5 2 9 4" xfId="10851"/>
    <cellStyle name="Обычный 6 6 4" xfId="10852"/>
    <cellStyle name="Процентный 6 6 4" xfId="10853"/>
    <cellStyle name="Обычный 4 23 4" xfId="10854"/>
    <cellStyle name="Процентный 4 23 4" xfId="10855"/>
    <cellStyle name="Обычный 5 16 4" xfId="10856"/>
    <cellStyle name="Процентный 5 16 4" xfId="10857"/>
    <cellStyle name="Обычный 4 2 10 4" xfId="10858"/>
    <cellStyle name="Процентный 4 2 10 4" xfId="10859"/>
    <cellStyle name="Обычный 5 2 10 4" xfId="10860"/>
    <cellStyle name="Процентный 5 2 10 4" xfId="10861"/>
    <cellStyle name="Обычный 6 7 4" xfId="10862"/>
    <cellStyle name="Процентный 6 7 4" xfId="10863"/>
    <cellStyle name="Обычный 4 24 4" xfId="10864"/>
    <cellStyle name="Процентный 4 24 4" xfId="10865"/>
    <cellStyle name="Обычный 5 17 4" xfId="10866"/>
    <cellStyle name="Процентный 5 17 4" xfId="10867"/>
    <cellStyle name="Обычный 4 2 11 4" xfId="10868"/>
    <cellStyle name="Процентный 4 2 11 4" xfId="10869"/>
    <cellStyle name="Обычный 5 2 11 4" xfId="10870"/>
    <cellStyle name="Процентный 5 2 11 4" xfId="10871"/>
    <cellStyle name="Обычный 6 8 4" xfId="10872"/>
    <cellStyle name="Процентный 6 8 4" xfId="10873"/>
    <cellStyle name="Обычный 4 25 4" xfId="10874"/>
    <cellStyle name="Процентный 4 25 4" xfId="10875"/>
    <cellStyle name="Обычный 5 18 4" xfId="10876"/>
    <cellStyle name="Процентный 5 18 4" xfId="10877"/>
    <cellStyle name="Обычный 4 2 12 4" xfId="10878"/>
    <cellStyle name="Процентный 4 2 12 4" xfId="10879"/>
    <cellStyle name="Обычный 5 2 12 4" xfId="10880"/>
    <cellStyle name="Процентный 5 2 12 4" xfId="10881"/>
    <cellStyle name="Обычный 6 9 4" xfId="10882"/>
    <cellStyle name="Процентный 6 9 4" xfId="10883"/>
    <cellStyle name="Обычный 4 26 4" xfId="10884"/>
    <cellStyle name="Процентный 4 26 4" xfId="10885"/>
    <cellStyle name="Обычный 5 19 4" xfId="10886"/>
    <cellStyle name="Процентный 5 19 4" xfId="10887"/>
    <cellStyle name="Обычный 4 2 13 4" xfId="10888"/>
    <cellStyle name="Процентный 4 2 13 4" xfId="10889"/>
    <cellStyle name="Обычный 5 2 13 4" xfId="10890"/>
    <cellStyle name="Процентный 5 2 13 4" xfId="10891"/>
    <cellStyle name="Обычный 6 10 4" xfId="10892"/>
    <cellStyle name="Процентный 6 10 4" xfId="10893"/>
    <cellStyle name="Обычный 4 27 4" xfId="10894"/>
    <cellStyle name="Процентный 4 27 4" xfId="10895"/>
    <cellStyle name="Обычный 5 20 4" xfId="10896"/>
    <cellStyle name="Процентный 5 20 4" xfId="10897"/>
    <cellStyle name="Обычный 4 2 14 4" xfId="10898"/>
    <cellStyle name="Процентный 4 2 14 4" xfId="10899"/>
    <cellStyle name="Обычный 5 2 14 4" xfId="10900"/>
    <cellStyle name="Процентный 5 2 14 4" xfId="10901"/>
    <cellStyle name="Обычный 6 11 4" xfId="10902"/>
    <cellStyle name="Процентный 6 11 4" xfId="10903"/>
    <cellStyle name="Обычный 4 28 4" xfId="10904"/>
    <cellStyle name="Процентный 4 28 4" xfId="10905"/>
    <cellStyle name="Обычный 5 21 4" xfId="10906"/>
    <cellStyle name="Процентный 5 21 4" xfId="10907"/>
    <cellStyle name="Обычный 4 2 15 4" xfId="10908"/>
    <cellStyle name="Процентный 4 2 15 4" xfId="10909"/>
    <cellStyle name="Обычный 5 2 15 4" xfId="10910"/>
    <cellStyle name="Процентный 5 2 15 4" xfId="10911"/>
    <cellStyle name="Обычный 6 12 4" xfId="10912"/>
    <cellStyle name="Процентный 6 12 4" xfId="10913"/>
    <cellStyle name="Обычный 4 29 4" xfId="10914"/>
    <cellStyle name="Процентный 4 29 4" xfId="10915"/>
    <cellStyle name="Обычный 5 22 4" xfId="10916"/>
    <cellStyle name="Процентный 5 22 4" xfId="10917"/>
    <cellStyle name="Обычный 4 2 16 4" xfId="10918"/>
    <cellStyle name="Процентный 4 2 16 4" xfId="10919"/>
    <cellStyle name="Обычный 5 2 16 4" xfId="10920"/>
    <cellStyle name="Процентный 5 2 16 4" xfId="10921"/>
    <cellStyle name="Обычный 6 13 4" xfId="10922"/>
    <cellStyle name="Процентный 6 13 4" xfId="10923"/>
    <cellStyle name="Обычный 4 30 4" xfId="10924"/>
    <cellStyle name="Процентный 4 30 4" xfId="10925"/>
    <cellStyle name="Обычный 5 23 4" xfId="10926"/>
    <cellStyle name="Процентный 5 23 4" xfId="10927"/>
    <cellStyle name="Обычный 4 2 17 4" xfId="10928"/>
    <cellStyle name="Процентный 4 2 17 4" xfId="10929"/>
    <cellStyle name="Обычный 5 2 17 4" xfId="10930"/>
    <cellStyle name="Процентный 5 2 17 4" xfId="10931"/>
    <cellStyle name="Обычный 6 14 4" xfId="10932"/>
    <cellStyle name="Процентный 6 14 4" xfId="10933"/>
    <cellStyle name="Обычный 4 31 4" xfId="10934"/>
    <cellStyle name="Процентный 4 31 4" xfId="10935"/>
    <cellStyle name="Обычный 5 24 4" xfId="10936"/>
    <cellStyle name="Процентный 5 24 4" xfId="10937"/>
    <cellStyle name="Обычный 4 2 18 4" xfId="10938"/>
    <cellStyle name="Процентный 4 2 18 4" xfId="10939"/>
    <cellStyle name="Обычный 5 2 18 4" xfId="10940"/>
    <cellStyle name="Процентный 5 2 18 4" xfId="10941"/>
    <cellStyle name="Обычный 6 15 4" xfId="10942"/>
    <cellStyle name="Процентный 6 15 4" xfId="10943"/>
    <cellStyle name="Обычный 4 32 4" xfId="10944"/>
    <cellStyle name="Процентный 4 32 4" xfId="10945"/>
    <cellStyle name="Обычный 5 25 4" xfId="10946"/>
    <cellStyle name="Процентный 5 25 4" xfId="10947"/>
    <cellStyle name="Обычный 4 2 19 4" xfId="10948"/>
    <cellStyle name="Процентный 4 2 19 4" xfId="10949"/>
    <cellStyle name="Обычный 5 2 19 4" xfId="10950"/>
    <cellStyle name="Процентный 5 2 19 4" xfId="10951"/>
    <cellStyle name="Обычный 6 16 4" xfId="10952"/>
    <cellStyle name="Процентный 6 16 4" xfId="10953"/>
    <cellStyle name="Обычный 4 33 4" xfId="10954"/>
    <cellStyle name="Процентный 4 33 4" xfId="10955"/>
    <cellStyle name="Обычный 5 26 4" xfId="10956"/>
    <cellStyle name="Процентный 5 26 4" xfId="10957"/>
    <cellStyle name="Обычный 4 2 20 4" xfId="10958"/>
    <cellStyle name="Процентный 4 2 20 4" xfId="10959"/>
    <cellStyle name="Обычный 5 2 20 4" xfId="10960"/>
    <cellStyle name="Процентный 5 2 20 4" xfId="10961"/>
    <cellStyle name="Обычный 6 17 4" xfId="10962"/>
    <cellStyle name="Процентный 6 17 4" xfId="10963"/>
    <cellStyle name="Обычный 4 34 4" xfId="10964"/>
    <cellStyle name="Процентный 4 34 4" xfId="10965"/>
    <cellStyle name="Обычный 5 27 4" xfId="10966"/>
    <cellStyle name="Процентный 5 27 4" xfId="10967"/>
    <cellStyle name="Обычный 4 2 21 4" xfId="10968"/>
    <cellStyle name="Процентный 4 2 21 4" xfId="10969"/>
    <cellStyle name="Обычный 5 2 21 4" xfId="10970"/>
    <cellStyle name="Процентный 5 2 21 4" xfId="10971"/>
    <cellStyle name="Обычный 6 18 4" xfId="10972"/>
    <cellStyle name="Процентный 6 18 4" xfId="10973"/>
    <cellStyle name="Обычный 4 35 4" xfId="10974"/>
    <cellStyle name="Процентный 4 35 4" xfId="10975"/>
    <cellStyle name="Обычный 5 28 4" xfId="10976"/>
    <cellStyle name="Процентный 5 28 4" xfId="10977"/>
    <cellStyle name="Обычный 4 2 22 4" xfId="10978"/>
    <cellStyle name="Процентный 4 2 22 4" xfId="10979"/>
    <cellStyle name="Обычный 5 2 22 4" xfId="10980"/>
    <cellStyle name="Процентный 5 2 22 4" xfId="10981"/>
    <cellStyle name="Обычный 6 19 4" xfId="10982"/>
    <cellStyle name="Процентный 6 19 4" xfId="10983"/>
    <cellStyle name="Обычный 4 36 4" xfId="10984"/>
    <cellStyle name="Процентный 4 36 4" xfId="10985"/>
    <cellStyle name="Обычный 5 29 4" xfId="10986"/>
    <cellStyle name="Процентный 5 29 4" xfId="10987"/>
    <cellStyle name="Обычный 4 2 23 4" xfId="10988"/>
    <cellStyle name="Процентный 4 2 23 4" xfId="10989"/>
    <cellStyle name="Обычный 5 2 23 4" xfId="10990"/>
    <cellStyle name="Процентный 5 2 23 4" xfId="10991"/>
    <cellStyle name="Обычный 6 20 4" xfId="10992"/>
    <cellStyle name="Процентный 6 20 4" xfId="10993"/>
    <cellStyle name="Обычный 4 37 4" xfId="10994"/>
    <cellStyle name="Процентный 4 37 4" xfId="10995"/>
    <cellStyle name="Обычный 5 30 4" xfId="10996"/>
    <cellStyle name="Процентный 5 30 4" xfId="10997"/>
    <cellStyle name="Обычный 4 2 24 4" xfId="10998"/>
    <cellStyle name="Процентный 4 2 24 4" xfId="10999"/>
    <cellStyle name="Обычный 5 2 24 4" xfId="11000"/>
    <cellStyle name="Процентный 5 2 24 4" xfId="11001"/>
    <cellStyle name="Обычный 6 21 4" xfId="11002"/>
    <cellStyle name="Процентный 6 21 4" xfId="11003"/>
    <cellStyle name="Обычный 4 38 4" xfId="11004"/>
    <cellStyle name="Процентный 4 38 4" xfId="11005"/>
    <cellStyle name="Обычный 5 31 4" xfId="11006"/>
    <cellStyle name="Процентный 5 31 4" xfId="11007"/>
    <cellStyle name="Обычный 4 2 25 4" xfId="11008"/>
    <cellStyle name="Процентный 4 2 25 4" xfId="11009"/>
    <cellStyle name="Обычный 5 2 25 4" xfId="11010"/>
    <cellStyle name="Процентный 5 2 25 4" xfId="11011"/>
    <cellStyle name="Обычный 6 22 4" xfId="11012"/>
    <cellStyle name="Процентный 6 22 4" xfId="11013"/>
    <cellStyle name="Обычный 4 39 4" xfId="11014"/>
    <cellStyle name="Процентный 4 39 4" xfId="11015"/>
    <cellStyle name="Обычный 5 32 4" xfId="11016"/>
    <cellStyle name="Процентный 5 32 4" xfId="11017"/>
    <cellStyle name="Обычный 4 2 26 4" xfId="11018"/>
    <cellStyle name="Процентный 4 2 26 4" xfId="11019"/>
    <cellStyle name="Обычный 5 2 26 4" xfId="11020"/>
    <cellStyle name="Процентный 5 2 26 4" xfId="11021"/>
    <cellStyle name="Обычный 6 23 4" xfId="11022"/>
    <cellStyle name="Процентный 6 23 4" xfId="11023"/>
    <cellStyle name="Обычный 4 40 4" xfId="11024"/>
    <cellStyle name="Процентный 4 40 4" xfId="11025"/>
    <cellStyle name="Обычный 5 33 4" xfId="11026"/>
    <cellStyle name="Процентный 5 33 4" xfId="11027"/>
    <cellStyle name="Обычный 4 2 27 4" xfId="11028"/>
    <cellStyle name="Процентный 4 2 27 4" xfId="11029"/>
    <cellStyle name="Обычный 5 2 27 4" xfId="11030"/>
    <cellStyle name="Процентный 5 2 27 4" xfId="11031"/>
    <cellStyle name="Обычный 6 24 4" xfId="11032"/>
    <cellStyle name="Процентный 6 24 4" xfId="11033"/>
    <cellStyle name="Обычный 4 41 4" xfId="11034"/>
    <cellStyle name="Процентный 4 41 4" xfId="11035"/>
    <cellStyle name="Обычный 5 34 4" xfId="11036"/>
    <cellStyle name="Процентный 5 34 4" xfId="11037"/>
    <cellStyle name="Обычный 4 2 28 4" xfId="11038"/>
    <cellStyle name="Процентный 4 2 28 4" xfId="11039"/>
    <cellStyle name="Обычный 5 2 28 4" xfId="11040"/>
    <cellStyle name="Процентный 5 2 28 4" xfId="11041"/>
    <cellStyle name="Обычный 6 25 4" xfId="11042"/>
    <cellStyle name="Процентный 6 25 4" xfId="11043"/>
    <cellStyle name="Обычный 4 42 4" xfId="11044"/>
    <cellStyle name="Процентный 4 42 4" xfId="11045"/>
    <cellStyle name="Обычный 5 35 4" xfId="11046"/>
    <cellStyle name="Процентный 5 35 4" xfId="11047"/>
    <cellStyle name="Обычный 4 2 29 4" xfId="11048"/>
    <cellStyle name="Процентный 4 2 29 4" xfId="11049"/>
    <cellStyle name="Обычный 5 2 29 4" xfId="11050"/>
    <cellStyle name="Процентный 5 2 29 4" xfId="11051"/>
    <cellStyle name="Обычный 6 26 4" xfId="11052"/>
    <cellStyle name="Процентный 6 26 4" xfId="11053"/>
    <cellStyle name="Обычный 4 43 4" xfId="11054"/>
    <cellStyle name="Процентный 4 43 4" xfId="11055"/>
    <cellStyle name="Обычный 5 36 4" xfId="11056"/>
    <cellStyle name="Процентный 5 36 4" xfId="11057"/>
    <cellStyle name="Обычный 4 2 30 4" xfId="11058"/>
    <cellStyle name="Процентный 4 2 30 4" xfId="11059"/>
    <cellStyle name="Обычный 5 2 30 4" xfId="11060"/>
    <cellStyle name="Процентный 5 2 30 4" xfId="11061"/>
    <cellStyle name="Обычный 6 27 4" xfId="11062"/>
    <cellStyle name="Процентный 6 27 4" xfId="11063"/>
    <cellStyle name="Обычный 4 44 4" xfId="11064"/>
    <cellStyle name="Процентный 4 44 4" xfId="11065"/>
    <cellStyle name="Обычный 5 37 4" xfId="11066"/>
    <cellStyle name="Процентный 5 37 4" xfId="11067"/>
    <cellStyle name="Обычный 4 2 31 4" xfId="11068"/>
    <cellStyle name="Процентный 4 2 31 4" xfId="11069"/>
    <cellStyle name="Обычный 5 2 31 4" xfId="11070"/>
    <cellStyle name="Процентный 5 2 31 4" xfId="11071"/>
    <cellStyle name="Обычный 6 28 4" xfId="11072"/>
    <cellStyle name="Процентный 6 28 4" xfId="11073"/>
    <cellStyle name="Обычный 4 45 4" xfId="11074"/>
    <cellStyle name="Процентный 4 45 4" xfId="11075"/>
    <cellStyle name="Обычный 5 38 4" xfId="11076"/>
    <cellStyle name="Процентный 5 38 4" xfId="11077"/>
    <cellStyle name="Обычный 4 2 32 4" xfId="11078"/>
    <cellStyle name="Процентный 4 2 32 4" xfId="11079"/>
    <cellStyle name="Обычный 5 2 32 4" xfId="11080"/>
    <cellStyle name="Процентный 5 2 32 4" xfId="11081"/>
    <cellStyle name="Обычный 6 29 4" xfId="11082"/>
    <cellStyle name="Процентный 6 29 4" xfId="11083"/>
    <cellStyle name="Обычный 4 46 4" xfId="11084"/>
    <cellStyle name="Процентный 4 46 4" xfId="11085"/>
    <cellStyle name="Обычный 5 39 4" xfId="11086"/>
    <cellStyle name="Процентный 5 39 4" xfId="11087"/>
    <cellStyle name="Обычный 4 2 33 4" xfId="11088"/>
    <cellStyle name="Процентный 4 2 33 4" xfId="11089"/>
    <cellStyle name="Обычный 5 2 33 4" xfId="11090"/>
    <cellStyle name="Процентный 5 2 33 4" xfId="11091"/>
    <cellStyle name="Обычный 6 30 4" xfId="11092"/>
    <cellStyle name="Процентный 6 30 4" xfId="11093"/>
    <cellStyle name="Обычный 4 47 4" xfId="11094"/>
    <cellStyle name="Процентный 4 47 4" xfId="11095"/>
    <cellStyle name="Обычный 5 40 4" xfId="11096"/>
    <cellStyle name="Процентный 5 40 4" xfId="11097"/>
    <cellStyle name="Обычный 4 2 34 4" xfId="11098"/>
    <cellStyle name="Процентный 4 2 34 4" xfId="11099"/>
    <cellStyle name="Обычный 5 2 34 4" xfId="11100"/>
    <cellStyle name="Процентный 5 2 34 4" xfId="11101"/>
    <cellStyle name="Обычный 6 31 4" xfId="11102"/>
    <cellStyle name="Процентный 6 31 4" xfId="11103"/>
    <cellStyle name="Обычный 7 158" xfId="11104"/>
    <cellStyle name="Процентный 7 158" xfId="11105"/>
    <cellStyle name="Обычный 4 48 4" xfId="11106"/>
    <cellStyle name="Процентный 4 48 4" xfId="11107"/>
    <cellStyle name="Обычный 5 41 4" xfId="11108"/>
    <cellStyle name="Процентный 5 41 4" xfId="11109"/>
    <cellStyle name="Обычный 4 2 35 4" xfId="11110"/>
    <cellStyle name="Процентный 4 2 35 4" xfId="11111"/>
    <cellStyle name="Обычный 5 2 35 4" xfId="11112"/>
    <cellStyle name="Процентный 5 2 35 4" xfId="11113"/>
    <cellStyle name="Обычный 6 32 4" xfId="11114"/>
    <cellStyle name="Процентный 6 32 4" xfId="11115"/>
    <cellStyle name="Обычный 7 2 150" xfId="11116"/>
    <cellStyle name="Процентный 7 2 150" xfId="11117"/>
    <cellStyle name="Обычный 4 49 4" xfId="11118"/>
    <cellStyle name="Процентный 4 49 4" xfId="11119"/>
    <cellStyle name="Обычный 5 42 4" xfId="11120"/>
    <cellStyle name="Процентный 5 42 4" xfId="11121"/>
    <cellStyle name="Обычный 4 2 36 4" xfId="11122"/>
    <cellStyle name="Процентный 4 2 36 4" xfId="11123"/>
    <cellStyle name="Обычный 5 2 36 4" xfId="11124"/>
    <cellStyle name="Процентный 5 2 36 4" xfId="11125"/>
    <cellStyle name="Обычный 6 33 4" xfId="11126"/>
    <cellStyle name="Процентный 6 33 4" xfId="11127"/>
    <cellStyle name="Обычный 7 3 4" xfId="11128"/>
    <cellStyle name="Процентный 7 3 4" xfId="11129"/>
    <cellStyle name="Обычный 4 50 4" xfId="11130"/>
    <cellStyle name="Процентный 4 50 4" xfId="11131"/>
    <cellStyle name="Обычный 5 43 4" xfId="11132"/>
    <cellStyle name="Процентный 5 43 4" xfId="11133"/>
    <cellStyle name="Обычный 4 2 37 4" xfId="11134"/>
    <cellStyle name="Процентный 4 2 37 4" xfId="11135"/>
    <cellStyle name="Обычный 5 2 37 4" xfId="11136"/>
    <cellStyle name="Процентный 5 2 37 4" xfId="11137"/>
    <cellStyle name="Обычный 6 34 4" xfId="11138"/>
    <cellStyle name="Процентный 6 34 4" xfId="11139"/>
    <cellStyle name="Обычный 7 4 4" xfId="11140"/>
    <cellStyle name="Процентный 7 4 4" xfId="11141"/>
    <cellStyle name="Обычный 4 51 4" xfId="11142"/>
    <cellStyle name="Процентный 4 51 4" xfId="11143"/>
    <cellStyle name="Обычный 5 44 4" xfId="11144"/>
    <cellStyle name="Процентный 5 44 4" xfId="11145"/>
    <cellStyle name="Обычный 4 2 38 4" xfId="11146"/>
    <cellStyle name="Процентный 4 2 38 4" xfId="11147"/>
    <cellStyle name="Обычный 5 2 38 4" xfId="11148"/>
    <cellStyle name="Процентный 5 2 38 4" xfId="11149"/>
    <cellStyle name="Обычный 6 35 4" xfId="11150"/>
    <cellStyle name="Процентный 6 35 4" xfId="11151"/>
    <cellStyle name="Обычный 7 5 4" xfId="11152"/>
    <cellStyle name="Процентный 7 5 4" xfId="11153"/>
    <cellStyle name="Обычный 4 52 4" xfId="11154"/>
    <cellStyle name="Процентный 4 52 4" xfId="11155"/>
    <cellStyle name="Обычный 5 45 4" xfId="11156"/>
    <cellStyle name="Процентный 5 45 4" xfId="11157"/>
    <cellStyle name="Обычный 4 2 39 4" xfId="11158"/>
    <cellStyle name="Процентный 4 2 39 4" xfId="11159"/>
    <cellStyle name="Обычный 5 2 39 4" xfId="11160"/>
    <cellStyle name="Процентный 5 2 39 4" xfId="11161"/>
    <cellStyle name="Обычный 6 36 4" xfId="11162"/>
    <cellStyle name="Процентный 6 36 4" xfId="11163"/>
    <cellStyle name="Обычный 7 6 4" xfId="11164"/>
    <cellStyle name="Процентный 7 6 4" xfId="11165"/>
    <cellStyle name="Обычный 4 53 4" xfId="11166"/>
    <cellStyle name="Процентный 4 53 4" xfId="11167"/>
    <cellStyle name="Обычный 5 46 4" xfId="11168"/>
    <cellStyle name="Процентный 5 46 4" xfId="11169"/>
    <cellStyle name="Обычный 4 2 40 4" xfId="11170"/>
    <cellStyle name="Процентный 4 2 40 4" xfId="11171"/>
    <cellStyle name="Обычный 5 2 40 4" xfId="11172"/>
    <cellStyle name="Процентный 5 2 40 4" xfId="11173"/>
    <cellStyle name="Обычный 6 37 4" xfId="11174"/>
    <cellStyle name="Процентный 6 37 4" xfId="11175"/>
    <cellStyle name="Обычный 7 7 4" xfId="11176"/>
    <cellStyle name="Процентный 7 7 4" xfId="11177"/>
    <cellStyle name="Обычный 4 54 4" xfId="11178"/>
    <cellStyle name="Процентный 4 54 4" xfId="11179"/>
    <cellStyle name="Обычный 5 47 4" xfId="11180"/>
    <cellStyle name="Процентный 5 47 4" xfId="11181"/>
    <cellStyle name="Обычный 4 2 41 4" xfId="11182"/>
    <cellStyle name="Процентный 4 2 41 4" xfId="11183"/>
    <cellStyle name="Обычный 5 2 41 4" xfId="11184"/>
    <cellStyle name="Процентный 5 2 41 4" xfId="11185"/>
    <cellStyle name="Обычный 6 38 4" xfId="11186"/>
    <cellStyle name="Процентный 6 38 4" xfId="11187"/>
    <cellStyle name="Обычный 7 8 4" xfId="11188"/>
    <cellStyle name="Процентный 7 8 4" xfId="11189"/>
    <cellStyle name="Обычный 4 55 4" xfId="11190"/>
    <cellStyle name="Процентный 4 55 4" xfId="11191"/>
    <cellStyle name="Обычный 5 48 4" xfId="11192"/>
    <cellStyle name="Процентный 5 48 4" xfId="11193"/>
    <cellStyle name="Обычный 4 2 42 4" xfId="11194"/>
    <cellStyle name="Процентный 4 2 42 4" xfId="11195"/>
    <cellStyle name="Обычный 5 2 42 4" xfId="11196"/>
    <cellStyle name="Процентный 5 2 42 4" xfId="11197"/>
    <cellStyle name="Обычный 6 39 4" xfId="11198"/>
    <cellStyle name="Процентный 6 39 4" xfId="11199"/>
    <cellStyle name="Обычный 7 9 4" xfId="11200"/>
    <cellStyle name="Процентный 7 9 4" xfId="11201"/>
    <cellStyle name="Обычный 3 3 3" xfId="11202"/>
    <cellStyle name="Обычный 4 56 3" xfId="11203"/>
    <cellStyle name="Процентный 4 56 3" xfId="11204"/>
    <cellStyle name="Обычный 4 2 43 3" xfId="11205"/>
    <cellStyle name="Процентный 4 2 43 3" xfId="11206"/>
    <cellStyle name="Обычный 4 3 2 3" xfId="11207"/>
    <cellStyle name="Процентный 4 3 2 3" xfId="11208"/>
    <cellStyle name="Обычный 5 49 3" xfId="11209"/>
    <cellStyle name="Процентный 5 49 3" xfId="11210"/>
    <cellStyle name="Обычный 4 4 2 3" xfId="11211"/>
    <cellStyle name="Процентный 4 4 2 3" xfId="11212"/>
    <cellStyle name="Обычный 4 5 2 3" xfId="11213"/>
    <cellStyle name="Процентный 4 5 2 3" xfId="11214"/>
    <cellStyle name="Обычный 4 6 2 3" xfId="11215"/>
    <cellStyle name="Процентный 4 6 2 3" xfId="11216"/>
    <cellStyle name="Обычный 4 7 2 3" xfId="11217"/>
    <cellStyle name="Процентный 4 7 2 3" xfId="11218"/>
    <cellStyle name="Обычный 4 8 2 3" xfId="11219"/>
    <cellStyle name="Процентный 4 8 2 3" xfId="11220"/>
    <cellStyle name="Обычный 4 9 2 3" xfId="11221"/>
    <cellStyle name="Процентный 4 9 2 3" xfId="11222"/>
    <cellStyle name="Обычный 5 2 43 3" xfId="11223"/>
    <cellStyle name="Процентный 5 2 43 3" xfId="11224"/>
    <cellStyle name="Обычный 4 10 2 3" xfId="11225"/>
    <cellStyle name="Процентный 4 10 2 3" xfId="11226"/>
    <cellStyle name="Обычный 5 3 2 3" xfId="11227"/>
    <cellStyle name="Процентный 5 3 2 3" xfId="11228"/>
    <cellStyle name="Обычный 4 11 2 3" xfId="11229"/>
    <cellStyle name="Процентный 4 11 2 3" xfId="11230"/>
    <cellStyle name="Обычный 5 4 2 3" xfId="11231"/>
    <cellStyle name="Процентный 5 4 2 3" xfId="11232"/>
    <cellStyle name="Обычный 4 12 2 3" xfId="11233"/>
    <cellStyle name="Процентный 4 12 2 3" xfId="11234"/>
    <cellStyle name="Обычный 5 5 2 3" xfId="11235"/>
    <cellStyle name="Процентный 5 5 2 3" xfId="11236"/>
    <cellStyle name="Обычный 4 13 2 3" xfId="11237"/>
    <cellStyle name="Процентный 4 13 2 3" xfId="11238"/>
    <cellStyle name="Обычный 5 6 2 3" xfId="11239"/>
    <cellStyle name="Процентный 5 6 2 3" xfId="11240"/>
    <cellStyle name="Обычный 4 14 2 3" xfId="11241"/>
    <cellStyle name="Процентный 4 14 2 3" xfId="11242"/>
    <cellStyle name="Обычный 5 7 2 3" xfId="11243"/>
    <cellStyle name="Процентный 5 7 2 3" xfId="11244"/>
    <cellStyle name="Обычный 4 15 2 3" xfId="11245"/>
    <cellStyle name="Процентный 4 15 2 3" xfId="11246"/>
    <cellStyle name="Обычный 5 8 2 3" xfId="11247"/>
    <cellStyle name="Процентный 5 8 2 3" xfId="11248"/>
    <cellStyle name="Обычный 4 2 2 2 3" xfId="11249"/>
    <cellStyle name="Процентный 4 2 2 2 3" xfId="11250"/>
    <cellStyle name="Обычный 5 2 2 2 3" xfId="11251"/>
    <cellStyle name="Процентный 5 2 2 2 3" xfId="11252"/>
    <cellStyle name="Обычный 4 16 2 3" xfId="11253"/>
    <cellStyle name="Процентный 4 16 2 3" xfId="11254"/>
    <cellStyle name="Обычный 5 9 2 3" xfId="11255"/>
    <cellStyle name="Процентный 5 9 2 3" xfId="11256"/>
    <cellStyle name="Обычный 4 2 3 2 3" xfId="11257"/>
    <cellStyle name="Процентный 4 2 3 2 3" xfId="11258"/>
    <cellStyle name="Обычный 5 2 3 2 3" xfId="11259"/>
    <cellStyle name="Процентный 5 2 3 2 3" xfId="11260"/>
    <cellStyle name="Обычный 4 17 2 3" xfId="11261"/>
    <cellStyle name="Процентный 4 17 2 3" xfId="11262"/>
    <cellStyle name="Обычный 5 10 2 3" xfId="11263"/>
    <cellStyle name="Процентный 5 10 2 3" xfId="11264"/>
    <cellStyle name="Обычный 4 2 4 2 3" xfId="11265"/>
    <cellStyle name="Процентный 4 2 4 2 3" xfId="11266"/>
    <cellStyle name="Обычный 5 2 4 2 3" xfId="11267"/>
    <cellStyle name="Процентный 5 2 4 2 3" xfId="11268"/>
    <cellStyle name="Обычный 6 40 3" xfId="11269"/>
    <cellStyle name="Процентный 6 40 3" xfId="11270"/>
    <cellStyle name="Обычный 4 18 2 3" xfId="11271"/>
    <cellStyle name="Процентный 4 18 2 3" xfId="11272"/>
    <cellStyle name="Обычный 5 11 2 3" xfId="11273"/>
    <cellStyle name="Процентный 5 11 2 3" xfId="11274"/>
    <cellStyle name="Обычный 4 2 5 2 3" xfId="11275"/>
    <cellStyle name="Процентный 4 2 5 2 3" xfId="11276"/>
    <cellStyle name="Обычный 5 2 5 2 3" xfId="11277"/>
    <cellStyle name="Процентный 5 2 5 2 3" xfId="11278"/>
    <cellStyle name="Обычный 6 2 2 3" xfId="11279"/>
    <cellStyle name="Процентный 6 2 2 3" xfId="11280"/>
    <cellStyle name="Обычный 4 19 2 3" xfId="11281"/>
    <cellStyle name="Процентный 4 19 2 3" xfId="11282"/>
    <cellStyle name="Обычный 5 12 2 3" xfId="11283"/>
    <cellStyle name="Процентный 5 12 2 3" xfId="11284"/>
    <cellStyle name="Обычный 4 2 6 2 3" xfId="11285"/>
    <cellStyle name="Процентный 4 2 6 2 3" xfId="11286"/>
    <cellStyle name="Обычный 5 2 6 2 3" xfId="11287"/>
    <cellStyle name="Процентный 5 2 6 2 3" xfId="11288"/>
    <cellStyle name="Обычный 6 3 2 3" xfId="11289"/>
    <cellStyle name="Процентный 6 3 2 3" xfId="11290"/>
    <cellStyle name="Обычный 4 20 2 3" xfId="11291"/>
    <cellStyle name="Процентный 4 20 2 3" xfId="11292"/>
    <cellStyle name="Обычный 5 13 2 3" xfId="11293"/>
    <cellStyle name="Процентный 5 13 2 3" xfId="11294"/>
    <cellStyle name="Обычный 4 2 7 2 3" xfId="11295"/>
    <cellStyle name="Процентный 4 2 7 2 3" xfId="11296"/>
    <cellStyle name="Обычный 5 2 7 2 3" xfId="11297"/>
    <cellStyle name="Процентный 5 2 7 2 3" xfId="11298"/>
    <cellStyle name="Обычный 6 4 2 3" xfId="11299"/>
    <cellStyle name="Процентный 6 4 2 3" xfId="11300"/>
    <cellStyle name="Обычный 4 21 2 3" xfId="11301"/>
    <cellStyle name="Процентный 4 21 2 3" xfId="11302"/>
    <cellStyle name="Обычный 5 14 2 3" xfId="11303"/>
    <cellStyle name="Процентный 5 14 2 3" xfId="11304"/>
    <cellStyle name="Обычный 4 2 8 2 3" xfId="11305"/>
    <cellStyle name="Процентный 4 2 8 2 3" xfId="11306"/>
    <cellStyle name="Обычный 5 2 8 2 3" xfId="11307"/>
    <cellStyle name="Процентный 5 2 8 2 3" xfId="11308"/>
    <cellStyle name="Обычный 6 5 2 3" xfId="11309"/>
    <cellStyle name="Процентный 6 5 2 3" xfId="11310"/>
    <cellStyle name="Обычный 4 22 2 3" xfId="11311"/>
    <cellStyle name="Процентный 4 22 2 3" xfId="11312"/>
    <cellStyle name="Обычный 5 15 2 3" xfId="11313"/>
    <cellStyle name="Процентный 5 15 2 3" xfId="11314"/>
    <cellStyle name="Обычный 4 2 9 2 3" xfId="11315"/>
    <cellStyle name="Процентный 4 2 9 2 3" xfId="11316"/>
    <cellStyle name="Обычный 5 2 9 2 3" xfId="11317"/>
    <cellStyle name="Процентный 5 2 9 2 3" xfId="11318"/>
    <cellStyle name="Обычный 6 6 2 3" xfId="11319"/>
    <cellStyle name="Процентный 6 6 2 3" xfId="11320"/>
    <cellStyle name="Обычный 4 23 2 3" xfId="11321"/>
    <cellStyle name="Процентный 4 23 2 3" xfId="11322"/>
    <cellStyle name="Обычный 5 16 2 3" xfId="11323"/>
    <cellStyle name="Процентный 5 16 2 3" xfId="11324"/>
    <cellStyle name="Обычный 4 2 10 2 3" xfId="11325"/>
    <cellStyle name="Процентный 4 2 10 2 3" xfId="11326"/>
    <cellStyle name="Обычный 5 2 10 2 3" xfId="11327"/>
    <cellStyle name="Процентный 5 2 10 2 3" xfId="11328"/>
    <cellStyle name="Обычный 6 7 2 3" xfId="11329"/>
    <cellStyle name="Процентный 6 7 2 3" xfId="11330"/>
    <cellStyle name="Обычный 4 24 2 3" xfId="11331"/>
    <cellStyle name="Процентный 4 24 2 3" xfId="11332"/>
    <cellStyle name="Обычный 5 17 2 3" xfId="11333"/>
    <cellStyle name="Процентный 5 17 2 3" xfId="11334"/>
    <cellStyle name="Обычный 4 2 11 2 3" xfId="11335"/>
    <cellStyle name="Процентный 4 2 11 2 3" xfId="11336"/>
    <cellStyle name="Обычный 5 2 11 2 3" xfId="11337"/>
    <cellStyle name="Процентный 5 2 11 2 3" xfId="11338"/>
    <cellStyle name="Обычный 6 8 2 3" xfId="11339"/>
    <cellStyle name="Процентный 6 8 2 3" xfId="11340"/>
    <cellStyle name="Обычный 4 25 2 3" xfId="11341"/>
    <cellStyle name="Процентный 4 25 2 3" xfId="11342"/>
    <cellStyle name="Обычный 5 18 2 3" xfId="11343"/>
    <cellStyle name="Процентный 5 18 2 3" xfId="11344"/>
    <cellStyle name="Обычный 4 2 12 2 3" xfId="11345"/>
    <cellStyle name="Процентный 4 2 12 2 3" xfId="11346"/>
    <cellStyle name="Обычный 5 2 12 2 3" xfId="11347"/>
    <cellStyle name="Процентный 5 2 12 2 3" xfId="11348"/>
    <cellStyle name="Обычный 6 9 2 3" xfId="11349"/>
    <cellStyle name="Процентный 6 9 2 3" xfId="11350"/>
    <cellStyle name="Обычный 4 26 2 3" xfId="11351"/>
    <cellStyle name="Процентный 4 26 2 3" xfId="11352"/>
    <cellStyle name="Обычный 5 19 2 3" xfId="11353"/>
    <cellStyle name="Процентный 5 19 2 3" xfId="11354"/>
    <cellStyle name="Обычный 4 2 13 2 3" xfId="11355"/>
    <cellStyle name="Процентный 4 2 13 2 3" xfId="11356"/>
    <cellStyle name="Обычный 5 2 13 2 3" xfId="11357"/>
    <cellStyle name="Процентный 5 2 13 2 3" xfId="11358"/>
    <cellStyle name="Обычный 6 10 2 3" xfId="11359"/>
    <cellStyle name="Процентный 6 10 2 3" xfId="11360"/>
    <cellStyle name="Обычный 4 27 2 3" xfId="11361"/>
    <cellStyle name="Процентный 4 27 2 3" xfId="11362"/>
    <cellStyle name="Обычный 5 20 2 3" xfId="11363"/>
    <cellStyle name="Процентный 5 20 2 3" xfId="11364"/>
    <cellStyle name="Обычный 4 2 14 2 3" xfId="11365"/>
    <cellStyle name="Процентный 4 2 14 2 3" xfId="11366"/>
    <cellStyle name="Обычный 5 2 14 2 3" xfId="11367"/>
    <cellStyle name="Процентный 5 2 14 2 3" xfId="11368"/>
    <cellStyle name="Обычный 6 11 2 3" xfId="11369"/>
    <cellStyle name="Процентный 6 11 2 3" xfId="11370"/>
    <cellStyle name="Обычный 4 28 2 3" xfId="11371"/>
    <cellStyle name="Процентный 4 28 2 3" xfId="11372"/>
    <cellStyle name="Обычный 5 21 2 3" xfId="11373"/>
    <cellStyle name="Процентный 5 21 2 3" xfId="11374"/>
    <cellStyle name="Обычный 4 2 15 2 3" xfId="11375"/>
    <cellStyle name="Процентный 4 2 15 2 3" xfId="11376"/>
    <cellStyle name="Обычный 5 2 15 2 3" xfId="11377"/>
    <cellStyle name="Процентный 5 2 15 2 3" xfId="11378"/>
    <cellStyle name="Обычный 6 12 2 3" xfId="11379"/>
    <cellStyle name="Процентный 6 12 2 3" xfId="11380"/>
    <cellStyle name="Обычный 4 29 2 3" xfId="11381"/>
    <cellStyle name="Процентный 4 29 2 3" xfId="11382"/>
    <cellStyle name="Обычный 5 22 2 3" xfId="11383"/>
    <cellStyle name="Процентный 5 22 2 3" xfId="11384"/>
    <cellStyle name="Обычный 4 2 16 2 3" xfId="11385"/>
    <cellStyle name="Процентный 4 2 16 2 3" xfId="11386"/>
    <cellStyle name="Обычный 5 2 16 2 3" xfId="11387"/>
    <cellStyle name="Процентный 5 2 16 2 3" xfId="11388"/>
    <cellStyle name="Обычный 6 13 2 3" xfId="11389"/>
    <cellStyle name="Процентный 6 13 2 3" xfId="11390"/>
    <cellStyle name="Обычный 4 30 2 3" xfId="11391"/>
    <cellStyle name="Процентный 4 30 2 3" xfId="11392"/>
    <cellStyle name="Обычный 5 23 2 3" xfId="11393"/>
    <cellStyle name="Процентный 5 23 2 3" xfId="11394"/>
    <cellStyle name="Обычный 4 2 17 2 3" xfId="11395"/>
    <cellStyle name="Процентный 4 2 17 2 3" xfId="11396"/>
    <cellStyle name="Обычный 5 2 17 2 3" xfId="11397"/>
    <cellStyle name="Процентный 5 2 17 2 3" xfId="11398"/>
    <cellStyle name="Обычный 6 14 2 3" xfId="11399"/>
    <cellStyle name="Процентный 6 14 2 3" xfId="11400"/>
    <cellStyle name="Обычный 4 31 2 3" xfId="11401"/>
    <cellStyle name="Процентный 4 31 2 3" xfId="11402"/>
    <cellStyle name="Обычный 5 24 2 3" xfId="11403"/>
    <cellStyle name="Процентный 5 24 2 3" xfId="11404"/>
    <cellStyle name="Обычный 4 2 18 2 3" xfId="11405"/>
    <cellStyle name="Процентный 4 2 18 2 3" xfId="11406"/>
    <cellStyle name="Обычный 5 2 18 2 3" xfId="11407"/>
    <cellStyle name="Процентный 5 2 18 2 3" xfId="11408"/>
    <cellStyle name="Обычный 6 15 2 3" xfId="11409"/>
    <cellStyle name="Процентный 6 15 2 3" xfId="11410"/>
    <cellStyle name="Обычный 4 32 2 3" xfId="11411"/>
    <cellStyle name="Процентный 4 32 2 3" xfId="11412"/>
    <cellStyle name="Обычный 5 25 2 3" xfId="11413"/>
    <cellStyle name="Процентный 5 25 2 3" xfId="11414"/>
    <cellStyle name="Обычный 4 2 19 2 3" xfId="11415"/>
    <cellStyle name="Процентный 4 2 19 2 3" xfId="11416"/>
    <cellStyle name="Обычный 5 2 19 2 3" xfId="11417"/>
    <cellStyle name="Процентный 5 2 19 2 3" xfId="11418"/>
    <cellStyle name="Обычный 6 16 2 3" xfId="11419"/>
    <cellStyle name="Процентный 6 16 2 3" xfId="11420"/>
    <cellStyle name="Обычный 4 33 2 3" xfId="11421"/>
    <cellStyle name="Процентный 4 33 2 3" xfId="11422"/>
    <cellStyle name="Обычный 5 26 2 3" xfId="11423"/>
    <cellStyle name="Процентный 5 26 2 3" xfId="11424"/>
    <cellStyle name="Обычный 4 2 20 2 3" xfId="11425"/>
    <cellStyle name="Процентный 4 2 20 2 3" xfId="11426"/>
    <cellStyle name="Обычный 5 2 20 2 3" xfId="11427"/>
    <cellStyle name="Процентный 5 2 20 2 3" xfId="11428"/>
    <cellStyle name="Обычный 6 17 2 3" xfId="11429"/>
    <cellStyle name="Процентный 6 17 2 3" xfId="11430"/>
    <cellStyle name="Обычный 4 34 2 3" xfId="11431"/>
    <cellStyle name="Процентный 4 34 2 3" xfId="11432"/>
    <cellStyle name="Обычный 5 27 2 3" xfId="11433"/>
    <cellStyle name="Процентный 5 27 2 3" xfId="11434"/>
    <cellStyle name="Обычный 4 2 21 2 3" xfId="11435"/>
    <cellStyle name="Процентный 4 2 21 2 3" xfId="11436"/>
    <cellStyle name="Обычный 5 2 21 2 3" xfId="11437"/>
    <cellStyle name="Процентный 5 2 21 2 3" xfId="11438"/>
    <cellStyle name="Обычный 6 18 2 3" xfId="11439"/>
    <cellStyle name="Процентный 6 18 2 3" xfId="11440"/>
    <cellStyle name="Обычный 4 35 2 3" xfId="11441"/>
    <cellStyle name="Процентный 4 35 2 3" xfId="11442"/>
    <cellStyle name="Обычный 5 28 2 3" xfId="11443"/>
    <cellStyle name="Процентный 5 28 2 3" xfId="11444"/>
    <cellStyle name="Обычный 4 2 22 2 3" xfId="11445"/>
    <cellStyle name="Процентный 4 2 22 2 3" xfId="11446"/>
    <cellStyle name="Обычный 5 2 22 2 3" xfId="11447"/>
    <cellStyle name="Процентный 5 2 22 2 3" xfId="11448"/>
    <cellStyle name="Обычный 6 19 2 3" xfId="11449"/>
    <cellStyle name="Процентный 6 19 2 3" xfId="11450"/>
    <cellStyle name="Обычный 4 36 2 3" xfId="11451"/>
    <cellStyle name="Процентный 4 36 2 3" xfId="11452"/>
    <cellStyle name="Обычный 5 29 2 3" xfId="11453"/>
    <cellStyle name="Процентный 5 29 2 3" xfId="11454"/>
    <cellStyle name="Обычный 4 2 23 2 3" xfId="11455"/>
    <cellStyle name="Процентный 4 2 23 2 3" xfId="11456"/>
    <cellStyle name="Обычный 5 2 23 2 3" xfId="11457"/>
    <cellStyle name="Процентный 5 2 23 2 3" xfId="11458"/>
    <cellStyle name="Обычный 6 20 2 3" xfId="11459"/>
    <cellStyle name="Процентный 6 20 2 3" xfId="11460"/>
    <cellStyle name="Обычный 4 37 2 3" xfId="11461"/>
    <cellStyle name="Процентный 4 37 2 3" xfId="11462"/>
    <cellStyle name="Обычный 5 30 2 3" xfId="11463"/>
    <cellStyle name="Процентный 5 30 2 3" xfId="11464"/>
    <cellStyle name="Обычный 4 2 24 2 3" xfId="11465"/>
    <cellStyle name="Процентный 4 2 24 2 3" xfId="11466"/>
    <cellStyle name="Обычный 5 2 24 2 3" xfId="11467"/>
    <cellStyle name="Процентный 5 2 24 2 3" xfId="11468"/>
    <cellStyle name="Обычный 6 21 2 3" xfId="11469"/>
    <cellStyle name="Процентный 6 21 2 3" xfId="11470"/>
    <cellStyle name="Обычный 4 38 2 3" xfId="11471"/>
    <cellStyle name="Процентный 4 38 2 3" xfId="11472"/>
    <cellStyle name="Обычный 5 31 2 3" xfId="11473"/>
    <cellStyle name="Процентный 5 31 2 3" xfId="11474"/>
    <cellStyle name="Обычный 4 2 25 2 3" xfId="11475"/>
    <cellStyle name="Процентный 4 2 25 2 3" xfId="11476"/>
    <cellStyle name="Обычный 5 2 25 2 3" xfId="11477"/>
    <cellStyle name="Процентный 5 2 25 2 3" xfId="11478"/>
    <cellStyle name="Обычный 6 22 2 3" xfId="11479"/>
    <cellStyle name="Процентный 6 22 2 3" xfId="11480"/>
    <cellStyle name="Обычный 4 39 2 3" xfId="11481"/>
    <cellStyle name="Процентный 4 39 2 3" xfId="11482"/>
    <cellStyle name="Обычный 5 32 2 3" xfId="11483"/>
    <cellStyle name="Процентный 5 32 2 3" xfId="11484"/>
    <cellStyle name="Обычный 4 2 26 2 3" xfId="11485"/>
    <cellStyle name="Процентный 4 2 26 2 3" xfId="11486"/>
    <cellStyle name="Обычный 5 2 26 2 3" xfId="11487"/>
    <cellStyle name="Процентный 5 2 26 2 3" xfId="11488"/>
    <cellStyle name="Обычный 6 23 2 3" xfId="11489"/>
    <cellStyle name="Процентный 6 23 2 3" xfId="11490"/>
    <cellStyle name="Обычный 4 40 2 3" xfId="11491"/>
    <cellStyle name="Процентный 4 40 2 3" xfId="11492"/>
    <cellStyle name="Обычный 5 33 2 3" xfId="11493"/>
    <cellStyle name="Процентный 5 33 2 3" xfId="11494"/>
    <cellStyle name="Обычный 4 2 27 2 3" xfId="11495"/>
    <cellStyle name="Процентный 4 2 27 2 3" xfId="11496"/>
    <cellStyle name="Обычный 5 2 27 2 3" xfId="11497"/>
    <cellStyle name="Процентный 5 2 27 2 3" xfId="11498"/>
    <cellStyle name="Обычный 6 24 2 3" xfId="11499"/>
    <cellStyle name="Процентный 6 24 2 3" xfId="11500"/>
    <cellStyle name="Обычный 4 41 2 3" xfId="11501"/>
    <cellStyle name="Процентный 4 41 2 3" xfId="11502"/>
    <cellStyle name="Обычный 5 34 2 3" xfId="11503"/>
    <cellStyle name="Процентный 5 34 2 3" xfId="11504"/>
    <cellStyle name="Обычный 4 2 28 2 3" xfId="11505"/>
    <cellStyle name="Процентный 4 2 28 2 3" xfId="11506"/>
    <cellStyle name="Обычный 5 2 28 2 3" xfId="11507"/>
    <cellStyle name="Процентный 5 2 28 2 3" xfId="11508"/>
    <cellStyle name="Обычный 6 25 2 3" xfId="11509"/>
    <cellStyle name="Процентный 6 25 2 3" xfId="11510"/>
    <cellStyle name="Обычный 4 42 2 3" xfId="11511"/>
    <cellStyle name="Процентный 4 42 2 3" xfId="11512"/>
    <cellStyle name="Обычный 5 35 2 3" xfId="11513"/>
    <cellStyle name="Процентный 5 35 2 3" xfId="11514"/>
    <cellStyle name="Обычный 4 2 29 2 3" xfId="11515"/>
    <cellStyle name="Процентный 4 2 29 2 3" xfId="11516"/>
    <cellStyle name="Обычный 5 2 29 2 3" xfId="11517"/>
    <cellStyle name="Процентный 5 2 29 2 3" xfId="11518"/>
    <cellStyle name="Обычный 6 26 2 3" xfId="11519"/>
    <cellStyle name="Процентный 6 26 2 3" xfId="11520"/>
    <cellStyle name="Обычный 4 43 2 3" xfId="11521"/>
    <cellStyle name="Процентный 4 43 2 3" xfId="11522"/>
    <cellStyle name="Обычный 5 36 2 3" xfId="11523"/>
    <cellStyle name="Процентный 5 36 2 3" xfId="11524"/>
    <cellStyle name="Обычный 4 2 30 2 3" xfId="11525"/>
    <cellStyle name="Процентный 4 2 30 2 3" xfId="11526"/>
    <cellStyle name="Обычный 5 2 30 2 3" xfId="11527"/>
    <cellStyle name="Процентный 5 2 30 2 3" xfId="11528"/>
    <cellStyle name="Обычный 6 27 2 3" xfId="11529"/>
    <cellStyle name="Процентный 6 27 2 3" xfId="11530"/>
    <cellStyle name="Обычный 4 44 2 3" xfId="11531"/>
    <cellStyle name="Процентный 4 44 2 3" xfId="11532"/>
    <cellStyle name="Обычный 5 37 2 3" xfId="11533"/>
    <cellStyle name="Процентный 5 37 2 3" xfId="11534"/>
    <cellStyle name="Обычный 4 2 31 2 3" xfId="11535"/>
    <cellStyle name="Процентный 4 2 31 2 3" xfId="11536"/>
    <cellStyle name="Обычный 5 2 31 2 3" xfId="11537"/>
    <cellStyle name="Процентный 5 2 31 2 3" xfId="11538"/>
    <cellStyle name="Обычный 6 28 2 3" xfId="11539"/>
    <cellStyle name="Процентный 6 28 2 3" xfId="11540"/>
    <cellStyle name="Обычный 4 45 2 3" xfId="11541"/>
    <cellStyle name="Процентный 4 45 2 3" xfId="11542"/>
    <cellStyle name="Обычный 5 38 2 3" xfId="11543"/>
    <cellStyle name="Процентный 5 38 2 3" xfId="11544"/>
    <cellStyle name="Обычный 4 2 32 2 3" xfId="11545"/>
    <cellStyle name="Процентный 4 2 32 2 3" xfId="11546"/>
    <cellStyle name="Обычный 5 2 32 2 3" xfId="11547"/>
    <cellStyle name="Процентный 5 2 32 2 3" xfId="11548"/>
    <cellStyle name="Обычный 6 29 2 3" xfId="11549"/>
    <cellStyle name="Процентный 6 29 2 3" xfId="11550"/>
    <cellStyle name="Обычный 4 46 2 3" xfId="11551"/>
    <cellStyle name="Процентный 4 46 2 3" xfId="11552"/>
    <cellStyle name="Обычный 5 39 2 3" xfId="11553"/>
    <cellStyle name="Процентный 5 39 2 3" xfId="11554"/>
    <cellStyle name="Обычный 4 2 33 2 3" xfId="11555"/>
    <cellStyle name="Процентный 4 2 33 2 3" xfId="11556"/>
    <cellStyle name="Обычный 5 2 33 2 3" xfId="11557"/>
    <cellStyle name="Процентный 5 2 33 2 3" xfId="11558"/>
    <cellStyle name="Обычный 6 30 2 3" xfId="11559"/>
    <cellStyle name="Процентный 6 30 2 3" xfId="11560"/>
    <cellStyle name="Обычный 4 47 2 3" xfId="11561"/>
    <cellStyle name="Процентный 4 47 2 3" xfId="11562"/>
    <cellStyle name="Обычный 5 40 2 3" xfId="11563"/>
    <cellStyle name="Процентный 5 40 2 3" xfId="11564"/>
    <cellStyle name="Обычный 4 2 34 2 3" xfId="11565"/>
    <cellStyle name="Процентный 4 2 34 2 3" xfId="11566"/>
    <cellStyle name="Обычный 5 2 34 2 3" xfId="11567"/>
    <cellStyle name="Процентный 5 2 34 2 3" xfId="11568"/>
    <cellStyle name="Обычный 6 31 2 3" xfId="11569"/>
    <cellStyle name="Процентный 6 31 2 3" xfId="11570"/>
    <cellStyle name="Обычный 7 10 3" xfId="11571"/>
    <cellStyle name="Процентный 7 10 3" xfId="11572"/>
    <cellStyle name="Обычный 4 48 2 3" xfId="11573"/>
    <cellStyle name="Процентный 4 48 2 3" xfId="11574"/>
    <cellStyle name="Обычный 5 41 2 3" xfId="11575"/>
    <cellStyle name="Процентный 5 41 2 3" xfId="11576"/>
    <cellStyle name="Обычный 4 2 35 2 3" xfId="11577"/>
    <cellStyle name="Процентный 4 2 35 2 3" xfId="11578"/>
    <cellStyle name="Обычный 5 2 35 2 3" xfId="11579"/>
    <cellStyle name="Процентный 5 2 35 2 3" xfId="11580"/>
    <cellStyle name="Обычный 6 32 2 3" xfId="11581"/>
    <cellStyle name="Процентный 6 32 2 3" xfId="11582"/>
    <cellStyle name="Обычный 7 2 2 3" xfId="11583"/>
    <cellStyle name="Процентный 7 2 2 3" xfId="11584"/>
    <cellStyle name="Обычный 4 49 2 3" xfId="11585"/>
    <cellStyle name="Процентный 4 49 2 3" xfId="11586"/>
    <cellStyle name="Обычный 5 42 2 3" xfId="11587"/>
    <cellStyle name="Процентный 5 42 2 3" xfId="11588"/>
    <cellStyle name="Обычный 4 2 36 2 3" xfId="11589"/>
    <cellStyle name="Процентный 4 2 36 2 3" xfId="11590"/>
    <cellStyle name="Обычный 5 2 36 2 3" xfId="11591"/>
    <cellStyle name="Процентный 5 2 36 2 3" xfId="11592"/>
    <cellStyle name="Обычный 6 33 2 3" xfId="11593"/>
    <cellStyle name="Процентный 6 33 2 3" xfId="11594"/>
    <cellStyle name="Обычный 7 3 2 3" xfId="11595"/>
    <cellStyle name="Процентный 7 3 2 3" xfId="11596"/>
    <cellStyle name="Обычный 4 50 2 3" xfId="11597"/>
    <cellStyle name="Процентный 4 50 2 3" xfId="11598"/>
    <cellStyle name="Обычный 5 43 2 3" xfId="11599"/>
    <cellStyle name="Процентный 5 43 2 3" xfId="11600"/>
    <cellStyle name="Обычный 4 2 37 2 3" xfId="11601"/>
    <cellStyle name="Процентный 4 2 37 2 3" xfId="11602"/>
    <cellStyle name="Обычный 5 2 37 2 3" xfId="11603"/>
    <cellStyle name="Процентный 5 2 37 2 3" xfId="11604"/>
    <cellStyle name="Обычный 6 34 2 3" xfId="11605"/>
    <cellStyle name="Процентный 6 34 2 3" xfId="11606"/>
    <cellStyle name="Обычный 7 4 2 3" xfId="11607"/>
    <cellStyle name="Процентный 7 4 2 3" xfId="11608"/>
    <cellStyle name="Обычный 4 51 2 3" xfId="11609"/>
    <cellStyle name="Процентный 4 51 2 3" xfId="11610"/>
    <cellStyle name="Обычный 5 44 2 3" xfId="11611"/>
    <cellStyle name="Процентный 5 44 2 3" xfId="11612"/>
    <cellStyle name="Обычный 4 2 38 2 3" xfId="11613"/>
    <cellStyle name="Процентный 4 2 38 2 3" xfId="11614"/>
    <cellStyle name="Обычный 5 2 38 2 3" xfId="11615"/>
    <cellStyle name="Процентный 5 2 38 2 3" xfId="11616"/>
    <cellStyle name="Обычный 6 35 2 3" xfId="11617"/>
    <cellStyle name="Процентный 6 35 2 3" xfId="11618"/>
    <cellStyle name="Обычный 7 5 2 3" xfId="11619"/>
    <cellStyle name="Процентный 7 5 2 3" xfId="11620"/>
    <cellStyle name="Обычный 4 52 2 3" xfId="11621"/>
    <cellStyle name="Процентный 4 52 2 3" xfId="11622"/>
    <cellStyle name="Обычный 5 45 2 3" xfId="11623"/>
    <cellStyle name="Процентный 5 45 2 3" xfId="11624"/>
    <cellStyle name="Обычный 4 2 39 2 3" xfId="11625"/>
    <cellStyle name="Процентный 4 2 39 2 3" xfId="11626"/>
    <cellStyle name="Обычный 5 2 39 2 3" xfId="11627"/>
    <cellStyle name="Процентный 5 2 39 2 3" xfId="11628"/>
    <cellStyle name="Обычный 6 36 2 3" xfId="11629"/>
    <cellStyle name="Процентный 6 36 2 3" xfId="11630"/>
    <cellStyle name="Обычный 7 6 2 3" xfId="11631"/>
    <cellStyle name="Процентный 7 6 2 3" xfId="11632"/>
    <cellStyle name="Обычный 4 53 2 3" xfId="11633"/>
    <cellStyle name="Процентный 4 53 2 3" xfId="11634"/>
    <cellStyle name="Обычный 5 46 2 3" xfId="11635"/>
    <cellStyle name="Процентный 5 46 2 3" xfId="11636"/>
    <cellStyle name="Обычный 4 2 40 2 3" xfId="11637"/>
    <cellStyle name="Процентный 4 2 40 2 3" xfId="11638"/>
    <cellStyle name="Обычный 5 2 40 2 3" xfId="11639"/>
    <cellStyle name="Процентный 5 2 40 2 3" xfId="11640"/>
    <cellStyle name="Обычный 6 37 2 3" xfId="11641"/>
    <cellStyle name="Процентный 6 37 2 3" xfId="11642"/>
    <cellStyle name="Обычный 7 7 2 3" xfId="11643"/>
    <cellStyle name="Процентный 7 7 2 3" xfId="11644"/>
    <cellStyle name="Обычный 4 54 2 3" xfId="11645"/>
    <cellStyle name="Процентный 4 54 2 3" xfId="11646"/>
    <cellStyle name="Обычный 5 47 2 3" xfId="11647"/>
    <cellStyle name="Процентный 5 47 2 3" xfId="11648"/>
    <cellStyle name="Обычный 4 2 41 2 3" xfId="11649"/>
    <cellStyle name="Процентный 4 2 41 2 3" xfId="11650"/>
    <cellStyle name="Обычный 5 2 41 2 3" xfId="11651"/>
    <cellStyle name="Процентный 5 2 41 2 3" xfId="11652"/>
    <cellStyle name="Обычный 6 38 2 3" xfId="11653"/>
    <cellStyle name="Процентный 6 38 2 3" xfId="11654"/>
    <cellStyle name="Обычный 7 8 2 3" xfId="11655"/>
    <cellStyle name="Процентный 7 8 2 3" xfId="11656"/>
    <cellStyle name="Обычный 4 55 2 3" xfId="11657"/>
    <cellStyle name="Процентный 4 55 2 3" xfId="11658"/>
    <cellStyle name="Обычный 5 48 2 3" xfId="11659"/>
    <cellStyle name="Процентный 5 48 2 3" xfId="11660"/>
    <cellStyle name="Обычный 4 2 42 2 3" xfId="11661"/>
    <cellStyle name="Процентный 4 2 42 2 3" xfId="11662"/>
    <cellStyle name="Обычный 5 2 42 2 3" xfId="11663"/>
    <cellStyle name="Процентный 5 2 42 2 3" xfId="11664"/>
    <cellStyle name="Обычный 6 39 2 3" xfId="11665"/>
    <cellStyle name="Процентный 6 39 2 3" xfId="11666"/>
    <cellStyle name="Обычный 7 9 2 3" xfId="11667"/>
    <cellStyle name="Процентный 7 9 2 3" xfId="11668"/>
    <cellStyle name="Обычный 4 57 3" xfId="11669"/>
    <cellStyle name="Процентный 4 57 3" xfId="11670"/>
    <cellStyle name="Обычный 5 50 3" xfId="11671"/>
    <cellStyle name="Процентный 5 50 3" xfId="11672"/>
    <cellStyle name="Обычный 4 2 44 3" xfId="11673"/>
    <cellStyle name="Процентный 4 2 44 3" xfId="11674"/>
    <cellStyle name="Обычный 5 2 44 3" xfId="11675"/>
    <cellStyle name="Процентный 5 2 44 3" xfId="11676"/>
    <cellStyle name="Обычный 6 41 3" xfId="11677"/>
    <cellStyle name="Процентный 6 41 3" xfId="11678"/>
    <cellStyle name="Обычный 7 11 3" xfId="11679"/>
    <cellStyle name="Процентный 7 11 3" xfId="11680"/>
    <cellStyle name="Обычный 4 3 3 3" xfId="11681"/>
    <cellStyle name="Процентный 4 3 3 3" xfId="11682"/>
    <cellStyle name="Обычный 5 3 3 3" xfId="11683"/>
    <cellStyle name="Процентный 5 3 3 3" xfId="11684"/>
    <cellStyle name="Обычный 4 2 2 3 3" xfId="11685"/>
    <cellStyle name="Процентный 4 2 2 3 3" xfId="11686"/>
    <cellStyle name="Обычный 5 2 2 3 3" xfId="11687"/>
    <cellStyle name="Процентный 5 2 2 3 3" xfId="11688"/>
    <cellStyle name="Обычный 6 2 3 3" xfId="11689"/>
    <cellStyle name="Процентный 6 2 3 3" xfId="11690"/>
    <cellStyle name="Обычный 7 2 3 3" xfId="11691"/>
    <cellStyle name="Процентный 7 2 3 3" xfId="11692"/>
    <cellStyle name="Обычный 4 58 3" xfId="11693"/>
    <cellStyle name="Процентный 4 58 3" xfId="11694"/>
    <cellStyle name="Обычный 5 51 3" xfId="11695"/>
    <cellStyle name="Процентный 5 51 3" xfId="11696"/>
    <cellStyle name="Обычный 4 2 45 3" xfId="11697"/>
    <cellStyle name="Процентный 4 2 45 3" xfId="11698"/>
    <cellStyle name="Обычный 5 2 45 3" xfId="11699"/>
    <cellStyle name="Процентный 5 2 45 3" xfId="11700"/>
    <cellStyle name="Обычный 6 42 3" xfId="11701"/>
    <cellStyle name="Процентный 6 42 3" xfId="11702"/>
    <cellStyle name="Обычный 7 12 3" xfId="11703"/>
    <cellStyle name="Процентный 7 12 3" xfId="11704"/>
    <cellStyle name="Обычный 4 3 4 3" xfId="11705"/>
    <cellStyle name="Процентный 4 3 4 3" xfId="11706"/>
    <cellStyle name="Обычный 5 3 4 3" xfId="11707"/>
    <cellStyle name="Процентный 5 3 4 3" xfId="11708"/>
    <cellStyle name="Обычный 4 2 2 4 3" xfId="11709"/>
    <cellStyle name="Процентный 4 2 2 4 3" xfId="11710"/>
    <cellStyle name="Обычный 5 2 2 4 3" xfId="11711"/>
    <cellStyle name="Процентный 5 2 2 4 3" xfId="11712"/>
    <cellStyle name="Обычный 6 2 4 3" xfId="11713"/>
    <cellStyle name="Процентный 6 2 4 3" xfId="11714"/>
    <cellStyle name="Обычный 7 2 4 3" xfId="11715"/>
    <cellStyle name="Процентный 7 2 4 3" xfId="11716"/>
    <cellStyle name="Обычный 4 59 3" xfId="11717"/>
    <cellStyle name="Процентный 4 59 3" xfId="11718"/>
    <cellStyle name="Обычный 5 52 3" xfId="11719"/>
    <cellStyle name="Процентный 5 52 3" xfId="11720"/>
    <cellStyle name="Обычный 4 2 46 3" xfId="11721"/>
    <cellStyle name="Процентный 4 2 46 3" xfId="11722"/>
    <cellStyle name="Обычный 5 2 46 3" xfId="11723"/>
    <cellStyle name="Процентный 5 2 46 3" xfId="11724"/>
    <cellStyle name="Обычный 6 43 3" xfId="11725"/>
    <cellStyle name="Процентный 6 43 3" xfId="11726"/>
    <cellStyle name="Обычный 7 13 3" xfId="11727"/>
    <cellStyle name="Процентный 7 13 3" xfId="11728"/>
    <cellStyle name="Обычный 4 3 5 3" xfId="11729"/>
    <cellStyle name="Процентный 4 3 5 3" xfId="11730"/>
    <cellStyle name="Обычный 5 3 5 3" xfId="11731"/>
    <cellStyle name="Процентный 5 3 5 3" xfId="11732"/>
    <cellStyle name="Обычный 4 2 2 5 3" xfId="11733"/>
    <cellStyle name="Процентный 4 2 2 5 3" xfId="11734"/>
    <cellStyle name="Обычный 5 2 2 5 3" xfId="11735"/>
    <cellStyle name="Процентный 5 2 2 5 3" xfId="11736"/>
    <cellStyle name="Обычный 6 2 5 3" xfId="11737"/>
    <cellStyle name="Процентный 6 2 5 3" xfId="11738"/>
    <cellStyle name="Обычный 7 2 5 3" xfId="11739"/>
    <cellStyle name="Процентный 7 2 5 3" xfId="11740"/>
    <cellStyle name="Обычный 8 146" xfId="11741"/>
    <cellStyle name="Процентный 8 146" xfId="11742"/>
    <cellStyle name="Обычный 4 60 3" xfId="11743"/>
    <cellStyle name="Процентный 4 60 3" xfId="11744"/>
    <cellStyle name="Обычный 5 53 3" xfId="11745"/>
    <cellStyle name="Процентный 5 53 3" xfId="11746"/>
    <cellStyle name="Обычный 4 2 47 3" xfId="11747"/>
    <cellStyle name="Процентный 4 2 47 3" xfId="11748"/>
    <cellStyle name="Обычный 5 2 47 3" xfId="11749"/>
    <cellStyle name="Процентный 5 2 47 3" xfId="11750"/>
    <cellStyle name="Обычный 6 44 3" xfId="11751"/>
    <cellStyle name="Процентный 6 44 3" xfId="11752"/>
    <cellStyle name="Обычный 7 14 3" xfId="11753"/>
    <cellStyle name="Процентный 7 14 3" xfId="11754"/>
    <cellStyle name="Обычный 4 3 6 3" xfId="11755"/>
    <cellStyle name="Процентный 4 3 6 3" xfId="11756"/>
    <cellStyle name="Обычный 5 3 6 3" xfId="11757"/>
    <cellStyle name="Процентный 5 3 6 3" xfId="11758"/>
    <cellStyle name="Обычный 4 2 2 6 3" xfId="11759"/>
    <cellStyle name="Процентный 4 2 2 6 3" xfId="11760"/>
    <cellStyle name="Обычный 5 2 2 6 3" xfId="11761"/>
    <cellStyle name="Процентный 5 2 2 6 3" xfId="11762"/>
    <cellStyle name="Обычный 6 2 6 3" xfId="11763"/>
    <cellStyle name="Процентный 6 2 6 3" xfId="11764"/>
    <cellStyle name="Обычный 7 2 6 3" xfId="11765"/>
    <cellStyle name="Процентный 7 2 6 3" xfId="11766"/>
    <cellStyle name="Обычный 8 2 3" xfId="11767"/>
    <cellStyle name="Процентный 8 2 3" xfId="11768"/>
    <cellStyle name="Обычный 4 61 3" xfId="11769"/>
    <cellStyle name="Процентный 4 61 3" xfId="11770"/>
    <cellStyle name="Обычный 5 54 3" xfId="11771"/>
    <cellStyle name="Процентный 5 54 3" xfId="11772"/>
    <cellStyle name="Обычный 4 2 48 3" xfId="11773"/>
    <cellStyle name="Процентный 4 2 48 3" xfId="11774"/>
    <cellStyle name="Обычный 5 2 48 3" xfId="11775"/>
    <cellStyle name="Процентный 5 2 48 3" xfId="11776"/>
    <cellStyle name="Обычный 6 45 3" xfId="11777"/>
    <cellStyle name="Процентный 6 45 3" xfId="11778"/>
    <cellStyle name="Обычный 7 15 3" xfId="11779"/>
    <cellStyle name="Процентный 7 15 3" xfId="11780"/>
    <cellStyle name="Обычный 4 3 7 3" xfId="11781"/>
    <cellStyle name="Процентный 4 3 7 3" xfId="11782"/>
    <cellStyle name="Обычный 5 3 7 3" xfId="11783"/>
    <cellStyle name="Процентный 5 3 7 3" xfId="11784"/>
    <cellStyle name="Обычный 4 2 2 7 3" xfId="11785"/>
    <cellStyle name="Процентный 4 2 2 7 3" xfId="11786"/>
    <cellStyle name="Обычный 5 2 2 7 3" xfId="11787"/>
    <cellStyle name="Процентный 5 2 2 7 3" xfId="11788"/>
    <cellStyle name="Обычный 6 2 7 3" xfId="11789"/>
    <cellStyle name="Процентный 6 2 7 3" xfId="11790"/>
    <cellStyle name="Обычный 7 2 7 3" xfId="11791"/>
    <cellStyle name="Процентный 7 2 7 3" xfId="11792"/>
    <cellStyle name="Обычный 8 3 3" xfId="11793"/>
    <cellStyle name="Процентный 8 3 3" xfId="11794"/>
    <cellStyle name="Обычный 4 62 3" xfId="11795"/>
    <cellStyle name="Процентный 4 62 3" xfId="11796"/>
    <cellStyle name="Обычный 5 55 3" xfId="11797"/>
    <cellStyle name="Процентный 5 55 3" xfId="11798"/>
    <cellStyle name="Обычный 4 2 49 3" xfId="11799"/>
    <cellStyle name="Процентный 4 2 49 3" xfId="11800"/>
    <cellStyle name="Обычный 5 2 49 3" xfId="11801"/>
    <cellStyle name="Процентный 5 2 49 3" xfId="11802"/>
    <cellStyle name="Обычный 6 46 3" xfId="11803"/>
    <cellStyle name="Процентный 6 46 3" xfId="11804"/>
    <cellStyle name="Обычный 7 16 3" xfId="11805"/>
    <cellStyle name="Процентный 7 16 3" xfId="11806"/>
    <cellStyle name="Обычный 4 3 8 3" xfId="11807"/>
    <cellStyle name="Процентный 4 3 8 3" xfId="11808"/>
    <cellStyle name="Обычный 5 3 8 3" xfId="11809"/>
    <cellStyle name="Процентный 5 3 8 3" xfId="11810"/>
    <cellStyle name="Обычный 4 2 2 8 3" xfId="11811"/>
    <cellStyle name="Процентный 4 2 2 8 3" xfId="11812"/>
    <cellStyle name="Обычный 5 2 2 8 3" xfId="11813"/>
    <cellStyle name="Процентный 5 2 2 8 3" xfId="11814"/>
    <cellStyle name="Обычный 6 2 8 3" xfId="11815"/>
    <cellStyle name="Процентный 6 2 8 3" xfId="11816"/>
    <cellStyle name="Обычный 7 2 8 3" xfId="11817"/>
    <cellStyle name="Процентный 7 2 8 3" xfId="11818"/>
    <cellStyle name="Обычный 8 4 3" xfId="11819"/>
    <cellStyle name="Процентный 8 4 3" xfId="11820"/>
    <cellStyle name="Обычный 4 63 3" xfId="11821"/>
    <cellStyle name="Процентный 4 63 3" xfId="11822"/>
    <cellStyle name="Обычный 5 56 3" xfId="11823"/>
    <cellStyle name="Процентный 5 56 3" xfId="11824"/>
    <cellStyle name="Обычный 4 2 50 3" xfId="11825"/>
    <cellStyle name="Процентный 4 2 50 3" xfId="11826"/>
    <cellStyle name="Обычный 5 2 50 3" xfId="11827"/>
    <cellStyle name="Процентный 5 2 50 3" xfId="11828"/>
    <cellStyle name="Обычный 6 47 3" xfId="11829"/>
    <cellStyle name="Процентный 6 47 3" xfId="11830"/>
    <cellStyle name="Обычный 7 17 3" xfId="11831"/>
    <cellStyle name="Процентный 7 17 3" xfId="11832"/>
    <cellStyle name="Обычный 4 3 9 3" xfId="11833"/>
    <cellStyle name="Процентный 4 3 9 3" xfId="11834"/>
    <cellStyle name="Обычный 5 3 9 3" xfId="11835"/>
    <cellStyle name="Процентный 5 3 9 3" xfId="11836"/>
    <cellStyle name="Обычный 4 2 2 9 3" xfId="11837"/>
    <cellStyle name="Процентный 4 2 2 9 3" xfId="11838"/>
    <cellStyle name="Обычный 5 2 2 9 3" xfId="11839"/>
    <cellStyle name="Процентный 5 2 2 9 3" xfId="11840"/>
    <cellStyle name="Обычный 6 2 9 3" xfId="11841"/>
    <cellStyle name="Процентный 6 2 9 3" xfId="11842"/>
    <cellStyle name="Обычный 7 2 9 3" xfId="11843"/>
    <cellStyle name="Процентный 7 2 9 3" xfId="11844"/>
    <cellStyle name="Обычный 8 5 3" xfId="11845"/>
    <cellStyle name="Процентный 8 5 3" xfId="11846"/>
    <cellStyle name="Обычный 4 64 3" xfId="11847"/>
    <cellStyle name="Процентный 4 64 3" xfId="11848"/>
    <cellStyle name="Обычный 5 57 3" xfId="11849"/>
    <cellStyle name="Процентный 5 57 3" xfId="11850"/>
    <cellStyle name="Обычный 4 2 51 3" xfId="11851"/>
    <cellStyle name="Процентный 4 2 51 3" xfId="11852"/>
    <cellStyle name="Обычный 5 2 51 3" xfId="11853"/>
    <cellStyle name="Процентный 5 2 51 3" xfId="11854"/>
    <cellStyle name="Обычный 6 48 3" xfId="11855"/>
    <cellStyle name="Процентный 6 48 3" xfId="11856"/>
    <cellStyle name="Обычный 7 18 3" xfId="11857"/>
    <cellStyle name="Процентный 7 18 3" xfId="11858"/>
    <cellStyle name="Обычный 4 3 10 3" xfId="11859"/>
    <cellStyle name="Процентный 4 3 10 3" xfId="11860"/>
    <cellStyle name="Обычный 5 3 10 3" xfId="11861"/>
    <cellStyle name="Процентный 5 3 10 3" xfId="11862"/>
    <cellStyle name="Обычный 4 2 2 10 3" xfId="11863"/>
    <cellStyle name="Процентный 4 2 2 10 3" xfId="11864"/>
    <cellStyle name="Обычный 5 2 2 10 3" xfId="11865"/>
    <cellStyle name="Процентный 5 2 2 10 3" xfId="11866"/>
    <cellStyle name="Обычный 6 2 10 3" xfId="11867"/>
    <cellStyle name="Процентный 6 2 10 3" xfId="11868"/>
    <cellStyle name="Обычный 7 2 10 3" xfId="11869"/>
    <cellStyle name="Процентный 7 2 10 3" xfId="11870"/>
    <cellStyle name="Обычный 8 6 3" xfId="11871"/>
    <cellStyle name="Процентный 8 6 3" xfId="11872"/>
    <cellStyle name="Обычный 4 65 3" xfId="11873"/>
    <cellStyle name="Процентный 4 65 3" xfId="11874"/>
    <cellStyle name="Обычный 5 58 3" xfId="11875"/>
    <cellStyle name="Процентный 5 58 3" xfId="11876"/>
    <cellStyle name="Обычный 4 2 52 3" xfId="11877"/>
    <cellStyle name="Процентный 4 2 52 3" xfId="11878"/>
    <cellStyle name="Обычный 5 2 52 3" xfId="11879"/>
    <cellStyle name="Процентный 5 2 52 3" xfId="11880"/>
    <cellStyle name="Обычный 6 49 3" xfId="11881"/>
    <cellStyle name="Процентный 6 49 3" xfId="11882"/>
    <cellStyle name="Обычный 7 19 3" xfId="11883"/>
    <cellStyle name="Процентный 7 19 3" xfId="11884"/>
    <cellStyle name="Обычный 4 3 11 3" xfId="11885"/>
    <cellStyle name="Процентный 4 3 11 3" xfId="11886"/>
    <cellStyle name="Обычный 5 3 11 3" xfId="11887"/>
    <cellStyle name="Процентный 5 3 11 3" xfId="11888"/>
    <cellStyle name="Обычный 4 2 2 11 3" xfId="11889"/>
    <cellStyle name="Процентный 4 2 2 11 3" xfId="11890"/>
    <cellStyle name="Обычный 5 2 2 11 3" xfId="11891"/>
    <cellStyle name="Процентный 5 2 2 11 3" xfId="11892"/>
    <cellStyle name="Обычный 6 2 11 3" xfId="11893"/>
    <cellStyle name="Процентный 6 2 11 3" xfId="11894"/>
    <cellStyle name="Обычный 7 2 11 3" xfId="11895"/>
    <cellStyle name="Процентный 7 2 11 3" xfId="11896"/>
    <cellStyle name="Обычный 8 7 3" xfId="11897"/>
    <cellStyle name="Процентный 8 7 3" xfId="11898"/>
    <cellStyle name="Обычный 4 66 3" xfId="11899"/>
    <cellStyle name="Процентный 4 66 3" xfId="11900"/>
    <cellStyle name="Обычный 5 59 3" xfId="11901"/>
    <cellStyle name="Процентный 5 59 3" xfId="11902"/>
    <cellStyle name="Обычный 4 2 53 3" xfId="11903"/>
    <cellStyle name="Процентный 4 2 53 3" xfId="11904"/>
    <cellStyle name="Обычный 5 2 53 3" xfId="11905"/>
    <cellStyle name="Процентный 5 2 53 3" xfId="11906"/>
    <cellStyle name="Обычный 6 50 3" xfId="11907"/>
    <cellStyle name="Процентный 6 50 3" xfId="11908"/>
    <cellStyle name="Обычный 7 20 3" xfId="11909"/>
    <cellStyle name="Процентный 7 20 3" xfId="11910"/>
    <cellStyle name="Обычный 4 3 12 3" xfId="11911"/>
    <cellStyle name="Процентный 4 3 12 3" xfId="11912"/>
    <cellStyle name="Обычный 5 3 12 3" xfId="11913"/>
    <cellStyle name="Процентный 5 3 12 3" xfId="11914"/>
    <cellStyle name="Обычный 4 2 2 12 3" xfId="11915"/>
    <cellStyle name="Процентный 4 2 2 12 3" xfId="11916"/>
    <cellStyle name="Обычный 5 2 2 12 3" xfId="11917"/>
    <cellStyle name="Процентный 5 2 2 12 3" xfId="11918"/>
    <cellStyle name="Обычный 6 2 12 3" xfId="11919"/>
    <cellStyle name="Процентный 6 2 12 3" xfId="11920"/>
    <cellStyle name="Обычный 7 2 12 3" xfId="11921"/>
    <cellStyle name="Процентный 7 2 12 3" xfId="11922"/>
    <cellStyle name="Обычный 8 8 3" xfId="11923"/>
    <cellStyle name="Процентный 8 8 3" xfId="11924"/>
    <cellStyle name="Обычный 4 67 3" xfId="11925"/>
    <cellStyle name="Процентный 4 67 3" xfId="11926"/>
    <cellStyle name="Обычный 5 60 3" xfId="11927"/>
    <cellStyle name="Процентный 5 60 3" xfId="11928"/>
    <cellStyle name="Обычный 4 2 54 3" xfId="11929"/>
    <cellStyle name="Процентный 4 2 54 3" xfId="11930"/>
    <cellStyle name="Обычный 5 2 54 3" xfId="11931"/>
    <cellStyle name="Процентный 5 2 54 3" xfId="11932"/>
    <cellStyle name="Обычный 6 51 3" xfId="11933"/>
    <cellStyle name="Процентный 6 51 3" xfId="11934"/>
    <cellStyle name="Обычный 7 21 3" xfId="11935"/>
    <cellStyle name="Процентный 7 21 3" xfId="11936"/>
    <cellStyle name="Обычный 4 3 13 3" xfId="11937"/>
    <cellStyle name="Процентный 4 3 13 3" xfId="11938"/>
    <cellStyle name="Обычный 5 3 13 3" xfId="11939"/>
    <cellStyle name="Процентный 5 3 13 3" xfId="11940"/>
    <cellStyle name="Обычный 4 2 2 13 3" xfId="11941"/>
    <cellStyle name="Процентный 4 2 2 13 3" xfId="11942"/>
    <cellStyle name="Обычный 5 2 2 13 3" xfId="11943"/>
    <cellStyle name="Процентный 5 2 2 13 3" xfId="11944"/>
    <cellStyle name="Обычный 6 2 13 3" xfId="11945"/>
    <cellStyle name="Процентный 6 2 13 3" xfId="11946"/>
    <cellStyle name="Обычный 7 2 13 3" xfId="11947"/>
    <cellStyle name="Процентный 7 2 13 3" xfId="11948"/>
    <cellStyle name="Обычный 8 9 3" xfId="11949"/>
    <cellStyle name="Процентный 8 9 3" xfId="11950"/>
    <cellStyle name="Обычный 4 68 3" xfId="11951"/>
    <cellStyle name="Процентный 4 68 3" xfId="11952"/>
    <cellStyle name="Обычный 5 61 3" xfId="11953"/>
    <cellStyle name="Процентный 5 61 3" xfId="11954"/>
    <cellStyle name="Обычный 4 2 55 3" xfId="11955"/>
    <cellStyle name="Процентный 4 2 55 3" xfId="11956"/>
    <cellStyle name="Обычный 5 2 55 3" xfId="11957"/>
    <cellStyle name="Процентный 5 2 55 3" xfId="11958"/>
    <cellStyle name="Обычный 6 52 3" xfId="11959"/>
    <cellStyle name="Процентный 6 52 3" xfId="11960"/>
    <cellStyle name="Обычный 7 22 3" xfId="11961"/>
    <cellStyle name="Процентный 7 22 3" xfId="11962"/>
    <cellStyle name="Обычный 4 3 14 3" xfId="11963"/>
    <cellStyle name="Процентный 4 3 14 3" xfId="11964"/>
    <cellStyle name="Обычный 5 3 14 3" xfId="11965"/>
    <cellStyle name="Процентный 5 3 14 3" xfId="11966"/>
    <cellStyle name="Обычный 4 2 2 14 3" xfId="11967"/>
    <cellStyle name="Процентный 4 2 2 14 3" xfId="11968"/>
    <cellStyle name="Обычный 5 2 2 14 3" xfId="11969"/>
    <cellStyle name="Процентный 5 2 2 14 3" xfId="11970"/>
    <cellStyle name="Обычный 6 2 14 3" xfId="11971"/>
    <cellStyle name="Процентный 6 2 14 3" xfId="11972"/>
    <cellStyle name="Обычный 7 2 14 3" xfId="11973"/>
    <cellStyle name="Процентный 7 2 14 3" xfId="11974"/>
    <cellStyle name="Обычный 8 10 3" xfId="11975"/>
    <cellStyle name="Процентный 8 10 3" xfId="11976"/>
    <cellStyle name="Обычный 4 69 3" xfId="11977"/>
    <cellStyle name="Процентный 4 69 3" xfId="11978"/>
    <cellStyle name="Обычный 5 62 3" xfId="11979"/>
    <cellStyle name="Процентный 5 62 3" xfId="11980"/>
    <cellStyle name="Обычный 4 2 56 3" xfId="11981"/>
    <cellStyle name="Процентный 4 2 56 3" xfId="11982"/>
    <cellStyle name="Обычный 5 2 56 3" xfId="11983"/>
    <cellStyle name="Процентный 5 2 56 3" xfId="11984"/>
    <cellStyle name="Обычный 6 53 3" xfId="11985"/>
    <cellStyle name="Процентный 6 53 3" xfId="11986"/>
    <cellStyle name="Обычный 7 23 3" xfId="11987"/>
    <cellStyle name="Процентный 7 23 3" xfId="11988"/>
    <cellStyle name="Обычный 4 3 15 3" xfId="11989"/>
    <cellStyle name="Процентный 4 3 15 3" xfId="11990"/>
    <cellStyle name="Обычный 5 3 15 3" xfId="11991"/>
    <cellStyle name="Процентный 5 3 15 3" xfId="11992"/>
    <cellStyle name="Обычный 4 2 2 15 3" xfId="11993"/>
    <cellStyle name="Процентный 4 2 2 15 3" xfId="11994"/>
    <cellStyle name="Обычный 5 2 2 15 3" xfId="11995"/>
    <cellStyle name="Процентный 5 2 2 15 3" xfId="11996"/>
    <cellStyle name="Обычный 6 2 15 3" xfId="11997"/>
    <cellStyle name="Процентный 6 2 15 3" xfId="11998"/>
    <cellStyle name="Обычный 7 2 15 3" xfId="11999"/>
    <cellStyle name="Процентный 7 2 15 3" xfId="12000"/>
    <cellStyle name="Обычный 8 11 3" xfId="12001"/>
    <cellStyle name="Процентный 8 11 3" xfId="12002"/>
    <cellStyle name="Обычный 4 70 3" xfId="12003"/>
    <cellStyle name="Процентный 4 70 3" xfId="12004"/>
    <cellStyle name="Обычный 5 63 3" xfId="12005"/>
    <cellStyle name="Процентный 5 63 3" xfId="12006"/>
    <cellStyle name="Обычный 4 2 57 3" xfId="12007"/>
    <cellStyle name="Процентный 4 2 57 3" xfId="12008"/>
    <cellStyle name="Обычный 5 2 57 3" xfId="12009"/>
    <cellStyle name="Процентный 5 2 57 3" xfId="12010"/>
    <cellStyle name="Обычный 6 54 3" xfId="12011"/>
    <cellStyle name="Процентный 6 54 3" xfId="12012"/>
    <cellStyle name="Обычный 7 24 3" xfId="12013"/>
    <cellStyle name="Процентный 7 24 3" xfId="12014"/>
    <cellStyle name="Обычный 4 3 16 3" xfId="12015"/>
    <cellStyle name="Процентный 4 3 16 3" xfId="12016"/>
    <cellStyle name="Обычный 5 3 16 3" xfId="12017"/>
    <cellStyle name="Процентный 5 3 16 3" xfId="12018"/>
    <cellStyle name="Обычный 4 2 2 16 3" xfId="12019"/>
    <cellStyle name="Процентный 4 2 2 16 3" xfId="12020"/>
    <cellStyle name="Обычный 5 2 2 16 3" xfId="12021"/>
    <cellStyle name="Процентный 5 2 2 16 3" xfId="12022"/>
    <cellStyle name="Обычный 6 2 16 3" xfId="12023"/>
    <cellStyle name="Процентный 6 2 16 3" xfId="12024"/>
    <cellStyle name="Обычный 7 2 16 3" xfId="12025"/>
    <cellStyle name="Процентный 7 2 16 3" xfId="12026"/>
    <cellStyle name="Обычный 8 12 3" xfId="12027"/>
    <cellStyle name="Процентный 8 12 3" xfId="12028"/>
    <cellStyle name="Обычный 4 71 3" xfId="12029"/>
    <cellStyle name="Процентный 4 71 3" xfId="12030"/>
    <cellStyle name="Обычный 5 64 3" xfId="12031"/>
    <cellStyle name="Процентный 5 64 3" xfId="12032"/>
    <cellStyle name="Обычный 4 2 58 3" xfId="12033"/>
    <cellStyle name="Процентный 4 2 58 3" xfId="12034"/>
    <cellStyle name="Обычный 5 2 58 3" xfId="12035"/>
    <cellStyle name="Процентный 5 2 58 3" xfId="12036"/>
    <cellStyle name="Обычный 6 55 3" xfId="12037"/>
    <cellStyle name="Процентный 6 55 3" xfId="12038"/>
    <cellStyle name="Обычный 7 25 3" xfId="12039"/>
    <cellStyle name="Процентный 7 25 3" xfId="12040"/>
    <cellStyle name="Обычный 4 3 17 3" xfId="12041"/>
    <cellStyle name="Процентный 4 3 17 3" xfId="12042"/>
    <cellStyle name="Обычный 5 3 17 3" xfId="12043"/>
    <cellStyle name="Процентный 5 3 17 3" xfId="12044"/>
    <cellStyle name="Обычный 4 2 2 17 3" xfId="12045"/>
    <cellStyle name="Процентный 4 2 2 17 3" xfId="12046"/>
    <cellStyle name="Обычный 5 2 2 17 3" xfId="12047"/>
    <cellStyle name="Процентный 5 2 2 17 3" xfId="12048"/>
    <cellStyle name="Обычный 6 2 17 3" xfId="12049"/>
    <cellStyle name="Процентный 6 2 17 3" xfId="12050"/>
    <cellStyle name="Обычный 7 2 17 3" xfId="12051"/>
    <cellStyle name="Процентный 7 2 17 3" xfId="12052"/>
    <cellStyle name="Обычный 8 13 3" xfId="12053"/>
    <cellStyle name="Процентный 8 13 3" xfId="12054"/>
    <cellStyle name="Обычный 4 72 3" xfId="12055"/>
    <cellStyle name="Процентный 4 72 3" xfId="12056"/>
    <cellStyle name="Обычный 5 65 3" xfId="12057"/>
    <cellStyle name="Процентный 5 65 3" xfId="12058"/>
    <cellStyle name="Обычный 4 2 59 3" xfId="12059"/>
    <cellStyle name="Процентный 4 2 59 3" xfId="12060"/>
    <cellStyle name="Обычный 5 2 59 3" xfId="12061"/>
    <cellStyle name="Процентный 5 2 59 3" xfId="12062"/>
    <cellStyle name="Обычный 6 56 3" xfId="12063"/>
    <cellStyle name="Процентный 6 56 3" xfId="12064"/>
    <cellStyle name="Обычный 7 26 3" xfId="12065"/>
    <cellStyle name="Процентный 7 26 3" xfId="12066"/>
    <cellStyle name="Обычный 4 3 18 3" xfId="12067"/>
    <cellStyle name="Процентный 4 3 18 3" xfId="12068"/>
    <cellStyle name="Обычный 5 3 18 3" xfId="12069"/>
    <cellStyle name="Процентный 5 3 18 3" xfId="12070"/>
    <cellStyle name="Обычный 4 2 2 18 3" xfId="12071"/>
    <cellStyle name="Процентный 4 2 2 18 3" xfId="12072"/>
    <cellStyle name="Обычный 5 2 2 18 3" xfId="12073"/>
    <cellStyle name="Процентный 5 2 2 18 3" xfId="12074"/>
    <cellStyle name="Обычный 6 2 18 3" xfId="12075"/>
    <cellStyle name="Процентный 6 2 18 3" xfId="12076"/>
    <cellStyle name="Обычный 7 2 18 3" xfId="12077"/>
    <cellStyle name="Процентный 7 2 18 3" xfId="12078"/>
    <cellStyle name="Обычный 8 14 3" xfId="12079"/>
    <cellStyle name="Процентный 8 14 3" xfId="12080"/>
    <cellStyle name="Обычный 4 73 3" xfId="12081"/>
    <cellStyle name="Процентный 4 73 3" xfId="12082"/>
    <cellStyle name="Обычный 5 66 3" xfId="12083"/>
    <cellStyle name="Процентный 5 66 3" xfId="12084"/>
    <cellStyle name="Обычный 4 2 60 3" xfId="12085"/>
    <cellStyle name="Процентный 4 2 60 3" xfId="12086"/>
    <cellStyle name="Обычный 5 2 60 3" xfId="12087"/>
    <cellStyle name="Процентный 5 2 60 3" xfId="12088"/>
    <cellStyle name="Обычный 6 57 3" xfId="12089"/>
    <cellStyle name="Процентный 6 57 3" xfId="12090"/>
    <cellStyle name="Обычный 7 27 3" xfId="12091"/>
    <cellStyle name="Процентный 7 27 3" xfId="12092"/>
    <cellStyle name="Обычный 4 3 19 3" xfId="12093"/>
    <cellStyle name="Процентный 4 3 19 3" xfId="12094"/>
    <cellStyle name="Обычный 5 3 19 3" xfId="12095"/>
    <cellStyle name="Процентный 5 3 19 3" xfId="12096"/>
    <cellStyle name="Обычный 4 2 2 19 3" xfId="12097"/>
    <cellStyle name="Процентный 4 2 2 19 3" xfId="12098"/>
    <cellStyle name="Обычный 5 2 2 19 3" xfId="12099"/>
    <cellStyle name="Процентный 5 2 2 19 3" xfId="12100"/>
    <cellStyle name="Обычный 6 2 19 3" xfId="12101"/>
    <cellStyle name="Процентный 6 2 19 3" xfId="12102"/>
    <cellStyle name="Обычный 7 2 19 3" xfId="12103"/>
    <cellStyle name="Процентный 7 2 19 3" xfId="12104"/>
    <cellStyle name="Обычный 8 15 3" xfId="12105"/>
    <cellStyle name="Процентный 8 15 3" xfId="12106"/>
    <cellStyle name="Обычный 4 74 3" xfId="12107"/>
    <cellStyle name="Процентный 4 74 3" xfId="12108"/>
    <cellStyle name="Обычный 5 67 3" xfId="12109"/>
    <cellStyle name="Процентный 5 67 3" xfId="12110"/>
    <cellStyle name="Обычный 4 2 61 3" xfId="12111"/>
    <cellStyle name="Процентный 4 2 61 3" xfId="12112"/>
    <cellStyle name="Обычный 5 2 61 3" xfId="12113"/>
    <cellStyle name="Процентный 5 2 61 3" xfId="12114"/>
    <cellStyle name="Обычный 6 58 3" xfId="12115"/>
    <cellStyle name="Процентный 6 58 3" xfId="12116"/>
    <cellStyle name="Обычный 7 28 3" xfId="12117"/>
    <cellStyle name="Процентный 7 28 3" xfId="12118"/>
    <cellStyle name="Обычный 4 3 20 3" xfId="12119"/>
    <cellStyle name="Процентный 4 3 20 3" xfId="12120"/>
    <cellStyle name="Обычный 5 3 20 3" xfId="12121"/>
    <cellStyle name="Процентный 5 3 20 3" xfId="12122"/>
    <cellStyle name="Обычный 4 2 2 20 3" xfId="12123"/>
    <cellStyle name="Процентный 4 2 2 20 3" xfId="12124"/>
    <cellStyle name="Обычный 5 2 2 20 3" xfId="12125"/>
    <cellStyle name="Процентный 5 2 2 20 3" xfId="12126"/>
    <cellStyle name="Обычный 6 2 20 3" xfId="12127"/>
    <cellStyle name="Процентный 6 2 20 3" xfId="12128"/>
    <cellStyle name="Обычный 7 2 20 3" xfId="12129"/>
    <cellStyle name="Процентный 7 2 20 3" xfId="12130"/>
    <cellStyle name="Обычный 8 16 3" xfId="12131"/>
    <cellStyle name="Процентный 8 16 3" xfId="12132"/>
    <cellStyle name="Обычный 4 75 3" xfId="12133"/>
    <cellStyle name="Процентный 4 75 3" xfId="12134"/>
    <cellStyle name="Обычный 5 68 3" xfId="12135"/>
    <cellStyle name="Процентный 5 68 3" xfId="12136"/>
    <cellStyle name="Обычный 4 2 62 3" xfId="12137"/>
    <cellStyle name="Процентный 4 2 62 3" xfId="12138"/>
    <cellStyle name="Обычный 5 2 62 3" xfId="12139"/>
    <cellStyle name="Процентный 5 2 62 3" xfId="12140"/>
    <cellStyle name="Обычный 6 59 3" xfId="12141"/>
    <cellStyle name="Процентный 6 59 3" xfId="12142"/>
    <cellStyle name="Обычный 7 29 3" xfId="12143"/>
    <cellStyle name="Процентный 7 29 3" xfId="12144"/>
    <cellStyle name="Обычный 4 3 21 3" xfId="12145"/>
    <cellStyle name="Процентный 4 3 21 3" xfId="12146"/>
    <cellStyle name="Обычный 5 3 21 3" xfId="12147"/>
    <cellStyle name="Процентный 5 3 21 3" xfId="12148"/>
    <cellStyle name="Обычный 4 2 2 21 3" xfId="12149"/>
    <cellStyle name="Процентный 4 2 2 21 3" xfId="12150"/>
    <cellStyle name="Обычный 5 2 2 21 3" xfId="12151"/>
    <cellStyle name="Процентный 5 2 2 21 3" xfId="12152"/>
    <cellStyle name="Обычный 6 2 21 3" xfId="12153"/>
    <cellStyle name="Процентный 6 2 21 3" xfId="12154"/>
    <cellStyle name="Обычный 7 2 21 3" xfId="12155"/>
    <cellStyle name="Процентный 7 2 21 3" xfId="12156"/>
    <cellStyle name="Обычный 8 17 3" xfId="12157"/>
    <cellStyle name="Процентный 8 17 3" xfId="12158"/>
    <cellStyle name="Обычный 4 76 3" xfId="12159"/>
    <cellStyle name="Процентный 4 76 3" xfId="12160"/>
    <cellStyle name="Обычный 5 69 3" xfId="12161"/>
    <cellStyle name="Процентный 5 69 3" xfId="12162"/>
    <cellStyle name="Обычный 4 2 63 3" xfId="12163"/>
    <cellStyle name="Процентный 4 2 63 3" xfId="12164"/>
    <cellStyle name="Обычный 5 2 63 3" xfId="12165"/>
    <cellStyle name="Процентный 5 2 63 3" xfId="12166"/>
    <cellStyle name="Обычный 6 60 3" xfId="12167"/>
    <cellStyle name="Процентный 6 60 3" xfId="12168"/>
    <cellStyle name="Обычный 7 30 3" xfId="12169"/>
    <cellStyle name="Процентный 7 30 3" xfId="12170"/>
    <cellStyle name="Обычный 4 3 22 3" xfId="12171"/>
    <cellStyle name="Процентный 4 3 22 3" xfId="12172"/>
    <cellStyle name="Обычный 5 3 22 3" xfId="12173"/>
    <cellStyle name="Процентный 5 3 22 3" xfId="12174"/>
    <cellStyle name="Обычный 4 2 2 22 3" xfId="12175"/>
    <cellStyle name="Процентный 4 2 2 22 3" xfId="12176"/>
    <cellStyle name="Обычный 5 2 2 22 3" xfId="12177"/>
    <cellStyle name="Процентный 5 2 2 22 3" xfId="12178"/>
    <cellStyle name="Обычный 6 2 22 3" xfId="12179"/>
    <cellStyle name="Процентный 6 2 22 3" xfId="12180"/>
    <cellStyle name="Обычный 7 2 22 3" xfId="12181"/>
    <cellStyle name="Процентный 7 2 22 3" xfId="12182"/>
    <cellStyle name="Обычный 8 18 3" xfId="12183"/>
    <cellStyle name="Процентный 8 18 3" xfId="12184"/>
    <cellStyle name="Обычный 4 77 3" xfId="12185"/>
    <cellStyle name="Процентный 4 77 3" xfId="12186"/>
    <cellStyle name="Обычный 5 70 3" xfId="12187"/>
    <cellStyle name="Процентный 5 70 3" xfId="12188"/>
    <cellStyle name="Обычный 4 2 64 3" xfId="12189"/>
    <cellStyle name="Процентный 4 2 64 3" xfId="12190"/>
    <cellStyle name="Обычный 5 2 64 3" xfId="12191"/>
    <cellStyle name="Процентный 5 2 64 3" xfId="12192"/>
    <cellStyle name="Обычный 6 61 3" xfId="12193"/>
    <cellStyle name="Процентный 6 61 3" xfId="12194"/>
    <cellStyle name="Обычный 7 31 3" xfId="12195"/>
    <cellStyle name="Процентный 7 31 3" xfId="12196"/>
    <cellStyle name="Обычный 4 3 23 3" xfId="12197"/>
    <cellStyle name="Процентный 4 3 23 3" xfId="12198"/>
    <cellStyle name="Обычный 5 3 23 3" xfId="12199"/>
    <cellStyle name="Процентный 5 3 23 3" xfId="12200"/>
    <cellStyle name="Обычный 4 2 2 23 3" xfId="12201"/>
    <cellStyle name="Процентный 4 2 2 23 3" xfId="12202"/>
    <cellStyle name="Обычный 5 2 2 23 3" xfId="12203"/>
    <cellStyle name="Процентный 5 2 2 23 3" xfId="12204"/>
    <cellStyle name="Обычный 6 2 23 3" xfId="12205"/>
    <cellStyle name="Процентный 6 2 23 3" xfId="12206"/>
    <cellStyle name="Обычный 7 2 23 3" xfId="12207"/>
    <cellStyle name="Процентный 7 2 23 3" xfId="12208"/>
    <cellStyle name="Обычный 8 19 3" xfId="12209"/>
    <cellStyle name="Процентный 8 19 3" xfId="12210"/>
    <cellStyle name="Обычный 4 78 3" xfId="12211"/>
    <cellStyle name="Процентный 4 78 3" xfId="12212"/>
    <cellStyle name="Обычный 5 71 3" xfId="12213"/>
    <cellStyle name="Процентный 5 71 3" xfId="12214"/>
    <cellStyle name="Обычный 4 2 65 3" xfId="12215"/>
    <cellStyle name="Процентный 4 2 65 3" xfId="12216"/>
    <cellStyle name="Обычный 5 2 65 3" xfId="12217"/>
    <cellStyle name="Процентный 5 2 65 3" xfId="12218"/>
    <cellStyle name="Обычный 6 62 3" xfId="12219"/>
    <cellStyle name="Процентный 6 62 3" xfId="12220"/>
    <cellStyle name="Обычный 7 32 3" xfId="12221"/>
    <cellStyle name="Процентный 7 32 3" xfId="12222"/>
    <cellStyle name="Обычный 4 3 24 3" xfId="12223"/>
    <cellStyle name="Процентный 4 3 24 3" xfId="12224"/>
    <cellStyle name="Обычный 5 3 24 3" xfId="12225"/>
    <cellStyle name="Процентный 5 3 24 3" xfId="12226"/>
    <cellStyle name="Обычный 4 2 2 24 3" xfId="12227"/>
    <cellStyle name="Процентный 4 2 2 24 3" xfId="12228"/>
    <cellStyle name="Обычный 5 2 2 24 3" xfId="12229"/>
    <cellStyle name="Процентный 5 2 2 24 3" xfId="12230"/>
    <cellStyle name="Обычный 6 2 24 3" xfId="12231"/>
    <cellStyle name="Процентный 6 2 24 3" xfId="12232"/>
    <cellStyle name="Обычный 7 2 24 3" xfId="12233"/>
    <cellStyle name="Процентный 7 2 24 3" xfId="12234"/>
    <cellStyle name="Обычный 8 20 3" xfId="12235"/>
    <cellStyle name="Процентный 8 20 3" xfId="12236"/>
    <cellStyle name="Обычный 4 79 3" xfId="12237"/>
    <cellStyle name="Процентный 4 79 3" xfId="12238"/>
    <cellStyle name="Обычный 5 72 3" xfId="12239"/>
    <cellStyle name="Процентный 5 72 3" xfId="12240"/>
    <cellStyle name="Обычный 4 2 66 3" xfId="12241"/>
    <cellStyle name="Процентный 4 2 66 3" xfId="12242"/>
    <cellStyle name="Обычный 5 2 66 3" xfId="12243"/>
    <cellStyle name="Процентный 5 2 66 3" xfId="12244"/>
    <cellStyle name="Обычный 6 63 3" xfId="12245"/>
    <cellStyle name="Процентный 6 63 3" xfId="12246"/>
    <cellStyle name="Обычный 7 33 3" xfId="12247"/>
    <cellStyle name="Процентный 7 33 3" xfId="12248"/>
    <cellStyle name="Обычный 4 3 25 3" xfId="12249"/>
    <cellStyle name="Процентный 4 3 25 3" xfId="12250"/>
    <cellStyle name="Обычный 5 3 25 3" xfId="12251"/>
    <cellStyle name="Процентный 5 3 25 3" xfId="12252"/>
    <cellStyle name="Обычный 4 2 2 25 3" xfId="12253"/>
    <cellStyle name="Процентный 4 2 2 25 3" xfId="12254"/>
    <cellStyle name="Обычный 5 2 2 25 3" xfId="12255"/>
    <cellStyle name="Процентный 5 2 2 25 3" xfId="12256"/>
    <cellStyle name="Обычный 6 2 25 3" xfId="12257"/>
    <cellStyle name="Процентный 6 2 25 3" xfId="12258"/>
    <cellStyle name="Обычный 7 2 25 3" xfId="12259"/>
    <cellStyle name="Процентный 7 2 25 3" xfId="12260"/>
    <cellStyle name="Обычный 8 21 3" xfId="12261"/>
    <cellStyle name="Процентный 8 21 3" xfId="12262"/>
    <cellStyle name="Обычный 4 80 3" xfId="12263"/>
    <cellStyle name="Процентный 4 80 3" xfId="12264"/>
    <cellStyle name="Обычный 5 73 3" xfId="12265"/>
    <cellStyle name="Процентный 5 73 3" xfId="12266"/>
    <cellStyle name="Обычный 4 2 67 3" xfId="12267"/>
    <cellStyle name="Процентный 4 2 67 3" xfId="12268"/>
    <cellStyle name="Обычный 5 2 67 3" xfId="12269"/>
    <cellStyle name="Процентный 5 2 67 3" xfId="12270"/>
    <cellStyle name="Обычный 6 64 3" xfId="12271"/>
    <cellStyle name="Процентный 6 64 3" xfId="12272"/>
    <cellStyle name="Обычный 7 34 3" xfId="12273"/>
    <cellStyle name="Процентный 7 34 3" xfId="12274"/>
    <cellStyle name="Обычный 4 3 26 3" xfId="12275"/>
    <cellStyle name="Процентный 4 3 26 3" xfId="12276"/>
    <cellStyle name="Обычный 5 3 26 3" xfId="12277"/>
    <cellStyle name="Процентный 5 3 26 3" xfId="12278"/>
    <cellStyle name="Обычный 4 2 2 26 3" xfId="12279"/>
    <cellStyle name="Процентный 4 2 2 26 3" xfId="12280"/>
    <cellStyle name="Обычный 5 2 2 26 3" xfId="12281"/>
    <cellStyle name="Процентный 5 2 2 26 3" xfId="12282"/>
    <cellStyle name="Обычный 6 2 26 3" xfId="12283"/>
    <cellStyle name="Процентный 6 2 26 3" xfId="12284"/>
    <cellStyle name="Обычный 7 2 26 3" xfId="12285"/>
    <cellStyle name="Процентный 7 2 26 3" xfId="12286"/>
    <cellStyle name="Обычный 8 22 3" xfId="12287"/>
    <cellStyle name="Процентный 8 22 3" xfId="12288"/>
    <cellStyle name="Обычный 4 81 3" xfId="12289"/>
    <cellStyle name="Процентный 4 81 3" xfId="12290"/>
    <cellStyle name="Обычный 5 74 3" xfId="12291"/>
    <cellStyle name="Процентный 5 74 3" xfId="12292"/>
    <cellStyle name="Обычный 4 2 68 3" xfId="12293"/>
    <cellStyle name="Процентный 4 2 68 3" xfId="12294"/>
    <cellStyle name="Обычный 5 2 68 3" xfId="12295"/>
    <cellStyle name="Процентный 5 2 68 3" xfId="12296"/>
    <cellStyle name="Обычный 6 65 3" xfId="12297"/>
    <cellStyle name="Процентный 6 65 3" xfId="12298"/>
    <cellStyle name="Обычный 7 35 3" xfId="12299"/>
    <cellStyle name="Процентный 7 35 3" xfId="12300"/>
    <cellStyle name="Обычный 4 3 27 3" xfId="12301"/>
    <cellStyle name="Процентный 4 3 27 3" xfId="12302"/>
    <cellStyle name="Обычный 5 3 27 3" xfId="12303"/>
    <cellStyle name="Процентный 5 3 27 3" xfId="12304"/>
    <cellStyle name="Обычный 4 2 2 27 3" xfId="12305"/>
    <cellStyle name="Процентный 4 2 2 27 3" xfId="12306"/>
    <cellStyle name="Обычный 5 2 2 27 3" xfId="12307"/>
    <cellStyle name="Процентный 5 2 2 27 3" xfId="12308"/>
    <cellStyle name="Обычный 6 2 27 3" xfId="12309"/>
    <cellStyle name="Процентный 6 2 27 3" xfId="12310"/>
    <cellStyle name="Обычный 7 2 27 3" xfId="12311"/>
    <cellStyle name="Процентный 7 2 27 3" xfId="12312"/>
    <cellStyle name="Обычный 8 23 3" xfId="12313"/>
    <cellStyle name="Процентный 8 23 3" xfId="12314"/>
    <cellStyle name="Обычный 4 82 3" xfId="12315"/>
    <cellStyle name="Процентный 4 82 3" xfId="12316"/>
    <cellStyle name="Обычный 5 75 3" xfId="12317"/>
    <cellStyle name="Процентный 5 75 3" xfId="12318"/>
    <cellStyle name="Обычный 4 2 69 3" xfId="12319"/>
    <cellStyle name="Процентный 4 2 69 3" xfId="12320"/>
    <cellStyle name="Обычный 5 2 69 3" xfId="12321"/>
    <cellStyle name="Процентный 5 2 69 3" xfId="12322"/>
    <cellStyle name="Обычный 6 66 3" xfId="12323"/>
    <cellStyle name="Процентный 6 66 3" xfId="12324"/>
    <cellStyle name="Обычный 7 36 3" xfId="12325"/>
    <cellStyle name="Процентный 7 36 3" xfId="12326"/>
    <cellStyle name="Обычный 4 3 28 3" xfId="12327"/>
    <cellStyle name="Процентный 4 3 28 3" xfId="12328"/>
    <cellStyle name="Обычный 5 3 28 3" xfId="12329"/>
    <cellStyle name="Процентный 5 3 28 3" xfId="12330"/>
    <cellStyle name="Обычный 4 2 2 28 3" xfId="12331"/>
    <cellStyle name="Процентный 4 2 2 28 3" xfId="12332"/>
    <cellStyle name="Обычный 5 2 2 28 3" xfId="12333"/>
    <cellStyle name="Процентный 5 2 2 28 3" xfId="12334"/>
    <cellStyle name="Обычный 6 2 28 3" xfId="12335"/>
    <cellStyle name="Процентный 6 2 28 3" xfId="12336"/>
    <cellStyle name="Обычный 7 2 28 3" xfId="12337"/>
    <cellStyle name="Процентный 7 2 28 3" xfId="12338"/>
    <cellStyle name="Обычный 8 24 3" xfId="12339"/>
    <cellStyle name="Процентный 8 24 3" xfId="12340"/>
    <cellStyle name="Обычный 4 83 3" xfId="12341"/>
    <cellStyle name="Процентный 4 83 3" xfId="12342"/>
    <cellStyle name="Обычный 5 76 3" xfId="12343"/>
    <cellStyle name="Процентный 5 76 3" xfId="12344"/>
    <cellStyle name="Обычный 4 2 70 3" xfId="12345"/>
    <cellStyle name="Процентный 4 2 70 3" xfId="12346"/>
    <cellStyle name="Обычный 5 2 70 3" xfId="12347"/>
    <cellStyle name="Процентный 5 2 70 3" xfId="12348"/>
    <cellStyle name="Обычный 6 67 3" xfId="12349"/>
    <cellStyle name="Процентный 6 67 3" xfId="12350"/>
    <cellStyle name="Обычный 7 37 3" xfId="12351"/>
    <cellStyle name="Процентный 7 37 3" xfId="12352"/>
    <cellStyle name="Обычный 4 3 29 3" xfId="12353"/>
    <cellStyle name="Процентный 4 3 29 3" xfId="12354"/>
    <cellStyle name="Обычный 5 3 29 3" xfId="12355"/>
    <cellStyle name="Процентный 5 3 29 3" xfId="12356"/>
    <cellStyle name="Обычный 4 2 2 29 3" xfId="12357"/>
    <cellStyle name="Процентный 4 2 2 29 3" xfId="12358"/>
    <cellStyle name="Обычный 5 2 2 29 3" xfId="12359"/>
    <cellStyle name="Процентный 5 2 2 29 3" xfId="12360"/>
    <cellStyle name="Обычный 6 2 29 3" xfId="12361"/>
    <cellStyle name="Процентный 6 2 29 3" xfId="12362"/>
    <cellStyle name="Обычный 7 2 29 3" xfId="12363"/>
    <cellStyle name="Процентный 7 2 29 3" xfId="12364"/>
    <cellStyle name="Обычный 8 25 3" xfId="12365"/>
    <cellStyle name="Процентный 8 25 3" xfId="12366"/>
    <cellStyle name="Обычный 4 84 3" xfId="12367"/>
    <cellStyle name="Процентный 4 84 3" xfId="12368"/>
    <cellStyle name="Обычный 5 77 3" xfId="12369"/>
    <cellStyle name="Процентный 5 77 3" xfId="12370"/>
    <cellStyle name="Обычный 4 2 71 3" xfId="12371"/>
    <cellStyle name="Процентный 4 2 71 3" xfId="12372"/>
    <cellStyle name="Обычный 5 2 71 3" xfId="12373"/>
    <cellStyle name="Процентный 5 2 71 3" xfId="12374"/>
    <cellStyle name="Обычный 6 68 3" xfId="12375"/>
    <cellStyle name="Процентный 6 68 3" xfId="12376"/>
    <cellStyle name="Обычный 7 38 3" xfId="12377"/>
    <cellStyle name="Процентный 7 38 3" xfId="12378"/>
    <cellStyle name="Обычный 4 3 30 3" xfId="12379"/>
    <cellStyle name="Процентный 4 3 30 3" xfId="12380"/>
    <cellStyle name="Обычный 5 3 30 3" xfId="12381"/>
    <cellStyle name="Процентный 5 3 30 3" xfId="12382"/>
    <cellStyle name="Обычный 4 2 2 30 3" xfId="12383"/>
    <cellStyle name="Процентный 4 2 2 30 3" xfId="12384"/>
    <cellStyle name="Обычный 5 2 2 30 3" xfId="12385"/>
    <cellStyle name="Процентный 5 2 2 30 3" xfId="12386"/>
    <cellStyle name="Обычный 6 2 30 3" xfId="12387"/>
    <cellStyle name="Процентный 6 2 30 3" xfId="12388"/>
    <cellStyle name="Обычный 7 2 30 3" xfId="12389"/>
    <cellStyle name="Процентный 7 2 30 3" xfId="12390"/>
    <cellStyle name="Обычный 8 26 3" xfId="12391"/>
    <cellStyle name="Процентный 8 26 3" xfId="12392"/>
    <cellStyle name="Обычный 4 85 3" xfId="12393"/>
    <cellStyle name="Процентный 4 85 3" xfId="12394"/>
    <cellStyle name="Обычный 5 78 3" xfId="12395"/>
    <cellStyle name="Процентный 5 78 3" xfId="12396"/>
    <cellStyle name="Обычный 4 2 72 3" xfId="12397"/>
    <cellStyle name="Процентный 4 2 72 3" xfId="12398"/>
    <cellStyle name="Обычный 5 2 72 3" xfId="12399"/>
    <cellStyle name="Процентный 5 2 72 3" xfId="12400"/>
    <cellStyle name="Обычный 6 69 3" xfId="12401"/>
    <cellStyle name="Процентный 6 69 3" xfId="12402"/>
    <cellStyle name="Обычный 7 39 3" xfId="12403"/>
    <cellStyle name="Процентный 7 39 3" xfId="12404"/>
    <cellStyle name="Обычный 4 3 31 3" xfId="12405"/>
    <cellStyle name="Процентный 4 3 31 3" xfId="12406"/>
    <cellStyle name="Обычный 5 3 31 3" xfId="12407"/>
    <cellStyle name="Процентный 5 3 31 3" xfId="12408"/>
    <cellStyle name="Обычный 4 2 2 31 3" xfId="12409"/>
    <cellStyle name="Процентный 4 2 2 31 3" xfId="12410"/>
    <cellStyle name="Обычный 5 2 2 31 3" xfId="12411"/>
    <cellStyle name="Процентный 5 2 2 31 3" xfId="12412"/>
    <cellStyle name="Обычный 6 2 31 3" xfId="12413"/>
    <cellStyle name="Процентный 6 2 31 3" xfId="12414"/>
    <cellStyle name="Обычный 7 2 31 3" xfId="12415"/>
    <cellStyle name="Процентный 7 2 31 3" xfId="12416"/>
    <cellStyle name="Обычный 8 27 3" xfId="12417"/>
    <cellStyle name="Процентный 8 27 3" xfId="12418"/>
    <cellStyle name="Обычный 4 86 3" xfId="12419"/>
    <cellStyle name="Процентный 4 86 3" xfId="12420"/>
    <cellStyle name="Обычный 5 79 3" xfId="12421"/>
    <cellStyle name="Процентный 5 79 3" xfId="12422"/>
    <cellStyle name="Обычный 4 2 73 3" xfId="12423"/>
    <cellStyle name="Процентный 4 2 73 3" xfId="12424"/>
    <cellStyle name="Обычный 5 2 73 3" xfId="12425"/>
    <cellStyle name="Процентный 5 2 73 3" xfId="12426"/>
    <cellStyle name="Обычный 6 70 3" xfId="12427"/>
    <cellStyle name="Процентный 6 70 3" xfId="12428"/>
    <cellStyle name="Обычный 7 40 3" xfId="12429"/>
    <cellStyle name="Процентный 7 40 3" xfId="12430"/>
    <cellStyle name="Обычный 4 3 32 3" xfId="12431"/>
    <cellStyle name="Процентный 4 3 32 3" xfId="12432"/>
    <cellStyle name="Обычный 5 3 32 3" xfId="12433"/>
    <cellStyle name="Процентный 5 3 32 3" xfId="12434"/>
    <cellStyle name="Обычный 4 2 2 32 3" xfId="12435"/>
    <cellStyle name="Процентный 4 2 2 32 3" xfId="12436"/>
    <cellStyle name="Обычный 5 2 2 32 3" xfId="12437"/>
    <cellStyle name="Процентный 5 2 2 32 3" xfId="12438"/>
    <cellStyle name="Обычный 6 2 32 3" xfId="12439"/>
    <cellStyle name="Процентный 6 2 32 3" xfId="12440"/>
    <cellStyle name="Обычный 7 2 32 3" xfId="12441"/>
    <cellStyle name="Процентный 7 2 32 3" xfId="12442"/>
    <cellStyle name="Обычный 8 28 3" xfId="12443"/>
    <cellStyle name="Процентный 8 28 3" xfId="12444"/>
    <cellStyle name="Обычный 4 87 3" xfId="12445"/>
    <cellStyle name="Процентный 4 87 3" xfId="12446"/>
    <cellStyle name="Обычный 5 80 3" xfId="12447"/>
    <cellStyle name="Процентный 5 80 3" xfId="12448"/>
    <cellStyle name="Обычный 4 2 74 3" xfId="12449"/>
    <cellStyle name="Процентный 4 2 74 3" xfId="12450"/>
    <cellStyle name="Обычный 5 2 74 3" xfId="12451"/>
    <cellStyle name="Процентный 5 2 74 3" xfId="12452"/>
    <cellStyle name="Обычный 6 71 3" xfId="12453"/>
    <cellStyle name="Процентный 6 71 3" xfId="12454"/>
    <cellStyle name="Обычный 7 41 3" xfId="12455"/>
    <cellStyle name="Процентный 7 41 3" xfId="12456"/>
    <cellStyle name="Обычный 4 3 33 3" xfId="12457"/>
    <cellStyle name="Процентный 4 3 33 3" xfId="12458"/>
    <cellStyle name="Обычный 5 3 33 3" xfId="12459"/>
    <cellStyle name="Процентный 5 3 33 3" xfId="12460"/>
    <cellStyle name="Обычный 4 2 2 33 3" xfId="12461"/>
    <cellStyle name="Процентный 4 2 2 33 3" xfId="12462"/>
    <cellStyle name="Обычный 5 2 2 33 3" xfId="12463"/>
    <cellStyle name="Процентный 5 2 2 33 3" xfId="12464"/>
    <cellStyle name="Обычный 6 2 33 3" xfId="12465"/>
    <cellStyle name="Процентный 6 2 33 3" xfId="12466"/>
    <cellStyle name="Обычный 7 2 33 3" xfId="12467"/>
    <cellStyle name="Процентный 7 2 33 3" xfId="12468"/>
    <cellStyle name="Обычный 8 29 3" xfId="12469"/>
    <cellStyle name="Процентный 8 29 3" xfId="12470"/>
    <cellStyle name="Обычный 4 88 3" xfId="12471"/>
    <cellStyle name="Процентный 4 88 3" xfId="12472"/>
    <cellStyle name="Обычный 5 81 3" xfId="12473"/>
    <cellStyle name="Процентный 5 81 3" xfId="12474"/>
    <cellStyle name="Обычный 4 2 75 3" xfId="12475"/>
    <cellStyle name="Процентный 4 2 75 3" xfId="12476"/>
    <cellStyle name="Обычный 5 2 75 3" xfId="12477"/>
    <cellStyle name="Процентный 5 2 75 3" xfId="12478"/>
    <cellStyle name="Обычный 6 72 3" xfId="12479"/>
    <cellStyle name="Процентный 6 72 3" xfId="12480"/>
    <cellStyle name="Обычный 7 42 3" xfId="12481"/>
    <cellStyle name="Процентный 7 42 3" xfId="12482"/>
    <cellStyle name="Обычный 4 3 34 3" xfId="12483"/>
    <cellStyle name="Процентный 4 3 34 3" xfId="12484"/>
    <cellStyle name="Обычный 5 3 34 3" xfId="12485"/>
    <cellStyle name="Процентный 5 3 34 3" xfId="12486"/>
    <cellStyle name="Обычный 4 2 2 34 3" xfId="12487"/>
    <cellStyle name="Процентный 4 2 2 34 3" xfId="12488"/>
    <cellStyle name="Обычный 5 2 2 34 3" xfId="12489"/>
    <cellStyle name="Процентный 5 2 2 34 3" xfId="12490"/>
    <cellStyle name="Обычный 6 2 34 3" xfId="12491"/>
    <cellStyle name="Процентный 6 2 34 3" xfId="12492"/>
    <cellStyle name="Обычный 7 2 34 3" xfId="12493"/>
    <cellStyle name="Процентный 7 2 34 3" xfId="12494"/>
    <cellStyle name="Обычный 8 30 3" xfId="12495"/>
    <cellStyle name="Процентный 8 30 3" xfId="12496"/>
    <cellStyle name="Обычный 4 89 3" xfId="12497"/>
    <cellStyle name="Процентный 4 89 3" xfId="12498"/>
    <cellStyle name="Обычный 5 82 3" xfId="12499"/>
    <cellStyle name="Процентный 5 82 3" xfId="12500"/>
    <cellStyle name="Обычный 4 2 76 3" xfId="12501"/>
    <cellStyle name="Процентный 4 2 76 3" xfId="12502"/>
    <cellStyle name="Обычный 5 2 76 3" xfId="12503"/>
    <cellStyle name="Процентный 5 2 76 3" xfId="12504"/>
    <cellStyle name="Обычный 6 73 3" xfId="12505"/>
    <cellStyle name="Процентный 6 73 3" xfId="12506"/>
    <cellStyle name="Обычный 7 43 3" xfId="12507"/>
    <cellStyle name="Процентный 7 43 3" xfId="12508"/>
    <cellStyle name="Обычный 4 3 35 3" xfId="12509"/>
    <cellStyle name="Процентный 4 3 35 3" xfId="12510"/>
    <cellStyle name="Обычный 5 3 35 3" xfId="12511"/>
    <cellStyle name="Процентный 5 3 35 3" xfId="12512"/>
    <cellStyle name="Обычный 4 2 2 35 3" xfId="12513"/>
    <cellStyle name="Процентный 4 2 2 35 3" xfId="12514"/>
    <cellStyle name="Обычный 5 2 2 35 3" xfId="12515"/>
    <cellStyle name="Процентный 5 2 2 35 3" xfId="12516"/>
    <cellStyle name="Обычный 6 2 35 3" xfId="12517"/>
    <cellStyle name="Процентный 6 2 35 3" xfId="12518"/>
    <cellStyle name="Обычный 7 2 35 3" xfId="12519"/>
    <cellStyle name="Процентный 7 2 35 3" xfId="12520"/>
    <cellStyle name="Обычный 8 31 3" xfId="12521"/>
    <cellStyle name="Процентный 8 31 3" xfId="12522"/>
    <cellStyle name="Обычный 4 90 3" xfId="12523"/>
    <cellStyle name="Процентный 4 90 3" xfId="12524"/>
    <cellStyle name="Обычный 5 83 3" xfId="12525"/>
    <cellStyle name="Процентный 5 83 3" xfId="12526"/>
    <cellStyle name="Обычный 4 2 77 3" xfId="12527"/>
    <cellStyle name="Процентный 4 2 77 3" xfId="12528"/>
    <cellStyle name="Обычный 5 2 77 3" xfId="12529"/>
    <cellStyle name="Процентный 5 2 77 3" xfId="12530"/>
    <cellStyle name="Обычный 6 74 3" xfId="12531"/>
    <cellStyle name="Процентный 6 74 3" xfId="12532"/>
    <cellStyle name="Обычный 7 44 3" xfId="12533"/>
    <cellStyle name="Процентный 7 44 3" xfId="12534"/>
    <cellStyle name="Обычный 4 3 36 3" xfId="12535"/>
    <cellStyle name="Процентный 4 3 36 3" xfId="12536"/>
    <cellStyle name="Обычный 5 3 36 3" xfId="12537"/>
    <cellStyle name="Процентный 5 3 36 3" xfId="12538"/>
    <cellStyle name="Обычный 4 2 2 36 3" xfId="12539"/>
    <cellStyle name="Процентный 4 2 2 36 3" xfId="12540"/>
    <cellStyle name="Обычный 5 2 2 36 3" xfId="12541"/>
    <cellStyle name="Процентный 5 2 2 36 3" xfId="12542"/>
    <cellStyle name="Обычный 6 2 36 3" xfId="12543"/>
    <cellStyle name="Процентный 6 2 36 3" xfId="12544"/>
    <cellStyle name="Обычный 7 2 36 3" xfId="12545"/>
    <cellStyle name="Процентный 7 2 36 3" xfId="12546"/>
    <cellStyle name="Обычный 8 32 3" xfId="12547"/>
    <cellStyle name="Процентный 8 32 3" xfId="12548"/>
    <cellStyle name="Обычный 4 91 3" xfId="12549"/>
    <cellStyle name="Процентный 4 91 3" xfId="12550"/>
    <cellStyle name="Обычный 5 84 3" xfId="12551"/>
    <cellStyle name="Процентный 5 84 3" xfId="12552"/>
    <cellStyle name="Обычный 4 2 78 3" xfId="12553"/>
    <cellStyle name="Процентный 4 2 78 3" xfId="12554"/>
    <cellStyle name="Обычный 5 2 78 3" xfId="12555"/>
    <cellStyle name="Процентный 5 2 78 3" xfId="12556"/>
    <cellStyle name="Обычный 6 75 3" xfId="12557"/>
    <cellStyle name="Процентный 6 75 3" xfId="12558"/>
    <cellStyle name="Обычный 7 45 3" xfId="12559"/>
    <cellStyle name="Процентный 7 45 3" xfId="12560"/>
    <cellStyle name="Обычный 4 3 37 3" xfId="12561"/>
    <cellStyle name="Процентный 4 3 37 3" xfId="12562"/>
    <cellStyle name="Обычный 5 3 37 3" xfId="12563"/>
    <cellStyle name="Процентный 5 3 37 3" xfId="12564"/>
    <cellStyle name="Обычный 4 2 2 37 3" xfId="12565"/>
    <cellStyle name="Процентный 4 2 2 37 3" xfId="12566"/>
    <cellStyle name="Обычный 5 2 2 37 3" xfId="12567"/>
    <cellStyle name="Процентный 5 2 2 37 3" xfId="12568"/>
    <cellStyle name="Обычный 6 2 37 3" xfId="12569"/>
    <cellStyle name="Процентный 6 2 37 3" xfId="12570"/>
    <cellStyle name="Обычный 7 2 37 3" xfId="12571"/>
    <cellStyle name="Процентный 7 2 37 3" xfId="12572"/>
    <cellStyle name="Обычный 8 33 3" xfId="12573"/>
    <cellStyle name="Процентный 8 33 3" xfId="12574"/>
    <cellStyle name="Обычный 4 92 3" xfId="12575"/>
    <cellStyle name="Процентный 4 92 3" xfId="12576"/>
    <cellStyle name="Обычный 5 85 3" xfId="12577"/>
    <cellStyle name="Процентный 5 85 3" xfId="12578"/>
    <cellStyle name="Обычный 4 2 79 3" xfId="12579"/>
    <cellStyle name="Процентный 4 2 79 3" xfId="12580"/>
    <cellStyle name="Обычный 5 2 79 3" xfId="12581"/>
    <cellStyle name="Процентный 5 2 79 3" xfId="12582"/>
    <cellStyle name="Обычный 6 76 3" xfId="12583"/>
    <cellStyle name="Процентный 6 76 3" xfId="12584"/>
    <cellStyle name="Обычный 7 46 3" xfId="12585"/>
    <cellStyle name="Процентный 7 46 3" xfId="12586"/>
    <cellStyle name="Обычный 4 3 38 3" xfId="12587"/>
    <cellStyle name="Процентный 4 3 38 3" xfId="12588"/>
    <cellStyle name="Обычный 5 3 38 3" xfId="12589"/>
    <cellStyle name="Процентный 5 3 38 3" xfId="12590"/>
    <cellStyle name="Обычный 4 2 2 38 3" xfId="12591"/>
    <cellStyle name="Процентный 4 2 2 38 3" xfId="12592"/>
    <cellStyle name="Обычный 5 2 2 38 3" xfId="12593"/>
    <cellStyle name="Процентный 5 2 2 38 3" xfId="12594"/>
    <cellStyle name="Обычный 6 2 38 3" xfId="12595"/>
    <cellStyle name="Процентный 6 2 38 3" xfId="12596"/>
    <cellStyle name="Обычный 7 2 38 3" xfId="12597"/>
    <cellStyle name="Процентный 7 2 38 3" xfId="12598"/>
    <cellStyle name="Обычный 8 34 3" xfId="12599"/>
    <cellStyle name="Процентный 8 34 3" xfId="12600"/>
    <cellStyle name="Обычный 4 93 3" xfId="12601"/>
    <cellStyle name="Процентный 4 93 3" xfId="12602"/>
    <cellStyle name="Обычный 5 86 3" xfId="12603"/>
    <cellStyle name="Процентный 5 86 3" xfId="12604"/>
    <cellStyle name="Обычный 4 2 80 3" xfId="12605"/>
    <cellStyle name="Процентный 4 2 80 3" xfId="12606"/>
    <cellStyle name="Обычный 5 2 80 3" xfId="12607"/>
    <cellStyle name="Процентный 5 2 80 3" xfId="12608"/>
    <cellStyle name="Обычный 6 77 3" xfId="12609"/>
    <cellStyle name="Процентный 6 77 3" xfId="12610"/>
    <cellStyle name="Обычный 7 47 3" xfId="12611"/>
    <cellStyle name="Процентный 7 47 3" xfId="12612"/>
    <cellStyle name="Обычный 4 3 39 3" xfId="12613"/>
    <cellStyle name="Процентный 4 3 39 3" xfId="12614"/>
    <cellStyle name="Обычный 5 3 39 3" xfId="12615"/>
    <cellStyle name="Процентный 5 3 39 3" xfId="12616"/>
    <cellStyle name="Обычный 4 2 2 39 3" xfId="12617"/>
    <cellStyle name="Процентный 4 2 2 39 3" xfId="12618"/>
    <cellStyle name="Обычный 5 2 2 39 3" xfId="12619"/>
    <cellStyle name="Процентный 5 2 2 39 3" xfId="12620"/>
    <cellStyle name="Обычный 6 2 39 3" xfId="12621"/>
    <cellStyle name="Процентный 6 2 39 3" xfId="12622"/>
    <cellStyle name="Обычный 7 2 39 3" xfId="12623"/>
    <cellStyle name="Процентный 7 2 39 3" xfId="12624"/>
    <cellStyle name="Обычный 8 35 3" xfId="12625"/>
    <cellStyle name="Процентный 8 35 3" xfId="12626"/>
    <cellStyle name="Обычный 9 112" xfId="12627"/>
    <cellStyle name="Процентный 9 2 3" xfId="12628"/>
    <cellStyle name="Обычный 4 94 3" xfId="12629"/>
    <cellStyle name="Процентный 4 94 3" xfId="12630"/>
    <cellStyle name="Обычный 5 87 3" xfId="12631"/>
    <cellStyle name="Процентный 5 87 3" xfId="12632"/>
    <cellStyle name="Обычный 4 2 81 3" xfId="12633"/>
    <cellStyle name="Процентный 4 2 81 3" xfId="12634"/>
    <cellStyle name="Обычный 5 2 81 3" xfId="12635"/>
    <cellStyle name="Процентный 5 2 81 3" xfId="12636"/>
    <cellStyle name="Обычный 6 78 3" xfId="12637"/>
    <cellStyle name="Процентный 6 78 3" xfId="12638"/>
    <cellStyle name="Обычный 7 48 3" xfId="12639"/>
    <cellStyle name="Процентный 7 48 3" xfId="12640"/>
    <cellStyle name="Обычный 4 3 40 3" xfId="12641"/>
    <cellStyle name="Процентный 4 3 40 3" xfId="12642"/>
    <cellStyle name="Обычный 5 3 40 3" xfId="12643"/>
    <cellStyle name="Процентный 5 3 40 3" xfId="12644"/>
    <cellStyle name="Обычный 4 2 2 40 3" xfId="12645"/>
    <cellStyle name="Процентный 4 2 2 40 3" xfId="12646"/>
    <cellStyle name="Обычный 5 2 2 40 3" xfId="12647"/>
    <cellStyle name="Процентный 5 2 2 40 3" xfId="12648"/>
    <cellStyle name="Обычный 6 2 40 3" xfId="12649"/>
    <cellStyle name="Процентный 6 2 40 3" xfId="12650"/>
    <cellStyle name="Обычный 7 2 40 3" xfId="12651"/>
    <cellStyle name="Процентный 7 2 40 3" xfId="12652"/>
    <cellStyle name="Обычный 8 36 3" xfId="12653"/>
    <cellStyle name="Процентный 8 36 3" xfId="12654"/>
    <cellStyle name="Обычный 9 2 3" xfId="12655"/>
    <cellStyle name="Процентный 9 3 3" xfId="12656"/>
    <cellStyle name="Обычный 4 95 3" xfId="12657"/>
    <cellStyle name="Процентный 4 95 3" xfId="12658"/>
    <cellStyle name="Обычный 5 88 3" xfId="12659"/>
    <cellStyle name="Процентный 5 88 3" xfId="12660"/>
    <cellStyle name="Обычный 4 2 82 3" xfId="12661"/>
    <cellStyle name="Процентный 4 2 82 3" xfId="12662"/>
    <cellStyle name="Обычный 5 2 82 3" xfId="12663"/>
    <cellStyle name="Процентный 5 2 82 3" xfId="12664"/>
    <cellStyle name="Обычный 6 79 3" xfId="12665"/>
    <cellStyle name="Процентный 6 79 3" xfId="12666"/>
    <cellStyle name="Обычный 7 49 3" xfId="12667"/>
    <cellStyle name="Процентный 7 49 3" xfId="12668"/>
    <cellStyle name="Обычный 4 3 41 3" xfId="12669"/>
    <cellStyle name="Процентный 4 3 41 3" xfId="12670"/>
    <cellStyle name="Обычный 5 3 41 3" xfId="12671"/>
    <cellStyle name="Процентный 5 3 41 3" xfId="12672"/>
    <cellStyle name="Обычный 4 2 2 41 3" xfId="12673"/>
    <cellStyle name="Процентный 4 2 2 41 3" xfId="12674"/>
    <cellStyle name="Обычный 5 2 2 41 3" xfId="12675"/>
    <cellStyle name="Процентный 5 2 2 41 3" xfId="12676"/>
    <cellStyle name="Обычный 6 2 41 3" xfId="12677"/>
    <cellStyle name="Процентный 6 2 41 3" xfId="12678"/>
    <cellStyle name="Обычный 7 2 41 3" xfId="12679"/>
    <cellStyle name="Процентный 7 2 41 3" xfId="12680"/>
    <cellStyle name="Обычный 8 37 3" xfId="12681"/>
    <cellStyle name="Процентный 8 37 3" xfId="12682"/>
    <cellStyle name="Обычный 9 3 3" xfId="12683"/>
    <cellStyle name="Процентный 9 4 3" xfId="12684"/>
    <cellStyle name="Обычный 4 96 3" xfId="12685"/>
    <cellStyle name="Процентный 4 96 3" xfId="12686"/>
    <cellStyle name="Обычный 5 89 3" xfId="12687"/>
    <cellStyle name="Процентный 5 89 3" xfId="12688"/>
    <cellStyle name="Обычный 4 2 83 3" xfId="12689"/>
    <cellStyle name="Процентный 4 2 83 3" xfId="12690"/>
    <cellStyle name="Обычный 5 2 83 3" xfId="12691"/>
    <cellStyle name="Процентный 5 2 83 3" xfId="12692"/>
    <cellStyle name="Обычный 6 80 3" xfId="12693"/>
    <cellStyle name="Процентный 6 80 3" xfId="12694"/>
    <cellStyle name="Обычный 7 50 3" xfId="12695"/>
    <cellStyle name="Процентный 7 50 3" xfId="12696"/>
    <cellStyle name="Обычный 4 3 42 3" xfId="12697"/>
    <cellStyle name="Процентный 4 3 42 3" xfId="12698"/>
    <cellStyle name="Обычный 5 3 42 3" xfId="12699"/>
    <cellStyle name="Процентный 5 3 42 3" xfId="12700"/>
    <cellStyle name="Обычный 4 2 2 42 3" xfId="12701"/>
    <cellStyle name="Процентный 4 2 2 42 3" xfId="12702"/>
    <cellStyle name="Обычный 5 2 2 42 3" xfId="12703"/>
    <cellStyle name="Процентный 5 2 2 42 3" xfId="12704"/>
    <cellStyle name="Обычный 6 2 42 3" xfId="12705"/>
    <cellStyle name="Процентный 6 2 42 3" xfId="12706"/>
    <cellStyle name="Обычный 7 2 42 3" xfId="12707"/>
    <cellStyle name="Процентный 7 2 42 3" xfId="12708"/>
    <cellStyle name="Обычный 8 38 3" xfId="12709"/>
    <cellStyle name="Процентный 8 38 3" xfId="12710"/>
    <cellStyle name="Обычный 9 4 3" xfId="12711"/>
    <cellStyle name="Процентный 9 5 3" xfId="12712"/>
    <cellStyle name="Обычный 4 97 3" xfId="12713"/>
    <cellStyle name="Процентный 4 97 3" xfId="12714"/>
    <cellStyle name="Обычный 5 90 3" xfId="12715"/>
    <cellStyle name="Процентный 5 90 3" xfId="12716"/>
    <cellStyle name="Обычный 4 2 84 3" xfId="12717"/>
    <cellStyle name="Процентный 4 2 84 3" xfId="12718"/>
    <cellStyle name="Обычный 5 2 84 3" xfId="12719"/>
    <cellStyle name="Процентный 5 2 84 3" xfId="12720"/>
    <cellStyle name="Обычный 6 81 3" xfId="12721"/>
    <cellStyle name="Процентный 6 81 3" xfId="12722"/>
    <cellStyle name="Обычный 7 51 3" xfId="12723"/>
    <cellStyle name="Процентный 7 51 3" xfId="12724"/>
    <cellStyle name="Обычный 4 3 43 3" xfId="12725"/>
    <cellStyle name="Процентный 4 3 43 3" xfId="12726"/>
    <cellStyle name="Обычный 5 3 43 3" xfId="12727"/>
    <cellStyle name="Процентный 5 3 43 3" xfId="12728"/>
    <cellStyle name="Обычный 4 2 2 43 3" xfId="12729"/>
    <cellStyle name="Процентный 4 2 2 43 3" xfId="12730"/>
    <cellStyle name="Обычный 5 2 2 43 3" xfId="12731"/>
    <cellStyle name="Процентный 5 2 2 43 3" xfId="12732"/>
    <cellStyle name="Обычный 6 2 43 3" xfId="12733"/>
    <cellStyle name="Процентный 6 2 43 3" xfId="12734"/>
    <cellStyle name="Обычный 7 2 43 3" xfId="12735"/>
    <cellStyle name="Процентный 7 2 43 3" xfId="12736"/>
    <cellStyle name="Обычный 8 39 3" xfId="12737"/>
    <cellStyle name="Процентный 8 39 3" xfId="12738"/>
    <cellStyle name="Обычный 9 5 3" xfId="12739"/>
    <cellStyle name="Процентный 9 6 3" xfId="12740"/>
    <cellStyle name="Обычный 4 98 3" xfId="12741"/>
    <cellStyle name="Процентный 4 98 3" xfId="12742"/>
    <cellStyle name="Обычный 5 91 3" xfId="12743"/>
    <cellStyle name="Процентный 5 91 3" xfId="12744"/>
    <cellStyle name="Обычный 4 2 85 3" xfId="12745"/>
    <cellStyle name="Процентный 4 2 85 3" xfId="12746"/>
    <cellStyle name="Обычный 5 2 85 3" xfId="12747"/>
    <cellStyle name="Процентный 5 2 85 3" xfId="12748"/>
    <cellStyle name="Обычный 6 82 3" xfId="12749"/>
    <cellStyle name="Процентный 6 82 3" xfId="12750"/>
    <cellStyle name="Обычный 7 52 3" xfId="12751"/>
    <cellStyle name="Процентный 7 52 3" xfId="12752"/>
    <cellStyle name="Обычный 4 3 44 3" xfId="12753"/>
    <cellStyle name="Процентный 4 3 44 3" xfId="12754"/>
    <cellStyle name="Обычный 5 3 44 3" xfId="12755"/>
    <cellStyle name="Процентный 5 3 44 3" xfId="12756"/>
    <cellStyle name="Обычный 4 2 2 44 3" xfId="12757"/>
    <cellStyle name="Процентный 4 2 2 44 3" xfId="12758"/>
    <cellStyle name="Обычный 5 2 2 44 3" xfId="12759"/>
    <cellStyle name="Процентный 5 2 2 44 3" xfId="12760"/>
    <cellStyle name="Обычный 6 2 44 3" xfId="12761"/>
    <cellStyle name="Процентный 6 2 44 3" xfId="12762"/>
    <cellStyle name="Обычный 7 2 44 3" xfId="12763"/>
    <cellStyle name="Процентный 7 2 44 3" xfId="12764"/>
    <cellStyle name="Обычный 8 40 3" xfId="12765"/>
    <cellStyle name="Процентный 8 40 3" xfId="12766"/>
    <cellStyle name="Обычный 9 6 3" xfId="12767"/>
    <cellStyle name="Процентный 9 7 3" xfId="12768"/>
    <cellStyle name="Обычный 4 99 3" xfId="12769"/>
    <cellStyle name="Процентный 4 99 3" xfId="12770"/>
    <cellStyle name="Обычный 5 92 3" xfId="12771"/>
    <cellStyle name="Процентный 5 92 3" xfId="12772"/>
    <cellStyle name="Обычный 4 2 86 3" xfId="12773"/>
    <cellStyle name="Процентный 4 2 86 3" xfId="12774"/>
    <cellStyle name="Обычный 5 2 86 3" xfId="12775"/>
    <cellStyle name="Процентный 5 2 86 3" xfId="12776"/>
    <cellStyle name="Обычный 6 83 3" xfId="12777"/>
    <cellStyle name="Процентный 6 83 3" xfId="12778"/>
    <cellStyle name="Обычный 7 53 3" xfId="12779"/>
    <cellStyle name="Процентный 7 53 3" xfId="12780"/>
    <cellStyle name="Обычный 4 3 45 3" xfId="12781"/>
    <cellStyle name="Процентный 4 3 45 3" xfId="12782"/>
    <cellStyle name="Обычный 5 3 45 3" xfId="12783"/>
    <cellStyle name="Процентный 5 3 45 3" xfId="12784"/>
    <cellStyle name="Обычный 4 2 2 45 3" xfId="12785"/>
    <cellStyle name="Процентный 4 2 2 45 3" xfId="12786"/>
    <cellStyle name="Обычный 5 2 2 45 3" xfId="12787"/>
    <cellStyle name="Процентный 5 2 2 45 3" xfId="12788"/>
    <cellStyle name="Обычный 6 2 45 3" xfId="12789"/>
    <cellStyle name="Процентный 6 2 45 3" xfId="12790"/>
    <cellStyle name="Обычный 7 2 45 3" xfId="12791"/>
    <cellStyle name="Процентный 7 2 45 3" xfId="12792"/>
    <cellStyle name="Обычный 8 41 3" xfId="12793"/>
    <cellStyle name="Процентный 8 41 3" xfId="12794"/>
    <cellStyle name="Обычный 9 7 3" xfId="12795"/>
    <cellStyle name="Процентный 9 8 3" xfId="12796"/>
    <cellStyle name="Обычный 4 100 3" xfId="12797"/>
    <cellStyle name="Процентный 4 100 3" xfId="12798"/>
    <cellStyle name="Обычный 5 93 3" xfId="12799"/>
    <cellStyle name="Процентный 5 93 3" xfId="12800"/>
    <cellStyle name="Обычный 4 2 87 3" xfId="12801"/>
    <cellStyle name="Процентный 4 2 87 3" xfId="12802"/>
    <cellStyle name="Обычный 5 2 87 3" xfId="12803"/>
    <cellStyle name="Процентный 5 2 87 3" xfId="12804"/>
    <cellStyle name="Обычный 6 84 3" xfId="12805"/>
    <cellStyle name="Процентный 6 84 3" xfId="12806"/>
    <cellStyle name="Обычный 7 54 3" xfId="12807"/>
    <cellStyle name="Процентный 7 54 3" xfId="12808"/>
    <cellStyle name="Обычный 4 3 46 3" xfId="12809"/>
    <cellStyle name="Процентный 4 3 46 3" xfId="12810"/>
    <cellStyle name="Обычный 5 3 46 3" xfId="12811"/>
    <cellStyle name="Процентный 5 3 46 3" xfId="12812"/>
    <cellStyle name="Обычный 4 2 2 46 3" xfId="12813"/>
    <cellStyle name="Процентный 4 2 2 46 3" xfId="12814"/>
    <cellStyle name="Обычный 5 2 2 46 3" xfId="12815"/>
    <cellStyle name="Процентный 5 2 2 46 3" xfId="12816"/>
    <cellStyle name="Обычный 6 2 46 3" xfId="12817"/>
    <cellStyle name="Процентный 6 2 46 3" xfId="12818"/>
    <cellStyle name="Обычный 7 2 46 3" xfId="12819"/>
    <cellStyle name="Процентный 7 2 46 3" xfId="12820"/>
    <cellStyle name="Обычный 8 42 3" xfId="12821"/>
    <cellStyle name="Процентный 8 42 3" xfId="12822"/>
    <cellStyle name="Обычный 9 8 3" xfId="12823"/>
    <cellStyle name="Процентный 9 9 3" xfId="12824"/>
    <cellStyle name="Обычный 10 105" xfId="12825"/>
    <cellStyle name="Процентный 10 105" xfId="12826"/>
    <cellStyle name="Обычный 4 101 3" xfId="12827"/>
    <cellStyle name="Процентный 4 101 3" xfId="12828"/>
    <cellStyle name="Обычный 5 94 3" xfId="12829"/>
    <cellStyle name="Процентный 5 94 3" xfId="12830"/>
    <cellStyle name="Обычный 4 2 88 3" xfId="12831"/>
    <cellStyle name="Процентный 4 2 88 3" xfId="12832"/>
    <cellStyle name="Обычный 5 2 88 3" xfId="12833"/>
    <cellStyle name="Процентный 5 2 88 3" xfId="12834"/>
    <cellStyle name="Обычный 6 85 3" xfId="12835"/>
    <cellStyle name="Процентный 6 85 3" xfId="12836"/>
    <cellStyle name="Обычный 7 55 3" xfId="12837"/>
    <cellStyle name="Процентный 7 55 3" xfId="12838"/>
    <cellStyle name="Обычный 4 3 47 3" xfId="12839"/>
    <cellStyle name="Процентный 4 3 47 3" xfId="12840"/>
    <cellStyle name="Обычный 5 3 47 3" xfId="12841"/>
    <cellStyle name="Процентный 5 3 47 3" xfId="12842"/>
    <cellStyle name="Обычный 4 2 2 47 3" xfId="12843"/>
    <cellStyle name="Процентный 4 2 2 47 3" xfId="12844"/>
    <cellStyle name="Обычный 5 2 2 47 3" xfId="12845"/>
    <cellStyle name="Процентный 5 2 2 47 3" xfId="12846"/>
    <cellStyle name="Обычный 6 2 47 3" xfId="12847"/>
    <cellStyle name="Процентный 6 2 47 3" xfId="12848"/>
    <cellStyle name="Обычный 7 2 47 3" xfId="12849"/>
    <cellStyle name="Процентный 7 2 47 3" xfId="12850"/>
    <cellStyle name="Обычный 8 43 3" xfId="12851"/>
    <cellStyle name="Процентный 8 43 3" xfId="12852"/>
    <cellStyle name="Обычный 9 9 3" xfId="12853"/>
    <cellStyle name="Процентный 9 10 3" xfId="12854"/>
    <cellStyle name="Обычный 10 2 3" xfId="12855"/>
    <cellStyle name="Процентный 10 2 3" xfId="12856"/>
    <cellStyle name="Обычный 4 102 3" xfId="12857"/>
    <cellStyle name="Процентный 4 102 3" xfId="12858"/>
    <cellStyle name="Обычный 5 95 3" xfId="12859"/>
    <cellStyle name="Процентный 5 95 3" xfId="12860"/>
    <cellStyle name="Обычный 4 2 89 3" xfId="12861"/>
    <cellStyle name="Процентный 4 2 89 3" xfId="12862"/>
    <cellStyle name="Обычный 5 2 89 3" xfId="12863"/>
    <cellStyle name="Процентный 5 2 89 3" xfId="12864"/>
    <cellStyle name="Обычный 6 86 3" xfId="12865"/>
    <cellStyle name="Процентный 6 86 3" xfId="12866"/>
    <cellStyle name="Обычный 7 56 3" xfId="12867"/>
    <cellStyle name="Процентный 7 56 3" xfId="12868"/>
    <cellStyle name="Обычный 4 3 48 3" xfId="12869"/>
    <cellStyle name="Процентный 4 3 48 3" xfId="12870"/>
    <cellStyle name="Обычный 5 3 48 3" xfId="12871"/>
    <cellStyle name="Процентный 5 3 48 3" xfId="12872"/>
    <cellStyle name="Обычный 4 2 2 48 3" xfId="12873"/>
    <cellStyle name="Процентный 4 2 2 48 3" xfId="12874"/>
    <cellStyle name="Обычный 5 2 2 48 3" xfId="12875"/>
    <cellStyle name="Процентный 5 2 2 48 3" xfId="12876"/>
    <cellStyle name="Обычный 6 2 48 3" xfId="12877"/>
    <cellStyle name="Процентный 6 2 48 3" xfId="12878"/>
    <cellStyle name="Обычный 7 2 48 3" xfId="12879"/>
    <cellStyle name="Процентный 7 2 48 3" xfId="12880"/>
    <cellStyle name="Обычный 8 44 3" xfId="12881"/>
    <cellStyle name="Процентный 8 44 3" xfId="12882"/>
    <cellStyle name="Обычный 9 10 3" xfId="12883"/>
    <cellStyle name="Процентный 9 11 3" xfId="12884"/>
    <cellStyle name="Обычный 10 3 3" xfId="12885"/>
    <cellStyle name="Процентный 10 3 3" xfId="12886"/>
    <cellStyle name="Обычный 4 103 3" xfId="12887"/>
    <cellStyle name="Процентный 4 103 3" xfId="12888"/>
    <cellStyle name="Обычный 5 96 3" xfId="12889"/>
    <cellStyle name="Процентный 5 96 3" xfId="12890"/>
    <cellStyle name="Обычный 4 2 90 3" xfId="12891"/>
    <cellStyle name="Процентный 4 2 90 3" xfId="12892"/>
    <cellStyle name="Обычный 5 2 90 3" xfId="12893"/>
    <cellStyle name="Процентный 5 2 90 3" xfId="12894"/>
    <cellStyle name="Обычный 6 87 3" xfId="12895"/>
    <cellStyle name="Процентный 6 87 3" xfId="12896"/>
    <cellStyle name="Обычный 7 57 3" xfId="12897"/>
    <cellStyle name="Процентный 7 57 3" xfId="12898"/>
    <cellStyle name="Обычный 4 3 49 3" xfId="12899"/>
    <cellStyle name="Процентный 4 3 49 3" xfId="12900"/>
    <cellStyle name="Обычный 5 3 49 3" xfId="12901"/>
    <cellStyle name="Процентный 5 3 49 3" xfId="12902"/>
    <cellStyle name="Обычный 4 2 2 49 3" xfId="12903"/>
    <cellStyle name="Процентный 4 2 2 49 3" xfId="12904"/>
    <cellStyle name="Обычный 5 2 2 49 3" xfId="12905"/>
    <cellStyle name="Процентный 5 2 2 49 3" xfId="12906"/>
    <cellStyle name="Обычный 6 2 49 3" xfId="12907"/>
    <cellStyle name="Процентный 6 2 49 3" xfId="12908"/>
    <cellStyle name="Обычный 7 2 49 3" xfId="12909"/>
    <cellStyle name="Процентный 7 2 49 3" xfId="12910"/>
    <cellStyle name="Обычный 8 45 3" xfId="12911"/>
    <cellStyle name="Процентный 8 45 3" xfId="12912"/>
    <cellStyle name="Обычный 9 11 3" xfId="12913"/>
    <cellStyle name="Процентный 9 12 3" xfId="12914"/>
    <cellStyle name="Обычный 10 4 3" xfId="12915"/>
    <cellStyle name="Процентный 10 4 3" xfId="12916"/>
    <cellStyle name="Обычный 4 104 3" xfId="12917"/>
    <cellStyle name="Процентный 4 104 3" xfId="12918"/>
    <cellStyle name="Обычный 5 97 3" xfId="12919"/>
    <cellStyle name="Процентный 5 97 3" xfId="12920"/>
    <cellStyle name="Обычный 4 2 91 3" xfId="12921"/>
    <cellStyle name="Процентный 4 2 91 3" xfId="12922"/>
    <cellStyle name="Обычный 5 2 91 3" xfId="12923"/>
    <cellStyle name="Процентный 5 2 91 3" xfId="12924"/>
    <cellStyle name="Обычный 6 88 3" xfId="12925"/>
    <cellStyle name="Процентный 6 88 3" xfId="12926"/>
    <cellStyle name="Обычный 7 58 3" xfId="12927"/>
    <cellStyle name="Процентный 7 58 3" xfId="12928"/>
    <cellStyle name="Обычный 4 3 50 3" xfId="12929"/>
    <cellStyle name="Процентный 4 3 50 3" xfId="12930"/>
    <cellStyle name="Обычный 5 3 50 3" xfId="12931"/>
    <cellStyle name="Процентный 5 3 50 3" xfId="12932"/>
    <cellStyle name="Обычный 4 2 2 50 3" xfId="12933"/>
    <cellStyle name="Процентный 4 2 2 50 3" xfId="12934"/>
    <cellStyle name="Обычный 5 2 2 50 3" xfId="12935"/>
    <cellStyle name="Процентный 5 2 2 50 3" xfId="12936"/>
    <cellStyle name="Обычный 6 2 50 3" xfId="12937"/>
    <cellStyle name="Процентный 6 2 50 3" xfId="12938"/>
    <cellStyle name="Обычный 7 2 50 3" xfId="12939"/>
    <cellStyle name="Процентный 7 2 50 3" xfId="12940"/>
    <cellStyle name="Обычный 8 46 3" xfId="12941"/>
    <cellStyle name="Процентный 8 46 3" xfId="12942"/>
    <cellStyle name="Обычный 9 12 3" xfId="12943"/>
    <cellStyle name="Процентный 9 13 3" xfId="12944"/>
    <cellStyle name="Обычный 10 5 3" xfId="12945"/>
    <cellStyle name="Процентный 10 5 3" xfId="12946"/>
    <cellStyle name="Обычный 4 105 3" xfId="12947"/>
    <cellStyle name="Процентный 4 105 3" xfId="12948"/>
    <cellStyle name="Обычный 5 98 3" xfId="12949"/>
    <cellStyle name="Процентный 5 98 3" xfId="12950"/>
    <cellStyle name="Обычный 4 2 92 3" xfId="12951"/>
    <cellStyle name="Процентный 4 2 92 3" xfId="12952"/>
    <cellStyle name="Обычный 5 2 92 3" xfId="12953"/>
    <cellStyle name="Процентный 5 2 92 3" xfId="12954"/>
    <cellStyle name="Обычный 6 89 3" xfId="12955"/>
    <cellStyle name="Процентный 6 89 3" xfId="12956"/>
    <cellStyle name="Обычный 7 59 3" xfId="12957"/>
    <cellStyle name="Процентный 7 59 3" xfId="12958"/>
    <cellStyle name="Обычный 4 3 51 3" xfId="12959"/>
    <cellStyle name="Процентный 4 3 51 3" xfId="12960"/>
    <cellStyle name="Обычный 5 3 51 3" xfId="12961"/>
    <cellStyle name="Процентный 5 3 51 3" xfId="12962"/>
    <cellStyle name="Обычный 4 2 2 51 3" xfId="12963"/>
    <cellStyle name="Процентный 4 2 2 51 3" xfId="12964"/>
    <cellStyle name="Обычный 5 2 2 51 3" xfId="12965"/>
    <cellStyle name="Процентный 5 2 2 51 3" xfId="12966"/>
    <cellStyle name="Обычный 6 2 51 3" xfId="12967"/>
    <cellStyle name="Процентный 6 2 51 3" xfId="12968"/>
    <cellStyle name="Обычный 7 2 51 3" xfId="12969"/>
    <cellStyle name="Процентный 7 2 51 3" xfId="12970"/>
    <cellStyle name="Обычный 8 47 3" xfId="12971"/>
    <cellStyle name="Процентный 8 47 3" xfId="12972"/>
    <cellStyle name="Обычный 9 13 3" xfId="12973"/>
    <cellStyle name="Процентный 9 14 3" xfId="12974"/>
    <cellStyle name="Обычный 10 6 3" xfId="12975"/>
    <cellStyle name="Процентный 10 6 3" xfId="12976"/>
    <cellStyle name="Обычный 4 106 3" xfId="12977"/>
    <cellStyle name="Процентный 4 106 3" xfId="12978"/>
    <cellStyle name="Обычный 5 99 3" xfId="12979"/>
    <cellStyle name="Процентный 5 99 3" xfId="12980"/>
    <cellStyle name="Обычный 4 2 93 3" xfId="12981"/>
    <cellStyle name="Процентный 4 2 93 3" xfId="12982"/>
    <cellStyle name="Обычный 5 2 93 3" xfId="12983"/>
    <cellStyle name="Процентный 5 2 93 3" xfId="12984"/>
    <cellStyle name="Обычный 6 90 3" xfId="12985"/>
    <cellStyle name="Процентный 6 90 3" xfId="12986"/>
    <cellStyle name="Обычный 7 60 3" xfId="12987"/>
    <cellStyle name="Процентный 7 60 3" xfId="12988"/>
    <cellStyle name="Обычный 4 3 52 3" xfId="12989"/>
    <cellStyle name="Процентный 4 3 52 3" xfId="12990"/>
    <cellStyle name="Обычный 5 3 52 3" xfId="12991"/>
    <cellStyle name="Процентный 5 3 52 3" xfId="12992"/>
    <cellStyle name="Обычный 4 2 2 52 3" xfId="12993"/>
    <cellStyle name="Процентный 4 2 2 52 3" xfId="12994"/>
    <cellStyle name="Обычный 5 2 2 52 3" xfId="12995"/>
    <cellStyle name="Процентный 5 2 2 52 3" xfId="12996"/>
    <cellStyle name="Обычный 6 2 52 3" xfId="12997"/>
    <cellStyle name="Процентный 6 2 52 3" xfId="12998"/>
    <cellStyle name="Обычный 7 2 52 3" xfId="12999"/>
    <cellStyle name="Процентный 7 2 52 3" xfId="13000"/>
    <cellStyle name="Обычный 8 48 3" xfId="13001"/>
    <cellStyle name="Процентный 8 48 3" xfId="13002"/>
    <cellStyle name="Обычный 9 14 3" xfId="13003"/>
    <cellStyle name="Процентный 9 15 3" xfId="13004"/>
    <cellStyle name="Обычный 10 7 3" xfId="13005"/>
    <cellStyle name="Процентный 10 7 3" xfId="13006"/>
    <cellStyle name="Обычный 4 107 3" xfId="13007"/>
    <cellStyle name="Процентный 4 107 3" xfId="13008"/>
    <cellStyle name="Обычный 5 100 3" xfId="13009"/>
    <cellStyle name="Процентный 5 100 3" xfId="13010"/>
    <cellStyle name="Обычный 4 2 94 3" xfId="13011"/>
    <cellStyle name="Процентный 4 2 94 3" xfId="13012"/>
    <cellStyle name="Обычный 5 2 94 3" xfId="13013"/>
    <cellStyle name="Процентный 5 2 94 3" xfId="13014"/>
    <cellStyle name="Обычный 6 91 3" xfId="13015"/>
    <cellStyle name="Процентный 6 91 3" xfId="13016"/>
    <cellStyle name="Обычный 7 61 3" xfId="13017"/>
    <cellStyle name="Процентный 7 61 3" xfId="13018"/>
    <cellStyle name="Обычный 4 3 53 3" xfId="13019"/>
    <cellStyle name="Процентный 4 3 53 3" xfId="13020"/>
    <cellStyle name="Обычный 5 3 53 3" xfId="13021"/>
    <cellStyle name="Процентный 5 3 53 3" xfId="13022"/>
    <cellStyle name="Обычный 4 2 2 53 3" xfId="13023"/>
    <cellStyle name="Процентный 4 2 2 53 3" xfId="13024"/>
    <cellStyle name="Обычный 5 2 2 53 3" xfId="13025"/>
    <cellStyle name="Процентный 5 2 2 53 3" xfId="13026"/>
    <cellStyle name="Обычный 6 2 53 3" xfId="13027"/>
    <cellStyle name="Процентный 6 2 53 3" xfId="13028"/>
    <cellStyle name="Обычный 7 2 53 3" xfId="13029"/>
    <cellStyle name="Процентный 7 2 53 3" xfId="13030"/>
    <cellStyle name="Обычный 8 49 3" xfId="13031"/>
    <cellStyle name="Процентный 8 49 3" xfId="13032"/>
    <cellStyle name="Обычный 9 15 3" xfId="13033"/>
    <cellStyle name="Процентный 9 16 3" xfId="13034"/>
    <cellStyle name="Обычный 10 8 3" xfId="13035"/>
    <cellStyle name="Процентный 10 8 3" xfId="13036"/>
    <cellStyle name="Обычный 4 108 3" xfId="13037"/>
    <cellStyle name="Процентный 4 108 3" xfId="13038"/>
    <cellStyle name="Обычный 5 101 3" xfId="13039"/>
    <cellStyle name="Процентный 5 101 3" xfId="13040"/>
    <cellStyle name="Обычный 4 2 95 3" xfId="13041"/>
    <cellStyle name="Процентный 4 2 95 3" xfId="13042"/>
    <cellStyle name="Обычный 5 2 95 3" xfId="13043"/>
    <cellStyle name="Процентный 5 2 95 3" xfId="13044"/>
    <cellStyle name="Обычный 6 92 3" xfId="13045"/>
    <cellStyle name="Процентный 6 92 3" xfId="13046"/>
    <cellStyle name="Обычный 7 62 3" xfId="13047"/>
    <cellStyle name="Процентный 7 62 3" xfId="13048"/>
    <cellStyle name="Обычный 4 3 54 3" xfId="13049"/>
    <cellStyle name="Процентный 4 3 54 3" xfId="13050"/>
    <cellStyle name="Обычный 5 3 54 3" xfId="13051"/>
    <cellStyle name="Процентный 5 3 54 3" xfId="13052"/>
    <cellStyle name="Обычный 4 2 2 54 3" xfId="13053"/>
    <cellStyle name="Процентный 4 2 2 54 3" xfId="13054"/>
    <cellStyle name="Обычный 5 2 2 54 3" xfId="13055"/>
    <cellStyle name="Процентный 5 2 2 54 3" xfId="13056"/>
    <cellStyle name="Обычный 6 2 54 3" xfId="13057"/>
    <cellStyle name="Процентный 6 2 54 3" xfId="13058"/>
    <cellStyle name="Обычный 7 2 54 3" xfId="13059"/>
    <cellStyle name="Процентный 7 2 54 3" xfId="13060"/>
    <cellStyle name="Обычный 8 50 3" xfId="13061"/>
    <cellStyle name="Процентный 8 50 3" xfId="13062"/>
    <cellStyle name="Обычный 9 16 3" xfId="13063"/>
    <cellStyle name="Процентный 9 17 3" xfId="13064"/>
    <cellStyle name="Обычный 10 9 3" xfId="13065"/>
    <cellStyle name="Процентный 10 9 3" xfId="13066"/>
    <cellStyle name="Обычный 4 109 3" xfId="13067"/>
    <cellStyle name="Процентный 4 109 3" xfId="13068"/>
    <cellStyle name="Обычный 5 102 3" xfId="13069"/>
    <cellStyle name="Процентный 5 102 3" xfId="13070"/>
    <cellStyle name="Обычный 4 2 96 3" xfId="13071"/>
    <cellStyle name="Процентный 4 2 96 3" xfId="13072"/>
    <cellStyle name="Обычный 5 2 96 3" xfId="13073"/>
    <cellStyle name="Процентный 5 2 96 3" xfId="13074"/>
    <cellStyle name="Обычный 6 93 3" xfId="13075"/>
    <cellStyle name="Процентный 6 93 3" xfId="13076"/>
    <cellStyle name="Обычный 7 63 3" xfId="13077"/>
    <cellStyle name="Процентный 7 63 3" xfId="13078"/>
    <cellStyle name="Обычный 4 3 55 3" xfId="13079"/>
    <cellStyle name="Процентный 4 3 55 3" xfId="13080"/>
    <cellStyle name="Обычный 5 3 55 3" xfId="13081"/>
    <cellStyle name="Процентный 5 3 55 3" xfId="13082"/>
    <cellStyle name="Обычный 4 2 2 55 3" xfId="13083"/>
    <cellStyle name="Процентный 4 2 2 55 3" xfId="13084"/>
    <cellStyle name="Обычный 5 2 2 55 3" xfId="13085"/>
    <cellStyle name="Процентный 5 2 2 55 3" xfId="13086"/>
    <cellStyle name="Обычный 6 2 55 3" xfId="13087"/>
    <cellStyle name="Процентный 6 2 55 3" xfId="13088"/>
    <cellStyle name="Обычный 7 2 55 3" xfId="13089"/>
    <cellStyle name="Процентный 7 2 55 3" xfId="13090"/>
    <cellStyle name="Обычный 8 51 3" xfId="13091"/>
    <cellStyle name="Процентный 8 51 3" xfId="13092"/>
    <cellStyle name="Обычный 9 17 3" xfId="13093"/>
    <cellStyle name="Процентный 9 18 3" xfId="13094"/>
    <cellStyle name="Обычный 10 10 3" xfId="13095"/>
    <cellStyle name="Процентный 10 10 3" xfId="13096"/>
    <cellStyle name="Обычный 4 110 3" xfId="13097"/>
    <cellStyle name="Процентный 4 110 3" xfId="13098"/>
    <cellStyle name="Обычный 5 103 3" xfId="13099"/>
    <cellStyle name="Процентный 5 103 3" xfId="13100"/>
    <cellStyle name="Обычный 4 2 97 3" xfId="13101"/>
    <cellStyle name="Процентный 4 2 97 3" xfId="13102"/>
    <cellStyle name="Обычный 5 2 97 3" xfId="13103"/>
    <cellStyle name="Процентный 5 2 97 3" xfId="13104"/>
    <cellStyle name="Обычный 6 94 3" xfId="13105"/>
    <cellStyle name="Процентный 6 94 3" xfId="13106"/>
    <cellStyle name="Обычный 7 64 3" xfId="13107"/>
    <cellStyle name="Процентный 7 64 3" xfId="13108"/>
    <cellStyle name="Обычный 4 3 56 3" xfId="13109"/>
    <cellStyle name="Процентный 4 3 56 3" xfId="13110"/>
    <cellStyle name="Обычный 5 3 56 3" xfId="13111"/>
    <cellStyle name="Процентный 5 3 56 3" xfId="13112"/>
    <cellStyle name="Обычный 4 2 2 56 3" xfId="13113"/>
    <cellStyle name="Процентный 4 2 2 56 3" xfId="13114"/>
    <cellStyle name="Обычный 5 2 2 56 3" xfId="13115"/>
    <cellStyle name="Процентный 5 2 2 56 3" xfId="13116"/>
    <cellStyle name="Обычный 6 2 56 3" xfId="13117"/>
    <cellStyle name="Процентный 6 2 56 3" xfId="13118"/>
    <cellStyle name="Обычный 7 2 56 3" xfId="13119"/>
    <cellStyle name="Процентный 7 2 56 3" xfId="13120"/>
    <cellStyle name="Обычный 8 52 3" xfId="13121"/>
    <cellStyle name="Процентный 8 52 3" xfId="13122"/>
    <cellStyle name="Обычный 9 18 3" xfId="13123"/>
    <cellStyle name="Процентный 9 19 3" xfId="13124"/>
    <cellStyle name="Обычный 10 11 3" xfId="13125"/>
    <cellStyle name="Процентный 10 11 3" xfId="13126"/>
    <cellStyle name="Обычный 4 111 3" xfId="13127"/>
    <cellStyle name="Процентный 4 111 3" xfId="13128"/>
    <cellStyle name="Обычный 5 104 3" xfId="13129"/>
    <cellStyle name="Процентный 5 104 3" xfId="13130"/>
    <cellStyle name="Обычный 4 2 98 3" xfId="13131"/>
    <cellStyle name="Процентный 4 2 98 3" xfId="13132"/>
    <cellStyle name="Обычный 5 2 98 3" xfId="13133"/>
    <cellStyle name="Процентный 5 2 98 3" xfId="13134"/>
    <cellStyle name="Обычный 6 95 3" xfId="13135"/>
    <cellStyle name="Процентный 6 95 3" xfId="13136"/>
    <cellStyle name="Обычный 7 65 3" xfId="13137"/>
    <cellStyle name="Процентный 7 65 3" xfId="13138"/>
    <cellStyle name="Обычный 4 3 57 3" xfId="13139"/>
    <cellStyle name="Процентный 4 3 57 3" xfId="13140"/>
    <cellStyle name="Обычный 5 3 57 3" xfId="13141"/>
    <cellStyle name="Процентный 5 3 57 3" xfId="13142"/>
    <cellStyle name="Обычный 4 2 2 57 3" xfId="13143"/>
    <cellStyle name="Процентный 4 2 2 57 3" xfId="13144"/>
    <cellStyle name="Обычный 5 2 2 57 3" xfId="13145"/>
    <cellStyle name="Процентный 5 2 2 57 3" xfId="13146"/>
    <cellStyle name="Обычный 6 2 57 3" xfId="13147"/>
    <cellStyle name="Процентный 6 2 57 3" xfId="13148"/>
    <cellStyle name="Обычный 7 2 57 3" xfId="13149"/>
    <cellStyle name="Процентный 7 2 57 3" xfId="13150"/>
    <cellStyle name="Обычный 8 53 3" xfId="13151"/>
    <cellStyle name="Процентный 8 53 3" xfId="13152"/>
    <cellStyle name="Обычный 9 19 3" xfId="13153"/>
    <cellStyle name="Процентный 9 20 3" xfId="13154"/>
    <cellStyle name="Обычный 10 12 3" xfId="13155"/>
    <cellStyle name="Процентный 10 12 3" xfId="13156"/>
    <cellStyle name="Обычный 4 112 3" xfId="13157"/>
    <cellStyle name="Процентный 4 112 3" xfId="13158"/>
    <cellStyle name="Обычный 5 105 3" xfId="13159"/>
    <cellStyle name="Процентный 5 105 3" xfId="13160"/>
    <cellStyle name="Обычный 4 2 99 3" xfId="13161"/>
    <cellStyle name="Процентный 4 2 99 3" xfId="13162"/>
    <cellStyle name="Обычный 5 2 99 3" xfId="13163"/>
    <cellStyle name="Процентный 5 2 99 3" xfId="13164"/>
    <cellStyle name="Обычный 6 96 3" xfId="13165"/>
    <cellStyle name="Процентный 6 96 3" xfId="13166"/>
    <cellStyle name="Обычный 7 66 3" xfId="13167"/>
    <cellStyle name="Процентный 7 66 3" xfId="13168"/>
    <cellStyle name="Обычный 4 3 58 3" xfId="13169"/>
    <cellStyle name="Процентный 4 3 58 3" xfId="13170"/>
    <cellStyle name="Обычный 5 3 58 3" xfId="13171"/>
    <cellStyle name="Процентный 5 3 58 3" xfId="13172"/>
    <cellStyle name="Обычный 4 2 2 58 3" xfId="13173"/>
    <cellStyle name="Процентный 4 2 2 58 3" xfId="13174"/>
    <cellStyle name="Обычный 5 2 2 58 3" xfId="13175"/>
    <cellStyle name="Процентный 5 2 2 58 3" xfId="13176"/>
    <cellStyle name="Обычный 6 2 58 3" xfId="13177"/>
    <cellStyle name="Процентный 6 2 58 3" xfId="13178"/>
    <cellStyle name="Обычный 7 2 58 3" xfId="13179"/>
    <cellStyle name="Процентный 7 2 58 3" xfId="13180"/>
    <cellStyle name="Обычный 8 54 3" xfId="13181"/>
    <cellStyle name="Процентный 8 54 3" xfId="13182"/>
    <cellStyle name="Обычный 9 20 3" xfId="13183"/>
    <cellStyle name="Процентный 9 21 3" xfId="13184"/>
    <cellStyle name="Обычный 10 13 3" xfId="13185"/>
    <cellStyle name="Процентный 10 13 3" xfId="13186"/>
    <cellStyle name="Обычный 11 93" xfId="13187"/>
    <cellStyle name="Процентный 11 93" xfId="13188"/>
    <cellStyle name="Обычный 4 113 3" xfId="13189"/>
    <cellStyle name="Процентный 4 113 3" xfId="13190"/>
    <cellStyle name="Обычный 5 106 3" xfId="13191"/>
    <cellStyle name="Процентный 5 106 3" xfId="13192"/>
    <cellStyle name="Обычный 4 2 100 3" xfId="13193"/>
    <cellStyle name="Процентный 4 2 100 3" xfId="13194"/>
    <cellStyle name="Обычный 5 2 100 3" xfId="13195"/>
    <cellStyle name="Процентный 5 2 100 3" xfId="13196"/>
    <cellStyle name="Обычный 6 97 3" xfId="13197"/>
    <cellStyle name="Процентный 6 97 3" xfId="13198"/>
    <cellStyle name="Обычный 7 67 3" xfId="13199"/>
    <cellStyle name="Процентный 7 67 3" xfId="13200"/>
    <cellStyle name="Обычный 4 3 59 3" xfId="13201"/>
    <cellStyle name="Процентный 4 3 59 3" xfId="13202"/>
    <cellStyle name="Обычный 5 3 59 3" xfId="13203"/>
    <cellStyle name="Процентный 5 3 59 3" xfId="13204"/>
    <cellStyle name="Обычный 4 2 2 59 3" xfId="13205"/>
    <cellStyle name="Процентный 4 2 2 59 3" xfId="13206"/>
    <cellStyle name="Обычный 5 2 2 59 3" xfId="13207"/>
    <cellStyle name="Процентный 5 2 2 59 3" xfId="13208"/>
    <cellStyle name="Обычный 6 2 59 3" xfId="13209"/>
    <cellStyle name="Процентный 6 2 59 3" xfId="13210"/>
    <cellStyle name="Обычный 7 2 59 3" xfId="13211"/>
    <cellStyle name="Процентный 7 2 59 3" xfId="13212"/>
    <cellStyle name="Обычный 8 55 3" xfId="13213"/>
    <cellStyle name="Процентный 8 55 3" xfId="13214"/>
    <cellStyle name="Обычный 9 21 3" xfId="13215"/>
    <cellStyle name="Процентный 9 22 3" xfId="13216"/>
    <cellStyle name="Обычный 10 14 3" xfId="13217"/>
    <cellStyle name="Процентный 10 14 3" xfId="13218"/>
    <cellStyle name="Обычный 11 2 3" xfId="13219"/>
    <cellStyle name="Процентный 11 2 3" xfId="13220"/>
    <cellStyle name="Обычный 12 3" xfId="13221"/>
    <cellStyle name="Процентный 12 3" xfId="13222"/>
    <cellStyle name="Обычный 4 114 3" xfId="13223"/>
    <cellStyle name="Процентный 4 114 3" xfId="13224"/>
    <cellStyle name="Обычный 5 107 3" xfId="13225"/>
    <cellStyle name="Процентный 5 107 3" xfId="13226"/>
    <cellStyle name="Обычный 4 2 101 3" xfId="13227"/>
    <cellStyle name="Процентный 4 2 101 3" xfId="13228"/>
    <cellStyle name="Обычный 5 2 101 3" xfId="13229"/>
    <cellStyle name="Процентный 5 2 101 3" xfId="13230"/>
    <cellStyle name="Обычный 6 98 3" xfId="13231"/>
    <cellStyle name="Процентный 6 98 3" xfId="13232"/>
    <cellStyle name="Обычный 7 68 3" xfId="13233"/>
    <cellStyle name="Процентный 7 68 3" xfId="13234"/>
    <cellStyle name="Обычный 4 3 60 3" xfId="13235"/>
    <cellStyle name="Процентный 4 3 60 3" xfId="13236"/>
    <cellStyle name="Обычный 5 3 60 3" xfId="13237"/>
    <cellStyle name="Процентный 5 3 60 3" xfId="13238"/>
    <cellStyle name="Обычный 4 2 2 60 3" xfId="13239"/>
    <cellStyle name="Процентный 4 2 2 60 3" xfId="13240"/>
    <cellStyle name="Обычный 5 2 2 60 3" xfId="13241"/>
    <cellStyle name="Процентный 5 2 2 60 3" xfId="13242"/>
    <cellStyle name="Обычный 6 2 60 3" xfId="13243"/>
    <cellStyle name="Процентный 6 2 60 3" xfId="13244"/>
    <cellStyle name="Обычный 7 2 60 3" xfId="13245"/>
    <cellStyle name="Процентный 7 2 60 3" xfId="13246"/>
    <cellStyle name="Обычный 8 56 3" xfId="13247"/>
    <cellStyle name="Процентный 8 56 3" xfId="13248"/>
    <cellStyle name="Обычный 9 22 3" xfId="13249"/>
    <cellStyle name="Процентный 9 23 3" xfId="13250"/>
    <cellStyle name="Обычный 10 15 3" xfId="13251"/>
    <cellStyle name="Процентный 10 15 3" xfId="13252"/>
    <cellStyle name="Обычный 11 3 3" xfId="13253"/>
    <cellStyle name="Процентный 11 3 3" xfId="13254"/>
    <cellStyle name="Обычный 4 115 3" xfId="13255"/>
    <cellStyle name="Процентный 4 115 3" xfId="13256"/>
    <cellStyle name="Обычный 5 108 3" xfId="13257"/>
    <cellStyle name="Процентный 5 108 3" xfId="13258"/>
    <cellStyle name="Обычный 4 2 102 3" xfId="13259"/>
    <cellStyle name="Процентный 4 2 102 3" xfId="13260"/>
    <cellStyle name="Обычный 5 2 102 3" xfId="13261"/>
    <cellStyle name="Процентный 5 2 102 3" xfId="13262"/>
    <cellStyle name="Обычный 6 99 3" xfId="13263"/>
    <cellStyle name="Процентный 6 99 3" xfId="13264"/>
    <cellStyle name="Обычный 7 69 3" xfId="13265"/>
    <cellStyle name="Процентный 7 69 3" xfId="13266"/>
    <cellStyle name="Обычный 4 3 61 3" xfId="13267"/>
    <cellStyle name="Процентный 4 3 61 3" xfId="13268"/>
    <cellStyle name="Обычный 5 3 61 3" xfId="13269"/>
    <cellStyle name="Процентный 5 3 61 3" xfId="13270"/>
    <cellStyle name="Обычный 4 2 2 61 3" xfId="13271"/>
    <cellStyle name="Процентный 4 2 2 61 3" xfId="13272"/>
    <cellStyle name="Обычный 5 2 2 61 3" xfId="13273"/>
    <cellStyle name="Процентный 5 2 2 61 3" xfId="13274"/>
    <cellStyle name="Обычный 6 2 61 3" xfId="13275"/>
    <cellStyle name="Процентный 6 2 61 3" xfId="13276"/>
    <cellStyle name="Обычный 7 2 61 3" xfId="13277"/>
    <cellStyle name="Процентный 7 2 61 3" xfId="13278"/>
    <cellStyle name="Обычный 8 57 3" xfId="13279"/>
    <cellStyle name="Процентный 8 57 3" xfId="13280"/>
    <cellStyle name="Обычный 9 23 3" xfId="13281"/>
    <cellStyle name="Процентный 9 24 3" xfId="13282"/>
    <cellStyle name="Обычный 10 16 3" xfId="13283"/>
    <cellStyle name="Процентный 10 16 3" xfId="13284"/>
    <cellStyle name="Обычный 11 4 3" xfId="13285"/>
    <cellStyle name="Процентный 11 4 3" xfId="13286"/>
    <cellStyle name="Обычный 4 116 3" xfId="13287"/>
    <cellStyle name="Процентный 4 116 3" xfId="13288"/>
    <cellStyle name="Обычный 5 109 3" xfId="13289"/>
    <cellStyle name="Процентный 5 109 3" xfId="13290"/>
    <cellStyle name="Обычный 4 2 103 3" xfId="13291"/>
    <cellStyle name="Процентный 4 2 103 3" xfId="13292"/>
    <cellStyle name="Обычный 5 2 103 3" xfId="13293"/>
    <cellStyle name="Процентный 5 2 103 3" xfId="13294"/>
    <cellStyle name="Обычный 6 100 3" xfId="13295"/>
    <cellStyle name="Процентный 6 100 3" xfId="13296"/>
    <cellStyle name="Обычный 7 70 3" xfId="13297"/>
    <cellStyle name="Процентный 7 70 3" xfId="13298"/>
    <cellStyle name="Обычный 4 3 62 3" xfId="13299"/>
    <cellStyle name="Процентный 4 3 62 3" xfId="13300"/>
    <cellStyle name="Обычный 5 3 62 3" xfId="13301"/>
    <cellStyle name="Процентный 5 3 62 3" xfId="13302"/>
    <cellStyle name="Обычный 4 2 2 62 3" xfId="13303"/>
    <cellStyle name="Процентный 4 2 2 62 3" xfId="13304"/>
    <cellStyle name="Обычный 5 2 2 62 3" xfId="13305"/>
    <cellStyle name="Процентный 5 2 2 62 3" xfId="13306"/>
    <cellStyle name="Обычный 6 2 62 3" xfId="13307"/>
    <cellStyle name="Процентный 6 2 62 3" xfId="13308"/>
    <cellStyle name="Обычный 7 2 62 3" xfId="13309"/>
    <cellStyle name="Процентный 7 2 62 3" xfId="13310"/>
    <cellStyle name="Обычный 8 58 3" xfId="13311"/>
    <cellStyle name="Процентный 8 58 3" xfId="13312"/>
    <cellStyle name="Обычный 9 24 3" xfId="13313"/>
    <cellStyle name="Процентный 9 25 3" xfId="13314"/>
    <cellStyle name="Обычный 10 17 3" xfId="13315"/>
    <cellStyle name="Процентный 10 17 3" xfId="13316"/>
    <cellStyle name="Обычный 11 5 3" xfId="13317"/>
    <cellStyle name="Процентный 11 5 3" xfId="13318"/>
    <cellStyle name="Обычный 4 117 3" xfId="13319"/>
    <cellStyle name="Процентный 4 117 3" xfId="13320"/>
    <cellStyle name="Обычный 5 110 3" xfId="13321"/>
    <cellStyle name="Процентный 5 110 3" xfId="13322"/>
    <cellStyle name="Обычный 4 2 104 3" xfId="13323"/>
    <cellStyle name="Процентный 4 2 104 3" xfId="13324"/>
    <cellStyle name="Обычный 5 2 104 3" xfId="13325"/>
    <cellStyle name="Процентный 5 2 104 3" xfId="13326"/>
    <cellStyle name="Обычный 6 101 3" xfId="13327"/>
    <cellStyle name="Процентный 6 101 3" xfId="13328"/>
    <cellStyle name="Обычный 7 71 3" xfId="13329"/>
    <cellStyle name="Процентный 7 71 3" xfId="13330"/>
    <cellStyle name="Обычный 4 3 63 3" xfId="13331"/>
    <cellStyle name="Процентный 4 3 63 3" xfId="13332"/>
    <cellStyle name="Обычный 5 3 63 3" xfId="13333"/>
    <cellStyle name="Процентный 5 3 63 3" xfId="13334"/>
    <cellStyle name="Обычный 4 2 2 63 3" xfId="13335"/>
    <cellStyle name="Процентный 4 2 2 63 3" xfId="13336"/>
    <cellStyle name="Обычный 5 2 2 63 3" xfId="13337"/>
    <cellStyle name="Процентный 5 2 2 63 3" xfId="13338"/>
    <cellStyle name="Обычный 6 2 63 3" xfId="13339"/>
    <cellStyle name="Процентный 6 2 63 3" xfId="13340"/>
    <cellStyle name="Обычный 7 2 63 3" xfId="13341"/>
    <cellStyle name="Процентный 7 2 63 3" xfId="13342"/>
    <cellStyle name="Обычный 8 59 3" xfId="13343"/>
    <cellStyle name="Процентный 8 59 3" xfId="13344"/>
    <cellStyle name="Обычный 9 25 3" xfId="13345"/>
    <cellStyle name="Процентный 9 26 3" xfId="13346"/>
    <cellStyle name="Обычный 10 18 3" xfId="13347"/>
    <cellStyle name="Процентный 10 18 3" xfId="13348"/>
    <cellStyle name="Обычный 11 6 3" xfId="13349"/>
    <cellStyle name="Процентный 11 6 3" xfId="13350"/>
    <cellStyle name="Обычный 4 118 3" xfId="13351"/>
    <cellStyle name="Процентный 4 118 3" xfId="13352"/>
    <cellStyle name="Обычный 5 111 3" xfId="13353"/>
    <cellStyle name="Процентный 5 111 3" xfId="13354"/>
    <cellStyle name="Обычный 4 2 105 3" xfId="13355"/>
    <cellStyle name="Процентный 4 2 105 3" xfId="13356"/>
    <cellStyle name="Обычный 5 2 105 3" xfId="13357"/>
    <cellStyle name="Процентный 5 2 105 3" xfId="13358"/>
    <cellStyle name="Обычный 6 102 3" xfId="13359"/>
    <cellStyle name="Процентный 6 102 3" xfId="13360"/>
    <cellStyle name="Обычный 7 72 3" xfId="13361"/>
    <cellStyle name="Процентный 7 72 3" xfId="13362"/>
    <cellStyle name="Обычный 4 3 64 3" xfId="13363"/>
    <cellStyle name="Процентный 4 3 64 3" xfId="13364"/>
    <cellStyle name="Обычный 5 3 64 3" xfId="13365"/>
    <cellStyle name="Процентный 5 3 64 3" xfId="13366"/>
    <cellStyle name="Обычный 4 2 2 64 3" xfId="13367"/>
    <cellStyle name="Процентный 4 2 2 64 3" xfId="13368"/>
    <cellStyle name="Обычный 5 2 2 64 3" xfId="13369"/>
    <cellStyle name="Процентный 5 2 2 64 3" xfId="13370"/>
    <cellStyle name="Обычный 6 2 64 3" xfId="13371"/>
    <cellStyle name="Процентный 6 2 64 3" xfId="13372"/>
    <cellStyle name="Обычный 7 2 64 3" xfId="13373"/>
    <cellStyle name="Процентный 7 2 64 3" xfId="13374"/>
    <cellStyle name="Обычный 8 60 3" xfId="13375"/>
    <cellStyle name="Процентный 8 60 3" xfId="13376"/>
    <cellStyle name="Обычный 9 26 3" xfId="13377"/>
    <cellStyle name="Процентный 9 27 3" xfId="13378"/>
    <cellStyle name="Обычный 10 19 3" xfId="13379"/>
    <cellStyle name="Процентный 10 19 3" xfId="13380"/>
    <cellStyle name="Обычный 11 7 3" xfId="13381"/>
    <cellStyle name="Процентный 11 7 3" xfId="13382"/>
    <cellStyle name="Обычный 4 119 3" xfId="13383"/>
    <cellStyle name="Процентный 4 119 3" xfId="13384"/>
    <cellStyle name="Обычный 5 112 3" xfId="13385"/>
    <cellStyle name="Процентный 5 112 3" xfId="13386"/>
    <cellStyle name="Обычный 4 2 106 3" xfId="13387"/>
    <cellStyle name="Процентный 4 2 106 3" xfId="13388"/>
    <cellStyle name="Обычный 5 2 106 3" xfId="13389"/>
    <cellStyle name="Процентный 5 2 106 3" xfId="13390"/>
    <cellStyle name="Обычный 6 103 3" xfId="13391"/>
    <cellStyle name="Процентный 6 103 3" xfId="13392"/>
    <cellStyle name="Обычный 7 73 3" xfId="13393"/>
    <cellStyle name="Процентный 7 73 3" xfId="13394"/>
    <cellStyle name="Обычный 4 3 65 3" xfId="13395"/>
    <cellStyle name="Процентный 4 3 65 3" xfId="13396"/>
    <cellStyle name="Обычный 5 3 65 3" xfId="13397"/>
    <cellStyle name="Процентный 5 3 65 3" xfId="13398"/>
    <cellStyle name="Обычный 4 2 2 65 3" xfId="13399"/>
    <cellStyle name="Процентный 4 2 2 65 3" xfId="13400"/>
    <cellStyle name="Обычный 5 2 2 65 3" xfId="13401"/>
    <cellStyle name="Процентный 5 2 2 65 3" xfId="13402"/>
    <cellStyle name="Обычный 6 2 65 3" xfId="13403"/>
    <cellStyle name="Процентный 6 2 65 3" xfId="13404"/>
    <cellStyle name="Обычный 7 2 65 3" xfId="13405"/>
    <cellStyle name="Процентный 7 2 65 3" xfId="13406"/>
    <cellStyle name="Обычный 8 61 3" xfId="13407"/>
    <cellStyle name="Процентный 8 61 3" xfId="13408"/>
    <cellStyle name="Обычный 9 27 3" xfId="13409"/>
    <cellStyle name="Процентный 9 28 3" xfId="13410"/>
    <cellStyle name="Обычный 10 20 3" xfId="13411"/>
    <cellStyle name="Процентный 10 20 3" xfId="13412"/>
    <cellStyle name="Обычный 11 8 3" xfId="13413"/>
    <cellStyle name="Процентный 11 8 3" xfId="13414"/>
    <cellStyle name="Обычный 4 120 3" xfId="13415"/>
    <cellStyle name="Процентный 4 120 3" xfId="13416"/>
    <cellStyle name="Обычный 5 113 3" xfId="13417"/>
    <cellStyle name="Процентный 5 113 3" xfId="13418"/>
    <cellStyle name="Обычный 4 2 107 3" xfId="13419"/>
    <cellStyle name="Процентный 4 2 107 3" xfId="13420"/>
    <cellStyle name="Обычный 5 2 107 3" xfId="13421"/>
    <cellStyle name="Процентный 5 2 107 3" xfId="13422"/>
    <cellStyle name="Обычный 6 104 3" xfId="13423"/>
    <cellStyle name="Процентный 6 104 3" xfId="13424"/>
    <cellStyle name="Обычный 7 74 3" xfId="13425"/>
    <cellStyle name="Процентный 7 74 3" xfId="13426"/>
    <cellStyle name="Обычный 4 3 66 3" xfId="13427"/>
    <cellStyle name="Процентный 4 3 66 3" xfId="13428"/>
    <cellStyle name="Обычный 5 3 66 3" xfId="13429"/>
    <cellStyle name="Процентный 5 3 66 3" xfId="13430"/>
    <cellStyle name="Обычный 4 2 2 66 3" xfId="13431"/>
    <cellStyle name="Процентный 4 2 2 66 3" xfId="13432"/>
    <cellStyle name="Обычный 5 2 2 66 3" xfId="13433"/>
    <cellStyle name="Процентный 5 2 2 66 3" xfId="13434"/>
    <cellStyle name="Обычный 6 2 66 3" xfId="13435"/>
    <cellStyle name="Процентный 6 2 66 3" xfId="13436"/>
    <cellStyle name="Обычный 7 2 66 3" xfId="13437"/>
    <cellStyle name="Процентный 7 2 66 3" xfId="13438"/>
    <cellStyle name="Обычный 8 62 3" xfId="13439"/>
    <cellStyle name="Процентный 8 62 3" xfId="13440"/>
    <cellStyle name="Обычный 9 28 3" xfId="13441"/>
    <cellStyle name="Процентный 9 29 3" xfId="13442"/>
    <cellStyle name="Обычный 10 21 3" xfId="13443"/>
    <cellStyle name="Процентный 10 21 3" xfId="13444"/>
    <cellStyle name="Обычный 11 9 3" xfId="13445"/>
    <cellStyle name="Процентный 11 9 3" xfId="13446"/>
    <cellStyle name="Обычный 13 3" xfId="13447"/>
    <cellStyle name="Процентный 13 3" xfId="13448"/>
    <cellStyle name="Обычный 4 121 3" xfId="13449"/>
    <cellStyle name="Процентный 4 121 3" xfId="13450"/>
    <cellStyle name="Обычный 5 114 3" xfId="13451"/>
    <cellStyle name="Процентный 5 114 3" xfId="13452"/>
    <cellStyle name="Обычный 4 2 108 3" xfId="13453"/>
    <cellStyle name="Процентный 4 2 108 3" xfId="13454"/>
    <cellStyle name="Обычный 5 2 108 3" xfId="13455"/>
    <cellStyle name="Процентный 5 2 108 3" xfId="13456"/>
    <cellStyle name="Обычный 6 105 3" xfId="13457"/>
    <cellStyle name="Процентный 6 105 3" xfId="13458"/>
    <cellStyle name="Обычный 7 75 3" xfId="13459"/>
    <cellStyle name="Процентный 7 75 3" xfId="13460"/>
    <cellStyle name="Обычный 4 3 67 3" xfId="13461"/>
    <cellStyle name="Процентный 4 3 67 3" xfId="13462"/>
    <cellStyle name="Обычный 5 3 67 3" xfId="13463"/>
    <cellStyle name="Процентный 5 3 67 3" xfId="13464"/>
    <cellStyle name="Обычный 4 2 2 67 3" xfId="13465"/>
    <cellStyle name="Процентный 4 2 2 67 3" xfId="13466"/>
    <cellStyle name="Обычный 5 2 2 67 3" xfId="13467"/>
    <cellStyle name="Процентный 5 2 2 67 3" xfId="13468"/>
    <cellStyle name="Обычный 6 2 67 3" xfId="13469"/>
    <cellStyle name="Процентный 6 2 67 3" xfId="13470"/>
    <cellStyle name="Обычный 7 2 67 3" xfId="13471"/>
    <cellStyle name="Процентный 7 2 67 3" xfId="13472"/>
    <cellStyle name="Обычный 8 63 3" xfId="13473"/>
    <cellStyle name="Процентный 8 63 3" xfId="13474"/>
    <cellStyle name="Обычный 9 29 3" xfId="13475"/>
    <cellStyle name="Процентный 9 30 3" xfId="13476"/>
    <cellStyle name="Обычный 10 22 3" xfId="13477"/>
    <cellStyle name="Процентный 10 22 3" xfId="13478"/>
    <cellStyle name="Обычный 11 10 3" xfId="13479"/>
    <cellStyle name="Процентный 11 10 3" xfId="13480"/>
    <cellStyle name="Обычный 4 122 3" xfId="13481"/>
    <cellStyle name="Процентный 4 122 3" xfId="13482"/>
    <cellStyle name="Обычный 5 115 3" xfId="13483"/>
    <cellStyle name="Процентный 5 115 3" xfId="13484"/>
    <cellStyle name="Обычный 4 2 109 3" xfId="13485"/>
    <cellStyle name="Процентный 4 2 109 3" xfId="13486"/>
    <cellStyle name="Обычный 5 2 109 3" xfId="13487"/>
    <cellStyle name="Процентный 5 2 109 3" xfId="13488"/>
    <cellStyle name="Обычный 6 106 3" xfId="13489"/>
    <cellStyle name="Процентный 6 106 3" xfId="13490"/>
    <cellStyle name="Обычный 7 76 3" xfId="13491"/>
    <cellStyle name="Процентный 7 76 3" xfId="13492"/>
    <cellStyle name="Обычный 4 3 68 3" xfId="13493"/>
    <cellStyle name="Процентный 4 3 68 3" xfId="13494"/>
    <cellStyle name="Обычный 5 3 68 3" xfId="13495"/>
    <cellStyle name="Процентный 5 3 68 3" xfId="13496"/>
    <cellStyle name="Обычный 4 2 2 68 3" xfId="13497"/>
    <cellStyle name="Процентный 4 2 2 68 3" xfId="13498"/>
    <cellStyle name="Обычный 5 2 2 68 3" xfId="13499"/>
    <cellStyle name="Процентный 5 2 2 68 3" xfId="13500"/>
    <cellStyle name="Обычный 6 2 68 3" xfId="13501"/>
    <cellStyle name="Процентный 6 2 68 3" xfId="13502"/>
    <cellStyle name="Обычный 7 2 68 3" xfId="13503"/>
    <cellStyle name="Процентный 7 2 68 3" xfId="13504"/>
    <cellStyle name="Обычный 8 64 3" xfId="13505"/>
    <cellStyle name="Процентный 8 64 3" xfId="13506"/>
    <cellStyle name="Обычный 9 30 3" xfId="13507"/>
    <cellStyle name="Процентный 9 31 3" xfId="13508"/>
    <cellStyle name="Обычный 10 23 3" xfId="13509"/>
    <cellStyle name="Процентный 10 23 3" xfId="13510"/>
    <cellStyle name="Обычный 11 11 3" xfId="13511"/>
    <cellStyle name="Процентный 11 11 3" xfId="13512"/>
    <cellStyle name="Обычный 4 123 3" xfId="13513"/>
    <cellStyle name="Процентный 4 123 3" xfId="13514"/>
    <cellStyle name="Обычный 5 116 3" xfId="13515"/>
    <cellStyle name="Процентный 5 116 3" xfId="13516"/>
    <cellStyle name="Обычный 4 2 110 3" xfId="13517"/>
    <cellStyle name="Процентный 4 2 110 3" xfId="13518"/>
    <cellStyle name="Обычный 5 2 110 3" xfId="13519"/>
    <cellStyle name="Процентный 5 2 110 3" xfId="13520"/>
    <cellStyle name="Обычный 6 107 3" xfId="13521"/>
    <cellStyle name="Процентный 6 107 3" xfId="13522"/>
    <cellStyle name="Обычный 7 77 3" xfId="13523"/>
    <cellStyle name="Процентный 7 77 3" xfId="13524"/>
    <cellStyle name="Обычный 4 3 69 3" xfId="13525"/>
    <cellStyle name="Процентный 4 3 69 3" xfId="13526"/>
    <cellStyle name="Обычный 5 3 69 3" xfId="13527"/>
    <cellStyle name="Процентный 5 3 69 3" xfId="13528"/>
    <cellStyle name="Обычный 4 2 2 69 3" xfId="13529"/>
    <cellStyle name="Процентный 4 2 2 69 3" xfId="13530"/>
    <cellStyle name="Обычный 5 2 2 69 3" xfId="13531"/>
    <cellStyle name="Процентный 5 2 2 69 3" xfId="13532"/>
    <cellStyle name="Обычный 6 2 69 3" xfId="13533"/>
    <cellStyle name="Процентный 6 2 69 3" xfId="13534"/>
    <cellStyle name="Обычный 7 2 69 3" xfId="13535"/>
    <cellStyle name="Процентный 7 2 69 3" xfId="13536"/>
    <cellStyle name="Обычный 8 65 3" xfId="13537"/>
    <cellStyle name="Процентный 8 65 3" xfId="13538"/>
    <cellStyle name="Обычный 9 31 3" xfId="13539"/>
    <cellStyle name="Процентный 9 32 3" xfId="13540"/>
    <cellStyle name="Обычный 10 24 3" xfId="13541"/>
    <cellStyle name="Процентный 10 24 3" xfId="13542"/>
    <cellStyle name="Обычный 11 12 3" xfId="13543"/>
    <cellStyle name="Процентный 11 12 3" xfId="13544"/>
    <cellStyle name="Обычный 4 124 3" xfId="13545"/>
    <cellStyle name="Процентный 4 124 3" xfId="13546"/>
    <cellStyle name="Обычный 5 117 3" xfId="13547"/>
    <cellStyle name="Процентный 5 117 3" xfId="13548"/>
    <cellStyle name="Обычный 4 2 111 3" xfId="13549"/>
    <cellStyle name="Процентный 4 2 111 3" xfId="13550"/>
    <cellStyle name="Обычный 5 2 111 3" xfId="13551"/>
    <cellStyle name="Процентный 5 2 111 3" xfId="13552"/>
    <cellStyle name="Обычный 6 108 3" xfId="13553"/>
    <cellStyle name="Процентный 6 108 3" xfId="13554"/>
    <cellStyle name="Обычный 7 78 3" xfId="13555"/>
    <cellStyle name="Процентный 7 78 3" xfId="13556"/>
    <cellStyle name="Обычный 4 3 70 3" xfId="13557"/>
    <cellStyle name="Процентный 4 3 70 3" xfId="13558"/>
    <cellStyle name="Обычный 5 3 70 3" xfId="13559"/>
    <cellStyle name="Процентный 5 3 70 3" xfId="13560"/>
    <cellStyle name="Обычный 4 2 2 70 3" xfId="13561"/>
    <cellStyle name="Процентный 4 2 2 70 3" xfId="13562"/>
    <cellStyle name="Обычный 5 2 2 70 3" xfId="13563"/>
    <cellStyle name="Процентный 5 2 2 70 3" xfId="13564"/>
    <cellStyle name="Обычный 6 2 70 3" xfId="13565"/>
    <cellStyle name="Процентный 6 2 70 3" xfId="13566"/>
    <cellStyle name="Обычный 7 2 70 3" xfId="13567"/>
    <cellStyle name="Процентный 7 2 70 3" xfId="13568"/>
    <cellStyle name="Обычный 8 66 3" xfId="13569"/>
    <cellStyle name="Процентный 8 66 3" xfId="13570"/>
    <cellStyle name="Обычный 9 32 3" xfId="13571"/>
    <cellStyle name="Процентный 9 33 3" xfId="13572"/>
    <cellStyle name="Обычный 10 25 3" xfId="13573"/>
    <cellStyle name="Процентный 10 25 3" xfId="13574"/>
    <cellStyle name="Обычный 11 13 3" xfId="13575"/>
    <cellStyle name="Процентный 11 13 3" xfId="13576"/>
    <cellStyle name="Обычный 4 125 3" xfId="13577"/>
    <cellStyle name="Процентный 4 125 3" xfId="13578"/>
    <cellStyle name="Обычный 5 118 3" xfId="13579"/>
    <cellStyle name="Процентный 5 118 3" xfId="13580"/>
    <cellStyle name="Обычный 4 2 112 3" xfId="13581"/>
    <cellStyle name="Процентный 4 2 112 3" xfId="13582"/>
    <cellStyle name="Обычный 5 2 112 3" xfId="13583"/>
    <cellStyle name="Процентный 5 2 112 3" xfId="13584"/>
    <cellStyle name="Обычный 6 109 3" xfId="13585"/>
    <cellStyle name="Процентный 6 109 3" xfId="13586"/>
    <cellStyle name="Обычный 7 79 3" xfId="13587"/>
    <cellStyle name="Процентный 7 79 3" xfId="13588"/>
    <cellStyle name="Обычный 4 3 71 3" xfId="13589"/>
    <cellStyle name="Процентный 4 3 71 3" xfId="13590"/>
    <cellStyle name="Обычный 5 3 71 3" xfId="13591"/>
    <cellStyle name="Процентный 5 3 71 3" xfId="13592"/>
    <cellStyle name="Обычный 4 2 2 71 3" xfId="13593"/>
    <cellStyle name="Процентный 4 2 2 71 3" xfId="13594"/>
    <cellStyle name="Обычный 5 2 2 71 3" xfId="13595"/>
    <cellStyle name="Процентный 5 2 2 71 3" xfId="13596"/>
    <cellStyle name="Обычный 6 2 71 3" xfId="13597"/>
    <cellStyle name="Процентный 6 2 71 3" xfId="13598"/>
    <cellStyle name="Обычный 7 2 71 3" xfId="13599"/>
    <cellStyle name="Процентный 7 2 71 3" xfId="13600"/>
    <cellStyle name="Обычный 8 67 3" xfId="13601"/>
    <cellStyle name="Процентный 8 67 3" xfId="13602"/>
    <cellStyle name="Обычный 9 33 3" xfId="13603"/>
    <cellStyle name="Процентный 9 34 3" xfId="13604"/>
    <cellStyle name="Обычный 10 26 3" xfId="13605"/>
    <cellStyle name="Процентный 10 26 3" xfId="13606"/>
    <cellStyle name="Обычный 11 14 3" xfId="13607"/>
    <cellStyle name="Процентный 11 14 3" xfId="13608"/>
    <cellStyle name="Обычный 4 126 3" xfId="13609"/>
    <cellStyle name="Процентный 4 126 3" xfId="13610"/>
    <cellStyle name="Обычный 5 119 3" xfId="13611"/>
    <cellStyle name="Процентный 5 119 3" xfId="13612"/>
    <cellStyle name="Обычный 4 2 113 3" xfId="13613"/>
    <cellStyle name="Процентный 4 2 113 3" xfId="13614"/>
    <cellStyle name="Обычный 5 2 113 3" xfId="13615"/>
    <cellStyle name="Процентный 5 2 113 3" xfId="13616"/>
    <cellStyle name="Обычный 6 110 3" xfId="13617"/>
    <cellStyle name="Процентный 6 110 3" xfId="13618"/>
    <cellStyle name="Обычный 7 80 3" xfId="13619"/>
    <cellStyle name="Процентный 7 80 3" xfId="13620"/>
    <cellStyle name="Обычный 4 3 72 3" xfId="13621"/>
    <cellStyle name="Процентный 4 3 72 3" xfId="13622"/>
    <cellStyle name="Обычный 5 3 72 3" xfId="13623"/>
    <cellStyle name="Процентный 5 3 72 3" xfId="13624"/>
    <cellStyle name="Обычный 4 2 2 72 3" xfId="13625"/>
    <cellStyle name="Процентный 4 2 2 72 3" xfId="13626"/>
    <cellStyle name="Обычный 5 2 2 72 3" xfId="13627"/>
    <cellStyle name="Процентный 5 2 2 72 3" xfId="13628"/>
    <cellStyle name="Обычный 6 2 72 3" xfId="13629"/>
    <cellStyle name="Процентный 6 2 72 3" xfId="13630"/>
    <cellStyle name="Обычный 7 2 72 3" xfId="13631"/>
    <cellStyle name="Процентный 7 2 72 3" xfId="13632"/>
    <cellStyle name="Обычный 8 68 3" xfId="13633"/>
    <cellStyle name="Процентный 8 68 3" xfId="13634"/>
    <cellStyle name="Обычный 9 34 3" xfId="13635"/>
    <cellStyle name="Процентный 9 35 3" xfId="13636"/>
    <cellStyle name="Обычный 10 27 3" xfId="13637"/>
    <cellStyle name="Процентный 10 27 3" xfId="13638"/>
    <cellStyle name="Обычный 11 15 3" xfId="13639"/>
    <cellStyle name="Процентный 11 15 3" xfId="13640"/>
    <cellStyle name="Обычный 4 127 3" xfId="13641"/>
    <cellStyle name="Процентный 4 127 3" xfId="13642"/>
    <cellStyle name="Обычный 5 120 3" xfId="13643"/>
    <cellStyle name="Процентный 5 120 3" xfId="13644"/>
    <cellStyle name="Обычный 4 2 114 3" xfId="13645"/>
    <cellStyle name="Процентный 4 2 114 3" xfId="13646"/>
    <cellStyle name="Обычный 5 2 114 3" xfId="13647"/>
    <cellStyle name="Процентный 5 2 114 3" xfId="13648"/>
    <cellStyle name="Обычный 6 111 3" xfId="13649"/>
    <cellStyle name="Процентный 6 111 3" xfId="13650"/>
    <cellStyle name="Обычный 7 81 3" xfId="13651"/>
    <cellStyle name="Процентный 7 81 3" xfId="13652"/>
    <cellStyle name="Обычный 4 3 73 3" xfId="13653"/>
    <cellStyle name="Процентный 4 3 73 3" xfId="13654"/>
    <cellStyle name="Обычный 5 3 73 3" xfId="13655"/>
    <cellStyle name="Процентный 5 3 73 3" xfId="13656"/>
    <cellStyle name="Обычный 4 2 2 73 3" xfId="13657"/>
    <cellStyle name="Процентный 4 2 2 73 3" xfId="13658"/>
    <cellStyle name="Обычный 5 2 2 73 3" xfId="13659"/>
    <cellStyle name="Процентный 5 2 2 73 3" xfId="13660"/>
    <cellStyle name="Обычный 6 2 73 3" xfId="13661"/>
    <cellStyle name="Процентный 6 2 73 3" xfId="13662"/>
    <cellStyle name="Обычный 7 2 73 3" xfId="13663"/>
    <cellStyle name="Процентный 7 2 73 3" xfId="13664"/>
    <cellStyle name="Обычный 8 69 3" xfId="13665"/>
    <cellStyle name="Процентный 8 69 3" xfId="13666"/>
    <cellStyle name="Обычный 9 35 3" xfId="13667"/>
    <cellStyle name="Процентный 9 36 3" xfId="13668"/>
    <cellStyle name="Обычный 10 28 3" xfId="13669"/>
    <cellStyle name="Процентный 10 28 3" xfId="13670"/>
    <cellStyle name="Обычный 11 16 3" xfId="13671"/>
    <cellStyle name="Процентный 11 16 3" xfId="13672"/>
    <cellStyle name="Обычный 4 128 3" xfId="13673"/>
    <cellStyle name="Процентный 4 128 3" xfId="13674"/>
    <cellStyle name="Обычный 5 121 3" xfId="13675"/>
    <cellStyle name="Процентный 5 121 3" xfId="13676"/>
    <cellStyle name="Обычный 4 2 115 3" xfId="13677"/>
    <cellStyle name="Процентный 4 2 115 3" xfId="13678"/>
    <cellStyle name="Обычный 5 2 115 3" xfId="13679"/>
    <cellStyle name="Процентный 5 2 115 3" xfId="13680"/>
    <cellStyle name="Обычный 6 112 3" xfId="13681"/>
    <cellStyle name="Процентный 6 112 3" xfId="13682"/>
    <cellStyle name="Обычный 7 82 3" xfId="13683"/>
    <cellStyle name="Процентный 7 82 3" xfId="13684"/>
    <cellStyle name="Обычный 4 3 74 3" xfId="13685"/>
    <cellStyle name="Процентный 4 3 74 3" xfId="13686"/>
    <cellStyle name="Обычный 5 3 74 3" xfId="13687"/>
    <cellStyle name="Процентный 5 3 74 3" xfId="13688"/>
    <cellStyle name="Обычный 4 2 2 74 3" xfId="13689"/>
    <cellStyle name="Процентный 4 2 2 74 3" xfId="13690"/>
    <cellStyle name="Обычный 5 2 2 74 3" xfId="13691"/>
    <cellStyle name="Процентный 5 2 2 74 3" xfId="13692"/>
    <cellStyle name="Обычный 6 2 74 3" xfId="13693"/>
    <cellStyle name="Процентный 6 2 74 3" xfId="13694"/>
    <cellStyle name="Обычный 7 2 74 3" xfId="13695"/>
    <cellStyle name="Процентный 7 2 74 3" xfId="13696"/>
    <cellStyle name="Обычный 8 70 3" xfId="13697"/>
    <cellStyle name="Процентный 8 70 3" xfId="13698"/>
    <cellStyle name="Обычный 9 36 3" xfId="13699"/>
    <cellStyle name="Процентный 9 37 3" xfId="13700"/>
    <cellStyle name="Обычный 10 29 3" xfId="13701"/>
    <cellStyle name="Процентный 10 29 3" xfId="13702"/>
    <cellStyle name="Обычный 11 17 3" xfId="13703"/>
    <cellStyle name="Процентный 11 17 3" xfId="13704"/>
    <cellStyle name="Обычный 4 129 3" xfId="13705"/>
    <cellStyle name="Процентный 4 129 3" xfId="13706"/>
    <cellStyle name="Обычный 5 122 3" xfId="13707"/>
    <cellStyle name="Процентный 5 122 3" xfId="13708"/>
    <cellStyle name="Обычный 4 2 116 3" xfId="13709"/>
    <cellStyle name="Процентный 4 2 116 3" xfId="13710"/>
    <cellStyle name="Обычный 5 2 116 3" xfId="13711"/>
    <cellStyle name="Процентный 5 2 116 3" xfId="13712"/>
    <cellStyle name="Обычный 6 113 3" xfId="13713"/>
    <cellStyle name="Процентный 6 113 3" xfId="13714"/>
    <cellStyle name="Обычный 7 83 3" xfId="13715"/>
    <cellStyle name="Процентный 7 83 3" xfId="13716"/>
    <cellStyle name="Обычный 4 3 75 3" xfId="13717"/>
    <cellStyle name="Процентный 4 3 75 3" xfId="13718"/>
    <cellStyle name="Обычный 5 3 75 3" xfId="13719"/>
    <cellStyle name="Процентный 5 3 75 3" xfId="13720"/>
    <cellStyle name="Обычный 4 2 2 75 3" xfId="13721"/>
    <cellStyle name="Процентный 4 2 2 75 3" xfId="13722"/>
    <cellStyle name="Обычный 5 2 2 75 3" xfId="13723"/>
    <cellStyle name="Процентный 5 2 2 75 3" xfId="13724"/>
    <cellStyle name="Обычный 6 2 75 3" xfId="13725"/>
    <cellStyle name="Процентный 6 2 75 3" xfId="13726"/>
    <cellStyle name="Обычный 7 2 75 3" xfId="13727"/>
    <cellStyle name="Процентный 7 2 75 3" xfId="13728"/>
    <cellStyle name="Обычный 8 71 3" xfId="13729"/>
    <cellStyle name="Процентный 8 71 3" xfId="13730"/>
    <cellStyle name="Обычный 9 37 3" xfId="13731"/>
    <cellStyle name="Процентный 9 38 3" xfId="13732"/>
    <cellStyle name="Обычный 10 30 3" xfId="13733"/>
    <cellStyle name="Процентный 10 30 3" xfId="13734"/>
    <cellStyle name="Обычный 11 18 3" xfId="13735"/>
    <cellStyle name="Процентный 11 18 3" xfId="13736"/>
    <cellStyle name="Обычный 4 130 3" xfId="13737"/>
    <cellStyle name="Процентный 4 130 3" xfId="13738"/>
    <cellStyle name="Обычный 5 123 3" xfId="13739"/>
    <cellStyle name="Процентный 5 123 3" xfId="13740"/>
    <cellStyle name="Обычный 4 2 117 3" xfId="13741"/>
    <cellStyle name="Процентный 4 2 117 3" xfId="13742"/>
    <cellStyle name="Обычный 5 2 117 3" xfId="13743"/>
    <cellStyle name="Процентный 5 2 117 3" xfId="13744"/>
    <cellStyle name="Обычный 6 114 3" xfId="13745"/>
    <cellStyle name="Процентный 6 114 3" xfId="13746"/>
    <cellStyle name="Обычный 7 84 3" xfId="13747"/>
    <cellStyle name="Процентный 7 84 3" xfId="13748"/>
    <cellStyle name="Обычный 4 3 76 3" xfId="13749"/>
    <cellStyle name="Процентный 4 3 76 3" xfId="13750"/>
    <cellStyle name="Обычный 5 3 76 3" xfId="13751"/>
    <cellStyle name="Процентный 5 3 76 3" xfId="13752"/>
    <cellStyle name="Обычный 4 2 2 76 3" xfId="13753"/>
    <cellStyle name="Процентный 4 2 2 76 3" xfId="13754"/>
    <cellStyle name="Обычный 5 2 2 76 3" xfId="13755"/>
    <cellStyle name="Процентный 5 2 2 76 3" xfId="13756"/>
    <cellStyle name="Обычный 6 2 76 3" xfId="13757"/>
    <cellStyle name="Процентный 6 2 76 3" xfId="13758"/>
    <cellStyle name="Обычный 7 2 76 3" xfId="13759"/>
    <cellStyle name="Процентный 7 2 76 3" xfId="13760"/>
    <cellStyle name="Обычный 8 72 3" xfId="13761"/>
    <cellStyle name="Процентный 8 72 3" xfId="13762"/>
    <cellStyle name="Обычный 9 38 3" xfId="13763"/>
    <cellStyle name="Процентный 9 39 3" xfId="13764"/>
    <cellStyle name="Обычный 10 31 3" xfId="13765"/>
    <cellStyle name="Процентный 10 31 3" xfId="13766"/>
    <cellStyle name="Обычный 11 19 3" xfId="13767"/>
    <cellStyle name="Процентный 11 19 3" xfId="13768"/>
    <cellStyle name="Обычный 4 131 3" xfId="13769"/>
    <cellStyle name="Процентный 4 131 3" xfId="13770"/>
    <cellStyle name="Обычный 5 124 3" xfId="13771"/>
    <cellStyle name="Процентный 5 124 3" xfId="13772"/>
    <cellStyle name="Обычный 4 2 118 3" xfId="13773"/>
    <cellStyle name="Процентный 4 2 118 3" xfId="13774"/>
    <cellStyle name="Обычный 5 2 118 3" xfId="13775"/>
    <cellStyle name="Процентный 5 2 118 3" xfId="13776"/>
    <cellStyle name="Обычный 6 115 3" xfId="13777"/>
    <cellStyle name="Процентный 6 115 3" xfId="13778"/>
    <cellStyle name="Обычный 7 85 3" xfId="13779"/>
    <cellStyle name="Процентный 7 85 3" xfId="13780"/>
    <cellStyle name="Обычный 4 3 77 3" xfId="13781"/>
    <cellStyle name="Процентный 4 3 77 3" xfId="13782"/>
    <cellStyle name="Обычный 5 3 77 3" xfId="13783"/>
    <cellStyle name="Процентный 5 3 77 3" xfId="13784"/>
    <cellStyle name="Обычный 4 2 2 77 3" xfId="13785"/>
    <cellStyle name="Процентный 4 2 2 77 3" xfId="13786"/>
    <cellStyle name="Обычный 5 2 2 77 3" xfId="13787"/>
    <cellStyle name="Процентный 5 2 2 77 3" xfId="13788"/>
    <cellStyle name="Обычный 6 2 77 3" xfId="13789"/>
    <cellStyle name="Процентный 6 2 77 3" xfId="13790"/>
    <cellStyle name="Обычный 7 2 77 3" xfId="13791"/>
    <cellStyle name="Процентный 7 2 77 3" xfId="13792"/>
    <cellStyle name="Обычный 8 73 3" xfId="13793"/>
    <cellStyle name="Процентный 8 73 3" xfId="13794"/>
    <cellStyle name="Обычный 9 39 3" xfId="13795"/>
    <cellStyle name="Процентный 9 40 3" xfId="13796"/>
    <cellStyle name="Обычный 10 32 3" xfId="13797"/>
    <cellStyle name="Процентный 10 32 3" xfId="13798"/>
    <cellStyle name="Обычный 11 20 3" xfId="13799"/>
    <cellStyle name="Процентный 11 20 3" xfId="13800"/>
    <cellStyle name="Обычный 4 132 3" xfId="13801"/>
    <cellStyle name="Процентный 4 132 3" xfId="13802"/>
    <cellStyle name="Обычный 5 125 3" xfId="13803"/>
    <cellStyle name="Процентный 5 125 3" xfId="13804"/>
    <cellStyle name="Обычный 4 2 119 3" xfId="13805"/>
    <cellStyle name="Процентный 4 2 119 3" xfId="13806"/>
    <cellStyle name="Обычный 5 2 119 3" xfId="13807"/>
    <cellStyle name="Процентный 5 2 119 3" xfId="13808"/>
    <cellStyle name="Обычный 6 116 3" xfId="13809"/>
    <cellStyle name="Процентный 6 116 3" xfId="13810"/>
    <cellStyle name="Обычный 7 86 3" xfId="13811"/>
    <cellStyle name="Процентный 7 86 3" xfId="13812"/>
    <cellStyle name="Обычный 4 3 78 3" xfId="13813"/>
    <cellStyle name="Процентный 4 3 78 3" xfId="13814"/>
    <cellStyle name="Обычный 5 3 78 3" xfId="13815"/>
    <cellStyle name="Процентный 5 3 78 3" xfId="13816"/>
    <cellStyle name="Обычный 4 2 2 78 3" xfId="13817"/>
    <cellStyle name="Процентный 4 2 2 78 3" xfId="13818"/>
    <cellStyle name="Обычный 5 2 2 78 3" xfId="13819"/>
    <cellStyle name="Процентный 5 2 2 78 3" xfId="13820"/>
    <cellStyle name="Обычный 6 2 78 3" xfId="13821"/>
    <cellStyle name="Процентный 6 2 78 3" xfId="13822"/>
    <cellStyle name="Обычный 7 2 78 3" xfId="13823"/>
    <cellStyle name="Процентный 7 2 78 3" xfId="13824"/>
    <cellStyle name="Обычный 8 74 3" xfId="13825"/>
    <cellStyle name="Процентный 8 74 3" xfId="13826"/>
    <cellStyle name="Обычный 9 40 3" xfId="13827"/>
    <cellStyle name="Процентный 9 41 3" xfId="13828"/>
    <cellStyle name="Обычный 10 33 3" xfId="13829"/>
    <cellStyle name="Процентный 10 33 3" xfId="13830"/>
    <cellStyle name="Обычный 11 21 3" xfId="13831"/>
    <cellStyle name="Процентный 11 21 3" xfId="13832"/>
    <cellStyle name="Обычный 4 133 3" xfId="13833"/>
    <cellStyle name="Процентный 4 133 3" xfId="13834"/>
    <cellStyle name="Обычный 5 126 3" xfId="13835"/>
    <cellStyle name="Процентный 5 126 3" xfId="13836"/>
    <cellStyle name="Обычный 4 2 120 3" xfId="13837"/>
    <cellStyle name="Процентный 4 2 120 3" xfId="13838"/>
    <cellStyle name="Обычный 5 2 120 3" xfId="13839"/>
    <cellStyle name="Процентный 5 2 120 3" xfId="13840"/>
    <cellStyle name="Обычный 6 117 3" xfId="13841"/>
    <cellStyle name="Процентный 6 117 3" xfId="13842"/>
    <cellStyle name="Обычный 7 87 3" xfId="13843"/>
    <cellStyle name="Процентный 7 87 3" xfId="13844"/>
    <cellStyle name="Обычный 4 3 79 3" xfId="13845"/>
    <cellStyle name="Процентный 4 3 79 3" xfId="13846"/>
    <cellStyle name="Обычный 5 3 79 3" xfId="13847"/>
    <cellStyle name="Процентный 5 3 79 3" xfId="13848"/>
    <cellStyle name="Обычный 4 2 2 79 3" xfId="13849"/>
    <cellStyle name="Процентный 4 2 2 79 3" xfId="13850"/>
    <cellStyle name="Обычный 5 2 2 79 3" xfId="13851"/>
    <cellStyle name="Процентный 5 2 2 79 3" xfId="13852"/>
    <cellStyle name="Обычный 6 2 79 3" xfId="13853"/>
    <cellStyle name="Процентный 6 2 79 3" xfId="13854"/>
    <cellStyle name="Обычный 7 2 79 3" xfId="13855"/>
    <cellStyle name="Процентный 7 2 79 3" xfId="13856"/>
    <cellStyle name="Обычный 8 75 3" xfId="13857"/>
    <cellStyle name="Процентный 8 75 3" xfId="13858"/>
    <cellStyle name="Обычный 9 41 3" xfId="13859"/>
    <cellStyle name="Процентный 9 42 3" xfId="13860"/>
    <cellStyle name="Обычный 10 34 3" xfId="13861"/>
    <cellStyle name="Процентный 10 34 3" xfId="13862"/>
    <cellStyle name="Обычный 11 22 3" xfId="13863"/>
    <cellStyle name="Процентный 11 22 3" xfId="13864"/>
    <cellStyle name="Обычный 4 134 3" xfId="13865"/>
    <cellStyle name="Процентный 4 134 3" xfId="13866"/>
    <cellStyle name="Обычный 5 127 3" xfId="13867"/>
    <cellStyle name="Процентный 5 127 3" xfId="13868"/>
    <cellStyle name="Обычный 4 2 121 3" xfId="13869"/>
    <cellStyle name="Процентный 4 2 121 3" xfId="13870"/>
    <cellStyle name="Обычный 5 2 121 3" xfId="13871"/>
    <cellStyle name="Процентный 5 2 121 3" xfId="13872"/>
    <cellStyle name="Обычный 6 118 3" xfId="13873"/>
    <cellStyle name="Процентный 6 118 3" xfId="13874"/>
    <cellStyle name="Обычный 7 88 3" xfId="13875"/>
    <cellStyle name="Процентный 7 88 3" xfId="13876"/>
    <cellStyle name="Обычный 4 3 80 3" xfId="13877"/>
    <cellStyle name="Процентный 4 3 80 3" xfId="13878"/>
    <cellStyle name="Обычный 5 3 80 3" xfId="13879"/>
    <cellStyle name="Процентный 5 3 80 3" xfId="13880"/>
    <cellStyle name="Обычный 4 2 2 80 3" xfId="13881"/>
    <cellStyle name="Процентный 4 2 2 80 3" xfId="13882"/>
    <cellStyle name="Обычный 5 2 2 80 3" xfId="13883"/>
    <cellStyle name="Процентный 5 2 2 80 3" xfId="13884"/>
    <cellStyle name="Обычный 6 2 80 3" xfId="13885"/>
    <cellStyle name="Процентный 6 2 80 3" xfId="13886"/>
    <cellStyle name="Обычный 7 2 80 3" xfId="13887"/>
    <cellStyle name="Процентный 7 2 80 3" xfId="13888"/>
    <cellStyle name="Обычный 8 76 3" xfId="13889"/>
    <cellStyle name="Процентный 8 76 3" xfId="13890"/>
    <cellStyle name="Обычный 9 42 3" xfId="13891"/>
    <cellStyle name="Процентный 9 43 3" xfId="13892"/>
    <cellStyle name="Обычный 10 35 3" xfId="13893"/>
    <cellStyle name="Процентный 10 35 3" xfId="13894"/>
    <cellStyle name="Обычный 11 23 3" xfId="13895"/>
    <cellStyle name="Процентный 11 23 3" xfId="13896"/>
    <cellStyle name="Обычный 4 135 3" xfId="13897"/>
    <cellStyle name="Процентный 4 135 3" xfId="13898"/>
    <cellStyle name="Обычный 5 128 3" xfId="13899"/>
    <cellStyle name="Процентный 5 128 3" xfId="13900"/>
    <cellStyle name="Обычный 4 2 122 3" xfId="13901"/>
    <cellStyle name="Процентный 4 2 122 3" xfId="13902"/>
    <cellStyle name="Обычный 5 2 122 3" xfId="13903"/>
    <cellStyle name="Процентный 5 2 122 3" xfId="13904"/>
    <cellStyle name="Обычный 6 119 3" xfId="13905"/>
    <cellStyle name="Процентный 6 119 3" xfId="13906"/>
    <cellStyle name="Обычный 7 89 3" xfId="13907"/>
    <cellStyle name="Процентный 7 89 3" xfId="13908"/>
    <cellStyle name="Обычный 4 3 81 3" xfId="13909"/>
    <cellStyle name="Процентный 4 3 81 3" xfId="13910"/>
    <cellStyle name="Обычный 5 3 81 3" xfId="13911"/>
    <cellStyle name="Процентный 5 3 81 3" xfId="13912"/>
    <cellStyle name="Обычный 4 2 2 81 3" xfId="13913"/>
    <cellStyle name="Процентный 4 2 2 81 3" xfId="13914"/>
    <cellStyle name="Обычный 5 2 2 81 3" xfId="13915"/>
    <cellStyle name="Процентный 5 2 2 81 3" xfId="13916"/>
    <cellStyle name="Обычный 6 2 81 3" xfId="13917"/>
    <cellStyle name="Процентный 6 2 81 3" xfId="13918"/>
    <cellStyle name="Обычный 7 2 81 3" xfId="13919"/>
    <cellStyle name="Процентный 7 2 81 3" xfId="13920"/>
    <cellStyle name="Обычный 8 77 3" xfId="13921"/>
    <cellStyle name="Процентный 8 77 3" xfId="13922"/>
    <cellStyle name="Обычный 9 43 3" xfId="13923"/>
    <cellStyle name="Процентный 9 44 3" xfId="13924"/>
    <cellStyle name="Обычный 10 36 3" xfId="13925"/>
    <cellStyle name="Процентный 10 36 3" xfId="13926"/>
    <cellStyle name="Обычный 11 24 3" xfId="13927"/>
    <cellStyle name="Процентный 11 24 3" xfId="13928"/>
    <cellStyle name="Обычный 4 136 3" xfId="13929"/>
    <cellStyle name="Процентный 4 136 3" xfId="13930"/>
    <cellStyle name="Обычный 5 129 3" xfId="13931"/>
    <cellStyle name="Процентный 5 129 3" xfId="13932"/>
    <cellStyle name="Обычный 4 2 123 3" xfId="13933"/>
    <cellStyle name="Процентный 4 2 123 3" xfId="13934"/>
    <cellStyle name="Обычный 5 2 123 3" xfId="13935"/>
    <cellStyle name="Процентный 5 2 123 3" xfId="13936"/>
    <cellStyle name="Обычный 6 120 3" xfId="13937"/>
    <cellStyle name="Процентный 6 120 3" xfId="13938"/>
    <cellStyle name="Обычный 7 90 3" xfId="13939"/>
    <cellStyle name="Процентный 7 90 3" xfId="13940"/>
    <cellStyle name="Обычный 4 3 82 3" xfId="13941"/>
    <cellStyle name="Процентный 4 3 82 3" xfId="13942"/>
    <cellStyle name="Обычный 5 3 82 3" xfId="13943"/>
    <cellStyle name="Процентный 5 3 82 3" xfId="13944"/>
    <cellStyle name="Обычный 4 2 2 82 3" xfId="13945"/>
    <cellStyle name="Процентный 4 2 2 82 3" xfId="13946"/>
    <cellStyle name="Обычный 5 2 2 82 3" xfId="13947"/>
    <cellStyle name="Процентный 5 2 2 82 3" xfId="13948"/>
    <cellStyle name="Обычный 6 2 82 3" xfId="13949"/>
    <cellStyle name="Процентный 6 2 82 3" xfId="13950"/>
    <cellStyle name="Обычный 7 2 82 3" xfId="13951"/>
    <cellStyle name="Процентный 7 2 82 3" xfId="13952"/>
    <cellStyle name="Обычный 8 78 3" xfId="13953"/>
    <cellStyle name="Процентный 8 78 3" xfId="13954"/>
    <cellStyle name="Обычный 9 44 3" xfId="13955"/>
    <cellStyle name="Процентный 9 45 3" xfId="13956"/>
    <cellStyle name="Обычный 10 37 3" xfId="13957"/>
    <cellStyle name="Процентный 10 37 3" xfId="13958"/>
    <cellStyle name="Обычный 11 25 3" xfId="13959"/>
    <cellStyle name="Процентный 11 25 3" xfId="13960"/>
    <cellStyle name="Обычный 4 137 3" xfId="13961"/>
    <cellStyle name="Процентный 4 137 3" xfId="13962"/>
    <cellStyle name="Обычный 5 130 3" xfId="13963"/>
    <cellStyle name="Процентный 5 130 3" xfId="13964"/>
    <cellStyle name="Обычный 4 2 124 3" xfId="13965"/>
    <cellStyle name="Процентный 4 2 124 3" xfId="13966"/>
    <cellStyle name="Обычный 5 2 124 3" xfId="13967"/>
    <cellStyle name="Процентный 5 2 124 3" xfId="13968"/>
    <cellStyle name="Обычный 6 121 3" xfId="13969"/>
    <cellStyle name="Процентный 6 121 3" xfId="13970"/>
    <cellStyle name="Обычный 7 91 3" xfId="13971"/>
    <cellStyle name="Процентный 7 91 3" xfId="13972"/>
    <cellStyle name="Обычный 4 3 83 3" xfId="13973"/>
    <cellStyle name="Процентный 4 3 83 3" xfId="13974"/>
    <cellStyle name="Обычный 5 3 83 3" xfId="13975"/>
    <cellStyle name="Процентный 5 3 83 3" xfId="13976"/>
    <cellStyle name="Обычный 4 2 2 83 3" xfId="13977"/>
    <cellStyle name="Процентный 4 2 2 83 3" xfId="13978"/>
    <cellStyle name="Обычный 5 2 2 83 3" xfId="13979"/>
    <cellStyle name="Процентный 5 2 2 83 3" xfId="13980"/>
    <cellStyle name="Обычный 6 2 83 3" xfId="13981"/>
    <cellStyle name="Процентный 6 2 83 3" xfId="13982"/>
    <cellStyle name="Обычный 7 2 83 3" xfId="13983"/>
    <cellStyle name="Процентный 7 2 83 3" xfId="13984"/>
    <cellStyle name="Обычный 8 79 3" xfId="13985"/>
    <cellStyle name="Процентный 8 79 3" xfId="13986"/>
    <cellStyle name="Обычный 9 45 3" xfId="13987"/>
    <cellStyle name="Процентный 9 46 3" xfId="13988"/>
    <cellStyle name="Обычный 10 38 3" xfId="13989"/>
    <cellStyle name="Процентный 10 38 3" xfId="13990"/>
    <cellStyle name="Обычный 11 26 3" xfId="13991"/>
    <cellStyle name="Процентный 11 26 3" xfId="13992"/>
    <cellStyle name="Обычный 4 138 3" xfId="13993"/>
    <cellStyle name="Процентный 4 138 3" xfId="13994"/>
    <cellStyle name="Обычный 5 131 3" xfId="13995"/>
    <cellStyle name="Процентный 5 131 3" xfId="13996"/>
    <cellStyle name="Обычный 4 2 125 3" xfId="13997"/>
    <cellStyle name="Процентный 4 2 125 3" xfId="13998"/>
    <cellStyle name="Обычный 5 2 125 3" xfId="13999"/>
    <cellStyle name="Процентный 5 2 125 3" xfId="14000"/>
    <cellStyle name="Обычный 6 122 3" xfId="14001"/>
    <cellStyle name="Процентный 6 122 3" xfId="14002"/>
    <cellStyle name="Обычный 7 92 3" xfId="14003"/>
    <cellStyle name="Процентный 7 92 3" xfId="14004"/>
    <cellStyle name="Обычный 4 3 84 3" xfId="14005"/>
    <cellStyle name="Процентный 4 3 84 3" xfId="14006"/>
    <cellStyle name="Обычный 5 3 84 3" xfId="14007"/>
    <cellStyle name="Процентный 5 3 84 3" xfId="14008"/>
    <cellStyle name="Обычный 4 2 2 84 3" xfId="14009"/>
    <cellStyle name="Процентный 4 2 2 84 3" xfId="14010"/>
    <cellStyle name="Обычный 5 2 2 84 3" xfId="14011"/>
    <cellStyle name="Процентный 5 2 2 84 3" xfId="14012"/>
    <cellStyle name="Обычный 6 2 84 3" xfId="14013"/>
    <cellStyle name="Процентный 6 2 84 3" xfId="14014"/>
    <cellStyle name="Обычный 7 2 84 3" xfId="14015"/>
    <cellStyle name="Процентный 7 2 84 3" xfId="14016"/>
    <cellStyle name="Обычный 8 80 3" xfId="14017"/>
    <cellStyle name="Процентный 8 80 3" xfId="14018"/>
    <cellStyle name="Обычный 9 46 3" xfId="14019"/>
    <cellStyle name="Процентный 9 47 3" xfId="14020"/>
    <cellStyle name="Обычный 10 39 3" xfId="14021"/>
    <cellStyle name="Процентный 10 39 3" xfId="14022"/>
    <cellStyle name="Обычный 11 27 3" xfId="14023"/>
    <cellStyle name="Процентный 11 27 3" xfId="14024"/>
    <cellStyle name="Обычный 4 139 3" xfId="14025"/>
    <cellStyle name="Процентный 4 139 3" xfId="14026"/>
    <cellStyle name="Обычный 5 132 3" xfId="14027"/>
    <cellStyle name="Процентный 5 132 3" xfId="14028"/>
    <cellStyle name="Обычный 4 2 126 3" xfId="14029"/>
    <cellStyle name="Процентный 4 2 126 3" xfId="14030"/>
    <cellStyle name="Обычный 5 2 126 3" xfId="14031"/>
    <cellStyle name="Процентный 5 2 126 3" xfId="14032"/>
    <cellStyle name="Обычный 6 123 3" xfId="14033"/>
    <cellStyle name="Процентный 6 123 3" xfId="14034"/>
    <cellStyle name="Обычный 7 93 3" xfId="14035"/>
    <cellStyle name="Процентный 7 93 3" xfId="14036"/>
    <cellStyle name="Обычный 4 3 85 3" xfId="14037"/>
    <cellStyle name="Процентный 4 3 85 3" xfId="14038"/>
    <cellStyle name="Обычный 5 3 85 3" xfId="14039"/>
    <cellStyle name="Процентный 5 3 85 3" xfId="14040"/>
    <cellStyle name="Обычный 4 2 2 85 3" xfId="14041"/>
    <cellStyle name="Процентный 4 2 2 85 3" xfId="14042"/>
    <cellStyle name="Обычный 5 2 2 85 3" xfId="14043"/>
    <cellStyle name="Процентный 5 2 2 85 3" xfId="14044"/>
    <cellStyle name="Обычный 6 2 85 3" xfId="14045"/>
    <cellStyle name="Процентный 6 2 85 3" xfId="14046"/>
    <cellStyle name="Обычный 7 2 85 3" xfId="14047"/>
    <cellStyle name="Процентный 7 2 85 3" xfId="14048"/>
    <cellStyle name="Обычный 8 81 3" xfId="14049"/>
    <cellStyle name="Процентный 8 81 3" xfId="14050"/>
    <cellStyle name="Обычный 9 47 3" xfId="14051"/>
    <cellStyle name="Процентный 9 48 3" xfId="14052"/>
    <cellStyle name="Обычный 10 40 3" xfId="14053"/>
    <cellStyle name="Процентный 10 40 3" xfId="14054"/>
    <cellStyle name="Обычный 11 28 3" xfId="14055"/>
    <cellStyle name="Процентный 11 28 3" xfId="14056"/>
    <cellStyle name="Обычный 4 140 3" xfId="14057"/>
    <cellStyle name="Процентный 4 140 3" xfId="14058"/>
    <cellStyle name="Обычный 5 133 3" xfId="14059"/>
    <cellStyle name="Процентный 5 133 3" xfId="14060"/>
    <cellStyle name="Обычный 4 2 127 3" xfId="14061"/>
    <cellStyle name="Процентный 4 2 127 3" xfId="14062"/>
    <cellStyle name="Обычный 5 2 127 3" xfId="14063"/>
    <cellStyle name="Процентный 5 2 127 3" xfId="14064"/>
    <cellStyle name="Обычный 6 124 3" xfId="14065"/>
    <cellStyle name="Процентный 6 124 3" xfId="14066"/>
    <cellStyle name="Обычный 7 94 3" xfId="14067"/>
    <cellStyle name="Процентный 7 94 3" xfId="14068"/>
    <cellStyle name="Обычный 4 3 86 3" xfId="14069"/>
    <cellStyle name="Процентный 4 3 86 3" xfId="14070"/>
    <cellStyle name="Обычный 5 3 86 3" xfId="14071"/>
    <cellStyle name="Процентный 5 3 86 3" xfId="14072"/>
    <cellStyle name="Обычный 4 2 2 86 3" xfId="14073"/>
    <cellStyle name="Процентный 4 2 2 86 3" xfId="14074"/>
    <cellStyle name="Обычный 5 2 2 86 3" xfId="14075"/>
    <cellStyle name="Процентный 5 2 2 86 3" xfId="14076"/>
    <cellStyle name="Обычный 6 2 86 3" xfId="14077"/>
    <cellStyle name="Процентный 6 2 86 3" xfId="14078"/>
    <cellStyle name="Обычный 7 2 86 3" xfId="14079"/>
    <cellStyle name="Процентный 7 2 86 3" xfId="14080"/>
    <cellStyle name="Обычный 8 82 3" xfId="14081"/>
    <cellStyle name="Процентный 8 82 3" xfId="14082"/>
    <cellStyle name="Обычный 9 48 3" xfId="14083"/>
    <cellStyle name="Процентный 9 49 3" xfId="14084"/>
    <cellStyle name="Обычный 10 41 3" xfId="14085"/>
    <cellStyle name="Процентный 10 41 3" xfId="14086"/>
    <cellStyle name="Обычный 11 29 3" xfId="14087"/>
    <cellStyle name="Процентный 11 29 3" xfId="14088"/>
    <cellStyle name="Обычный 4 141 3" xfId="14089"/>
    <cellStyle name="Процентный 4 141 3" xfId="14090"/>
    <cellStyle name="Обычный 5 134 3" xfId="14091"/>
    <cellStyle name="Процентный 5 134 3" xfId="14092"/>
    <cellStyle name="Обычный 4 2 128 3" xfId="14093"/>
    <cellStyle name="Процентный 4 2 128 3" xfId="14094"/>
    <cellStyle name="Обычный 5 2 128 3" xfId="14095"/>
    <cellStyle name="Процентный 5 2 128 3" xfId="14096"/>
    <cellStyle name="Обычный 6 125 3" xfId="14097"/>
    <cellStyle name="Процентный 6 125 3" xfId="14098"/>
    <cellStyle name="Обычный 7 95 3" xfId="14099"/>
    <cellStyle name="Процентный 7 95 3" xfId="14100"/>
    <cellStyle name="Обычный 4 3 87 3" xfId="14101"/>
    <cellStyle name="Процентный 4 3 87 3" xfId="14102"/>
    <cellStyle name="Обычный 5 3 87 3" xfId="14103"/>
    <cellStyle name="Процентный 5 3 87 3" xfId="14104"/>
    <cellStyle name="Обычный 4 2 2 87 3" xfId="14105"/>
    <cellStyle name="Процентный 4 2 2 87 3" xfId="14106"/>
    <cellStyle name="Обычный 5 2 2 87 3" xfId="14107"/>
    <cellStyle name="Процентный 5 2 2 87 3" xfId="14108"/>
    <cellStyle name="Обычный 6 2 87 3" xfId="14109"/>
    <cellStyle name="Процентный 6 2 87 3" xfId="14110"/>
    <cellStyle name="Обычный 7 2 87 3" xfId="14111"/>
    <cellStyle name="Процентный 7 2 87 3" xfId="14112"/>
    <cellStyle name="Обычный 8 83 3" xfId="14113"/>
    <cellStyle name="Процентный 8 83 3" xfId="14114"/>
    <cellStyle name="Обычный 9 49 3" xfId="14115"/>
    <cellStyle name="Процентный 9 50 3" xfId="14116"/>
    <cellStyle name="Обычный 10 42 3" xfId="14117"/>
    <cellStyle name="Процентный 10 42 3" xfId="14118"/>
    <cellStyle name="Обычный 11 30 3" xfId="14119"/>
    <cellStyle name="Процентный 11 30 3" xfId="14120"/>
    <cellStyle name="Обычный 4 142 3" xfId="14121"/>
    <cellStyle name="Процентный 4 142 3" xfId="14122"/>
    <cellStyle name="Обычный 5 135 3" xfId="14123"/>
    <cellStyle name="Процентный 5 135 3" xfId="14124"/>
    <cellStyle name="Обычный 4 2 129 3" xfId="14125"/>
    <cellStyle name="Процентный 4 2 129 3" xfId="14126"/>
    <cellStyle name="Обычный 5 2 129 3" xfId="14127"/>
    <cellStyle name="Процентный 5 2 129 3" xfId="14128"/>
    <cellStyle name="Обычный 6 126 3" xfId="14129"/>
    <cellStyle name="Процентный 6 126 3" xfId="14130"/>
    <cellStyle name="Обычный 7 96 3" xfId="14131"/>
    <cellStyle name="Процентный 7 96 3" xfId="14132"/>
    <cellStyle name="Обычный 4 3 88 3" xfId="14133"/>
    <cellStyle name="Процентный 4 3 88 3" xfId="14134"/>
    <cellStyle name="Обычный 5 3 88 3" xfId="14135"/>
    <cellStyle name="Процентный 5 3 88 3" xfId="14136"/>
    <cellStyle name="Обычный 4 2 2 88 3" xfId="14137"/>
    <cellStyle name="Процентный 4 2 2 88 3" xfId="14138"/>
    <cellStyle name="Обычный 5 2 2 88 3" xfId="14139"/>
    <cellStyle name="Процентный 5 2 2 88 3" xfId="14140"/>
    <cellStyle name="Обычный 6 2 88 3" xfId="14141"/>
    <cellStyle name="Процентный 6 2 88 3" xfId="14142"/>
    <cellStyle name="Обычный 7 2 88 3" xfId="14143"/>
    <cellStyle name="Процентный 7 2 88 3" xfId="14144"/>
    <cellStyle name="Обычный 8 84 3" xfId="14145"/>
    <cellStyle name="Процентный 8 84 3" xfId="14146"/>
    <cellStyle name="Обычный 9 50 3" xfId="14147"/>
    <cellStyle name="Процентный 9 51 3" xfId="14148"/>
    <cellStyle name="Обычный 10 43 3" xfId="14149"/>
    <cellStyle name="Процентный 10 43 3" xfId="14150"/>
    <cellStyle name="Обычный 11 31 3" xfId="14151"/>
    <cellStyle name="Процентный 11 31 3" xfId="14152"/>
    <cellStyle name="Обычный 4 143 3" xfId="14153"/>
    <cellStyle name="Процентный 4 143 3" xfId="14154"/>
    <cellStyle name="Обычный 5 136 3" xfId="14155"/>
    <cellStyle name="Процентный 5 136 3" xfId="14156"/>
    <cellStyle name="Обычный 4 2 130 3" xfId="14157"/>
    <cellStyle name="Процентный 4 2 130 3" xfId="14158"/>
    <cellStyle name="Обычный 5 2 130 3" xfId="14159"/>
    <cellStyle name="Процентный 5 2 130 3" xfId="14160"/>
    <cellStyle name="Обычный 6 127 3" xfId="14161"/>
    <cellStyle name="Процентный 6 127 3" xfId="14162"/>
    <cellStyle name="Обычный 7 97 3" xfId="14163"/>
    <cellStyle name="Процентный 7 97 3" xfId="14164"/>
    <cellStyle name="Обычный 4 3 89 3" xfId="14165"/>
    <cellStyle name="Процентный 4 3 89 3" xfId="14166"/>
    <cellStyle name="Обычный 5 3 89 3" xfId="14167"/>
    <cellStyle name="Процентный 5 3 89 3" xfId="14168"/>
    <cellStyle name="Обычный 4 2 2 89 3" xfId="14169"/>
    <cellStyle name="Процентный 4 2 2 89 3" xfId="14170"/>
    <cellStyle name="Обычный 5 2 2 89 3" xfId="14171"/>
    <cellStyle name="Процентный 5 2 2 89 3" xfId="14172"/>
    <cellStyle name="Обычный 6 2 89 3" xfId="14173"/>
    <cellStyle name="Процентный 6 2 89 3" xfId="14174"/>
    <cellStyle name="Обычный 7 2 89 3" xfId="14175"/>
    <cellStyle name="Процентный 7 2 89 3" xfId="14176"/>
    <cellStyle name="Обычный 8 85 3" xfId="14177"/>
    <cellStyle name="Процентный 8 85 3" xfId="14178"/>
    <cellStyle name="Обычный 9 51 3" xfId="14179"/>
    <cellStyle name="Процентный 9 52 3" xfId="14180"/>
    <cellStyle name="Обычный 10 44 3" xfId="14181"/>
    <cellStyle name="Процентный 10 44 3" xfId="14182"/>
    <cellStyle name="Обычный 11 32 3" xfId="14183"/>
    <cellStyle name="Процентный 11 32 3" xfId="14184"/>
    <cellStyle name="Обычный 4 144 3" xfId="14185"/>
    <cellStyle name="Процентный 4 144 3" xfId="14186"/>
    <cellStyle name="Обычный 5 137 3" xfId="14187"/>
    <cellStyle name="Процентный 5 137 3" xfId="14188"/>
    <cellStyle name="Обычный 4 2 131 3" xfId="14189"/>
    <cellStyle name="Процентный 4 2 131 3" xfId="14190"/>
    <cellStyle name="Обычный 5 2 131 3" xfId="14191"/>
    <cellStyle name="Процентный 5 2 131 3" xfId="14192"/>
    <cellStyle name="Обычный 6 128 3" xfId="14193"/>
    <cellStyle name="Процентный 6 128 3" xfId="14194"/>
    <cellStyle name="Обычный 7 98 3" xfId="14195"/>
    <cellStyle name="Процентный 7 98 3" xfId="14196"/>
    <cellStyle name="Обычный 4 3 90 3" xfId="14197"/>
    <cellStyle name="Процентный 4 3 90 3" xfId="14198"/>
    <cellStyle name="Обычный 5 3 90 3" xfId="14199"/>
    <cellStyle name="Процентный 5 3 90 3" xfId="14200"/>
    <cellStyle name="Обычный 4 2 2 90 3" xfId="14201"/>
    <cellStyle name="Процентный 4 2 2 90 3" xfId="14202"/>
    <cellStyle name="Обычный 5 2 2 90 3" xfId="14203"/>
    <cellStyle name="Процентный 5 2 2 90 3" xfId="14204"/>
    <cellStyle name="Обычный 6 2 90 3" xfId="14205"/>
    <cellStyle name="Процентный 6 2 90 3" xfId="14206"/>
    <cellStyle name="Обычный 7 2 90 3" xfId="14207"/>
    <cellStyle name="Процентный 7 2 90 3" xfId="14208"/>
    <cellStyle name="Обычный 8 86 3" xfId="14209"/>
    <cellStyle name="Процентный 8 86 3" xfId="14210"/>
    <cellStyle name="Обычный 9 52 3" xfId="14211"/>
    <cellStyle name="Процентный 9 53 3" xfId="14212"/>
    <cellStyle name="Обычный 10 45 3" xfId="14213"/>
    <cellStyle name="Процентный 10 45 3" xfId="14214"/>
    <cellStyle name="Обычный 11 33 3" xfId="14215"/>
    <cellStyle name="Процентный 11 33 3" xfId="14216"/>
    <cellStyle name="Обычный 4 145 3" xfId="14217"/>
    <cellStyle name="Процентный 4 145 3" xfId="14218"/>
    <cellStyle name="Обычный 5 138 3" xfId="14219"/>
    <cellStyle name="Процентный 5 138 3" xfId="14220"/>
    <cellStyle name="Обычный 4 2 132 3" xfId="14221"/>
    <cellStyle name="Процентный 4 2 132 3" xfId="14222"/>
    <cellStyle name="Обычный 5 2 132 3" xfId="14223"/>
    <cellStyle name="Процентный 5 2 132 3" xfId="14224"/>
    <cellStyle name="Обычный 6 129 3" xfId="14225"/>
    <cellStyle name="Процентный 6 129 3" xfId="14226"/>
    <cellStyle name="Обычный 7 99 3" xfId="14227"/>
    <cellStyle name="Процентный 7 99 3" xfId="14228"/>
    <cellStyle name="Обычный 4 3 91 3" xfId="14229"/>
    <cellStyle name="Процентный 4 3 91 3" xfId="14230"/>
    <cellStyle name="Обычный 5 3 91 3" xfId="14231"/>
    <cellStyle name="Процентный 5 3 91 3" xfId="14232"/>
    <cellStyle name="Обычный 4 2 2 91 3" xfId="14233"/>
    <cellStyle name="Процентный 4 2 2 91 3" xfId="14234"/>
    <cellStyle name="Обычный 5 2 2 91 3" xfId="14235"/>
    <cellStyle name="Процентный 5 2 2 91 3" xfId="14236"/>
    <cellStyle name="Обычный 6 2 91 3" xfId="14237"/>
    <cellStyle name="Процентный 6 2 91 3" xfId="14238"/>
    <cellStyle name="Обычный 7 2 91 3" xfId="14239"/>
    <cellStyle name="Процентный 7 2 91 3" xfId="14240"/>
    <cellStyle name="Обычный 8 87 3" xfId="14241"/>
    <cellStyle name="Процентный 8 87 3" xfId="14242"/>
    <cellStyle name="Обычный 9 53 3" xfId="14243"/>
    <cellStyle name="Процентный 9 54 3" xfId="14244"/>
    <cellStyle name="Обычный 10 46 3" xfId="14245"/>
    <cellStyle name="Процентный 10 46 3" xfId="14246"/>
    <cellStyle name="Обычный 11 34 3" xfId="14247"/>
    <cellStyle name="Процентный 11 34 3" xfId="14248"/>
    <cellStyle name="Обычный 4 146 3" xfId="14249"/>
    <cellStyle name="Процентный 4 146 3" xfId="14250"/>
    <cellStyle name="Обычный 5 139 3" xfId="14251"/>
    <cellStyle name="Процентный 5 139 3" xfId="14252"/>
    <cellStyle name="Обычный 4 2 133 3" xfId="14253"/>
    <cellStyle name="Процентный 4 2 133 3" xfId="14254"/>
    <cellStyle name="Обычный 5 2 133 3" xfId="14255"/>
    <cellStyle name="Процентный 5 2 133 3" xfId="14256"/>
    <cellStyle name="Обычный 6 130 3" xfId="14257"/>
    <cellStyle name="Процентный 6 130 3" xfId="14258"/>
    <cellStyle name="Обычный 7 100 3" xfId="14259"/>
    <cellStyle name="Процентный 7 100 3" xfId="14260"/>
    <cellStyle name="Обычный 4 3 92 3" xfId="14261"/>
    <cellStyle name="Процентный 4 3 92 3" xfId="14262"/>
    <cellStyle name="Обычный 5 3 92 3" xfId="14263"/>
    <cellStyle name="Процентный 5 3 92 3" xfId="14264"/>
    <cellStyle name="Обычный 4 2 2 92 3" xfId="14265"/>
    <cellStyle name="Процентный 4 2 2 92 3" xfId="14266"/>
    <cellStyle name="Обычный 5 2 2 92 3" xfId="14267"/>
    <cellStyle name="Процентный 5 2 2 92 3" xfId="14268"/>
    <cellStyle name="Обычный 6 2 92 3" xfId="14269"/>
    <cellStyle name="Процентный 6 2 92 3" xfId="14270"/>
    <cellStyle name="Обычный 7 2 92 3" xfId="14271"/>
    <cellStyle name="Процентный 7 2 92 3" xfId="14272"/>
    <cellStyle name="Обычный 8 88 3" xfId="14273"/>
    <cellStyle name="Процентный 8 88 3" xfId="14274"/>
    <cellStyle name="Обычный 9 54 3" xfId="14275"/>
    <cellStyle name="Процентный 9 55 3" xfId="14276"/>
    <cellStyle name="Обычный 10 47 3" xfId="14277"/>
    <cellStyle name="Процентный 10 47 3" xfId="14278"/>
    <cellStyle name="Обычный 11 35 3" xfId="14279"/>
    <cellStyle name="Процентный 11 35 3" xfId="14280"/>
    <cellStyle name="Обычный 4 147 3" xfId="14281"/>
    <cellStyle name="Процентный 4 147 3" xfId="14282"/>
    <cellStyle name="Обычный 5 140 3" xfId="14283"/>
    <cellStyle name="Процентный 5 140 3" xfId="14284"/>
    <cellStyle name="Обычный 4 2 134 3" xfId="14285"/>
    <cellStyle name="Процентный 4 2 134 3" xfId="14286"/>
    <cellStyle name="Обычный 5 2 134 3" xfId="14287"/>
    <cellStyle name="Процентный 5 2 134 3" xfId="14288"/>
    <cellStyle name="Обычный 6 131 3" xfId="14289"/>
    <cellStyle name="Процентный 6 131 3" xfId="14290"/>
    <cellStyle name="Обычный 7 101 3" xfId="14291"/>
    <cellStyle name="Процентный 7 101 3" xfId="14292"/>
    <cellStyle name="Обычный 4 3 93 3" xfId="14293"/>
    <cellStyle name="Процентный 4 3 93 3" xfId="14294"/>
    <cellStyle name="Обычный 5 3 93 3" xfId="14295"/>
    <cellStyle name="Процентный 5 3 93 3" xfId="14296"/>
    <cellStyle name="Обычный 4 2 2 93 3" xfId="14297"/>
    <cellStyle name="Процентный 4 2 2 93 3" xfId="14298"/>
    <cellStyle name="Обычный 5 2 2 93 3" xfId="14299"/>
    <cellStyle name="Процентный 5 2 2 93 3" xfId="14300"/>
    <cellStyle name="Обычный 6 2 93 3" xfId="14301"/>
    <cellStyle name="Процентный 6 2 93 3" xfId="14302"/>
    <cellStyle name="Обычный 7 2 93 3" xfId="14303"/>
    <cellStyle name="Процентный 7 2 93 3" xfId="14304"/>
    <cellStyle name="Обычный 8 89 3" xfId="14305"/>
    <cellStyle name="Процентный 8 89 3" xfId="14306"/>
    <cellStyle name="Обычный 9 55 3" xfId="14307"/>
    <cellStyle name="Процентный 9 56 3" xfId="14308"/>
    <cellStyle name="Обычный 10 48 3" xfId="14309"/>
    <cellStyle name="Процентный 10 48 3" xfId="14310"/>
    <cellStyle name="Обычный 11 36 3" xfId="14311"/>
    <cellStyle name="Процентный 11 36 3" xfId="14312"/>
    <cellStyle name="Обычный 4 148 3" xfId="14313"/>
    <cellStyle name="Процентный 4 148 3" xfId="14314"/>
    <cellStyle name="Обычный 5 141 3" xfId="14315"/>
    <cellStyle name="Процентный 5 141 3" xfId="14316"/>
    <cellStyle name="Обычный 4 2 135 3" xfId="14317"/>
    <cellStyle name="Процентный 4 2 135 3" xfId="14318"/>
    <cellStyle name="Обычный 5 2 135 3" xfId="14319"/>
    <cellStyle name="Процентный 5 2 135 3" xfId="14320"/>
    <cellStyle name="Обычный 6 132 3" xfId="14321"/>
    <cellStyle name="Процентный 6 132 3" xfId="14322"/>
    <cellStyle name="Обычный 7 102 3" xfId="14323"/>
    <cellStyle name="Процентный 7 102 3" xfId="14324"/>
    <cellStyle name="Обычный 4 3 94 3" xfId="14325"/>
    <cellStyle name="Процентный 4 3 94 3" xfId="14326"/>
    <cellStyle name="Обычный 5 3 94 3" xfId="14327"/>
    <cellStyle name="Процентный 5 3 94 3" xfId="14328"/>
    <cellStyle name="Обычный 4 2 2 94 3" xfId="14329"/>
    <cellStyle name="Процентный 4 2 2 94 3" xfId="14330"/>
    <cellStyle name="Обычный 5 2 2 94 3" xfId="14331"/>
    <cellStyle name="Процентный 5 2 2 94 3" xfId="14332"/>
    <cellStyle name="Обычный 6 2 94 3" xfId="14333"/>
    <cellStyle name="Процентный 6 2 94 3" xfId="14334"/>
    <cellStyle name="Обычный 7 2 94 3" xfId="14335"/>
    <cellStyle name="Процентный 7 2 94 3" xfId="14336"/>
    <cellStyle name="Обычный 8 90 3" xfId="14337"/>
    <cellStyle name="Процентный 8 90 3" xfId="14338"/>
    <cellStyle name="Обычный 9 56 3" xfId="14339"/>
    <cellStyle name="Процентный 9 57 3" xfId="14340"/>
    <cellStyle name="Обычный 10 49 3" xfId="14341"/>
    <cellStyle name="Процентный 10 49 3" xfId="14342"/>
    <cellStyle name="Обычный 11 37 3" xfId="14343"/>
    <cellStyle name="Процентный 11 37 3" xfId="14344"/>
    <cellStyle name="Обычный 4 149 3" xfId="14345"/>
    <cellStyle name="Процентный 4 149 3" xfId="14346"/>
    <cellStyle name="Обычный 5 142 3" xfId="14347"/>
    <cellStyle name="Процентный 5 142 3" xfId="14348"/>
    <cellStyle name="Обычный 4 2 136 3" xfId="14349"/>
    <cellStyle name="Процентный 4 2 136 3" xfId="14350"/>
    <cellStyle name="Обычный 5 2 136 3" xfId="14351"/>
    <cellStyle name="Процентный 5 2 136 3" xfId="14352"/>
    <cellStyle name="Обычный 6 133 3" xfId="14353"/>
    <cellStyle name="Процентный 6 133 3" xfId="14354"/>
    <cellStyle name="Обычный 7 103 3" xfId="14355"/>
    <cellStyle name="Процентный 7 103 3" xfId="14356"/>
    <cellStyle name="Обычный 4 3 95 3" xfId="14357"/>
    <cellStyle name="Процентный 4 3 95 3" xfId="14358"/>
    <cellStyle name="Обычный 5 3 95 3" xfId="14359"/>
    <cellStyle name="Процентный 5 3 95 3" xfId="14360"/>
    <cellStyle name="Обычный 4 2 2 95 3" xfId="14361"/>
    <cellStyle name="Процентный 4 2 2 95 3" xfId="14362"/>
    <cellStyle name="Обычный 5 2 2 95 3" xfId="14363"/>
    <cellStyle name="Процентный 5 2 2 95 3" xfId="14364"/>
    <cellStyle name="Обычный 6 2 95 3" xfId="14365"/>
    <cellStyle name="Процентный 6 2 95 3" xfId="14366"/>
    <cellStyle name="Обычный 7 2 95 3" xfId="14367"/>
    <cellStyle name="Процентный 7 2 95 3" xfId="14368"/>
    <cellStyle name="Обычный 8 91 3" xfId="14369"/>
    <cellStyle name="Процентный 8 91 3" xfId="14370"/>
    <cellStyle name="Обычный 9 57 3" xfId="14371"/>
    <cellStyle name="Процентный 9 58 3" xfId="14372"/>
    <cellStyle name="Обычный 10 50 3" xfId="14373"/>
    <cellStyle name="Процентный 10 50 3" xfId="14374"/>
    <cellStyle name="Обычный 11 38 3" xfId="14375"/>
    <cellStyle name="Процентный 11 38 3" xfId="14376"/>
    <cellStyle name="Обычный 4 150 3" xfId="14377"/>
    <cellStyle name="Процентный 4 150 3" xfId="14378"/>
    <cellStyle name="Обычный 5 143 3" xfId="14379"/>
    <cellStyle name="Процентный 5 143 3" xfId="14380"/>
    <cellStyle name="Обычный 4 2 137 3" xfId="14381"/>
    <cellStyle name="Процентный 4 2 137 3" xfId="14382"/>
    <cellStyle name="Обычный 5 2 137 3" xfId="14383"/>
    <cellStyle name="Процентный 5 2 137 3" xfId="14384"/>
    <cellStyle name="Обычный 6 134 3" xfId="14385"/>
    <cellStyle name="Процентный 6 134 3" xfId="14386"/>
    <cellStyle name="Обычный 7 104 3" xfId="14387"/>
    <cellStyle name="Процентный 7 104 3" xfId="14388"/>
    <cellStyle name="Обычный 4 3 96 3" xfId="14389"/>
    <cellStyle name="Процентный 4 3 96 3" xfId="14390"/>
    <cellStyle name="Обычный 5 3 96 3" xfId="14391"/>
    <cellStyle name="Процентный 5 3 96 3" xfId="14392"/>
    <cellStyle name="Обычный 4 2 2 96 3" xfId="14393"/>
    <cellStyle name="Процентный 4 2 2 96 3" xfId="14394"/>
    <cellStyle name="Обычный 5 2 2 96 3" xfId="14395"/>
    <cellStyle name="Процентный 5 2 2 96 3" xfId="14396"/>
    <cellStyle name="Обычный 6 2 96 3" xfId="14397"/>
    <cellStyle name="Процентный 6 2 96 3" xfId="14398"/>
    <cellStyle name="Обычный 7 2 96 3" xfId="14399"/>
    <cellStyle name="Процентный 7 2 96 3" xfId="14400"/>
    <cellStyle name="Обычный 8 92 3" xfId="14401"/>
    <cellStyle name="Процентный 8 92 3" xfId="14402"/>
    <cellStyle name="Обычный 9 58 3" xfId="14403"/>
    <cellStyle name="Процентный 9 59 3" xfId="14404"/>
    <cellStyle name="Обычный 10 51 3" xfId="14405"/>
    <cellStyle name="Процентный 10 51 3" xfId="14406"/>
    <cellStyle name="Обычный 11 39 3" xfId="14407"/>
    <cellStyle name="Процентный 11 39 3" xfId="14408"/>
    <cellStyle name="Обычный 4 151 3" xfId="14409"/>
    <cellStyle name="Процентный 4 151 3" xfId="14410"/>
    <cellStyle name="Обычный 5 144 3" xfId="14411"/>
    <cellStyle name="Процентный 5 144 3" xfId="14412"/>
    <cellStyle name="Обычный 4 2 138 3" xfId="14413"/>
    <cellStyle name="Процентный 4 2 138 3" xfId="14414"/>
    <cellStyle name="Обычный 5 2 138 3" xfId="14415"/>
    <cellStyle name="Процентный 5 2 138 3" xfId="14416"/>
    <cellStyle name="Обычный 6 135 3" xfId="14417"/>
    <cellStyle name="Процентный 6 135 3" xfId="14418"/>
    <cellStyle name="Обычный 7 105 3" xfId="14419"/>
    <cellStyle name="Процентный 7 105 3" xfId="14420"/>
    <cellStyle name="Обычный 4 3 97 3" xfId="14421"/>
    <cellStyle name="Процентный 4 3 97 3" xfId="14422"/>
    <cellStyle name="Обычный 5 3 97 3" xfId="14423"/>
    <cellStyle name="Процентный 5 3 97 3" xfId="14424"/>
    <cellStyle name="Обычный 4 2 2 97 3" xfId="14425"/>
    <cellStyle name="Процентный 4 2 2 97 3" xfId="14426"/>
    <cellStyle name="Обычный 5 2 2 97 3" xfId="14427"/>
    <cellStyle name="Процентный 5 2 2 97 3" xfId="14428"/>
    <cellStyle name="Обычный 6 2 97 3" xfId="14429"/>
    <cellStyle name="Процентный 6 2 97 3" xfId="14430"/>
    <cellStyle name="Обычный 7 2 97 3" xfId="14431"/>
    <cellStyle name="Процентный 7 2 97 3" xfId="14432"/>
    <cellStyle name="Обычный 8 93 3" xfId="14433"/>
    <cellStyle name="Процентный 8 93 3" xfId="14434"/>
    <cellStyle name="Обычный 9 59 3" xfId="14435"/>
    <cellStyle name="Процентный 9 60 3" xfId="14436"/>
    <cellStyle name="Обычный 10 52 3" xfId="14437"/>
    <cellStyle name="Процентный 10 52 3" xfId="14438"/>
    <cellStyle name="Обычный 11 40 3" xfId="14439"/>
    <cellStyle name="Процентный 11 40 3" xfId="14440"/>
    <cellStyle name="Обычный 4 152 3" xfId="14441"/>
    <cellStyle name="Процентный 4 152 3" xfId="14442"/>
    <cellStyle name="Обычный 5 145 3" xfId="14443"/>
    <cellStyle name="Процентный 5 145 3" xfId="14444"/>
    <cellStyle name="Обычный 4 2 139 3" xfId="14445"/>
    <cellStyle name="Процентный 4 2 139 3" xfId="14446"/>
    <cellStyle name="Обычный 5 2 139 3" xfId="14447"/>
    <cellStyle name="Процентный 5 2 139 3" xfId="14448"/>
    <cellStyle name="Обычный 6 136 3" xfId="14449"/>
    <cellStyle name="Процентный 6 136 3" xfId="14450"/>
    <cellStyle name="Обычный 7 106 3" xfId="14451"/>
    <cellStyle name="Процентный 7 106 3" xfId="14452"/>
    <cellStyle name="Обычный 4 3 98 3" xfId="14453"/>
    <cellStyle name="Процентный 4 3 98 3" xfId="14454"/>
    <cellStyle name="Обычный 5 3 98 3" xfId="14455"/>
    <cellStyle name="Процентный 5 3 98 3" xfId="14456"/>
    <cellStyle name="Обычный 4 2 2 98 3" xfId="14457"/>
    <cellStyle name="Процентный 4 2 2 98 3" xfId="14458"/>
    <cellStyle name="Обычный 5 2 2 98 3" xfId="14459"/>
    <cellStyle name="Процентный 5 2 2 98 3" xfId="14460"/>
    <cellStyle name="Обычный 6 2 98 3" xfId="14461"/>
    <cellStyle name="Процентный 6 2 98 3" xfId="14462"/>
    <cellStyle name="Обычный 7 2 98 3" xfId="14463"/>
    <cellStyle name="Процентный 7 2 98 3" xfId="14464"/>
    <cellStyle name="Обычный 8 94 3" xfId="14465"/>
    <cellStyle name="Процентный 8 94 3" xfId="14466"/>
    <cellStyle name="Обычный 9 60 3" xfId="14467"/>
    <cellStyle name="Процентный 9 61 3" xfId="14468"/>
    <cellStyle name="Обычный 10 53 3" xfId="14469"/>
    <cellStyle name="Процентный 10 53 3" xfId="14470"/>
    <cellStyle name="Обычный 11 41 3" xfId="14471"/>
    <cellStyle name="Процентный 11 41 3" xfId="14472"/>
    <cellStyle name="Обычный 4 153 3" xfId="14473"/>
    <cellStyle name="Процентный 4 153 3" xfId="14474"/>
    <cellStyle name="Обычный 5 146 3" xfId="14475"/>
    <cellStyle name="Процентный 5 146 3" xfId="14476"/>
    <cellStyle name="Обычный 4 2 140 3" xfId="14477"/>
    <cellStyle name="Процентный 4 2 140 3" xfId="14478"/>
    <cellStyle name="Обычный 5 2 140 3" xfId="14479"/>
    <cellStyle name="Процентный 5 2 140 3" xfId="14480"/>
    <cellStyle name="Обычный 6 137 3" xfId="14481"/>
    <cellStyle name="Процентный 6 137 3" xfId="14482"/>
    <cellStyle name="Обычный 7 107 3" xfId="14483"/>
    <cellStyle name="Процентный 7 107 3" xfId="14484"/>
    <cellStyle name="Обычный 4 3 99 3" xfId="14485"/>
    <cellStyle name="Процентный 4 3 99 3" xfId="14486"/>
    <cellStyle name="Обычный 5 3 99 3" xfId="14487"/>
    <cellStyle name="Процентный 5 3 99 3" xfId="14488"/>
    <cellStyle name="Обычный 4 2 2 99 3" xfId="14489"/>
    <cellStyle name="Процентный 4 2 2 99 3" xfId="14490"/>
    <cellStyle name="Обычный 5 2 2 99 3" xfId="14491"/>
    <cellStyle name="Процентный 5 2 2 99 3" xfId="14492"/>
    <cellStyle name="Обычный 6 2 99 3" xfId="14493"/>
    <cellStyle name="Процентный 6 2 99 3" xfId="14494"/>
    <cellStyle name="Обычный 7 2 99 3" xfId="14495"/>
    <cellStyle name="Процентный 7 2 99 3" xfId="14496"/>
    <cellStyle name="Обычный 8 95 3" xfId="14497"/>
    <cellStyle name="Процентный 8 95 3" xfId="14498"/>
    <cellStyle name="Обычный 9 61 3" xfId="14499"/>
    <cellStyle name="Процентный 9 62 3" xfId="14500"/>
    <cellStyle name="Обычный 10 54 3" xfId="14501"/>
    <cellStyle name="Процентный 10 54 3" xfId="14502"/>
    <cellStyle name="Обычный 11 42 3" xfId="14503"/>
    <cellStyle name="Процентный 11 42 3" xfId="14504"/>
    <cellStyle name="Обычный 4 154 3" xfId="14505"/>
    <cellStyle name="Процентный 4 154 3" xfId="14506"/>
    <cellStyle name="Обычный 5 147 3" xfId="14507"/>
    <cellStyle name="Процентный 5 147 3" xfId="14508"/>
    <cellStyle name="Обычный 4 2 141 3" xfId="14509"/>
    <cellStyle name="Процентный 4 2 141 3" xfId="14510"/>
    <cellStyle name="Обычный 5 2 141 3" xfId="14511"/>
    <cellStyle name="Процентный 5 2 141 3" xfId="14512"/>
    <cellStyle name="Обычный 6 138 3" xfId="14513"/>
    <cellStyle name="Процентный 6 138 3" xfId="14514"/>
    <cellStyle name="Обычный 7 108 3" xfId="14515"/>
    <cellStyle name="Процентный 7 108 3" xfId="14516"/>
    <cellStyle name="Обычный 4 3 100 3" xfId="14517"/>
    <cellStyle name="Процентный 4 3 100 3" xfId="14518"/>
    <cellStyle name="Обычный 5 3 100 3" xfId="14519"/>
    <cellStyle name="Процентный 5 3 100 3" xfId="14520"/>
    <cellStyle name="Обычный 4 2 2 100 3" xfId="14521"/>
    <cellStyle name="Процентный 4 2 2 100 3" xfId="14522"/>
    <cellStyle name="Обычный 5 2 2 100 3" xfId="14523"/>
    <cellStyle name="Процентный 5 2 2 100 3" xfId="14524"/>
    <cellStyle name="Обычный 6 2 100 3" xfId="14525"/>
    <cellStyle name="Процентный 6 2 100 3" xfId="14526"/>
    <cellStyle name="Обычный 7 2 100 3" xfId="14527"/>
    <cellStyle name="Процентный 7 2 100 3" xfId="14528"/>
    <cellStyle name="Обычный 8 96 3" xfId="14529"/>
    <cellStyle name="Процентный 8 96 3" xfId="14530"/>
    <cellStyle name="Обычный 9 62 3" xfId="14531"/>
    <cellStyle name="Процентный 9 63 3" xfId="14532"/>
    <cellStyle name="Обычный 10 55 3" xfId="14533"/>
    <cellStyle name="Процентный 10 55 3" xfId="14534"/>
    <cellStyle name="Обычный 11 43 3" xfId="14535"/>
    <cellStyle name="Процентный 11 43 3" xfId="14536"/>
    <cellStyle name="Обычный 4 155 3" xfId="14537"/>
    <cellStyle name="Процентный 4 155 3" xfId="14538"/>
    <cellStyle name="Обычный 5 148 3" xfId="14539"/>
    <cellStyle name="Процентный 5 148 3" xfId="14540"/>
    <cellStyle name="Обычный 4 2 142 3" xfId="14541"/>
    <cellStyle name="Процентный 4 2 142 3" xfId="14542"/>
    <cellStyle name="Обычный 5 2 142 3" xfId="14543"/>
    <cellStyle name="Процентный 5 2 142 3" xfId="14544"/>
    <cellStyle name="Обычный 6 139 3" xfId="14545"/>
    <cellStyle name="Процентный 6 139 3" xfId="14546"/>
    <cellStyle name="Обычный 7 109 3" xfId="14547"/>
    <cellStyle name="Процентный 7 109 3" xfId="14548"/>
    <cellStyle name="Обычный 4 3 101 3" xfId="14549"/>
    <cellStyle name="Процентный 4 3 101 3" xfId="14550"/>
    <cellStyle name="Обычный 5 3 101 3" xfId="14551"/>
    <cellStyle name="Процентный 5 3 101 3" xfId="14552"/>
    <cellStyle name="Обычный 4 2 2 101 3" xfId="14553"/>
    <cellStyle name="Процентный 4 2 2 101 3" xfId="14554"/>
    <cellStyle name="Обычный 5 2 2 101 3" xfId="14555"/>
    <cellStyle name="Процентный 5 2 2 101 3" xfId="14556"/>
    <cellStyle name="Обычный 6 2 101 3" xfId="14557"/>
    <cellStyle name="Процентный 6 2 101 3" xfId="14558"/>
    <cellStyle name="Обычный 7 2 101 3" xfId="14559"/>
    <cellStyle name="Процентный 7 2 101 3" xfId="14560"/>
    <cellStyle name="Обычный 8 97 3" xfId="14561"/>
    <cellStyle name="Процентный 8 97 3" xfId="14562"/>
    <cellStyle name="Обычный 9 63 3" xfId="14563"/>
    <cellStyle name="Процентный 9 64 3" xfId="14564"/>
    <cellStyle name="Обычный 10 56 3" xfId="14565"/>
    <cellStyle name="Процентный 10 56 3" xfId="14566"/>
    <cellStyle name="Обычный 11 44 3" xfId="14567"/>
    <cellStyle name="Процентный 11 44 3" xfId="14568"/>
    <cellStyle name="Обычный 4 156 3" xfId="14569"/>
    <cellStyle name="Процентный 4 156 3" xfId="14570"/>
    <cellStyle name="Обычный 5 149 3" xfId="14571"/>
    <cellStyle name="Процентный 5 149 3" xfId="14572"/>
    <cellStyle name="Обычный 4 2 143 3" xfId="14573"/>
    <cellStyle name="Процентный 4 2 143 3" xfId="14574"/>
    <cellStyle name="Обычный 5 2 143 3" xfId="14575"/>
    <cellStyle name="Процентный 5 2 143 3" xfId="14576"/>
    <cellStyle name="Обычный 6 140 3" xfId="14577"/>
    <cellStyle name="Процентный 6 140 3" xfId="14578"/>
    <cellStyle name="Обычный 7 110 3" xfId="14579"/>
    <cellStyle name="Процентный 7 110 3" xfId="14580"/>
    <cellStyle name="Обычный 4 3 102 3" xfId="14581"/>
    <cellStyle name="Процентный 4 3 102 3" xfId="14582"/>
    <cellStyle name="Обычный 5 3 102 3" xfId="14583"/>
    <cellStyle name="Процентный 5 3 102 3" xfId="14584"/>
    <cellStyle name="Обычный 4 2 2 102 3" xfId="14585"/>
    <cellStyle name="Процентный 4 2 2 102 3" xfId="14586"/>
    <cellStyle name="Обычный 5 2 2 102 3" xfId="14587"/>
    <cellStyle name="Процентный 5 2 2 102 3" xfId="14588"/>
    <cellStyle name="Обычный 6 2 102 3" xfId="14589"/>
    <cellStyle name="Процентный 6 2 102 3" xfId="14590"/>
    <cellStyle name="Обычный 7 2 102 3" xfId="14591"/>
    <cellStyle name="Процентный 7 2 102 3" xfId="14592"/>
    <cellStyle name="Обычный 8 98 3" xfId="14593"/>
    <cellStyle name="Процентный 8 98 3" xfId="14594"/>
    <cellStyle name="Обычный 9 64 3" xfId="14595"/>
    <cellStyle name="Процентный 9 65 3" xfId="14596"/>
    <cellStyle name="Обычный 10 57 3" xfId="14597"/>
    <cellStyle name="Процентный 10 57 3" xfId="14598"/>
    <cellStyle name="Обычный 11 45 3" xfId="14599"/>
    <cellStyle name="Процентный 11 45 3" xfId="14600"/>
    <cellStyle name="Обычный 4 157 3" xfId="14601"/>
    <cellStyle name="Процентный 4 157 3" xfId="14602"/>
    <cellStyle name="Обычный 5 150 3" xfId="14603"/>
    <cellStyle name="Процентный 5 150 3" xfId="14604"/>
    <cellStyle name="Обычный 4 2 144 3" xfId="14605"/>
    <cellStyle name="Процентный 4 2 144 3" xfId="14606"/>
    <cellStyle name="Обычный 5 2 144 3" xfId="14607"/>
    <cellStyle name="Процентный 5 2 144 3" xfId="14608"/>
    <cellStyle name="Обычный 6 141 3" xfId="14609"/>
    <cellStyle name="Процентный 6 141 3" xfId="14610"/>
    <cellStyle name="Обычный 7 111 3" xfId="14611"/>
    <cellStyle name="Процентный 7 111 3" xfId="14612"/>
    <cellStyle name="Обычный 4 3 103 3" xfId="14613"/>
    <cellStyle name="Процентный 4 3 103 3" xfId="14614"/>
    <cellStyle name="Обычный 5 3 103 3" xfId="14615"/>
    <cellStyle name="Процентный 5 3 103 3" xfId="14616"/>
    <cellStyle name="Обычный 4 2 2 103 3" xfId="14617"/>
    <cellStyle name="Процентный 4 2 2 103 3" xfId="14618"/>
    <cellStyle name="Обычный 5 2 2 103 3" xfId="14619"/>
    <cellStyle name="Процентный 5 2 2 103 3" xfId="14620"/>
    <cellStyle name="Обычный 6 2 103 3" xfId="14621"/>
    <cellStyle name="Процентный 6 2 103 3" xfId="14622"/>
    <cellStyle name="Обычный 7 2 103 3" xfId="14623"/>
    <cellStyle name="Процентный 7 2 103 3" xfId="14624"/>
    <cellStyle name="Обычный 8 99 3" xfId="14625"/>
    <cellStyle name="Процентный 8 99 3" xfId="14626"/>
    <cellStyle name="Обычный 9 65 3" xfId="14627"/>
    <cellStyle name="Процентный 9 66 3" xfId="14628"/>
    <cellStyle name="Обычный 10 58 3" xfId="14629"/>
    <cellStyle name="Процентный 10 58 3" xfId="14630"/>
    <cellStyle name="Обычный 11 46 3" xfId="14631"/>
    <cellStyle name="Процентный 11 46 3" xfId="14632"/>
    <cellStyle name="Обычный 4 158 3" xfId="14633"/>
    <cellStyle name="Процентный 4 158 3" xfId="14634"/>
    <cellStyle name="Обычный 5 151 3" xfId="14635"/>
    <cellStyle name="Процентный 5 151 3" xfId="14636"/>
    <cellStyle name="Обычный 4 2 145 3" xfId="14637"/>
    <cellStyle name="Процентный 4 2 145 3" xfId="14638"/>
    <cellStyle name="Обычный 5 2 145 3" xfId="14639"/>
    <cellStyle name="Процентный 5 2 145 3" xfId="14640"/>
    <cellStyle name="Обычный 6 142 3" xfId="14641"/>
    <cellStyle name="Процентный 6 142 3" xfId="14642"/>
    <cellStyle name="Обычный 7 112 3" xfId="14643"/>
    <cellStyle name="Процентный 7 112 3" xfId="14644"/>
    <cellStyle name="Обычный 4 3 104 3" xfId="14645"/>
    <cellStyle name="Процентный 4 3 104 3" xfId="14646"/>
    <cellStyle name="Обычный 5 3 104 3" xfId="14647"/>
    <cellStyle name="Процентный 5 3 104 3" xfId="14648"/>
    <cellStyle name="Обычный 4 2 2 104 3" xfId="14649"/>
    <cellStyle name="Процентный 4 2 2 104 3" xfId="14650"/>
    <cellStyle name="Обычный 5 2 2 104 3" xfId="14651"/>
    <cellStyle name="Процентный 5 2 2 104 3" xfId="14652"/>
    <cellStyle name="Обычный 6 2 104 3" xfId="14653"/>
    <cellStyle name="Процентный 6 2 104 3" xfId="14654"/>
    <cellStyle name="Обычный 7 2 104 3" xfId="14655"/>
    <cellStyle name="Процентный 7 2 104 3" xfId="14656"/>
    <cellStyle name="Обычный 8 100 3" xfId="14657"/>
    <cellStyle name="Процентный 8 100 3" xfId="14658"/>
    <cellStyle name="Обычный 9 66 3" xfId="14659"/>
    <cellStyle name="Процентный 9 67 3" xfId="14660"/>
    <cellStyle name="Обычный 10 59 3" xfId="14661"/>
    <cellStyle name="Процентный 10 59 3" xfId="14662"/>
    <cellStyle name="Обычный 11 47 3" xfId="14663"/>
    <cellStyle name="Процентный 11 47 3" xfId="14664"/>
    <cellStyle name="Обычный 4 159 3" xfId="14665"/>
    <cellStyle name="Процентный 4 159 3" xfId="14666"/>
    <cellStyle name="Обычный 5 152 3" xfId="14667"/>
    <cellStyle name="Процентный 5 152 3" xfId="14668"/>
    <cellStyle name="Обычный 4 2 146 3" xfId="14669"/>
    <cellStyle name="Процентный 4 2 146 3" xfId="14670"/>
    <cellStyle name="Обычный 5 2 146 3" xfId="14671"/>
    <cellStyle name="Процентный 5 2 146 3" xfId="14672"/>
    <cellStyle name="Обычный 6 143 3" xfId="14673"/>
    <cellStyle name="Процентный 6 143 3" xfId="14674"/>
    <cellStyle name="Обычный 7 113 3" xfId="14675"/>
    <cellStyle name="Процентный 7 113 3" xfId="14676"/>
    <cellStyle name="Обычный 4 3 105 3" xfId="14677"/>
    <cellStyle name="Процентный 4 3 105 3" xfId="14678"/>
    <cellStyle name="Обычный 5 3 105 3" xfId="14679"/>
    <cellStyle name="Процентный 5 3 105 3" xfId="14680"/>
    <cellStyle name="Обычный 4 2 2 105 3" xfId="14681"/>
    <cellStyle name="Процентный 4 2 2 105 3" xfId="14682"/>
    <cellStyle name="Обычный 5 2 2 105 3" xfId="14683"/>
    <cellStyle name="Процентный 5 2 2 105 3" xfId="14684"/>
    <cellStyle name="Обычный 6 2 105 3" xfId="14685"/>
    <cellStyle name="Процентный 6 2 105 3" xfId="14686"/>
    <cellStyle name="Обычный 7 2 105 3" xfId="14687"/>
    <cellStyle name="Процентный 7 2 105 3" xfId="14688"/>
    <cellStyle name="Обычный 8 101 3" xfId="14689"/>
    <cellStyle name="Процентный 8 101 3" xfId="14690"/>
    <cellStyle name="Обычный 9 67 3" xfId="14691"/>
    <cellStyle name="Процентный 9 68 3" xfId="14692"/>
    <cellStyle name="Обычный 10 60 3" xfId="14693"/>
    <cellStyle name="Процентный 10 60 3" xfId="14694"/>
    <cellStyle name="Обычный 11 48 3" xfId="14695"/>
    <cellStyle name="Процентный 11 48 3" xfId="14696"/>
    <cellStyle name="Обычный 4 160 3" xfId="14697"/>
    <cellStyle name="Процентный 4 160 3" xfId="14698"/>
    <cellStyle name="Обычный 5 153 3" xfId="14699"/>
    <cellStyle name="Процентный 5 153 3" xfId="14700"/>
    <cellStyle name="Обычный 4 2 147 3" xfId="14701"/>
    <cellStyle name="Процентный 4 2 147 3" xfId="14702"/>
    <cellStyle name="Обычный 5 2 147 3" xfId="14703"/>
    <cellStyle name="Процентный 5 2 147 3" xfId="14704"/>
    <cellStyle name="Обычный 6 144 3" xfId="14705"/>
    <cellStyle name="Процентный 6 144 3" xfId="14706"/>
    <cellStyle name="Обычный 7 114 3" xfId="14707"/>
    <cellStyle name="Процентный 7 114 3" xfId="14708"/>
    <cellStyle name="Обычный 4 3 106 3" xfId="14709"/>
    <cellStyle name="Процентный 4 3 106 3" xfId="14710"/>
    <cellStyle name="Обычный 5 3 106 3" xfId="14711"/>
    <cellStyle name="Процентный 5 3 106 3" xfId="14712"/>
    <cellStyle name="Обычный 4 2 2 106 3" xfId="14713"/>
    <cellStyle name="Процентный 4 2 2 106 3" xfId="14714"/>
    <cellStyle name="Обычный 5 2 2 106 3" xfId="14715"/>
    <cellStyle name="Процентный 5 2 2 106 3" xfId="14716"/>
    <cellStyle name="Обычный 6 2 106 3" xfId="14717"/>
    <cellStyle name="Процентный 6 2 106 3" xfId="14718"/>
    <cellStyle name="Обычный 7 2 106 3" xfId="14719"/>
    <cellStyle name="Процентный 7 2 106 3" xfId="14720"/>
    <cellStyle name="Обычный 8 102 3" xfId="14721"/>
    <cellStyle name="Процентный 8 102 3" xfId="14722"/>
    <cellStyle name="Обычный 9 68 3" xfId="14723"/>
    <cellStyle name="Процентный 9 69 3" xfId="14724"/>
    <cellStyle name="Обычный 10 61 3" xfId="14725"/>
    <cellStyle name="Процентный 10 61 3" xfId="14726"/>
    <cellStyle name="Обычный 11 49 3" xfId="14727"/>
    <cellStyle name="Процентный 11 49 3" xfId="14728"/>
    <cellStyle name="Обычный 4 161 3" xfId="14729"/>
    <cellStyle name="Процентный 4 161 3" xfId="14730"/>
    <cellStyle name="Обычный 5 154 3" xfId="14731"/>
    <cellStyle name="Процентный 5 154 3" xfId="14732"/>
    <cellStyle name="Обычный 4 2 148 3" xfId="14733"/>
    <cellStyle name="Процентный 4 2 148 3" xfId="14734"/>
    <cellStyle name="Обычный 5 2 148 3" xfId="14735"/>
    <cellStyle name="Процентный 5 2 148 3" xfId="14736"/>
    <cellStyle name="Обычный 6 145 3" xfId="14737"/>
    <cellStyle name="Процентный 6 145 3" xfId="14738"/>
    <cellStyle name="Обычный 7 115 3" xfId="14739"/>
    <cellStyle name="Процентный 7 115 3" xfId="14740"/>
    <cellStyle name="Обычный 4 3 107 3" xfId="14741"/>
    <cellStyle name="Процентный 4 3 107 3" xfId="14742"/>
    <cellStyle name="Обычный 5 3 107 3" xfId="14743"/>
    <cellStyle name="Процентный 5 3 107 3" xfId="14744"/>
    <cellStyle name="Обычный 4 2 2 107 3" xfId="14745"/>
    <cellStyle name="Процентный 4 2 2 107 3" xfId="14746"/>
    <cellStyle name="Обычный 5 2 2 107 3" xfId="14747"/>
    <cellStyle name="Процентный 5 2 2 107 3" xfId="14748"/>
    <cellStyle name="Обычный 6 2 107 3" xfId="14749"/>
    <cellStyle name="Процентный 6 2 107 3" xfId="14750"/>
    <cellStyle name="Обычный 7 2 107 3" xfId="14751"/>
    <cellStyle name="Процентный 7 2 107 3" xfId="14752"/>
    <cellStyle name="Обычный 8 103 3" xfId="14753"/>
    <cellStyle name="Процентный 8 103 3" xfId="14754"/>
    <cellStyle name="Обычный 9 69 3" xfId="14755"/>
    <cellStyle name="Процентный 9 70 3" xfId="14756"/>
    <cellStyle name="Обычный 10 62 3" xfId="14757"/>
    <cellStyle name="Процентный 10 62 3" xfId="14758"/>
    <cellStyle name="Обычный 11 50 3" xfId="14759"/>
    <cellStyle name="Процентный 11 50 3" xfId="14760"/>
    <cellStyle name="Обычный 4 162 3" xfId="14761"/>
    <cellStyle name="Процентный 4 162 3" xfId="14762"/>
    <cellStyle name="Обычный 5 155 3" xfId="14763"/>
    <cellStyle name="Процентный 5 155 3" xfId="14764"/>
    <cellStyle name="Обычный 4 2 149 3" xfId="14765"/>
    <cellStyle name="Процентный 4 2 149 3" xfId="14766"/>
    <cellStyle name="Обычный 5 2 149 3" xfId="14767"/>
    <cellStyle name="Процентный 5 2 149 3" xfId="14768"/>
    <cellStyle name="Обычный 6 146 3" xfId="14769"/>
    <cellStyle name="Процентный 6 146 3" xfId="14770"/>
    <cellStyle name="Обычный 7 116 3" xfId="14771"/>
    <cellStyle name="Процентный 7 116 3" xfId="14772"/>
    <cellStyle name="Обычный 4 3 108 3" xfId="14773"/>
    <cellStyle name="Процентный 4 3 108 3" xfId="14774"/>
    <cellStyle name="Обычный 5 3 108 3" xfId="14775"/>
    <cellStyle name="Процентный 5 3 108 3" xfId="14776"/>
    <cellStyle name="Обычный 4 2 2 108 3" xfId="14777"/>
    <cellStyle name="Процентный 4 2 2 108 3" xfId="14778"/>
    <cellStyle name="Обычный 5 2 2 108 3" xfId="14779"/>
    <cellStyle name="Процентный 5 2 2 108 3" xfId="14780"/>
    <cellStyle name="Обычный 6 2 108 3" xfId="14781"/>
    <cellStyle name="Процентный 6 2 108 3" xfId="14782"/>
    <cellStyle name="Обычный 7 2 108 3" xfId="14783"/>
    <cellStyle name="Процентный 7 2 108 3" xfId="14784"/>
    <cellStyle name="Обычный 8 104 3" xfId="14785"/>
    <cellStyle name="Процентный 8 104 3" xfId="14786"/>
    <cellStyle name="Обычный 9 70 3" xfId="14787"/>
    <cellStyle name="Процентный 9 71 3" xfId="14788"/>
    <cellStyle name="Обычный 10 63 3" xfId="14789"/>
    <cellStyle name="Процентный 10 63 3" xfId="14790"/>
    <cellStyle name="Обычный 11 51 3" xfId="14791"/>
    <cellStyle name="Процентный 11 51 3" xfId="14792"/>
    <cellStyle name="Обычный 4 163 3" xfId="14793"/>
    <cellStyle name="Процентный 4 163 3" xfId="14794"/>
    <cellStyle name="Обычный 5 156 3" xfId="14795"/>
    <cellStyle name="Процентный 5 156 3" xfId="14796"/>
    <cellStyle name="Обычный 4 2 150 3" xfId="14797"/>
    <cellStyle name="Процентный 4 2 150 3" xfId="14798"/>
    <cellStyle name="Обычный 5 2 150 3" xfId="14799"/>
    <cellStyle name="Процентный 5 2 150 3" xfId="14800"/>
    <cellStyle name="Обычный 6 147 3" xfId="14801"/>
    <cellStyle name="Процентный 6 147 3" xfId="14802"/>
    <cellStyle name="Обычный 7 117 3" xfId="14803"/>
    <cellStyle name="Процентный 7 117 3" xfId="14804"/>
    <cellStyle name="Обычный 4 3 109 3" xfId="14805"/>
    <cellStyle name="Процентный 4 3 109 3" xfId="14806"/>
    <cellStyle name="Обычный 5 3 109 3" xfId="14807"/>
    <cellStyle name="Процентный 5 3 109 3" xfId="14808"/>
    <cellStyle name="Обычный 4 2 2 109 3" xfId="14809"/>
    <cellStyle name="Процентный 4 2 2 109 3" xfId="14810"/>
    <cellStyle name="Обычный 5 2 2 109 3" xfId="14811"/>
    <cellStyle name="Процентный 5 2 2 109 3" xfId="14812"/>
    <cellStyle name="Обычный 6 2 109 3" xfId="14813"/>
    <cellStyle name="Процентный 6 2 109 3" xfId="14814"/>
    <cellStyle name="Обычный 7 2 109 3" xfId="14815"/>
    <cellStyle name="Процентный 7 2 109 3" xfId="14816"/>
    <cellStyle name="Обычный 8 105 3" xfId="14817"/>
    <cellStyle name="Процентный 8 105 3" xfId="14818"/>
    <cellStyle name="Обычный 9 71 3" xfId="14819"/>
    <cellStyle name="Процентный 9 72 3" xfId="14820"/>
    <cellStyle name="Обычный 10 64 3" xfId="14821"/>
    <cellStyle name="Процентный 10 64 3" xfId="14822"/>
    <cellStyle name="Обычный 11 52 3" xfId="14823"/>
    <cellStyle name="Процентный 11 52 3" xfId="14824"/>
    <cellStyle name="Обычный 4 164 3" xfId="14825"/>
    <cellStyle name="Процентный 4 164 3" xfId="14826"/>
    <cellStyle name="Обычный 5 157 3" xfId="14827"/>
    <cellStyle name="Процентный 5 157 3" xfId="14828"/>
    <cellStyle name="Обычный 4 2 151 3" xfId="14829"/>
    <cellStyle name="Процентный 4 2 151 3" xfId="14830"/>
    <cellStyle name="Обычный 5 2 151 3" xfId="14831"/>
    <cellStyle name="Процентный 5 2 151 3" xfId="14832"/>
    <cellStyle name="Обычный 6 148 3" xfId="14833"/>
    <cellStyle name="Процентный 6 148 3" xfId="14834"/>
    <cellStyle name="Обычный 7 118 3" xfId="14835"/>
    <cellStyle name="Процентный 7 118 3" xfId="14836"/>
    <cellStyle name="Обычный 4 3 110 3" xfId="14837"/>
    <cellStyle name="Процентный 4 3 110 3" xfId="14838"/>
    <cellStyle name="Обычный 5 3 110 3" xfId="14839"/>
    <cellStyle name="Процентный 5 3 110 3" xfId="14840"/>
    <cellStyle name="Обычный 4 2 2 110 3" xfId="14841"/>
    <cellStyle name="Процентный 4 2 2 110 3" xfId="14842"/>
    <cellStyle name="Обычный 5 2 2 110 3" xfId="14843"/>
    <cellStyle name="Процентный 5 2 2 110 3" xfId="14844"/>
    <cellStyle name="Обычный 6 2 110 3" xfId="14845"/>
    <cellStyle name="Процентный 6 2 110 3" xfId="14846"/>
    <cellStyle name="Обычный 7 2 110 3" xfId="14847"/>
    <cellStyle name="Процентный 7 2 110 3" xfId="14848"/>
    <cellStyle name="Обычный 8 106 3" xfId="14849"/>
    <cellStyle name="Процентный 8 106 3" xfId="14850"/>
    <cellStyle name="Обычный 9 72 3" xfId="14851"/>
    <cellStyle name="Процентный 9 73 3" xfId="14852"/>
    <cellStyle name="Обычный 10 65 3" xfId="14853"/>
    <cellStyle name="Процентный 10 65 3" xfId="14854"/>
    <cellStyle name="Обычный 11 53 3" xfId="14855"/>
    <cellStyle name="Процентный 11 53 3" xfId="14856"/>
    <cellStyle name="Обычный 4 165 3" xfId="14857"/>
    <cellStyle name="Процентный 4 165 3" xfId="14858"/>
    <cellStyle name="Обычный 5 158 3" xfId="14859"/>
    <cellStyle name="Процентный 5 158 3" xfId="14860"/>
    <cellStyle name="Обычный 4 2 152 3" xfId="14861"/>
    <cellStyle name="Процентный 4 2 152 3" xfId="14862"/>
    <cellStyle name="Обычный 5 2 152 3" xfId="14863"/>
    <cellStyle name="Процентный 5 2 152 3" xfId="14864"/>
    <cellStyle name="Обычный 6 149 3" xfId="14865"/>
    <cellStyle name="Процентный 6 149 3" xfId="14866"/>
    <cellStyle name="Обычный 7 119 3" xfId="14867"/>
    <cellStyle name="Процентный 7 119 3" xfId="14868"/>
    <cellStyle name="Обычный 4 3 111 3" xfId="14869"/>
    <cellStyle name="Процентный 4 3 111 3" xfId="14870"/>
    <cellStyle name="Обычный 5 3 111 3" xfId="14871"/>
    <cellStyle name="Процентный 5 3 111 3" xfId="14872"/>
    <cellStyle name="Обычный 4 2 2 111 3" xfId="14873"/>
    <cellStyle name="Процентный 4 2 2 111 3" xfId="14874"/>
    <cellStyle name="Обычный 5 2 2 111 3" xfId="14875"/>
    <cellStyle name="Процентный 5 2 2 111 3" xfId="14876"/>
    <cellStyle name="Обычный 6 2 111 3" xfId="14877"/>
    <cellStyle name="Процентный 6 2 111 3" xfId="14878"/>
    <cellStyle name="Обычный 7 2 111 3" xfId="14879"/>
    <cellStyle name="Процентный 7 2 111 3" xfId="14880"/>
    <cellStyle name="Обычный 8 107 3" xfId="14881"/>
    <cellStyle name="Процентный 8 107 3" xfId="14882"/>
    <cellStyle name="Обычный 9 73 3" xfId="14883"/>
    <cellStyle name="Процентный 9 74 3" xfId="14884"/>
    <cellStyle name="Обычный 10 66 3" xfId="14885"/>
    <cellStyle name="Процентный 10 66 3" xfId="14886"/>
    <cellStyle name="Обычный 11 54 3" xfId="14887"/>
    <cellStyle name="Процентный 11 54 3" xfId="14888"/>
    <cellStyle name="Обычный 4 166 3" xfId="14889"/>
    <cellStyle name="Процентный 4 166 3" xfId="14890"/>
    <cellStyle name="Обычный 5 159 3" xfId="14891"/>
    <cellStyle name="Процентный 5 159 3" xfId="14892"/>
    <cellStyle name="Обычный 4 2 153 3" xfId="14893"/>
    <cellStyle name="Процентный 4 2 153 3" xfId="14894"/>
    <cellStyle name="Обычный 5 2 153 3" xfId="14895"/>
    <cellStyle name="Процентный 5 2 153 3" xfId="14896"/>
    <cellStyle name="Обычный 6 150 3" xfId="14897"/>
    <cellStyle name="Процентный 6 150 3" xfId="14898"/>
    <cellStyle name="Обычный 7 120 3" xfId="14899"/>
    <cellStyle name="Процентный 7 120 3" xfId="14900"/>
    <cellStyle name="Обычный 4 3 112 3" xfId="14901"/>
    <cellStyle name="Процентный 4 3 112 3" xfId="14902"/>
    <cellStyle name="Обычный 5 3 112 3" xfId="14903"/>
    <cellStyle name="Процентный 5 3 112 3" xfId="14904"/>
    <cellStyle name="Обычный 4 2 2 112 3" xfId="14905"/>
    <cellStyle name="Процентный 4 2 2 112 3" xfId="14906"/>
    <cellStyle name="Обычный 5 2 2 112 3" xfId="14907"/>
    <cellStyle name="Процентный 5 2 2 112 3" xfId="14908"/>
    <cellStyle name="Обычный 6 2 112 3" xfId="14909"/>
    <cellStyle name="Процентный 6 2 112 3" xfId="14910"/>
    <cellStyle name="Обычный 7 2 112 3" xfId="14911"/>
    <cellStyle name="Процентный 7 2 112 3" xfId="14912"/>
    <cellStyle name="Обычный 8 108 3" xfId="14913"/>
    <cellStyle name="Процентный 8 108 3" xfId="14914"/>
    <cellStyle name="Обычный 9 74 3" xfId="14915"/>
    <cellStyle name="Процентный 9 75 3" xfId="14916"/>
    <cellStyle name="Обычный 10 67 3" xfId="14917"/>
    <cellStyle name="Процентный 10 67 3" xfId="14918"/>
    <cellStyle name="Обычный 11 55 3" xfId="14919"/>
    <cellStyle name="Процентный 11 55 3" xfId="14920"/>
    <cellStyle name="Обычный 4 167 3" xfId="14921"/>
    <cellStyle name="Процентный 4 167 3" xfId="14922"/>
    <cellStyle name="Обычный 5 160 3" xfId="14923"/>
    <cellStyle name="Процентный 5 160 3" xfId="14924"/>
    <cellStyle name="Обычный 4 2 154 3" xfId="14925"/>
    <cellStyle name="Процентный 4 2 154 3" xfId="14926"/>
    <cellStyle name="Обычный 5 2 154 3" xfId="14927"/>
    <cellStyle name="Процентный 5 2 154 3" xfId="14928"/>
    <cellStyle name="Обычный 6 151 3" xfId="14929"/>
    <cellStyle name="Процентный 6 151 3" xfId="14930"/>
    <cellStyle name="Обычный 7 121 3" xfId="14931"/>
    <cellStyle name="Процентный 7 121 3" xfId="14932"/>
    <cellStyle name="Обычный 4 3 113 3" xfId="14933"/>
    <cellStyle name="Процентный 4 3 113 3" xfId="14934"/>
    <cellStyle name="Обычный 5 3 113 3" xfId="14935"/>
    <cellStyle name="Процентный 5 3 113 3" xfId="14936"/>
    <cellStyle name="Обычный 4 2 2 113 3" xfId="14937"/>
    <cellStyle name="Процентный 4 2 2 113 3" xfId="14938"/>
    <cellStyle name="Обычный 5 2 2 113 3" xfId="14939"/>
    <cellStyle name="Процентный 5 2 2 113 3" xfId="14940"/>
    <cellStyle name="Обычный 6 2 113 3" xfId="14941"/>
    <cellStyle name="Процентный 6 2 113 3" xfId="14942"/>
    <cellStyle name="Обычный 7 2 113 3" xfId="14943"/>
    <cellStyle name="Процентный 7 2 113 3" xfId="14944"/>
    <cellStyle name="Обычный 8 109 3" xfId="14945"/>
    <cellStyle name="Процентный 8 109 3" xfId="14946"/>
    <cellStyle name="Обычный 9 75 3" xfId="14947"/>
    <cellStyle name="Процентный 9 76 3" xfId="14948"/>
    <cellStyle name="Обычный 10 68 3" xfId="14949"/>
    <cellStyle name="Процентный 10 68 3" xfId="14950"/>
    <cellStyle name="Обычный 11 56 3" xfId="14951"/>
    <cellStyle name="Процентный 11 56 3" xfId="14952"/>
    <cellStyle name="Обычный 4 168 3" xfId="14953"/>
    <cellStyle name="Процентный 4 168 3" xfId="14954"/>
    <cellStyle name="Обычный 5 161 3" xfId="14955"/>
    <cellStyle name="Процентный 5 161 3" xfId="14956"/>
    <cellStyle name="Обычный 4 2 155 3" xfId="14957"/>
    <cellStyle name="Процентный 4 2 155 3" xfId="14958"/>
    <cellStyle name="Обычный 5 2 155 3" xfId="14959"/>
    <cellStyle name="Процентный 5 2 155 3" xfId="14960"/>
    <cellStyle name="Обычный 6 152 3" xfId="14961"/>
    <cellStyle name="Процентный 6 152 3" xfId="14962"/>
    <cellStyle name="Обычный 7 122 3" xfId="14963"/>
    <cellStyle name="Процентный 7 122 3" xfId="14964"/>
    <cellStyle name="Обычный 4 3 114 3" xfId="14965"/>
    <cellStyle name="Процентный 4 3 114 3" xfId="14966"/>
    <cellStyle name="Обычный 5 3 114 3" xfId="14967"/>
    <cellStyle name="Процентный 5 3 114 3" xfId="14968"/>
    <cellStyle name="Обычный 4 2 2 114 3" xfId="14969"/>
    <cellStyle name="Процентный 4 2 2 114 3" xfId="14970"/>
    <cellStyle name="Обычный 5 2 2 114 3" xfId="14971"/>
    <cellStyle name="Процентный 5 2 2 114 3" xfId="14972"/>
    <cellStyle name="Обычный 6 2 114 3" xfId="14973"/>
    <cellStyle name="Процентный 6 2 114 3" xfId="14974"/>
    <cellStyle name="Обычный 7 2 114 3" xfId="14975"/>
    <cellStyle name="Процентный 7 2 114 3" xfId="14976"/>
    <cellStyle name="Обычный 8 110 3" xfId="14977"/>
    <cellStyle name="Процентный 8 110 3" xfId="14978"/>
    <cellStyle name="Обычный 9 76 3" xfId="14979"/>
    <cellStyle name="Процентный 9 77 3" xfId="14980"/>
    <cellStyle name="Обычный 10 69 3" xfId="14981"/>
    <cellStyle name="Процентный 10 69 3" xfId="14982"/>
    <cellStyle name="Обычный 11 57 3" xfId="14983"/>
    <cellStyle name="Процентный 11 57 3" xfId="14984"/>
    <cellStyle name="Обычный 4 169 3" xfId="14985"/>
    <cellStyle name="Процентный 4 169 3" xfId="14986"/>
    <cellStyle name="Обычный 5 162 3" xfId="14987"/>
    <cellStyle name="Процентный 5 162 3" xfId="14988"/>
    <cellStyle name="Обычный 4 2 156 3" xfId="14989"/>
    <cellStyle name="Процентный 4 2 156 3" xfId="14990"/>
    <cellStyle name="Обычный 5 2 156 3" xfId="14991"/>
    <cellStyle name="Процентный 5 2 156 3" xfId="14992"/>
    <cellStyle name="Обычный 6 153 3" xfId="14993"/>
    <cellStyle name="Процентный 6 153 3" xfId="14994"/>
    <cellStyle name="Обычный 7 123 3" xfId="14995"/>
    <cellStyle name="Процентный 7 123 3" xfId="14996"/>
    <cellStyle name="Обычный 4 3 115 3" xfId="14997"/>
    <cellStyle name="Процентный 4 3 115 3" xfId="14998"/>
    <cellStyle name="Обычный 5 3 115 3" xfId="14999"/>
    <cellStyle name="Процентный 5 3 115 3" xfId="15000"/>
    <cellStyle name="Обычный 4 2 2 115 3" xfId="15001"/>
    <cellStyle name="Процентный 4 2 2 115 3" xfId="15002"/>
    <cellStyle name="Обычный 5 2 2 115 3" xfId="15003"/>
    <cellStyle name="Процентный 5 2 2 115 3" xfId="15004"/>
    <cellStyle name="Обычный 6 2 115 3" xfId="15005"/>
    <cellStyle name="Процентный 6 2 115 3" xfId="15006"/>
    <cellStyle name="Обычный 7 2 115 3" xfId="15007"/>
    <cellStyle name="Процентный 7 2 115 3" xfId="15008"/>
    <cellStyle name="Обычный 8 111 3" xfId="15009"/>
    <cellStyle name="Процентный 8 111 3" xfId="15010"/>
    <cellStyle name="Обычный 9 77 3" xfId="15011"/>
    <cellStyle name="Процентный 9 78 3" xfId="15012"/>
    <cellStyle name="Обычный 10 70 3" xfId="15013"/>
    <cellStyle name="Процентный 10 70 3" xfId="15014"/>
    <cellStyle name="Обычный 11 58 3" xfId="15015"/>
    <cellStyle name="Процентный 11 58 3" xfId="15016"/>
    <cellStyle name="Обычный 4 170 3" xfId="15017"/>
    <cellStyle name="Процентный 4 170 3" xfId="15018"/>
    <cellStyle name="Обычный 5 163 3" xfId="15019"/>
    <cellStyle name="Процентный 5 163 3" xfId="15020"/>
    <cellStyle name="Обычный 4 2 157 3" xfId="15021"/>
    <cellStyle name="Процентный 4 2 157 3" xfId="15022"/>
    <cellStyle name="Обычный 5 2 157 3" xfId="15023"/>
    <cellStyle name="Процентный 5 2 157 3" xfId="15024"/>
    <cellStyle name="Обычный 6 154 3" xfId="15025"/>
    <cellStyle name="Процентный 6 154 3" xfId="15026"/>
    <cellStyle name="Обычный 7 124 3" xfId="15027"/>
    <cellStyle name="Процентный 7 124 3" xfId="15028"/>
    <cellStyle name="Обычный 4 3 116 3" xfId="15029"/>
    <cellStyle name="Процентный 4 3 116 3" xfId="15030"/>
    <cellStyle name="Обычный 5 3 116 3" xfId="15031"/>
    <cellStyle name="Процентный 5 3 116 3" xfId="15032"/>
    <cellStyle name="Обычный 4 2 2 116 3" xfId="15033"/>
    <cellStyle name="Процентный 4 2 2 116 3" xfId="15034"/>
    <cellStyle name="Обычный 5 2 2 116 3" xfId="15035"/>
    <cellStyle name="Процентный 5 2 2 116 3" xfId="15036"/>
    <cellStyle name="Обычный 6 2 116 3" xfId="15037"/>
    <cellStyle name="Процентный 6 2 116 3" xfId="15038"/>
    <cellStyle name="Обычный 7 2 116 3" xfId="15039"/>
    <cellStyle name="Процентный 7 2 116 3" xfId="15040"/>
    <cellStyle name="Обычный 8 112 3" xfId="15041"/>
    <cellStyle name="Процентный 8 112 3" xfId="15042"/>
    <cellStyle name="Обычный 9 78 3" xfId="15043"/>
    <cellStyle name="Процентный 9 79 3" xfId="15044"/>
    <cellStyle name="Обычный 10 71 3" xfId="15045"/>
    <cellStyle name="Процентный 10 71 3" xfId="15046"/>
    <cellStyle name="Обычный 11 59 3" xfId="15047"/>
    <cellStyle name="Процентный 11 59 3" xfId="15048"/>
    <cellStyle name="Обычный 4 171 3" xfId="15049"/>
    <cellStyle name="Процентный 4 171 3" xfId="15050"/>
    <cellStyle name="Обычный 5 164 3" xfId="15051"/>
    <cellStyle name="Процентный 5 164 3" xfId="15052"/>
    <cellStyle name="Обычный 4 2 158 3" xfId="15053"/>
    <cellStyle name="Процентный 4 2 158 3" xfId="15054"/>
    <cellStyle name="Обычный 5 2 158 3" xfId="15055"/>
    <cellStyle name="Процентный 5 2 158 3" xfId="15056"/>
    <cellStyle name="Обычный 6 155 3" xfId="15057"/>
    <cellStyle name="Процентный 6 155 3" xfId="15058"/>
    <cellStyle name="Обычный 7 125 3" xfId="15059"/>
    <cellStyle name="Процентный 7 125 3" xfId="15060"/>
    <cellStyle name="Обычный 4 3 117 3" xfId="15061"/>
    <cellStyle name="Процентный 4 3 117 3" xfId="15062"/>
    <cellStyle name="Обычный 5 3 117 3" xfId="15063"/>
    <cellStyle name="Процентный 5 3 117 3" xfId="15064"/>
    <cellStyle name="Обычный 4 2 2 117 3" xfId="15065"/>
    <cellStyle name="Процентный 4 2 2 117 3" xfId="15066"/>
    <cellStyle name="Обычный 5 2 2 117 3" xfId="15067"/>
    <cellStyle name="Процентный 5 2 2 117 3" xfId="15068"/>
    <cellStyle name="Обычный 6 2 117 3" xfId="15069"/>
    <cellStyle name="Процентный 6 2 117 3" xfId="15070"/>
    <cellStyle name="Обычный 7 2 117 3" xfId="15071"/>
    <cellStyle name="Процентный 7 2 117 3" xfId="15072"/>
    <cellStyle name="Обычный 8 113 3" xfId="15073"/>
    <cellStyle name="Процентный 8 113 3" xfId="15074"/>
    <cellStyle name="Обычный 9 79 3" xfId="15075"/>
    <cellStyle name="Процентный 9 80 3" xfId="15076"/>
    <cellStyle name="Обычный 10 72 3" xfId="15077"/>
    <cellStyle name="Процентный 10 72 3" xfId="15078"/>
    <cellStyle name="Обычный 11 60 3" xfId="15079"/>
    <cellStyle name="Процентный 11 60 3" xfId="15080"/>
    <cellStyle name="Обычный 4 172 3" xfId="15081"/>
    <cellStyle name="Процентный 4 172 3" xfId="15082"/>
    <cellStyle name="Обычный 5 165 3" xfId="15083"/>
    <cellStyle name="Процентный 5 165 3" xfId="15084"/>
    <cellStyle name="Обычный 4 2 159 3" xfId="15085"/>
    <cellStyle name="Процентный 4 2 159 3" xfId="15086"/>
    <cellStyle name="Обычный 5 2 159 3" xfId="15087"/>
    <cellStyle name="Процентный 5 2 159 3" xfId="15088"/>
    <cellStyle name="Обычный 6 156 3" xfId="15089"/>
    <cellStyle name="Процентный 6 156 3" xfId="15090"/>
    <cellStyle name="Обычный 7 126 3" xfId="15091"/>
    <cellStyle name="Процентный 7 126 3" xfId="15092"/>
    <cellStyle name="Обычный 4 3 118 3" xfId="15093"/>
    <cellStyle name="Процентный 4 3 118 3" xfId="15094"/>
    <cellStyle name="Обычный 5 3 118 3" xfId="15095"/>
    <cellStyle name="Процентный 5 3 118 3" xfId="15096"/>
    <cellStyle name="Обычный 4 2 2 118 3" xfId="15097"/>
    <cellStyle name="Процентный 4 2 2 118 3" xfId="15098"/>
    <cellStyle name="Обычный 5 2 2 118 3" xfId="15099"/>
    <cellStyle name="Процентный 5 2 2 118 3" xfId="15100"/>
    <cellStyle name="Обычный 6 2 118 3" xfId="15101"/>
    <cellStyle name="Процентный 6 2 118 3" xfId="15102"/>
    <cellStyle name="Обычный 7 2 118 3" xfId="15103"/>
    <cellStyle name="Процентный 7 2 118 3" xfId="15104"/>
    <cellStyle name="Обычный 8 114 3" xfId="15105"/>
    <cellStyle name="Процентный 8 114 3" xfId="15106"/>
    <cellStyle name="Обычный 9 80 3" xfId="15107"/>
    <cellStyle name="Процентный 9 81 3" xfId="15108"/>
    <cellStyle name="Обычный 10 73 3" xfId="15109"/>
    <cellStyle name="Процентный 10 73 3" xfId="15110"/>
    <cellStyle name="Обычный 11 61 3" xfId="15111"/>
    <cellStyle name="Процентный 11 61 3" xfId="15112"/>
    <cellStyle name="Обычный 4 173 3" xfId="15113"/>
    <cellStyle name="Процентный 4 173 3" xfId="15114"/>
    <cellStyle name="Обычный 5 166 3" xfId="15115"/>
    <cellStyle name="Процентный 5 166 3" xfId="15116"/>
    <cellStyle name="Обычный 4 2 160 3" xfId="15117"/>
    <cellStyle name="Процентный 4 2 160 3" xfId="15118"/>
    <cellStyle name="Обычный 5 2 160 3" xfId="15119"/>
    <cellStyle name="Процентный 5 2 160 3" xfId="15120"/>
    <cellStyle name="Обычный 6 157 3" xfId="15121"/>
    <cellStyle name="Процентный 6 157 3" xfId="15122"/>
    <cellStyle name="Обычный 7 127 3" xfId="15123"/>
    <cellStyle name="Процентный 7 127 3" xfId="15124"/>
    <cellStyle name="Обычный 4 3 119 3" xfId="15125"/>
    <cellStyle name="Процентный 4 3 119 3" xfId="15126"/>
    <cellStyle name="Обычный 5 3 119 3" xfId="15127"/>
    <cellStyle name="Процентный 5 3 119 3" xfId="15128"/>
    <cellStyle name="Обычный 4 2 2 119 3" xfId="15129"/>
    <cellStyle name="Процентный 4 2 2 119 3" xfId="15130"/>
    <cellStyle name="Обычный 5 2 2 119 3" xfId="15131"/>
    <cellStyle name="Процентный 5 2 2 119 3" xfId="15132"/>
    <cellStyle name="Обычный 6 2 119 3" xfId="15133"/>
    <cellStyle name="Процентный 6 2 119 3" xfId="15134"/>
    <cellStyle name="Обычный 7 2 119 3" xfId="15135"/>
    <cellStyle name="Процентный 7 2 119 3" xfId="15136"/>
    <cellStyle name="Обычный 8 115 3" xfId="15137"/>
    <cellStyle name="Процентный 8 115 3" xfId="15138"/>
    <cellStyle name="Обычный 9 81 3" xfId="15139"/>
    <cellStyle name="Процентный 9 82 3" xfId="15140"/>
    <cellStyle name="Обычный 10 74 3" xfId="15141"/>
    <cellStyle name="Процентный 10 74 3" xfId="15142"/>
    <cellStyle name="Обычный 11 62 3" xfId="15143"/>
    <cellStyle name="Процентный 11 62 3" xfId="15144"/>
    <cellStyle name="Обычный 4 174 3" xfId="15145"/>
    <cellStyle name="Процентный 4 174 3" xfId="15146"/>
    <cellStyle name="Обычный 5 167 3" xfId="15147"/>
    <cellStyle name="Процентный 5 167 3" xfId="15148"/>
    <cellStyle name="Обычный 4 2 161 3" xfId="15149"/>
    <cellStyle name="Процентный 4 2 161 3" xfId="15150"/>
    <cellStyle name="Обычный 5 2 161 3" xfId="15151"/>
    <cellStyle name="Процентный 5 2 161 3" xfId="15152"/>
    <cellStyle name="Обычный 6 158 3" xfId="15153"/>
    <cellStyle name="Процентный 6 158 3" xfId="15154"/>
    <cellStyle name="Обычный 7 128 3" xfId="15155"/>
    <cellStyle name="Процентный 7 128 3" xfId="15156"/>
    <cellStyle name="Обычный 4 3 120 3" xfId="15157"/>
    <cellStyle name="Процентный 4 3 120 3" xfId="15158"/>
    <cellStyle name="Обычный 5 3 120 3" xfId="15159"/>
    <cellStyle name="Процентный 5 3 120 3" xfId="15160"/>
    <cellStyle name="Обычный 4 2 2 120 3" xfId="15161"/>
    <cellStyle name="Процентный 4 2 2 120 3" xfId="15162"/>
    <cellStyle name="Обычный 5 2 2 120 3" xfId="15163"/>
    <cellStyle name="Процентный 5 2 2 120 3" xfId="15164"/>
    <cellStyle name="Обычный 6 2 120 3" xfId="15165"/>
    <cellStyle name="Процентный 6 2 120 3" xfId="15166"/>
    <cellStyle name="Обычный 7 2 120 3" xfId="15167"/>
    <cellStyle name="Процентный 7 2 120 3" xfId="15168"/>
    <cellStyle name="Обычный 8 116 3" xfId="15169"/>
    <cellStyle name="Процентный 8 116 3" xfId="15170"/>
    <cellStyle name="Обычный 9 82 3" xfId="15171"/>
    <cellStyle name="Процентный 9 83 3" xfId="15172"/>
    <cellStyle name="Обычный 10 75 3" xfId="15173"/>
    <cellStyle name="Процентный 10 75 3" xfId="15174"/>
    <cellStyle name="Обычный 11 63 3" xfId="15175"/>
    <cellStyle name="Процентный 11 63 3" xfId="15176"/>
    <cellStyle name="Обычный 4 175 3" xfId="15177"/>
    <cellStyle name="Процентный 4 175 3" xfId="15178"/>
    <cellStyle name="Обычный 5 168 3" xfId="15179"/>
    <cellStyle name="Процентный 5 168 3" xfId="15180"/>
    <cellStyle name="Обычный 4 2 162 3" xfId="15181"/>
    <cellStyle name="Процентный 4 2 162 3" xfId="15182"/>
    <cellStyle name="Обычный 5 2 162 3" xfId="15183"/>
    <cellStyle name="Процентный 5 2 162 3" xfId="15184"/>
    <cellStyle name="Обычный 6 159 3" xfId="15185"/>
    <cellStyle name="Процентный 6 159 3" xfId="15186"/>
    <cellStyle name="Обычный 7 129 3" xfId="15187"/>
    <cellStyle name="Процентный 7 129 3" xfId="15188"/>
    <cellStyle name="Обычный 4 3 121 3" xfId="15189"/>
    <cellStyle name="Процентный 4 3 121 3" xfId="15190"/>
    <cellStyle name="Обычный 5 3 121 3" xfId="15191"/>
    <cellStyle name="Процентный 5 3 121 3" xfId="15192"/>
    <cellStyle name="Обычный 4 2 2 121 3" xfId="15193"/>
    <cellStyle name="Процентный 4 2 2 121 3" xfId="15194"/>
    <cellStyle name="Обычный 5 2 2 121 3" xfId="15195"/>
    <cellStyle name="Процентный 5 2 2 121 3" xfId="15196"/>
    <cellStyle name="Обычный 6 2 121 3" xfId="15197"/>
    <cellStyle name="Процентный 6 2 121 3" xfId="15198"/>
    <cellStyle name="Обычный 7 2 121 3" xfId="15199"/>
    <cellStyle name="Процентный 7 2 121 3" xfId="15200"/>
    <cellStyle name="Обычный 8 117 3" xfId="15201"/>
    <cellStyle name="Процентный 8 117 3" xfId="15202"/>
    <cellStyle name="Обычный 9 83 3" xfId="15203"/>
    <cellStyle name="Процентный 9 84 3" xfId="15204"/>
    <cellStyle name="Обычный 10 76 3" xfId="15205"/>
    <cellStyle name="Процентный 10 76 3" xfId="15206"/>
    <cellStyle name="Обычный 11 64 3" xfId="15207"/>
    <cellStyle name="Процентный 11 64 3" xfId="15208"/>
    <cellStyle name="Обычный 4 176 3" xfId="15209"/>
    <cellStyle name="Процентный 4 176 3" xfId="15210"/>
    <cellStyle name="Обычный 5 169 3" xfId="15211"/>
    <cellStyle name="Процентный 5 169 3" xfId="15212"/>
    <cellStyle name="Обычный 4 2 163 3" xfId="15213"/>
    <cellStyle name="Процентный 4 2 163 3" xfId="15214"/>
    <cellStyle name="Обычный 5 2 163 3" xfId="15215"/>
    <cellStyle name="Процентный 5 2 163 3" xfId="15216"/>
    <cellStyle name="Обычный 6 160 3" xfId="15217"/>
    <cellStyle name="Процентный 6 160 3" xfId="15218"/>
    <cellStyle name="Обычный 7 130 3" xfId="15219"/>
    <cellStyle name="Процентный 7 130 3" xfId="15220"/>
    <cellStyle name="Обычный 4 3 122 3" xfId="15221"/>
    <cellStyle name="Процентный 4 3 122 3" xfId="15222"/>
    <cellStyle name="Обычный 5 3 122 3" xfId="15223"/>
    <cellStyle name="Процентный 5 3 122 3" xfId="15224"/>
    <cellStyle name="Обычный 4 2 2 122 3" xfId="15225"/>
    <cellStyle name="Процентный 4 2 2 122 3" xfId="15226"/>
    <cellStyle name="Обычный 5 2 2 122 3" xfId="15227"/>
    <cellStyle name="Процентный 5 2 2 122 3" xfId="15228"/>
    <cellStyle name="Обычный 6 2 122 3" xfId="15229"/>
    <cellStyle name="Процентный 6 2 122 3" xfId="15230"/>
    <cellStyle name="Обычный 7 2 122 3" xfId="15231"/>
    <cellStyle name="Процентный 7 2 122 3" xfId="15232"/>
    <cellStyle name="Обычный 8 118 3" xfId="15233"/>
    <cellStyle name="Процентный 8 118 3" xfId="15234"/>
    <cellStyle name="Обычный 9 84 3" xfId="15235"/>
    <cellStyle name="Процентный 9 85 3" xfId="15236"/>
    <cellStyle name="Обычный 10 77 3" xfId="15237"/>
    <cellStyle name="Процентный 10 77 3" xfId="15238"/>
    <cellStyle name="Обычный 11 65 3" xfId="15239"/>
    <cellStyle name="Процентный 11 65 3" xfId="15240"/>
    <cellStyle name="Обычный 4 177 3" xfId="15241"/>
    <cellStyle name="Процентный 4 177 3" xfId="15242"/>
    <cellStyle name="Обычный 5 170 3" xfId="15243"/>
    <cellStyle name="Процентный 5 170 3" xfId="15244"/>
    <cellStyle name="Обычный 4 2 164 3" xfId="15245"/>
    <cellStyle name="Процентный 4 2 164 3" xfId="15246"/>
    <cellStyle name="Обычный 5 2 164 3" xfId="15247"/>
    <cellStyle name="Процентный 5 2 164 3" xfId="15248"/>
    <cellStyle name="Обычный 6 161 3" xfId="15249"/>
    <cellStyle name="Процентный 6 161 3" xfId="15250"/>
    <cellStyle name="Обычный 7 131 3" xfId="15251"/>
    <cellStyle name="Процентный 7 131 3" xfId="15252"/>
    <cellStyle name="Обычный 4 3 123 3" xfId="15253"/>
    <cellStyle name="Процентный 4 3 123 3" xfId="15254"/>
    <cellStyle name="Обычный 5 3 123 3" xfId="15255"/>
    <cellStyle name="Процентный 5 3 123 3" xfId="15256"/>
    <cellStyle name="Обычный 4 2 2 123 3" xfId="15257"/>
    <cellStyle name="Процентный 4 2 2 123 3" xfId="15258"/>
    <cellStyle name="Обычный 5 2 2 123 3" xfId="15259"/>
    <cellStyle name="Процентный 5 2 2 123 3" xfId="15260"/>
    <cellStyle name="Обычный 6 2 123 3" xfId="15261"/>
    <cellStyle name="Процентный 6 2 123 3" xfId="15262"/>
    <cellStyle name="Обычный 7 2 123 3" xfId="15263"/>
    <cellStyle name="Процентный 7 2 123 3" xfId="15264"/>
    <cellStyle name="Обычный 8 119 3" xfId="15265"/>
    <cellStyle name="Процентный 8 119 3" xfId="15266"/>
    <cellStyle name="Обычный 9 85 3" xfId="15267"/>
    <cellStyle name="Процентный 9 86 3" xfId="15268"/>
    <cellStyle name="Обычный 10 78 3" xfId="15269"/>
    <cellStyle name="Процентный 10 78 3" xfId="15270"/>
    <cellStyle name="Обычный 11 66 3" xfId="15271"/>
    <cellStyle name="Процентный 11 66 3" xfId="15272"/>
    <cellStyle name="Обычный 4 178 3" xfId="15273"/>
    <cellStyle name="Процентный 4 178 3" xfId="15274"/>
    <cellStyle name="Обычный 5 171 3" xfId="15275"/>
    <cellStyle name="Процентный 5 171 3" xfId="15276"/>
    <cellStyle name="Обычный 4 2 165 3" xfId="15277"/>
    <cellStyle name="Процентный 4 2 165 3" xfId="15278"/>
    <cellStyle name="Обычный 5 2 165 3" xfId="15279"/>
    <cellStyle name="Процентный 5 2 165 3" xfId="15280"/>
    <cellStyle name="Обычный 6 162 3" xfId="15281"/>
    <cellStyle name="Процентный 6 162 3" xfId="15282"/>
    <cellStyle name="Обычный 7 132 3" xfId="15283"/>
    <cellStyle name="Процентный 7 132 3" xfId="15284"/>
    <cellStyle name="Обычный 4 3 124 3" xfId="15285"/>
    <cellStyle name="Процентный 4 3 124 3" xfId="15286"/>
    <cellStyle name="Обычный 5 3 124 3" xfId="15287"/>
    <cellStyle name="Процентный 5 3 124 3" xfId="15288"/>
    <cellStyle name="Обычный 4 2 2 124 3" xfId="15289"/>
    <cellStyle name="Процентный 4 2 2 124 3" xfId="15290"/>
    <cellStyle name="Обычный 5 2 2 124 3" xfId="15291"/>
    <cellStyle name="Процентный 5 2 2 124 3" xfId="15292"/>
    <cellStyle name="Обычный 6 2 124 3" xfId="15293"/>
    <cellStyle name="Процентный 6 2 124 3" xfId="15294"/>
    <cellStyle name="Обычный 7 2 124 3" xfId="15295"/>
    <cellStyle name="Процентный 7 2 124 3" xfId="15296"/>
    <cellStyle name="Обычный 8 120 3" xfId="15297"/>
    <cellStyle name="Процентный 8 120 3" xfId="15298"/>
    <cellStyle name="Обычный 9 86 3" xfId="15299"/>
    <cellStyle name="Процентный 9 87 3" xfId="15300"/>
    <cellStyle name="Обычный 10 79 3" xfId="15301"/>
    <cellStyle name="Процентный 10 79 3" xfId="15302"/>
    <cellStyle name="Обычный 11 67 3" xfId="15303"/>
    <cellStyle name="Процентный 11 67 3" xfId="15304"/>
    <cellStyle name="Обычный 4 179 3" xfId="15305"/>
    <cellStyle name="Процентный 4 179 3" xfId="15306"/>
    <cellStyle name="Обычный 5 172 3" xfId="15307"/>
    <cellStyle name="Процентный 5 172 3" xfId="15308"/>
    <cellStyle name="Обычный 4 2 166 3" xfId="15309"/>
    <cellStyle name="Процентный 4 2 166 3" xfId="15310"/>
    <cellStyle name="Обычный 5 2 166 3" xfId="15311"/>
    <cellStyle name="Процентный 5 2 166 3" xfId="15312"/>
    <cellStyle name="Обычный 6 163 3" xfId="15313"/>
    <cellStyle name="Процентный 6 163 3" xfId="15314"/>
    <cellStyle name="Обычный 7 133 3" xfId="15315"/>
    <cellStyle name="Процентный 7 133 3" xfId="15316"/>
    <cellStyle name="Обычный 4 3 125 3" xfId="15317"/>
    <cellStyle name="Процентный 4 3 125 3" xfId="15318"/>
    <cellStyle name="Обычный 5 3 125 3" xfId="15319"/>
    <cellStyle name="Процентный 5 3 125 3" xfId="15320"/>
    <cellStyle name="Обычный 4 2 2 125 3" xfId="15321"/>
    <cellStyle name="Процентный 4 2 2 125 3" xfId="15322"/>
    <cellStyle name="Обычный 5 2 2 125 3" xfId="15323"/>
    <cellStyle name="Процентный 5 2 2 125 3" xfId="15324"/>
    <cellStyle name="Обычный 6 2 125 3" xfId="15325"/>
    <cellStyle name="Процентный 6 2 125 3" xfId="15326"/>
    <cellStyle name="Обычный 7 2 125 3" xfId="15327"/>
    <cellStyle name="Процентный 7 2 125 3" xfId="15328"/>
    <cellStyle name="Обычный 8 121 3" xfId="15329"/>
    <cellStyle name="Процентный 8 121 3" xfId="15330"/>
    <cellStyle name="Обычный 9 87 3" xfId="15331"/>
    <cellStyle name="Процентный 9 88 3" xfId="15332"/>
    <cellStyle name="Обычный 10 80 3" xfId="15333"/>
    <cellStyle name="Процентный 10 80 3" xfId="15334"/>
    <cellStyle name="Обычный 11 68 3" xfId="15335"/>
    <cellStyle name="Процентный 11 68 3" xfId="15336"/>
    <cellStyle name="Обычный 4 180 3" xfId="15337"/>
    <cellStyle name="Процентный 4 180 3" xfId="15338"/>
    <cellStyle name="Обычный 5 173 3" xfId="15339"/>
    <cellStyle name="Процентный 5 173 3" xfId="15340"/>
    <cellStyle name="Обычный 4 2 167 3" xfId="15341"/>
    <cellStyle name="Процентный 4 2 167 3" xfId="15342"/>
    <cellStyle name="Обычный 5 2 167 3" xfId="15343"/>
    <cellStyle name="Процентный 5 2 167 3" xfId="15344"/>
    <cellStyle name="Обычный 6 164 3" xfId="15345"/>
    <cellStyle name="Процентный 6 164 3" xfId="15346"/>
    <cellStyle name="Обычный 7 134 3" xfId="15347"/>
    <cellStyle name="Процентный 7 134 3" xfId="15348"/>
    <cellStyle name="Обычный 4 3 126 3" xfId="15349"/>
    <cellStyle name="Процентный 4 3 126 3" xfId="15350"/>
    <cellStyle name="Обычный 5 3 126 3" xfId="15351"/>
    <cellStyle name="Процентный 5 3 126 3" xfId="15352"/>
    <cellStyle name="Обычный 4 2 2 126 3" xfId="15353"/>
    <cellStyle name="Процентный 4 2 2 126 3" xfId="15354"/>
    <cellStyle name="Обычный 5 2 2 126 3" xfId="15355"/>
    <cellStyle name="Процентный 5 2 2 126 3" xfId="15356"/>
    <cellStyle name="Обычный 6 2 126 3" xfId="15357"/>
    <cellStyle name="Процентный 6 2 126 3" xfId="15358"/>
    <cellStyle name="Обычный 7 2 126 3" xfId="15359"/>
    <cellStyle name="Процентный 7 2 126 3" xfId="15360"/>
    <cellStyle name="Обычный 8 122 3" xfId="15361"/>
    <cellStyle name="Процентный 8 122 3" xfId="15362"/>
    <cellStyle name="Обычный 9 88 3" xfId="15363"/>
    <cellStyle name="Процентный 9 89 3" xfId="15364"/>
    <cellStyle name="Обычный 10 81 3" xfId="15365"/>
    <cellStyle name="Процентный 10 81 3" xfId="15366"/>
    <cellStyle name="Обычный 11 69 3" xfId="15367"/>
    <cellStyle name="Процентный 11 69 3" xfId="15368"/>
    <cellStyle name="Обычный 4 181 3" xfId="15369"/>
    <cellStyle name="Процентный 4 181 3" xfId="15370"/>
    <cellStyle name="Обычный 5 174 3" xfId="15371"/>
    <cellStyle name="Процентный 5 174 3" xfId="15372"/>
    <cellStyle name="Обычный 4 2 168 3" xfId="15373"/>
    <cellStyle name="Процентный 4 2 168 3" xfId="15374"/>
    <cellStyle name="Обычный 5 2 168 3" xfId="15375"/>
    <cellStyle name="Процентный 5 2 168 3" xfId="15376"/>
    <cellStyle name="Обычный 6 165 3" xfId="15377"/>
    <cellStyle name="Процентный 6 165 3" xfId="15378"/>
    <cellStyle name="Обычный 7 135 3" xfId="15379"/>
    <cellStyle name="Процентный 7 135 3" xfId="15380"/>
    <cellStyle name="Обычный 4 3 127 3" xfId="15381"/>
    <cellStyle name="Процентный 4 3 127 3" xfId="15382"/>
    <cellStyle name="Обычный 5 3 127 3" xfId="15383"/>
    <cellStyle name="Процентный 5 3 127 3" xfId="15384"/>
    <cellStyle name="Обычный 4 2 2 127 3" xfId="15385"/>
    <cellStyle name="Процентный 4 2 2 127 3" xfId="15386"/>
    <cellStyle name="Обычный 5 2 2 127 3" xfId="15387"/>
    <cellStyle name="Процентный 5 2 2 127 3" xfId="15388"/>
    <cellStyle name="Обычный 6 2 127 3" xfId="15389"/>
    <cellStyle name="Процентный 6 2 127 3" xfId="15390"/>
    <cellStyle name="Обычный 7 2 127 3" xfId="15391"/>
    <cellStyle name="Процентный 7 2 127 3" xfId="15392"/>
    <cellStyle name="Обычный 8 123 3" xfId="15393"/>
    <cellStyle name="Процентный 8 123 3" xfId="15394"/>
    <cellStyle name="Обычный 9 89 3" xfId="15395"/>
    <cellStyle name="Процентный 9 90 3" xfId="15396"/>
    <cellStyle name="Обычный 10 82 3" xfId="15397"/>
    <cellStyle name="Процентный 10 82 3" xfId="15398"/>
    <cellStyle name="Обычный 11 70 3" xfId="15399"/>
    <cellStyle name="Процентный 11 70 3" xfId="15400"/>
    <cellStyle name="Обычный 14 3" xfId="15401"/>
    <cellStyle name="Процентный 14 3" xfId="15402"/>
    <cellStyle name="Обычный 4 182 3" xfId="15403"/>
    <cellStyle name="Процентный 4 182 3" xfId="15404"/>
    <cellStyle name="Обычный 5 175 3" xfId="15405"/>
    <cellStyle name="Процентный 5 175 3" xfId="15406"/>
    <cellStyle name="Обычный 4 2 169 3" xfId="15407"/>
    <cellStyle name="Процентный 4 2 169 3" xfId="15408"/>
    <cellStyle name="Обычный 5 2 169 3" xfId="15409"/>
    <cellStyle name="Процентный 5 2 169 3" xfId="15410"/>
    <cellStyle name="Обычный 6 166 3" xfId="15411"/>
    <cellStyle name="Процентный 6 166 3" xfId="15412"/>
    <cellStyle name="Обычный 7 136 3" xfId="15413"/>
    <cellStyle name="Процентный 7 136 3" xfId="15414"/>
    <cellStyle name="Обычный 4 3 128 3" xfId="15415"/>
    <cellStyle name="Процентный 4 3 128 3" xfId="15416"/>
    <cellStyle name="Обычный 5 3 128 3" xfId="15417"/>
    <cellStyle name="Процентный 5 3 128 3" xfId="15418"/>
    <cellStyle name="Обычный 4 2 2 128 3" xfId="15419"/>
    <cellStyle name="Процентный 4 2 2 128 3" xfId="15420"/>
    <cellStyle name="Обычный 5 2 2 128 3" xfId="15421"/>
    <cellStyle name="Процентный 5 2 2 128 3" xfId="15422"/>
    <cellStyle name="Обычный 6 2 128 3" xfId="15423"/>
    <cellStyle name="Процентный 6 2 128 3" xfId="15424"/>
    <cellStyle name="Обычный 7 2 128 3" xfId="15425"/>
    <cellStyle name="Процентный 7 2 128 3" xfId="15426"/>
    <cellStyle name="Обычный 8 124 3" xfId="15427"/>
    <cellStyle name="Процентный 8 124 3" xfId="15428"/>
    <cellStyle name="Обычный 9 90 3" xfId="15429"/>
    <cellStyle name="Процентный 9 91 3" xfId="15430"/>
    <cellStyle name="Обычный 10 83 3" xfId="15431"/>
    <cellStyle name="Процентный 10 83 3" xfId="15432"/>
    <cellStyle name="Обычный 11 71 3" xfId="15433"/>
    <cellStyle name="Процентный 11 71 3" xfId="15434"/>
    <cellStyle name="Обычный 4 183 3" xfId="15435"/>
    <cellStyle name="Процентный 4 183 3" xfId="15436"/>
    <cellStyle name="Обычный 5 176 3" xfId="15437"/>
    <cellStyle name="Процентный 5 176 3" xfId="15438"/>
    <cellStyle name="Обычный 4 2 170 3" xfId="15439"/>
    <cellStyle name="Процентный 4 2 170 3" xfId="15440"/>
    <cellStyle name="Обычный 5 2 170 3" xfId="15441"/>
    <cellStyle name="Процентный 5 2 170 3" xfId="15442"/>
    <cellStyle name="Обычный 6 167 3" xfId="15443"/>
    <cellStyle name="Процентный 6 167 3" xfId="15444"/>
    <cellStyle name="Обычный 7 137 3" xfId="15445"/>
    <cellStyle name="Процентный 7 137 3" xfId="15446"/>
    <cellStyle name="Обычный 4 3 129 3" xfId="15447"/>
    <cellStyle name="Процентный 4 3 129 3" xfId="15448"/>
    <cellStyle name="Обычный 5 3 129 3" xfId="15449"/>
    <cellStyle name="Процентный 5 3 129 3" xfId="15450"/>
    <cellStyle name="Обычный 4 2 2 129 3" xfId="15451"/>
    <cellStyle name="Процентный 4 2 2 129 3" xfId="15452"/>
    <cellStyle name="Обычный 5 2 2 129 3" xfId="15453"/>
    <cellStyle name="Процентный 5 2 2 129 3" xfId="15454"/>
    <cellStyle name="Обычный 6 2 129 3" xfId="15455"/>
    <cellStyle name="Процентный 6 2 129 3" xfId="15456"/>
    <cellStyle name="Обычный 7 2 129 3" xfId="15457"/>
    <cellStyle name="Процентный 7 2 129 3" xfId="15458"/>
    <cellStyle name="Обычный 8 125 3" xfId="15459"/>
    <cellStyle name="Процентный 8 125 3" xfId="15460"/>
    <cellStyle name="Обычный 9 91 3" xfId="15461"/>
    <cellStyle name="Процентный 9 92 3" xfId="15462"/>
    <cellStyle name="Обычный 10 84 3" xfId="15463"/>
    <cellStyle name="Процентный 10 84 3" xfId="15464"/>
    <cellStyle name="Обычный 11 72 3" xfId="15465"/>
    <cellStyle name="Процентный 11 72 3" xfId="15466"/>
    <cellStyle name="Обычный 4 184 3" xfId="15467"/>
    <cellStyle name="Процентный 4 184 3" xfId="15468"/>
    <cellStyle name="Обычный 5 177 3" xfId="15469"/>
    <cellStyle name="Процентный 5 177 3" xfId="15470"/>
    <cellStyle name="Обычный 4 2 171 3" xfId="15471"/>
    <cellStyle name="Процентный 4 2 171 3" xfId="15472"/>
    <cellStyle name="Обычный 5 2 171 3" xfId="15473"/>
    <cellStyle name="Процентный 5 2 171 3" xfId="15474"/>
    <cellStyle name="Обычный 6 168 3" xfId="15475"/>
    <cellStyle name="Процентный 6 168 3" xfId="15476"/>
    <cellStyle name="Обычный 7 138 3" xfId="15477"/>
    <cellStyle name="Процентный 7 138 3" xfId="15478"/>
    <cellStyle name="Обычный 4 3 130 3" xfId="15479"/>
    <cellStyle name="Процентный 4 3 130 3" xfId="15480"/>
    <cellStyle name="Обычный 5 3 130 3" xfId="15481"/>
    <cellStyle name="Процентный 5 3 130 3" xfId="15482"/>
    <cellStyle name="Обычный 4 2 2 130 3" xfId="15483"/>
    <cellStyle name="Процентный 4 2 2 130 3" xfId="15484"/>
    <cellStyle name="Обычный 5 2 2 130 3" xfId="15485"/>
    <cellStyle name="Процентный 5 2 2 130 3" xfId="15486"/>
    <cellStyle name="Обычный 6 2 130 3" xfId="15487"/>
    <cellStyle name="Процентный 6 2 130 3" xfId="15488"/>
    <cellStyle name="Обычный 7 2 130 3" xfId="15489"/>
    <cellStyle name="Процентный 7 2 130 3" xfId="15490"/>
    <cellStyle name="Обычный 8 126 3" xfId="15491"/>
    <cellStyle name="Процентный 8 126 3" xfId="15492"/>
    <cellStyle name="Обычный 9 92 3" xfId="15493"/>
    <cellStyle name="Процентный 9 93 3" xfId="15494"/>
    <cellStyle name="Обычный 10 85 3" xfId="15495"/>
    <cellStyle name="Процентный 10 85 3" xfId="15496"/>
    <cellStyle name="Обычный 11 73 3" xfId="15497"/>
    <cellStyle name="Процентный 11 73 3" xfId="15498"/>
    <cellStyle name="Обычный 4 185 3" xfId="15499"/>
    <cellStyle name="Процентный 4 185 3" xfId="15500"/>
    <cellStyle name="Обычный 5 178 3" xfId="15501"/>
    <cellStyle name="Процентный 5 178 3" xfId="15502"/>
    <cellStyle name="Обычный 4 2 172 3" xfId="15503"/>
    <cellStyle name="Процентный 4 2 172 3" xfId="15504"/>
    <cellStyle name="Обычный 5 2 172 3" xfId="15505"/>
    <cellStyle name="Процентный 5 2 172 3" xfId="15506"/>
    <cellStyle name="Обычный 6 169 3" xfId="15507"/>
    <cellStyle name="Процентный 6 169 3" xfId="15508"/>
    <cellStyle name="Обычный 7 139 3" xfId="15509"/>
    <cellStyle name="Процентный 7 139 3" xfId="15510"/>
    <cellStyle name="Обычный 4 3 131 3" xfId="15511"/>
    <cellStyle name="Процентный 4 3 131 3" xfId="15512"/>
    <cellStyle name="Обычный 5 3 131 3" xfId="15513"/>
    <cellStyle name="Процентный 5 3 131 3" xfId="15514"/>
    <cellStyle name="Обычный 4 2 2 131 3" xfId="15515"/>
    <cellStyle name="Процентный 4 2 2 131 3" xfId="15516"/>
    <cellStyle name="Обычный 5 2 2 131 3" xfId="15517"/>
    <cellStyle name="Процентный 5 2 2 131 3" xfId="15518"/>
    <cellStyle name="Обычный 6 2 131 3" xfId="15519"/>
    <cellStyle name="Процентный 6 2 131 3" xfId="15520"/>
    <cellStyle name="Обычный 7 2 131 3" xfId="15521"/>
    <cellStyle name="Процентный 7 2 131 3" xfId="15522"/>
    <cellStyle name="Обычный 8 127 3" xfId="15523"/>
    <cellStyle name="Процентный 8 127 3" xfId="15524"/>
    <cellStyle name="Обычный 9 93 3" xfId="15525"/>
    <cellStyle name="Процентный 9 94 3" xfId="15526"/>
    <cellStyle name="Обычный 10 86 3" xfId="15527"/>
    <cellStyle name="Процентный 10 86 3" xfId="15528"/>
    <cellStyle name="Обычный 11 74 3" xfId="15529"/>
    <cellStyle name="Процентный 11 74 3" xfId="15530"/>
    <cellStyle name="Обычный 4 186 3" xfId="15531"/>
    <cellStyle name="Процентный 4 186 3" xfId="15532"/>
    <cellStyle name="Обычный 5 179 3" xfId="15533"/>
    <cellStyle name="Процентный 5 179 3" xfId="15534"/>
    <cellStyle name="Обычный 4 2 173 3" xfId="15535"/>
    <cellStyle name="Процентный 4 2 173 3" xfId="15536"/>
    <cellStyle name="Обычный 5 2 173 3" xfId="15537"/>
    <cellStyle name="Процентный 5 2 173 3" xfId="15538"/>
    <cellStyle name="Обычный 6 170 3" xfId="15539"/>
    <cellStyle name="Процентный 6 170 3" xfId="15540"/>
    <cellStyle name="Обычный 7 140 3" xfId="15541"/>
    <cellStyle name="Процентный 7 140 3" xfId="15542"/>
    <cellStyle name="Обычный 4 3 132 3" xfId="15543"/>
    <cellStyle name="Процентный 4 3 132 3" xfId="15544"/>
    <cellStyle name="Обычный 5 3 132 3" xfId="15545"/>
    <cellStyle name="Процентный 5 3 132 3" xfId="15546"/>
    <cellStyle name="Обычный 4 2 2 132 3" xfId="15547"/>
    <cellStyle name="Процентный 4 2 2 132 3" xfId="15548"/>
    <cellStyle name="Обычный 5 2 2 132 3" xfId="15549"/>
    <cellStyle name="Процентный 5 2 2 132 3" xfId="15550"/>
    <cellStyle name="Обычный 6 2 132 3" xfId="15551"/>
    <cellStyle name="Процентный 6 2 132 3" xfId="15552"/>
    <cellStyle name="Обычный 7 2 132 3" xfId="15553"/>
    <cellStyle name="Процентный 7 2 132 3" xfId="15554"/>
    <cellStyle name="Обычный 8 128 3" xfId="15555"/>
    <cellStyle name="Процентный 8 128 3" xfId="15556"/>
    <cellStyle name="Обычный 9 94 3" xfId="15557"/>
    <cellStyle name="Процентный 9 95 3" xfId="15558"/>
    <cellStyle name="Обычный 10 87 3" xfId="15559"/>
    <cellStyle name="Процентный 10 87 3" xfId="15560"/>
    <cellStyle name="Обычный 11 75 3" xfId="15561"/>
    <cellStyle name="Процентный 11 75 3" xfId="15562"/>
    <cellStyle name="Обычный 4 187 3" xfId="15563"/>
    <cellStyle name="Процентный 4 187 3" xfId="15564"/>
    <cellStyle name="Обычный 5 180 3" xfId="15565"/>
    <cellStyle name="Процентный 5 180 3" xfId="15566"/>
    <cellStyle name="Обычный 4 2 174 3" xfId="15567"/>
    <cellStyle name="Процентный 4 2 174 3" xfId="15568"/>
    <cellStyle name="Обычный 5 2 174 3" xfId="15569"/>
    <cellStyle name="Процентный 5 2 174 3" xfId="15570"/>
    <cellStyle name="Обычный 6 171 3" xfId="15571"/>
    <cellStyle name="Процентный 6 171 3" xfId="15572"/>
    <cellStyle name="Обычный 7 141 3" xfId="15573"/>
    <cellStyle name="Процентный 7 141 3" xfId="15574"/>
    <cellStyle name="Обычный 4 3 133 3" xfId="15575"/>
    <cellStyle name="Процентный 4 3 133 3" xfId="15576"/>
    <cellStyle name="Обычный 5 3 133 3" xfId="15577"/>
    <cellStyle name="Процентный 5 3 133 3" xfId="15578"/>
    <cellStyle name="Обычный 4 2 2 133 3" xfId="15579"/>
    <cellStyle name="Процентный 4 2 2 133 3" xfId="15580"/>
    <cellStyle name="Обычный 5 2 2 133 3" xfId="15581"/>
    <cellStyle name="Процентный 5 2 2 133 3" xfId="15582"/>
    <cellStyle name="Обычный 6 2 133 3" xfId="15583"/>
    <cellStyle name="Процентный 6 2 133 3" xfId="15584"/>
    <cellStyle name="Обычный 7 2 133 3" xfId="15585"/>
    <cellStyle name="Процентный 7 2 133 3" xfId="15586"/>
    <cellStyle name="Обычный 8 129 3" xfId="15587"/>
    <cellStyle name="Процентный 8 129 3" xfId="15588"/>
    <cellStyle name="Обычный 9 95 3" xfId="15589"/>
    <cellStyle name="Процентный 9 96 3" xfId="15590"/>
    <cellStyle name="Обычный 10 88 3" xfId="15591"/>
    <cellStyle name="Процентный 10 88 3" xfId="15592"/>
    <cellStyle name="Обычный 11 76 3" xfId="15593"/>
    <cellStyle name="Процентный 11 76 3" xfId="15594"/>
    <cellStyle name="Обычный 4 188 3" xfId="15595"/>
    <cellStyle name="Процентный 4 188 3" xfId="15596"/>
    <cellStyle name="Обычный 5 181 3" xfId="15597"/>
    <cellStyle name="Процентный 5 181 3" xfId="15598"/>
    <cellStyle name="Обычный 4 2 175 3" xfId="15599"/>
    <cellStyle name="Процентный 4 2 175 3" xfId="15600"/>
    <cellStyle name="Обычный 5 2 175 3" xfId="15601"/>
    <cellStyle name="Процентный 5 2 175 3" xfId="15602"/>
    <cellStyle name="Обычный 6 172 3" xfId="15603"/>
    <cellStyle name="Процентный 6 172 3" xfId="15604"/>
    <cellStyle name="Обычный 7 142 3" xfId="15605"/>
    <cellStyle name="Процентный 7 142 3" xfId="15606"/>
    <cellStyle name="Обычный 4 3 134 3" xfId="15607"/>
    <cellStyle name="Процентный 4 3 134 3" xfId="15608"/>
    <cellStyle name="Обычный 5 3 134 3" xfId="15609"/>
    <cellStyle name="Процентный 5 3 134 3" xfId="15610"/>
    <cellStyle name="Обычный 4 2 2 134 3" xfId="15611"/>
    <cellStyle name="Процентный 4 2 2 134 3" xfId="15612"/>
    <cellStyle name="Обычный 5 2 2 134 3" xfId="15613"/>
    <cellStyle name="Процентный 5 2 2 134 3" xfId="15614"/>
    <cellStyle name="Обычный 6 2 134 3" xfId="15615"/>
    <cellStyle name="Процентный 6 2 134 3" xfId="15616"/>
    <cellStyle name="Обычный 7 2 134 3" xfId="15617"/>
    <cellStyle name="Процентный 7 2 134 3" xfId="15618"/>
    <cellStyle name="Обычный 8 130 3" xfId="15619"/>
    <cellStyle name="Процентный 8 130 3" xfId="15620"/>
    <cellStyle name="Обычный 9 96 3" xfId="15621"/>
    <cellStyle name="Процентный 9 97 3" xfId="15622"/>
    <cellStyle name="Обычный 10 89 3" xfId="15623"/>
    <cellStyle name="Процентный 10 89 3" xfId="15624"/>
    <cellStyle name="Обычный 11 77 3" xfId="15625"/>
    <cellStyle name="Процентный 11 77 3" xfId="15626"/>
    <cellStyle name="Обычный 4 189 3" xfId="15627"/>
    <cellStyle name="Процентный 4 189 3" xfId="15628"/>
    <cellStyle name="Обычный 5 182 3" xfId="15629"/>
    <cellStyle name="Процентный 5 182 3" xfId="15630"/>
    <cellStyle name="Обычный 4 2 176 3" xfId="15631"/>
    <cellStyle name="Процентный 4 2 176 3" xfId="15632"/>
    <cellStyle name="Обычный 5 2 176 3" xfId="15633"/>
    <cellStyle name="Процентный 5 2 176 3" xfId="15634"/>
    <cellStyle name="Обычный 6 173 3" xfId="15635"/>
    <cellStyle name="Процентный 6 173 3" xfId="15636"/>
    <cellStyle name="Обычный 7 143 3" xfId="15637"/>
    <cellStyle name="Процентный 7 143 3" xfId="15638"/>
    <cellStyle name="Обычный 4 3 135 3" xfId="15639"/>
    <cellStyle name="Процентный 4 3 135 3" xfId="15640"/>
    <cellStyle name="Обычный 5 3 135 3" xfId="15641"/>
    <cellStyle name="Процентный 5 3 135 3" xfId="15642"/>
    <cellStyle name="Обычный 4 2 2 135 3" xfId="15643"/>
    <cellStyle name="Процентный 4 2 2 135 3" xfId="15644"/>
    <cellStyle name="Обычный 5 2 2 135 3" xfId="15645"/>
    <cellStyle name="Процентный 5 2 2 135 3" xfId="15646"/>
    <cellStyle name="Обычный 6 2 135 3" xfId="15647"/>
    <cellStyle name="Процентный 6 2 135 3" xfId="15648"/>
    <cellStyle name="Обычный 7 2 135 3" xfId="15649"/>
    <cellStyle name="Процентный 7 2 135 3" xfId="15650"/>
    <cellStyle name="Обычный 8 131 3" xfId="15651"/>
    <cellStyle name="Процентный 8 131 3" xfId="15652"/>
    <cellStyle name="Обычный 9 97 3" xfId="15653"/>
    <cellStyle name="Процентный 9 98 3" xfId="15654"/>
    <cellStyle name="Обычный 10 90 3" xfId="15655"/>
    <cellStyle name="Процентный 10 90 3" xfId="15656"/>
    <cellStyle name="Обычный 11 78 3" xfId="15657"/>
    <cellStyle name="Процентный 11 78 3" xfId="15658"/>
    <cellStyle name="Обычный 4 190 3" xfId="15659"/>
    <cellStyle name="Процентный 4 190 3" xfId="15660"/>
    <cellStyle name="Обычный 5 183 3" xfId="15661"/>
    <cellStyle name="Процентный 5 183 3" xfId="15662"/>
    <cellStyle name="Обычный 4 2 177 3" xfId="15663"/>
    <cellStyle name="Процентный 4 2 177 3" xfId="15664"/>
    <cellStyle name="Обычный 5 2 177 3" xfId="15665"/>
    <cellStyle name="Процентный 5 2 177 3" xfId="15666"/>
    <cellStyle name="Обычный 6 174 3" xfId="15667"/>
    <cellStyle name="Процентный 6 174 3" xfId="15668"/>
    <cellStyle name="Обычный 7 144 3" xfId="15669"/>
    <cellStyle name="Процентный 7 144 3" xfId="15670"/>
    <cellStyle name="Обычный 4 3 136 3" xfId="15671"/>
    <cellStyle name="Процентный 4 3 136 3" xfId="15672"/>
    <cellStyle name="Обычный 5 3 136 3" xfId="15673"/>
    <cellStyle name="Процентный 5 3 136 3" xfId="15674"/>
    <cellStyle name="Обычный 4 2 2 136 3" xfId="15675"/>
    <cellStyle name="Процентный 4 2 2 136 3" xfId="15676"/>
    <cellStyle name="Обычный 5 2 2 136 3" xfId="15677"/>
    <cellStyle name="Процентный 5 2 2 136 3" xfId="15678"/>
    <cellStyle name="Обычный 6 2 136 3" xfId="15679"/>
    <cellStyle name="Процентный 6 2 136 3" xfId="15680"/>
    <cellStyle name="Обычный 7 2 136 3" xfId="15681"/>
    <cellStyle name="Процентный 7 2 136 3" xfId="15682"/>
    <cellStyle name="Обычный 8 132 3" xfId="15683"/>
    <cellStyle name="Процентный 8 132 3" xfId="15684"/>
    <cellStyle name="Обычный 9 98 3" xfId="15685"/>
    <cellStyle name="Процентный 9 99 3" xfId="15686"/>
    <cellStyle name="Обычный 10 91 3" xfId="15687"/>
    <cellStyle name="Процентный 10 91 3" xfId="15688"/>
    <cellStyle name="Обычный 11 79 3" xfId="15689"/>
    <cellStyle name="Процентный 11 79 3" xfId="15690"/>
    <cellStyle name="Обычный 4 191 3" xfId="15691"/>
    <cellStyle name="Процентный 4 191 3" xfId="15692"/>
    <cellStyle name="Обычный 5 184 3" xfId="15693"/>
    <cellStyle name="Процентный 5 184 3" xfId="15694"/>
    <cellStyle name="Обычный 4 2 178 3" xfId="15695"/>
    <cellStyle name="Процентный 4 2 178 3" xfId="15696"/>
    <cellStyle name="Обычный 5 2 178 3" xfId="15697"/>
    <cellStyle name="Процентный 5 2 178 3" xfId="15698"/>
    <cellStyle name="Обычный 6 175 3" xfId="15699"/>
    <cellStyle name="Процентный 6 175 3" xfId="15700"/>
    <cellStyle name="Обычный 7 145 3" xfId="15701"/>
    <cellStyle name="Процентный 7 145 3" xfId="15702"/>
    <cellStyle name="Обычный 4 3 137 3" xfId="15703"/>
    <cellStyle name="Процентный 4 3 137 3" xfId="15704"/>
    <cellStyle name="Обычный 5 3 137 3" xfId="15705"/>
    <cellStyle name="Процентный 5 3 137 3" xfId="15706"/>
    <cellStyle name="Обычный 4 2 2 137 3" xfId="15707"/>
    <cellStyle name="Процентный 4 2 2 137 3" xfId="15708"/>
    <cellStyle name="Обычный 5 2 2 137 3" xfId="15709"/>
    <cellStyle name="Процентный 5 2 2 137 3" xfId="15710"/>
    <cellStyle name="Обычный 6 2 137 3" xfId="15711"/>
    <cellStyle name="Процентный 6 2 137 3" xfId="15712"/>
    <cellStyle name="Обычный 7 2 137 3" xfId="15713"/>
    <cellStyle name="Процентный 7 2 137 3" xfId="15714"/>
    <cellStyle name="Обычный 8 133 3" xfId="15715"/>
    <cellStyle name="Процентный 8 133 3" xfId="15716"/>
    <cellStyle name="Обычный 9 99 3" xfId="15717"/>
    <cellStyle name="Процентный 9 100 3" xfId="15718"/>
    <cellStyle name="Обычный 10 92 3" xfId="15719"/>
    <cellStyle name="Процентный 10 92 3" xfId="15720"/>
    <cellStyle name="Обычный 11 80 3" xfId="15721"/>
    <cellStyle name="Процентный 11 80 3" xfId="15722"/>
    <cellStyle name="Обычный 4 192 3" xfId="15723"/>
    <cellStyle name="Процентный 4 192 3" xfId="15724"/>
    <cellStyle name="Обычный 5 185 3" xfId="15725"/>
    <cellStyle name="Процентный 5 185 3" xfId="15726"/>
    <cellStyle name="Обычный 4 2 179 3" xfId="15727"/>
    <cellStyle name="Процентный 4 2 179 3" xfId="15728"/>
    <cellStyle name="Обычный 5 2 179 3" xfId="15729"/>
    <cellStyle name="Процентный 5 2 179 3" xfId="15730"/>
    <cellStyle name="Обычный 6 176 3" xfId="15731"/>
    <cellStyle name="Процентный 6 176 3" xfId="15732"/>
    <cellStyle name="Обычный 7 146 3" xfId="15733"/>
    <cellStyle name="Процентный 7 146 3" xfId="15734"/>
    <cellStyle name="Обычный 4 3 138 3" xfId="15735"/>
    <cellStyle name="Процентный 4 3 138 3" xfId="15736"/>
    <cellStyle name="Обычный 5 3 138 3" xfId="15737"/>
    <cellStyle name="Процентный 5 3 138 3" xfId="15738"/>
    <cellStyle name="Обычный 4 2 2 138 3" xfId="15739"/>
    <cellStyle name="Процентный 4 2 2 138 3" xfId="15740"/>
    <cellStyle name="Обычный 5 2 2 138 3" xfId="15741"/>
    <cellStyle name="Процентный 5 2 2 138 3" xfId="15742"/>
    <cellStyle name="Обычный 6 2 138 3" xfId="15743"/>
    <cellStyle name="Процентный 6 2 138 3" xfId="15744"/>
    <cellStyle name="Обычный 7 2 138 3" xfId="15745"/>
    <cellStyle name="Процентный 7 2 138 3" xfId="15746"/>
    <cellStyle name="Обычный 8 134 3" xfId="15747"/>
    <cellStyle name="Процентный 8 134 3" xfId="15748"/>
    <cellStyle name="Обычный 9 100 3" xfId="15749"/>
    <cellStyle name="Процентный 9 101 3" xfId="15750"/>
    <cellStyle name="Обычный 10 93 3" xfId="15751"/>
    <cellStyle name="Процентный 10 93 3" xfId="15752"/>
    <cellStyle name="Обычный 11 81 3" xfId="15753"/>
    <cellStyle name="Процентный 11 81 3" xfId="15754"/>
    <cellStyle name="Обычный 4 193 3" xfId="15755"/>
    <cellStyle name="Процентный 4 193 3" xfId="15756"/>
    <cellStyle name="Обычный 5 186 3" xfId="15757"/>
    <cellStyle name="Процентный 5 186 3" xfId="15758"/>
    <cellStyle name="Обычный 4 2 180 3" xfId="15759"/>
    <cellStyle name="Процентный 4 2 180 3" xfId="15760"/>
    <cellStyle name="Обычный 5 2 180 3" xfId="15761"/>
    <cellStyle name="Процентный 5 2 180 3" xfId="15762"/>
    <cellStyle name="Обычный 6 177 3" xfId="15763"/>
    <cellStyle name="Процентный 6 177 3" xfId="15764"/>
    <cellStyle name="Обычный 7 147 3" xfId="15765"/>
    <cellStyle name="Процентный 7 147 3" xfId="15766"/>
    <cellStyle name="Обычный 4 3 139 3" xfId="15767"/>
    <cellStyle name="Процентный 4 3 139 3" xfId="15768"/>
    <cellStyle name="Обычный 5 3 139 3" xfId="15769"/>
    <cellStyle name="Процентный 5 3 139 3" xfId="15770"/>
    <cellStyle name="Обычный 4 2 2 139 3" xfId="15771"/>
    <cellStyle name="Процентный 4 2 2 139 3" xfId="15772"/>
    <cellStyle name="Обычный 5 2 2 139 3" xfId="15773"/>
    <cellStyle name="Процентный 5 2 2 139 3" xfId="15774"/>
    <cellStyle name="Обычный 6 2 139 3" xfId="15775"/>
    <cellStyle name="Процентный 6 2 139 3" xfId="15776"/>
    <cellStyle name="Обычный 7 2 139 3" xfId="15777"/>
    <cellStyle name="Процентный 7 2 139 3" xfId="15778"/>
    <cellStyle name="Обычный 8 135 3" xfId="15779"/>
    <cellStyle name="Процентный 8 135 3" xfId="15780"/>
    <cellStyle name="Обычный 9 101 3" xfId="15781"/>
    <cellStyle name="Процентный 9 102 3" xfId="15782"/>
    <cellStyle name="Обычный 10 94 3" xfId="15783"/>
    <cellStyle name="Процентный 10 94 3" xfId="15784"/>
    <cellStyle name="Обычный 11 82 3" xfId="15785"/>
    <cellStyle name="Процентный 11 82 3" xfId="15786"/>
    <cellStyle name="Обычный 4 194 3" xfId="15787"/>
    <cellStyle name="Процентный 4 194 3" xfId="15788"/>
    <cellStyle name="Обычный 5 187 3" xfId="15789"/>
    <cellStyle name="Процентный 5 187 3" xfId="15790"/>
    <cellStyle name="Обычный 4 2 181 3" xfId="15791"/>
    <cellStyle name="Процентный 4 2 181 3" xfId="15792"/>
    <cellStyle name="Обычный 5 2 181 3" xfId="15793"/>
    <cellStyle name="Процентный 5 2 181 3" xfId="15794"/>
    <cellStyle name="Обычный 6 178 3" xfId="15795"/>
    <cellStyle name="Процентный 6 178 3" xfId="15796"/>
    <cellStyle name="Обычный 7 148 3" xfId="15797"/>
    <cellStyle name="Процентный 7 148 3" xfId="15798"/>
    <cellStyle name="Обычный 4 3 140 3" xfId="15799"/>
    <cellStyle name="Процентный 4 3 140 3" xfId="15800"/>
    <cellStyle name="Обычный 5 3 140 3" xfId="15801"/>
    <cellStyle name="Процентный 5 3 140 3" xfId="15802"/>
    <cellStyle name="Обычный 4 2 2 140 3" xfId="15803"/>
    <cellStyle name="Процентный 4 2 2 140 3" xfId="15804"/>
    <cellStyle name="Обычный 5 2 2 140 3" xfId="15805"/>
    <cellStyle name="Процентный 5 2 2 140 3" xfId="15806"/>
    <cellStyle name="Обычный 6 2 140 3" xfId="15807"/>
    <cellStyle name="Процентный 6 2 140 3" xfId="15808"/>
    <cellStyle name="Обычный 7 2 140 3" xfId="15809"/>
    <cellStyle name="Процентный 7 2 140 3" xfId="15810"/>
    <cellStyle name="Обычный 8 136 3" xfId="15811"/>
    <cellStyle name="Процентный 8 136 3" xfId="15812"/>
    <cellStyle name="Обычный 9 102 3" xfId="15813"/>
    <cellStyle name="Процентный 9 103 3" xfId="15814"/>
    <cellStyle name="Обычный 10 95 3" xfId="15815"/>
    <cellStyle name="Процентный 10 95 3" xfId="15816"/>
    <cellStyle name="Обычный 11 83 3" xfId="15817"/>
    <cellStyle name="Процентный 11 83 3" xfId="15818"/>
    <cellStyle name="Обычный 4 195 3" xfId="15819"/>
    <cellStyle name="Процентный 4 195 3" xfId="15820"/>
    <cellStyle name="Обычный 5 188 3" xfId="15821"/>
    <cellStyle name="Процентный 5 188 3" xfId="15822"/>
    <cellStyle name="Обычный 4 2 182 3" xfId="15823"/>
    <cellStyle name="Процентный 4 2 182 3" xfId="15824"/>
    <cellStyle name="Обычный 5 2 182 3" xfId="15825"/>
    <cellStyle name="Процентный 5 2 182 3" xfId="15826"/>
    <cellStyle name="Обычный 6 179 3" xfId="15827"/>
    <cellStyle name="Процентный 6 179 3" xfId="15828"/>
    <cellStyle name="Обычный 7 149 3" xfId="15829"/>
    <cellStyle name="Процентный 7 149 3" xfId="15830"/>
    <cellStyle name="Обычный 4 3 141 3" xfId="15831"/>
    <cellStyle name="Процентный 4 3 141 3" xfId="15832"/>
    <cellStyle name="Обычный 5 3 141 3" xfId="15833"/>
    <cellStyle name="Процентный 5 3 141 3" xfId="15834"/>
    <cellStyle name="Обычный 4 2 2 141 3" xfId="15835"/>
    <cellStyle name="Процентный 4 2 2 141 3" xfId="15836"/>
    <cellStyle name="Обычный 5 2 2 141 3" xfId="15837"/>
    <cellStyle name="Процентный 5 2 2 141 3" xfId="15838"/>
    <cellStyle name="Обычный 6 2 141 3" xfId="15839"/>
    <cellStyle name="Процентный 6 2 141 3" xfId="15840"/>
    <cellStyle name="Обычный 7 2 141 3" xfId="15841"/>
    <cellStyle name="Процентный 7 2 141 3" xfId="15842"/>
    <cellStyle name="Обычный 8 137 3" xfId="15843"/>
    <cellStyle name="Процентный 8 137 3" xfId="15844"/>
    <cellStyle name="Обычный 9 103 3" xfId="15845"/>
    <cellStyle name="Процентный 9 104 3" xfId="15846"/>
    <cellStyle name="Обычный 10 96 3" xfId="15847"/>
    <cellStyle name="Процентный 10 96 3" xfId="15848"/>
    <cellStyle name="Обычный 11 84 3" xfId="15849"/>
    <cellStyle name="Процентный 11 84 3" xfId="15850"/>
    <cellStyle name="Обычный 4 196 3" xfId="15851"/>
    <cellStyle name="Процентный 4 196 3" xfId="15852"/>
    <cellStyle name="Обычный 5 189 3" xfId="15853"/>
    <cellStyle name="Процентный 5 189 3" xfId="15854"/>
    <cellStyle name="Обычный 4 2 183 3" xfId="15855"/>
    <cellStyle name="Процентный 4 2 183 3" xfId="15856"/>
    <cellStyle name="Обычный 5 2 183 3" xfId="15857"/>
    <cellStyle name="Процентный 5 2 183 3" xfId="15858"/>
    <cellStyle name="Обычный 6 180 3" xfId="15859"/>
    <cellStyle name="Процентный 6 180 3" xfId="15860"/>
    <cellStyle name="Обычный 7 150 3" xfId="15861"/>
    <cellStyle name="Процентный 7 150 3" xfId="15862"/>
    <cellStyle name="Обычный 4 3 142 3" xfId="15863"/>
    <cellStyle name="Процентный 4 3 142 3" xfId="15864"/>
    <cellStyle name="Обычный 5 3 142 3" xfId="15865"/>
    <cellStyle name="Процентный 5 3 142 3" xfId="15866"/>
    <cellStyle name="Обычный 4 2 2 142 3" xfId="15867"/>
    <cellStyle name="Процентный 4 2 2 142 3" xfId="15868"/>
    <cellStyle name="Обычный 5 2 2 142 3" xfId="15869"/>
    <cellStyle name="Процентный 5 2 2 142 3" xfId="15870"/>
    <cellStyle name="Обычный 6 2 142 3" xfId="15871"/>
    <cellStyle name="Процентный 6 2 142 3" xfId="15872"/>
    <cellStyle name="Обычный 7 2 142 3" xfId="15873"/>
    <cellStyle name="Процентный 7 2 142 3" xfId="15874"/>
    <cellStyle name="Обычный 8 138 3" xfId="15875"/>
    <cellStyle name="Процентный 8 138 3" xfId="15876"/>
    <cellStyle name="Обычный 9 104 3" xfId="15877"/>
    <cellStyle name="Процентный 9 105 3" xfId="15878"/>
    <cellStyle name="Обычный 10 97 3" xfId="15879"/>
    <cellStyle name="Процентный 10 97 3" xfId="15880"/>
    <cellStyle name="Обычный 11 85 3" xfId="15881"/>
    <cellStyle name="Процентный 11 85 3" xfId="15882"/>
    <cellStyle name="Обычный 4 197 3" xfId="15883"/>
    <cellStyle name="Процентный 4 197 3" xfId="15884"/>
    <cellStyle name="Обычный 5 190 3" xfId="15885"/>
    <cellStyle name="Процентный 5 190 3" xfId="15886"/>
    <cellStyle name="Обычный 4 2 184 3" xfId="15887"/>
    <cellStyle name="Процентный 4 2 184 3" xfId="15888"/>
    <cellStyle name="Обычный 5 2 184 3" xfId="15889"/>
    <cellStyle name="Процентный 5 2 184 3" xfId="15890"/>
    <cellStyle name="Обычный 6 181 3" xfId="15891"/>
    <cellStyle name="Процентный 6 181 3" xfId="15892"/>
    <cellStyle name="Обычный 7 151 3" xfId="15893"/>
    <cellStyle name="Процентный 7 151 3" xfId="15894"/>
    <cellStyle name="Обычный 4 3 143 3" xfId="15895"/>
    <cellStyle name="Процентный 4 3 143 3" xfId="15896"/>
    <cellStyle name="Обычный 5 3 143 3" xfId="15897"/>
    <cellStyle name="Процентный 5 3 143 3" xfId="15898"/>
    <cellStyle name="Обычный 4 2 2 143 3" xfId="15899"/>
    <cellStyle name="Процентный 4 2 2 143 3" xfId="15900"/>
    <cellStyle name="Обычный 5 2 2 143 3" xfId="15901"/>
    <cellStyle name="Процентный 5 2 2 143 3" xfId="15902"/>
    <cellStyle name="Обычный 6 2 143 3" xfId="15903"/>
    <cellStyle name="Процентный 6 2 143 3" xfId="15904"/>
    <cellStyle name="Обычный 7 2 143 3" xfId="15905"/>
    <cellStyle name="Процентный 7 2 143 3" xfId="15906"/>
    <cellStyle name="Обычный 8 139 3" xfId="15907"/>
    <cellStyle name="Процентный 8 139 3" xfId="15908"/>
    <cellStyle name="Обычный 9 105 3" xfId="15909"/>
    <cellStyle name="Процентный 9 106 3" xfId="15910"/>
    <cellStyle name="Обычный 10 98 3" xfId="15911"/>
    <cellStyle name="Процентный 10 98 3" xfId="15912"/>
    <cellStyle name="Обычный 11 86 3" xfId="15913"/>
    <cellStyle name="Процентный 11 86 3" xfId="15914"/>
    <cellStyle name="Обычный 4 198 3" xfId="15915"/>
    <cellStyle name="Процентный 4 198 3" xfId="15916"/>
    <cellStyle name="Обычный 5 191 3" xfId="15917"/>
    <cellStyle name="Процентный 5 191 3" xfId="15918"/>
    <cellStyle name="Обычный 4 2 185 3" xfId="15919"/>
    <cellStyle name="Процентный 4 2 185 3" xfId="15920"/>
    <cellStyle name="Обычный 5 2 185 3" xfId="15921"/>
    <cellStyle name="Процентный 5 2 185 3" xfId="15922"/>
    <cellStyle name="Обычный 6 182 3" xfId="15923"/>
    <cellStyle name="Процентный 6 182 3" xfId="15924"/>
    <cellStyle name="Обычный 7 152 3" xfId="15925"/>
    <cellStyle name="Процентный 7 152 3" xfId="15926"/>
    <cellStyle name="Обычный 4 3 144 3" xfId="15927"/>
    <cellStyle name="Процентный 4 3 144 3" xfId="15928"/>
    <cellStyle name="Обычный 5 3 144 3" xfId="15929"/>
    <cellStyle name="Процентный 5 3 144 3" xfId="15930"/>
    <cellStyle name="Обычный 4 2 2 144 3" xfId="15931"/>
    <cellStyle name="Процентный 4 2 2 144 3" xfId="15932"/>
    <cellStyle name="Обычный 5 2 2 144 3" xfId="15933"/>
    <cellStyle name="Процентный 5 2 2 144 3" xfId="15934"/>
    <cellStyle name="Обычный 6 2 144 3" xfId="15935"/>
    <cellStyle name="Процентный 6 2 144 3" xfId="15936"/>
    <cellStyle name="Обычный 7 2 144 3" xfId="15937"/>
    <cellStyle name="Процентный 7 2 144 3" xfId="15938"/>
    <cellStyle name="Обычный 8 140 3" xfId="15939"/>
    <cellStyle name="Процентный 8 140 3" xfId="15940"/>
    <cellStyle name="Обычный 9 106 3" xfId="15941"/>
    <cellStyle name="Процентный 9 107 3" xfId="15942"/>
    <cellStyle name="Обычный 10 99 3" xfId="15943"/>
    <cellStyle name="Процентный 10 99 3" xfId="15944"/>
    <cellStyle name="Обычный 11 87 3" xfId="15945"/>
    <cellStyle name="Процентный 11 87 3" xfId="15946"/>
    <cellStyle name="Обычный 4 199 3" xfId="15947"/>
    <cellStyle name="Процентный 4 199 3" xfId="15948"/>
    <cellStyle name="Обычный 5 192 3" xfId="15949"/>
    <cellStyle name="Процентный 5 192 3" xfId="15950"/>
    <cellStyle name="Обычный 4 2 186 3" xfId="15951"/>
    <cellStyle name="Процентный 4 2 186 3" xfId="15952"/>
    <cellStyle name="Обычный 5 2 186 3" xfId="15953"/>
    <cellStyle name="Процентный 5 2 186 3" xfId="15954"/>
    <cellStyle name="Обычный 6 183 3" xfId="15955"/>
    <cellStyle name="Процентный 6 183 3" xfId="15956"/>
    <cellStyle name="Обычный 7 153 3" xfId="15957"/>
    <cellStyle name="Процентный 7 153 3" xfId="15958"/>
    <cellStyle name="Обычный 4 3 145 3" xfId="15959"/>
    <cellStyle name="Процентный 4 3 145 3" xfId="15960"/>
    <cellStyle name="Обычный 5 3 145 3" xfId="15961"/>
    <cellStyle name="Процентный 5 3 145 3" xfId="15962"/>
    <cellStyle name="Обычный 4 2 2 145 3" xfId="15963"/>
    <cellStyle name="Процентный 4 2 2 145 3" xfId="15964"/>
    <cellStyle name="Обычный 5 2 2 145 3" xfId="15965"/>
    <cellStyle name="Процентный 5 2 2 145 3" xfId="15966"/>
    <cellStyle name="Обычный 6 2 145 3" xfId="15967"/>
    <cellStyle name="Процентный 6 2 145 3" xfId="15968"/>
    <cellStyle name="Обычный 7 2 145 3" xfId="15969"/>
    <cellStyle name="Процентный 7 2 145 3" xfId="15970"/>
    <cellStyle name="Обычный 8 141 3" xfId="15971"/>
    <cellStyle name="Процентный 8 141 3" xfId="15972"/>
    <cellStyle name="Обычный 9 107 3" xfId="15973"/>
    <cellStyle name="Процентный 9 108 3" xfId="15974"/>
    <cellStyle name="Обычный 10 100 3" xfId="15975"/>
    <cellStyle name="Процентный 10 100 3" xfId="15976"/>
    <cellStyle name="Обычный 11 88 3" xfId="15977"/>
    <cellStyle name="Процентный 11 88 3" xfId="15978"/>
    <cellStyle name="Обычный 4 200 3" xfId="15979"/>
    <cellStyle name="Процентный 4 200 3" xfId="15980"/>
    <cellStyle name="Обычный 5 193 3" xfId="15981"/>
    <cellStyle name="Процентный 5 193 3" xfId="15982"/>
    <cellStyle name="Обычный 4 2 187 3" xfId="15983"/>
    <cellStyle name="Процентный 4 2 187 3" xfId="15984"/>
    <cellStyle name="Обычный 5 2 187 3" xfId="15985"/>
    <cellStyle name="Процентный 5 2 187 3" xfId="15986"/>
    <cellStyle name="Обычный 6 184 3" xfId="15987"/>
    <cellStyle name="Процентный 6 184 3" xfId="15988"/>
    <cellStyle name="Обычный 7 154 3" xfId="15989"/>
    <cellStyle name="Процентный 7 154 3" xfId="15990"/>
    <cellStyle name="Обычный 4 3 146 3" xfId="15991"/>
    <cellStyle name="Процентный 4 3 146 3" xfId="15992"/>
    <cellStyle name="Обычный 5 3 146 3" xfId="15993"/>
    <cellStyle name="Процентный 5 3 146 3" xfId="15994"/>
    <cellStyle name="Обычный 4 2 2 146 3" xfId="15995"/>
    <cellStyle name="Процентный 4 2 2 146 3" xfId="15996"/>
    <cellStyle name="Обычный 5 2 2 146 3" xfId="15997"/>
    <cellStyle name="Процентный 5 2 2 146 3" xfId="15998"/>
    <cellStyle name="Обычный 6 2 146 3" xfId="15999"/>
    <cellStyle name="Процентный 6 2 146 3" xfId="16000"/>
    <cellStyle name="Обычный 7 2 146 3" xfId="16001"/>
    <cellStyle name="Процентный 7 2 146 3" xfId="16002"/>
    <cellStyle name="Обычный 8 142 3" xfId="16003"/>
    <cellStyle name="Процентный 8 142 3" xfId="16004"/>
    <cellStyle name="Обычный 9 108 3" xfId="16005"/>
    <cellStyle name="Процентный 9 109 3" xfId="16006"/>
    <cellStyle name="Обычный 10 101 3" xfId="16007"/>
    <cellStyle name="Процентный 10 101 3" xfId="16008"/>
    <cellStyle name="Обычный 11 89 3" xfId="16009"/>
    <cellStyle name="Процентный 11 89 3" xfId="16010"/>
    <cellStyle name="Обычный 4 201 3" xfId="16011"/>
    <cellStyle name="Процентный 4 201 3" xfId="16012"/>
    <cellStyle name="Обычный 5 194 3" xfId="16013"/>
    <cellStyle name="Процентный 5 194 3" xfId="16014"/>
    <cellStyle name="Обычный 4 2 188 3" xfId="16015"/>
    <cellStyle name="Процентный 4 2 188 3" xfId="16016"/>
    <cellStyle name="Обычный 5 2 188 3" xfId="16017"/>
    <cellStyle name="Процентный 5 2 188 3" xfId="16018"/>
    <cellStyle name="Обычный 6 185 3" xfId="16019"/>
    <cellStyle name="Процентный 6 185 3" xfId="16020"/>
    <cellStyle name="Обычный 7 155 3" xfId="16021"/>
    <cellStyle name="Процентный 7 155 3" xfId="16022"/>
    <cellStyle name="Обычный 4 3 147 3" xfId="16023"/>
    <cellStyle name="Процентный 4 3 147 3" xfId="16024"/>
    <cellStyle name="Обычный 5 3 147 3" xfId="16025"/>
    <cellStyle name="Процентный 5 3 147 3" xfId="16026"/>
    <cellStyle name="Обычный 4 2 2 147 3" xfId="16027"/>
    <cellStyle name="Процентный 4 2 2 147 3" xfId="16028"/>
    <cellStyle name="Обычный 5 2 2 147 3" xfId="16029"/>
    <cellStyle name="Процентный 5 2 2 147 3" xfId="16030"/>
    <cellStyle name="Обычный 6 2 147 3" xfId="16031"/>
    <cellStyle name="Процентный 6 2 147 3" xfId="16032"/>
    <cellStyle name="Обычный 7 2 147 3" xfId="16033"/>
    <cellStyle name="Процентный 7 2 147 3" xfId="16034"/>
    <cellStyle name="Обычный 8 143 3" xfId="16035"/>
    <cellStyle name="Процентный 8 143 3" xfId="16036"/>
    <cellStyle name="Обычный 9 109 3" xfId="16037"/>
    <cellStyle name="Процентный 9 110 3" xfId="16038"/>
    <cellStyle name="Обычный 10 102 3" xfId="16039"/>
    <cellStyle name="Процентный 10 102 3" xfId="16040"/>
    <cellStyle name="Обычный 11 90 3" xfId="16041"/>
    <cellStyle name="Процентный 11 90 3" xfId="16042"/>
    <cellStyle name="Обычный 4 202 3" xfId="16043"/>
    <cellStyle name="Процентный 4 202 3" xfId="16044"/>
    <cellStyle name="Обычный 5 195 3" xfId="16045"/>
    <cellStyle name="Процентный 5 195 3" xfId="16046"/>
    <cellStyle name="Обычный 4 2 189 3" xfId="16047"/>
    <cellStyle name="Процентный 4 2 189 3" xfId="16048"/>
    <cellStyle name="Обычный 5 2 189 3" xfId="16049"/>
    <cellStyle name="Процентный 5 2 189 3" xfId="16050"/>
    <cellStyle name="Обычный 6 186 3" xfId="16051"/>
    <cellStyle name="Процентный 6 186 3" xfId="16052"/>
    <cellStyle name="Обычный 7 156 3" xfId="16053"/>
    <cellStyle name="Процентный 7 156 3" xfId="16054"/>
    <cellStyle name="Обычный 4 3 148 3" xfId="16055"/>
    <cellStyle name="Процентный 4 3 148 3" xfId="16056"/>
    <cellStyle name="Обычный 5 3 148 3" xfId="16057"/>
    <cellStyle name="Процентный 5 3 148 3" xfId="16058"/>
    <cellStyle name="Обычный 4 2 2 148 3" xfId="16059"/>
    <cellStyle name="Процентный 4 2 2 148 3" xfId="16060"/>
    <cellStyle name="Обычный 5 2 2 148 3" xfId="16061"/>
    <cellStyle name="Процентный 5 2 2 148 3" xfId="16062"/>
    <cellStyle name="Обычный 6 2 148 3" xfId="16063"/>
    <cellStyle name="Процентный 6 2 148 3" xfId="16064"/>
    <cellStyle name="Обычный 7 2 148 3" xfId="16065"/>
    <cellStyle name="Процентный 7 2 148 3" xfId="16066"/>
    <cellStyle name="Обычный 8 144 3" xfId="16067"/>
    <cellStyle name="Процентный 8 144 3" xfId="16068"/>
    <cellStyle name="Обычный 9 110 3" xfId="16069"/>
    <cellStyle name="Процентный 9 111 3" xfId="16070"/>
    <cellStyle name="Обычный 10 103 3" xfId="16071"/>
    <cellStyle name="Процентный 10 103 3" xfId="16072"/>
    <cellStyle name="Обычный 11 91 3" xfId="16073"/>
    <cellStyle name="Процентный 11 91 3" xfId="16074"/>
    <cellStyle name="Обычный 3 6" xfId="16075"/>
    <cellStyle name="Обычный 4 205" xfId="16076"/>
    <cellStyle name="Процентный 4 205" xfId="16077"/>
    <cellStyle name="Обычный 4 2 192" xfId="16078"/>
    <cellStyle name="Процентный 4 2 192" xfId="16079"/>
    <cellStyle name="Обычный 4 3 151" xfId="16080"/>
    <cellStyle name="Процентный 4 3 151" xfId="16081"/>
    <cellStyle name="Обычный 5 198" xfId="16082"/>
    <cellStyle name="Процентный 5 198" xfId="16083"/>
    <cellStyle name="Обычный 4 4 5" xfId="16084"/>
    <cellStyle name="Процентный 4 4 5" xfId="16085"/>
    <cellStyle name="Обычный 4 5 5" xfId="16086"/>
    <cellStyle name="Процентный 4 5 5" xfId="16087"/>
    <cellStyle name="Обычный 4 6 5" xfId="16088"/>
    <cellStyle name="Процентный 4 6 5" xfId="16089"/>
    <cellStyle name="Обычный 4 7 5" xfId="16090"/>
    <cellStyle name="Процентный 4 7 5" xfId="16091"/>
    <cellStyle name="Обычный 4 8 5" xfId="16092"/>
    <cellStyle name="Процентный 4 8 5" xfId="16093"/>
    <cellStyle name="Обычный 4 9 5" xfId="16094"/>
    <cellStyle name="Процентный 4 9 5" xfId="16095"/>
    <cellStyle name="Обычный 5 2 192" xfId="16096"/>
    <cellStyle name="Процентный 5 2 192" xfId="16097"/>
    <cellStyle name="Обычный 4 10 5" xfId="16098"/>
    <cellStyle name="Процентный 4 10 5" xfId="16099"/>
    <cellStyle name="Обычный 5 3 151" xfId="16100"/>
    <cellStyle name="Процентный 5 3 151" xfId="16101"/>
    <cellStyle name="Обычный 4 11 5" xfId="16102"/>
    <cellStyle name="Процентный 4 11 5" xfId="16103"/>
    <cellStyle name="Обычный 5 4 5" xfId="16104"/>
    <cellStyle name="Процентный 5 4 5" xfId="16105"/>
    <cellStyle name="Обычный 4 12 5" xfId="16106"/>
    <cellStyle name="Процентный 4 12 5" xfId="16107"/>
    <cellStyle name="Обычный 5 5 5" xfId="16108"/>
    <cellStyle name="Процентный 5 5 5" xfId="16109"/>
    <cellStyle name="Обычный 4 13 5" xfId="16110"/>
    <cellStyle name="Процентный 4 13 5" xfId="16111"/>
    <cellStyle name="Обычный 5 6 5" xfId="16112"/>
    <cellStyle name="Процентный 5 6 5" xfId="16113"/>
    <cellStyle name="Обычный 4 14 5" xfId="16114"/>
    <cellStyle name="Процентный 4 14 5" xfId="16115"/>
    <cellStyle name="Обычный 5 7 5" xfId="16116"/>
    <cellStyle name="Процентный 5 7 5" xfId="16117"/>
    <cellStyle name="Обычный 4 15 5" xfId="16118"/>
    <cellStyle name="Процентный 4 15 5" xfId="16119"/>
    <cellStyle name="Обычный 5 8 5" xfId="16120"/>
    <cellStyle name="Процентный 5 8 5" xfId="16121"/>
    <cellStyle name="Обычный 4 2 2 151" xfId="16122"/>
    <cellStyle name="Процентный 4 2 2 151" xfId="16123"/>
    <cellStyle name="Обычный 5 2 2 151" xfId="16124"/>
    <cellStyle name="Процентный 5 2 2 151" xfId="16125"/>
    <cellStyle name="Обычный 4 16 5" xfId="16126"/>
    <cellStyle name="Процентный 4 16 5" xfId="16127"/>
    <cellStyle name="Обычный 5 9 5" xfId="16128"/>
    <cellStyle name="Процентный 5 9 5" xfId="16129"/>
    <cellStyle name="Обычный 4 2 3 5" xfId="16130"/>
    <cellStyle name="Процентный 4 2 3 5" xfId="16131"/>
    <cellStyle name="Обычный 5 2 3 5" xfId="16132"/>
    <cellStyle name="Процентный 5 2 3 5" xfId="16133"/>
    <cellStyle name="Обычный 4 17 5" xfId="16134"/>
    <cellStyle name="Процентный 4 17 5" xfId="16135"/>
    <cellStyle name="Обычный 5 10 5" xfId="16136"/>
    <cellStyle name="Процентный 5 10 5" xfId="16137"/>
    <cellStyle name="Обычный 4 2 4 5" xfId="16138"/>
    <cellStyle name="Процентный 4 2 4 5" xfId="16139"/>
    <cellStyle name="Обычный 5 2 4 5" xfId="16140"/>
    <cellStyle name="Процентный 5 2 4 5" xfId="16141"/>
    <cellStyle name="Обычный 6 189" xfId="16142"/>
    <cellStyle name="Процентный 6 189" xfId="16143"/>
    <cellStyle name="Обычный 4 18 5" xfId="16144"/>
    <cellStyle name="Процентный 4 18 5" xfId="16145"/>
    <cellStyle name="Обычный 5 11 5" xfId="16146"/>
    <cellStyle name="Процентный 5 11 5" xfId="16147"/>
    <cellStyle name="Обычный 4 2 5 5" xfId="16148"/>
    <cellStyle name="Процентный 4 2 5 5" xfId="16149"/>
    <cellStyle name="Обычный 5 2 5 5" xfId="16150"/>
    <cellStyle name="Процентный 5 2 5 5" xfId="16151"/>
    <cellStyle name="Обычный 6 2 151" xfId="16152"/>
    <cellStyle name="Процентный 6 2 151" xfId="16153"/>
    <cellStyle name="Обычный 4 19 5" xfId="16154"/>
    <cellStyle name="Процентный 4 19 5" xfId="16155"/>
    <cellStyle name="Обычный 5 12 5" xfId="16156"/>
    <cellStyle name="Процентный 5 12 5" xfId="16157"/>
    <cellStyle name="Обычный 4 2 6 5" xfId="16158"/>
    <cellStyle name="Процентный 4 2 6 5" xfId="16159"/>
    <cellStyle name="Обычный 5 2 6 5" xfId="16160"/>
    <cellStyle name="Процентный 5 2 6 5" xfId="16161"/>
    <cellStyle name="Обычный 6 3 5" xfId="16162"/>
    <cellStyle name="Процентный 6 3 5" xfId="16163"/>
    <cellStyle name="Обычный 4 20 5" xfId="16164"/>
    <cellStyle name="Процентный 4 20 5" xfId="16165"/>
    <cellStyle name="Обычный 5 13 5" xfId="16166"/>
    <cellStyle name="Процентный 5 13 5" xfId="16167"/>
    <cellStyle name="Обычный 4 2 7 5" xfId="16168"/>
    <cellStyle name="Процентный 4 2 7 5" xfId="16169"/>
    <cellStyle name="Обычный 5 2 7 5" xfId="16170"/>
    <cellStyle name="Процентный 5 2 7 5" xfId="16171"/>
    <cellStyle name="Обычный 6 4 5" xfId="16172"/>
    <cellStyle name="Процентный 6 4 5" xfId="16173"/>
    <cellStyle name="Обычный 4 21 5" xfId="16174"/>
    <cellStyle name="Процентный 4 21 5" xfId="16175"/>
    <cellStyle name="Обычный 5 14 5" xfId="16176"/>
    <cellStyle name="Процентный 5 14 5" xfId="16177"/>
    <cellStyle name="Обычный 4 2 8 5" xfId="16178"/>
    <cellStyle name="Процентный 4 2 8 5" xfId="16179"/>
    <cellStyle name="Обычный 5 2 8 5" xfId="16180"/>
    <cellStyle name="Процентный 5 2 8 5" xfId="16181"/>
    <cellStyle name="Обычный 6 5 5" xfId="16182"/>
    <cellStyle name="Процентный 6 5 5" xfId="16183"/>
    <cellStyle name="Обычный 4 22 5" xfId="16184"/>
    <cellStyle name="Процентный 4 22 5" xfId="16185"/>
    <cellStyle name="Обычный 5 15 5" xfId="16186"/>
    <cellStyle name="Процентный 5 15 5" xfId="16187"/>
    <cellStyle name="Обычный 4 2 9 5" xfId="16188"/>
    <cellStyle name="Процентный 4 2 9 5" xfId="16189"/>
    <cellStyle name="Обычный 5 2 9 5" xfId="16190"/>
    <cellStyle name="Процентный 5 2 9 5" xfId="16191"/>
    <cellStyle name="Обычный 6 6 5" xfId="16192"/>
    <cellStyle name="Процентный 6 6 5" xfId="16193"/>
    <cellStyle name="Обычный 4 23 5" xfId="16194"/>
    <cellStyle name="Процентный 4 23 5" xfId="16195"/>
    <cellStyle name="Обычный 5 16 5" xfId="16196"/>
    <cellStyle name="Процентный 5 16 5" xfId="16197"/>
    <cellStyle name="Обычный 4 2 10 5" xfId="16198"/>
    <cellStyle name="Процентный 4 2 10 5" xfId="16199"/>
    <cellStyle name="Обычный 5 2 10 5" xfId="16200"/>
    <cellStyle name="Процентный 5 2 10 5" xfId="16201"/>
    <cellStyle name="Обычный 6 7 5" xfId="16202"/>
    <cellStyle name="Процентный 6 7 5" xfId="16203"/>
    <cellStyle name="Обычный 4 24 5" xfId="16204"/>
    <cellStyle name="Процентный 4 24 5" xfId="16205"/>
    <cellStyle name="Обычный 5 17 5" xfId="16206"/>
    <cellStyle name="Процентный 5 17 5" xfId="16207"/>
    <cellStyle name="Обычный 4 2 11 5" xfId="16208"/>
    <cellStyle name="Процентный 4 2 11 5" xfId="16209"/>
    <cellStyle name="Обычный 5 2 11 5" xfId="16210"/>
    <cellStyle name="Процентный 5 2 11 5" xfId="16211"/>
    <cellStyle name="Обычный 6 8 5" xfId="16212"/>
    <cellStyle name="Процентный 6 8 5" xfId="16213"/>
    <cellStyle name="Обычный 4 25 5" xfId="16214"/>
    <cellStyle name="Процентный 4 25 5" xfId="16215"/>
    <cellStyle name="Обычный 5 18 5" xfId="16216"/>
    <cellStyle name="Процентный 5 18 5" xfId="16217"/>
    <cellStyle name="Обычный 4 2 12 5" xfId="16218"/>
    <cellStyle name="Процентный 4 2 12 5" xfId="16219"/>
    <cellStyle name="Обычный 5 2 12 5" xfId="16220"/>
    <cellStyle name="Процентный 5 2 12 5" xfId="16221"/>
    <cellStyle name="Обычный 6 9 5" xfId="16222"/>
    <cellStyle name="Процентный 6 9 5" xfId="16223"/>
    <cellStyle name="Обычный 4 26 5" xfId="16224"/>
    <cellStyle name="Процентный 4 26 5" xfId="16225"/>
    <cellStyle name="Обычный 5 19 5" xfId="16226"/>
    <cellStyle name="Процентный 5 19 5" xfId="16227"/>
    <cellStyle name="Обычный 4 2 13 5" xfId="16228"/>
    <cellStyle name="Процентный 4 2 13 5" xfId="16229"/>
    <cellStyle name="Обычный 5 2 13 5" xfId="16230"/>
    <cellStyle name="Процентный 5 2 13 5" xfId="16231"/>
    <cellStyle name="Обычный 6 10 5" xfId="16232"/>
    <cellStyle name="Процентный 6 10 5" xfId="16233"/>
    <cellStyle name="Обычный 4 27 5" xfId="16234"/>
    <cellStyle name="Процентный 4 27 5" xfId="16235"/>
    <cellStyle name="Обычный 5 20 5" xfId="16236"/>
    <cellStyle name="Процентный 5 20 5" xfId="16237"/>
    <cellStyle name="Обычный 4 2 14 5" xfId="16238"/>
    <cellStyle name="Процентный 4 2 14 5" xfId="16239"/>
    <cellStyle name="Обычный 5 2 14 5" xfId="16240"/>
    <cellStyle name="Процентный 5 2 14 5" xfId="16241"/>
    <cellStyle name="Обычный 6 11 5" xfId="16242"/>
    <cellStyle name="Процентный 6 11 5" xfId="16243"/>
    <cellStyle name="Обычный 4 28 5" xfId="16244"/>
    <cellStyle name="Процентный 4 28 5" xfId="16245"/>
    <cellStyle name="Обычный 5 21 5" xfId="16246"/>
    <cellStyle name="Процентный 5 21 5" xfId="16247"/>
    <cellStyle name="Обычный 4 2 15 5" xfId="16248"/>
    <cellStyle name="Процентный 4 2 15 5" xfId="16249"/>
    <cellStyle name="Обычный 5 2 15 5" xfId="16250"/>
    <cellStyle name="Процентный 5 2 15 5" xfId="16251"/>
    <cellStyle name="Обычный 6 12 5" xfId="16252"/>
    <cellStyle name="Процентный 6 12 5" xfId="16253"/>
    <cellStyle name="Обычный 4 29 5" xfId="16254"/>
    <cellStyle name="Процентный 4 29 5" xfId="16255"/>
    <cellStyle name="Обычный 5 22 5" xfId="16256"/>
    <cellStyle name="Процентный 5 22 5" xfId="16257"/>
    <cellStyle name="Обычный 4 2 16 5" xfId="16258"/>
    <cellStyle name="Процентный 4 2 16 5" xfId="16259"/>
    <cellStyle name="Обычный 5 2 16 5" xfId="16260"/>
    <cellStyle name="Процентный 5 2 16 5" xfId="16261"/>
    <cellStyle name="Обычный 6 13 5" xfId="16262"/>
    <cellStyle name="Процентный 6 13 5" xfId="16263"/>
    <cellStyle name="Обычный 4 30 5" xfId="16264"/>
    <cellStyle name="Процентный 4 30 5" xfId="16265"/>
    <cellStyle name="Обычный 5 23 5" xfId="16266"/>
    <cellStyle name="Процентный 5 23 5" xfId="16267"/>
    <cellStyle name="Обычный 4 2 17 5" xfId="16268"/>
    <cellStyle name="Процентный 4 2 17 5" xfId="16269"/>
    <cellStyle name="Обычный 5 2 17 5" xfId="16270"/>
    <cellStyle name="Процентный 5 2 17 5" xfId="16271"/>
    <cellStyle name="Обычный 6 14 5" xfId="16272"/>
    <cellStyle name="Процентный 6 14 5" xfId="16273"/>
    <cellStyle name="Обычный 4 31 5" xfId="16274"/>
    <cellStyle name="Процентный 4 31 5" xfId="16275"/>
    <cellStyle name="Обычный 5 24 5" xfId="16276"/>
    <cellStyle name="Процентный 5 24 5" xfId="16277"/>
    <cellStyle name="Обычный 4 2 18 5" xfId="16278"/>
    <cellStyle name="Процентный 4 2 18 5" xfId="16279"/>
    <cellStyle name="Обычный 5 2 18 5" xfId="16280"/>
    <cellStyle name="Процентный 5 2 18 5" xfId="16281"/>
    <cellStyle name="Обычный 6 15 5" xfId="16282"/>
    <cellStyle name="Процентный 6 15 5" xfId="16283"/>
    <cellStyle name="Обычный 4 32 5" xfId="16284"/>
    <cellStyle name="Процентный 4 32 5" xfId="16285"/>
    <cellStyle name="Обычный 5 25 5" xfId="16286"/>
    <cellStyle name="Процентный 5 25 5" xfId="16287"/>
    <cellStyle name="Обычный 4 2 19 5" xfId="16288"/>
    <cellStyle name="Процентный 4 2 19 5" xfId="16289"/>
    <cellStyle name="Обычный 5 2 19 5" xfId="16290"/>
    <cellStyle name="Процентный 5 2 19 5" xfId="16291"/>
    <cellStyle name="Обычный 6 16 5" xfId="16292"/>
    <cellStyle name="Процентный 6 16 5" xfId="16293"/>
    <cellStyle name="Обычный 4 33 5" xfId="16294"/>
    <cellStyle name="Процентный 4 33 5" xfId="16295"/>
    <cellStyle name="Обычный 5 26 5" xfId="16296"/>
    <cellStyle name="Процентный 5 26 5" xfId="16297"/>
    <cellStyle name="Обычный 4 2 20 5" xfId="16298"/>
    <cellStyle name="Процентный 4 2 20 5" xfId="16299"/>
    <cellStyle name="Обычный 5 2 20 5" xfId="16300"/>
    <cellStyle name="Процентный 5 2 20 5" xfId="16301"/>
    <cellStyle name="Обычный 6 17 5" xfId="16302"/>
    <cellStyle name="Процентный 6 17 5" xfId="16303"/>
    <cellStyle name="Обычный 4 34 5" xfId="16304"/>
    <cellStyle name="Процентный 4 34 5" xfId="16305"/>
    <cellStyle name="Обычный 5 27 5" xfId="16306"/>
    <cellStyle name="Процентный 5 27 5" xfId="16307"/>
    <cellStyle name="Обычный 4 2 21 5" xfId="16308"/>
    <cellStyle name="Процентный 4 2 21 5" xfId="16309"/>
    <cellStyle name="Обычный 5 2 21 5" xfId="16310"/>
    <cellStyle name="Процентный 5 2 21 5" xfId="16311"/>
    <cellStyle name="Обычный 6 18 5" xfId="16312"/>
    <cellStyle name="Процентный 6 18 5" xfId="16313"/>
    <cellStyle name="Обычный 4 35 5" xfId="16314"/>
    <cellStyle name="Процентный 4 35 5" xfId="16315"/>
    <cellStyle name="Обычный 5 28 5" xfId="16316"/>
    <cellStyle name="Процентный 5 28 5" xfId="16317"/>
    <cellStyle name="Обычный 4 2 22 5" xfId="16318"/>
    <cellStyle name="Процентный 4 2 22 5" xfId="16319"/>
    <cellStyle name="Обычный 5 2 22 5" xfId="16320"/>
    <cellStyle name="Процентный 5 2 22 5" xfId="16321"/>
    <cellStyle name="Обычный 6 19 5" xfId="16322"/>
    <cellStyle name="Процентный 6 19 5" xfId="16323"/>
    <cellStyle name="Обычный 4 36 5" xfId="16324"/>
    <cellStyle name="Процентный 4 36 5" xfId="16325"/>
    <cellStyle name="Обычный 5 29 5" xfId="16326"/>
    <cellStyle name="Процентный 5 29 5" xfId="16327"/>
    <cellStyle name="Обычный 4 2 23 5" xfId="16328"/>
    <cellStyle name="Процентный 4 2 23 5" xfId="16329"/>
    <cellStyle name="Обычный 5 2 23 5" xfId="16330"/>
    <cellStyle name="Процентный 5 2 23 5" xfId="16331"/>
    <cellStyle name="Обычный 6 20 5" xfId="16332"/>
    <cellStyle name="Процентный 6 20 5" xfId="16333"/>
    <cellStyle name="Обычный 4 37 5" xfId="16334"/>
    <cellStyle name="Процентный 4 37 5" xfId="16335"/>
    <cellStyle name="Обычный 5 30 5" xfId="16336"/>
    <cellStyle name="Процентный 5 30 5" xfId="16337"/>
    <cellStyle name="Обычный 4 2 24 5" xfId="16338"/>
    <cellStyle name="Процентный 4 2 24 5" xfId="16339"/>
    <cellStyle name="Обычный 5 2 24 5" xfId="16340"/>
    <cellStyle name="Процентный 5 2 24 5" xfId="16341"/>
    <cellStyle name="Обычный 6 21 5" xfId="16342"/>
    <cellStyle name="Процентный 6 21 5" xfId="16343"/>
    <cellStyle name="Обычный 4 38 5" xfId="16344"/>
    <cellStyle name="Процентный 4 38 5" xfId="16345"/>
    <cellStyle name="Обычный 5 31 5" xfId="16346"/>
    <cellStyle name="Процентный 5 31 5" xfId="16347"/>
    <cellStyle name="Обычный 4 2 25 5" xfId="16348"/>
    <cellStyle name="Процентный 4 2 25 5" xfId="16349"/>
    <cellStyle name="Обычный 5 2 25 5" xfId="16350"/>
    <cellStyle name="Процентный 5 2 25 5" xfId="16351"/>
    <cellStyle name="Обычный 6 22 5" xfId="16352"/>
    <cellStyle name="Процентный 6 22 5" xfId="16353"/>
    <cellStyle name="Обычный 4 39 5" xfId="16354"/>
    <cellStyle name="Процентный 4 39 5" xfId="16355"/>
    <cellStyle name="Обычный 5 32 5" xfId="16356"/>
    <cellStyle name="Процентный 5 32 5" xfId="16357"/>
    <cellStyle name="Обычный 4 2 26 5" xfId="16358"/>
    <cellStyle name="Процентный 4 2 26 5" xfId="16359"/>
    <cellStyle name="Обычный 5 2 26 5" xfId="16360"/>
    <cellStyle name="Процентный 5 2 26 5" xfId="16361"/>
    <cellStyle name="Обычный 6 23 5" xfId="16362"/>
    <cellStyle name="Процентный 6 23 5" xfId="16363"/>
    <cellStyle name="Обычный 4 40 5" xfId="16364"/>
    <cellStyle name="Процентный 4 40 5" xfId="16365"/>
    <cellStyle name="Обычный 5 33 5" xfId="16366"/>
    <cellStyle name="Процентный 5 33 5" xfId="16367"/>
    <cellStyle name="Обычный 4 2 27 5" xfId="16368"/>
    <cellStyle name="Процентный 4 2 27 5" xfId="16369"/>
    <cellStyle name="Обычный 5 2 27 5" xfId="16370"/>
    <cellStyle name="Процентный 5 2 27 5" xfId="16371"/>
    <cellStyle name="Обычный 6 24 5" xfId="16372"/>
    <cellStyle name="Процентный 6 24 5" xfId="16373"/>
    <cellStyle name="Обычный 4 41 5" xfId="16374"/>
    <cellStyle name="Процентный 4 41 5" xfId="16375"/>
    <cellStyle name="Обычный 5 34 5" xfId="16376"/>
    <cellStyle name="Процентный 5 34 5" xfId="16377"/>
    <cellStyle name="Обычный 4 2 28 5" xfId="16378"/>
    <cellStyle name="Процентный 4 2 28 5" xfId="16379"/>
    <cellStyle name="Обычный 5 2 28 5" xfId="16380"/>
    <cellStyle name="Процентный 5 2 28 5" xfId="16381"/>
    <cellStyle name="Обычный 6 25 5" xfId="16382"/>
    <cellStyle name="Процентный 6 25 5" xfId="16383"/>
    <cellStyle name="Обычный 4 42 5" xfId="16384"/>
    <cellStyle name="Процентный 4 42 5" xfId="16385"/>
    <cellStyle name="Обычный 5 35 5" xfId="16386"/>
    <cellStyle name="Процентный 5 35 5" xfId="16387"/>
    <cellStyle name="Обычный 4 2 29 5" xfId="16388"/>
    <cellStyle name="Процентный 4 2 29 5" xfId="16389"/>
    <cellStyle name="Обычный 5 2 29 5" xfId="16390"/>
    <cellStyle name="Процентный 5 2 29 5" xfId="16391"/>
    <cellStyle name="Обычный 6 26 5" xfId="16392"/>
    <cellStyle name="Процентный 6 26 5" xfId="16393"/>
    <cellStyle name="Обычный 4 43 5" xfId="16394"/>
    <cellStyle name="Процентный 4 43 5" xfId="16395"/>
    <cellStyle name="Обычный 5 36 5" xfId="16396"/>
    <cellStyle name="Процентный 5 36 5" xfId="16397"/>
    <cellStyle name="Обычный 4 2 30 5" xfId="16398"/>
    <cellStyle name="Процентный 4 2 30 5" xfId="16399"/>
    <cellStyle name="Обычный 5 2 30 5" xfId="16400"/>
    <cellStyle name="Процентный 5 2 30 5" xfId="16401"/>
    <cellStyle name="Обычный 6 27 5" xfId="16402"/>
    <cellStyle name="Процентный 6 27 5" xfId="16403"/>
    <cellStyle name="Обычный 4 44 5" xfId="16404"/>
    <cellStyle name="Процентный 4 44 5" xfId="16405"/>
    <cellStyle name="Обычный 5 37 5" xfId="16406"/>
    <cellStyle name="Процентный 5 37 5" xfId="16407"/>
    <cellStyle name="Обычный 4 2 31 5" xfId="16408"/>
    <cellStyle name="Процентный 4 2 31 5" xfId="16409"/>
    <cellStyle name="Обычный 5 2 31 5" xfId="16410"/>
    <cellStyle name="Процентный 5 2 31 5" xfId="16411"/>
    <cellStyle name="Обычный 6 28 5" xfId="16412"/>
    <cellStyle name="Процентный 6 28 5" xfId="16413"/>
    <cellStyle name="Обычный 4 45 5" xfId="16414"/>
    <cellStyle name="Процентный 4 45 5" xfId="16415"/>
    <cellStyle name="Обычный 5 38 5" xfId="16416"/>
    <cellStyle name="Процентный 5 38 5" xfId="16417"/>
    <cellStyle name="Обычный 4 2 32 5" xfId="16418"/>
    <cellStyle name="Процентный 4 2 32 5" xfId="16419"/>
    <cellStyle name="Обычный 5 2 32 5" xfId="16420"/>
    <cellStyle name="Процентный 5 2 32 5" xfId="16421"/>
    <cellStyle name="Обычный 6 29 5" xfId="16422"/>
    <cellStyle name="Процентный 6 29 5" xfId="16423"/>
    <cellStyle name="Обычный 4 46 5" xfId="16424"/>
    <cellStyle name="Процентный 4 46 5" xfId="16425"/>
    <cellStyle name="Обычный 5 39 5" xfId="16426"/>
    <cellStyle name="Процентный 5 39 5" xfId="16427"/>
    <cellStyle name="Обычный 4 2 33 5" xfId="16428"/>
    <cellStyle name="Процентный 4 2 33 5" xfId="16429"/>
    <cellStyle name="Обычный 5 2 33 5" xfId="16430"/>
    <cellStyle name="Процентный 5 2 33 5" xfId="16431"/>
    <cellStyle name="Обычный 6 30 5" xfId="16432"/>
    <cellStyle name="Процентный 6 30 5" xfId="16433"/>
    <cellStyle name="Обычный 4 47 5" xfId="16434"/>
    <cellStyle name="Процентный 4 47 5" xfId="16435"/>
    <cellStyle name="Обычный 5 40 5" xfId="16436"/>
    <cellStyle name="Процентный 5 40 5" xfId="16437"/>
    <cellStyle name="Обычный 4 2 34 5" xfId="16438"/>
    <cellStyle name="Процентный 4 2 34 5" xfId="16439"/>
    <cellStyle name="Обычный 5 2 34 5" xfId="16440"/>
    <cellStyle name="Процентный 5 2 34 5" xfId="16441"/>
    <cellStyle name="Обычный 6 31 5" xfId="16442"/>
    <cellStyle name="Процентный 6 31 5" xfId="16443"/>
    <cellStyle name="Обычный 7 159" xfId="16444"/>
    <cellStyle name="Процентный 7 159" xfId="16445"/>
    <cellStyle name="Обычный 4 48 5" xfId="16446"/>
    <cellStyle name="Процентный 4 48 5" xfId="16447"/>
    <cellStyle name="Обычный 5 41 5" xfId="16448"/>
    <cellStyle name="Процентный 5 41 5" xfId="16449"/>
    <cellStyle name="Обычный 4 2 35 5" xfId="16450"/>
    <cellStyle name="Процентный 4 2 35 5" xfId="16451"/>
    <cellStyle name="Обычный 5 2 35 5" xfId="16452"/>
    <cellStyle name="Процентный 5 2 35 5" xfId="16453"/>
    <cellStyle name="Обычный 6 32 5" xfId="16454"/>
    <cellStyle name="Процентный 6 32 5" xfId="16455"/>
    <cellStyle name="Обычный 7 2 151" xfId="16456"/>
    <cellStyle name="Процентный 7 2 151" xfId="16457"/>
    <cellStyle name="Обычный 4 49 5" xfId="16458"/>
    <cellStyle name="Процентный 4 49 5" xfId="16459"/>
    <cellStyle name="Обычный 5 42 5" xfId="16460"/>
    <cellStyle name="Процентный 5 42 5" xfId="16461"/>
    <cellStyle name="Обычный 4 2 36 5" xfId="16462"/>
    <cellStyle name="Процентный 4 2 36 5" xfId="16463"/>
    <cellStyle name="Обычный 5 2 36 5" xfId="16464"/>
    <cellStyle name="Процентный 5 2 36 5" xfId="16465"/>
    <cellStyle name="Обычный 6 33 5" xfId="16466"/>
    <cellStyle name="Процентный 6 33 5" xfId="16467"/>
    <cellStyle name="Обычный 7 3 5" xfId="16468"/>
    <cellStyle name="Процентный 7 3 5" xfId="16469"/>
    <cellStyle name="Обычный 4 50 5" xfId="16470"/>
    <cellStyle name="Процентный 4 50 5" xfId="16471"/>
    <cellStyle name="Обычный 5 43 5" xfId="16472"/>
    <cellStyle name="Процентный 5 43 5" xfId="16473"/>
    <cellStyle name="Обычный 4 2 37 5" xfId="16474"/>
    <cellStyle name="Процентный 4 2 37 5" xfId="16475"/>
    <cellStyle name="Обычный 5 2 37 5" xfId="16476"/>
    <cellStyle name="Процентный 5 2 37 5" xfId="16477"/>
    <cellStyle name="Обычный 6 34 5" xfId="16478"/>
    <cellStyle name="Процентный 6 34 5" xfId="16479"/>
    <cellStyle name="Обычный 7 4 5" xfId="16480"/>
    <cellStyle name="Процентный 7 4 5" xfId="16481"/>
    <cellStyle name="Обычный 4 51 5" xfId="16482"/>
    <cellStyle name="Процентный 4 51 5" xfId="16483"/>
    <cellStyle name="Обычный 5 44 5" xfId="16484"/>
    <cellStyle name="Процентный 5 44 5" xfId="16485"/>
    <cellStyle name="Обычный 4 2 38 5" xfId="16486"/>
    <cellStyle name="Процентный 4 2 38 5" xfId="16487"/>
    <cellStyle name="Обычный 5 2 38 5" xfId="16488"/>
    <cellStyle name="Процентный 5 2 38 5" xfId="16489"/>
    <cellStyle name="Обычный 6 35 5" xfId="16490"/>
    <cellStyle name="Процентный 6 35 5" xfId="16491"/>
    <cellStyle name="Обычный 7 5 5" xfId="16492"/>
    <cellStyle name="Процентный 7 5 5" xfId="16493"/>
    <cellStyle name="Обычный 4 52 5" xfId="16494"/>
    <cellStyle name="Процентный 4 52 5" xfId="16495"/>
    <cellStyle name="Обычный 5 45 5" xfId="16496"/>
    <cellStyle name="Процентный 5 45 5" xfId="16497"/>
    <cellStyle name="Обычный 4 2 39 5" xfId="16498"/>
    <cellStyle name="Процентный 4 2 39 5" xfId="16499"/>
    <cellStyle name="Обычный 5 2 39 5" xfId="16500"/>
    <cellStyle name="Процентный 5 2 39 5" xfId="16501"/>
    <cellStyle name="Обычный 6 36 5" xfId="16502"/>
    <cellStyle name="Процентный 6 36 5" xfId="16503"/>
    <cellStyle name="Обычный 7 6 5" xfId="16504"/>
    <cellStyle name="Процентный 7 6 5" xfId="16505"/>
    <cellStyle name="Обычный 4 53 5" xfId="16506"/>
    <cellStyle name="Процентный 4 53 5" xfId="16507"/>
    <cellStyle name="Обычный 5 46 5" xfId="16508"/>
    <cellStyle name="Процентный 5 46 5" xfId="16509"/>
    <cellStyle name="Обычный 4 2 40 5" xfId="16510"/>
    <cellStyle name="Процентный 4 2 40 5" xfId="16511"/>
    <cellStyle name="Обычный 5 2 40 5" xfId="16512"/>
    <cellStyle name="Процентный 5 2 40 5" xfId="16513"/>
    <cellStyle name="Обычный 6 37 5" xfId="16514"/>
    <cellStyle name="Процентный 6 37 5" xfId="16515"/>
    <cellStyle name="Обычный 7 7 5" xfId="16516"/>
    <cellStyle name="Процентный 7 7 5" xfId="16517"/>
    <cellStyle name="Обычный 4 54 5" xfId="16518"/>
    <cellStyle name="Процентный 4 54 5" xfId="16519"/>
    <cellStyle name="Обычный 5 47 5" xfId="16520"/>
    <cellStyle name="Процентный 5 47 5" xfId="16521"/>
    <cellStyle name="Обычный 4 2 41 5" xfId="16522"/>
    <cellStyle name="Процентный 4 2 41 5" xfId="16523"/>
    <cellStyle name="Обычный 5 2 41 5" xfId="16524"/>
    <cellStyle name="Процентный 5 2 41 5" xfId="16525"/>
    <cellStyle name="Обычный 6 38 5" xfId="16526"/>
    <cellStyle name="Процентный 6 38 5" xfId="16527"/>
    <cellStyle name="Обычный 7 8 5" xfId="16528"/>
    <cellStyle name="Процентный 7 8 5" xfId="16529"/>
    <cellStyle name="Обычный 4 55 5" xfId="16530"/>
    <cellStyle name="Процентный 4 55 5" xfId="16531"/>
    <cellStyle name="Обычный 5 48 5" xfId="16532"/>
    <cellStyle name="Процентный 5 48 5" xfId="16533"/>
    <cellStyle name="Обычный 4 2 42 5" xfId="16534"/>
    <cellStyle name="Процентный 4 2 42 5" xfId="16535"/>
    <cellStyle name="Обычный 5 2 42 5" xfId="16536"/>
    <cellStyle name="Процентный 5 2 42 5" xfId="16537"/>
    <cellStyle name="Обычный 6 39 5" xfId="16538"/>
    <cellStyle name="Процентный 6 39 5" xfId="16539"/>
    <cellStyle name="Обычный 7 9 5" xfId="16540"/>
    <cellStyle name="Процентный 7 9 5" xfId="16541"/>
    <cellStyle name="Обычный 3 3 4" xfId="16542"/>
    <cellStyle name="Обычный 4 56 4" xfId="16543"/>
    <cellStyle name="Процентный 4 56 4" xfId="16544"/>
    <cellStyle name="Обычный 4 2 43 4" xfId="16545"/>
    <cellStyle name="Процентный 4 2 43 4" xfId="16546"/>
    <cellStyle name="Обычный 4 3 2 4" xfId="16547"/>
    <cellStyle name="Процентный 4 3 2 4" xfId="16548"/>
    <cellStyle name="Обычный 5 49 4" xfId="16549"/>
    <cellStyle name="Процентный 5 49 4" xfId="16550"/>
    <cellStyle name="Обычный 4 4 2 4" xfId="16551"/>
    <cellStyle name="Процентный 4 4 2 4" xfId="16552"/>
    <cellStyle name="Обычный 4 5 2 4" xfId="16553"/>
    <cellStyle name="Процентный 4 5 2 4" xfId="16554"/>
    <cellStyle name="Обычный 4 6 2 4" xfId="16555"/>
    <cellStyle name="Процентный 4 6 2 4" xfId="16556"/>
    <cellStyle name="Обычный 4 7 2 4" xfId="16557"/>
    <cellStyle name="Процентный 4 7 2 4" xfId="16558"/>
    <cellStyle name="Обычный 4 8 2 4" xfId="16559"/>
    <cellStyle name="Процентный 4 8 2 4" xfId="16560"/>
    <cellStyle name="Обычный 4 9 2 4" xfId="16561"/>
    <cellStyle name="Процентный 4 9 2 4" xfId="16562"/>
    <cellStyle name="Обычный 5 2 43 4" xfId="16563"/>
    <cellStyle name="Процентный 5 2 43 4" xfId="16564"/>
    <cellStyle name="Обычный 4 10 2 4" xfId="16565"/>
    <cellStyle name="Процентный 4 10 2 4" xfId="16566"/>
    <cellStyle name="Обычный 5 3 2 4" xfId="16567"/>
    <cellStyle name="Процентный 5 3 2 4" xfId="16568"/>
    <cellStyle name="Обычный 4 11 2 4" xfId="16569"/>
    <cellStyle name="Процентный 4 11 2 4" xfId="16570"/>
    <cellStyle name="Обычный 5 4 2 4" xfId="16571"/>
    <cellStyle name="Процентный 5 4 2 4" xfId="16572"/>
    <cellStyle name="Обычный 4 12 2 4" xfId="16573"/>
    <cellStyle name="Процентный 4 12 2 4" xfId="16574"/>
    <cellStyle name="Обычный 5 5 2 4" xfId="16575"/>
    <cellStyle name="Процентный 5 5 2 4" xfId="16576"/>
    <cellStyle name="Обычный 4 13 2 4" xfId="16577"/>
    <cellStyle name="Процентный 4 13 2 4" xfId="16578"/>
    <cellStyle name="Обычный 5 6 2 4" xfId="16579"/>
    <cellStyle name="Процентный 5 6 2 4" xfId="16580"/>
    <cellStyle name="Обычный 4 14 2 4" xfId="16581"/>
    <cellStyle name="Процентный 4 14 2 4" xfId="16582"/>
    <cellStyle name="Обычный 5 7 2 4" xfId="16583"/>
    <cellStyle name="Процентный 5 7 2 4" xfId="16584"/>
    <cellStyle name="Обычный 4 15 2 4" xfId="16585"/>
    <cellStyle name="Процентный 4 15 2 4" xfId="16586"/>
    <cellStyle name="Обычный 5 8 2 4" xfId="16587"/>
    <cellStyle name="Процентный 5 8 2 4" xfId="16588"/>
    <cellStyle name="Обычный 4 2 2 2 4" xfId="16589"/>
    <cellStyle name="Процентный 4 2 2 2 4" xfId="16590"/>
    <cellStyle name="Обычный 5 2 2 2 4" xfId="16591"/>
    <cellStyle name="Процентный 5 2 2 2 4" xfId="16592"/>
    <cellStyle name="Обычный 4 16 2 4" xfId="16593"/>
    <cellStyle name="Процентный 4 16 2 4" xfId="16594"/>
    <cellStyle name="Обычный 5 9 2 4" xfId="16595"/>
    <cellStyle name="Процентный 5 9 2 4" xfId="16596"/>
    <cellStyle name="Обычный 4 2 3 2 4" xfId="16597"/>
    <cellStyle name="Процентный 4 2 3 2 4" xfId="16598"/>
    <cellStyle name="Обычный 5 2 3 2 4" xfId="16599"/>
    <cellStyle name="Процентный 5 2 3 2 4" xfId="16600"/>
    <cellStyle name="Обычный 4 17 2 4" xfId="16601"/>
    <cellStyle name="Процентный 4 17 2 4" xfId="16602"/>
    <cellStyle name="Обычный 5 10 2 4" xfId="16603"/>
    <cellStyle name="Процентный 5 10 2 4" xfId="16604"/>
    <cellStyle name="Обычный 4 2 4 2 4" xfId="16605"/>
    <cellStyle name="Процентный 4 2 4 2 4" xfId="16606"/>
    <cellStyle name="Обычный 5 2 4 2 4" xfId="16607"/>
    <cellStyle name="Процентный 5 2 4 2 4" xfId="16608"/>
    <cellStyle name="Обычный 6 40 4" xfId="16609"/>
    <cellStyle name="Процентный 6 40 4" xfId="16610"/>
    <cellStyle name="Обычный 4 18 2 4" xfId="16611"/>
    <cellStyle name="Процентный 4 18 2 4" xfId="16612"/>
    <cellStyle name="Обычный 5 11 2 4" xfId="16613"/>
    <cellStyle name="Процентный 5 11 2 4" xfId="16614"/>
    <cellStyle name="Обычный 4 2 5 2 4" xfId="16615"/>
    <cellStyle name="Процентный 4 2 5 2 4" xfId="16616"/>
    <cellStyle name="Обычный 5 2 5 2 4" xfId="16617"/>
    <cellStyle name="Процентный 5 2 5 2 4" xfId="16618"/>
    <cellStyle name="Обычный 6 2 2 4" xfId="16619"/>
    <cellStyle name="Процентный 6 2 2 4" xfId="16620"/>
    <cellStyle name="Обычный 4 19 2 4" xfId="16621"/>
    <cellStyle name="Процентный 4 19 2 4" xfId="16622"/>
    <cellStyle name="Обычный 5 12 2 4" xfId="16623"/>
    <cellStyle name="Процентный 5 12 2 4" xfId="16624"/>
    <cellStyle name="Обычный 4 2 6 2 4" xfId="16625"/>
    <cellStyle name="Процентный 4 2 6 2 4" xfId="16626"/>
    <cellStyle name="Обычный 5 2 6 2 4" xfId="16627"/>
    <cellStyle name="Процентный 5 2 6 2 4" xfId="16628"/>
    <cellStyle name="Обычный 6 3 2 4" xfId="16629"/>
    <cellStyle name="Процентный 6 3 2 4" xfId="16630"/>
    <cellStyle name="Обычный 4 20 2 4" xfId="16631"/>
    <cellStyle name="Процентный 4 20 2 4" xfId="16632"/>
    <cellStyle name="Обычный 5 13 2 4" xfId="16633"/>
    <cellStyle name="Процентный 5 13 2 4" xfId="16634"/>
    <cellStyle name="Обычный 4 2 7 2 4" xfId="16635"/>
    <cellStyle name="Процентный 4 2 7 2 4" xfId="16636"/>
    <cellStyle name="Обычный 5 2 7 2 4" xfId="16637"/>
    <cellStyle name="Процентный 5 2 7 2 4" xfId="16638"/>
    <cellStyle name="Обычный 6 4 2 4" xfId="16639"/>
    <cellStyle name="Процентный 6 4 2 4" xfId="16640"/>
    <cellStyle name="Обычный 4 21 2 4" xfId="16641"/>
    <cellStyle name="Процентный 4 21 2 4" xfId="16642"/>
    <cellStyle name="Обычный 5 14 2 4" xfId="16643"/>
    <cellStyle name="Процентный 5 14 2 4" xfId="16644"/>
    <cellStyle name="Обычный 4 2 8 2 4" xfId="16645"/>
    <cellStyle name="Процентный 4 2 8 2 4" xfId="16646"/>
    <cellStyle name="Обычный 5 2 8 2 4" xfId="16647"/>
    <cellStyle name="Процентный 5 2 8 2 4" xfId="16648"/>
    <cellStyle name="Обычный 6 5 2 4" xfId="16649"/>
    <cellStyle name="Процентный 6 5 2 4" xfId="16650"/>
    <cellStyle name="Обычный 4 22 2 4" xfId="16651"/>
    <cellStyle name="Процентный 4 22 2 4" xfId="16652"/>
    <cellStyle name="Обычный 5 15 2 4" xfId="16653"/>
    <cellStyle name="Процентный 5 15 2 4" xfId="16654"/>
    <cellStyle name="Обычный 4 2 9 2 4" xfId="16655"/>
    <cellStyle name="Процентный 4 2 9 2 4" xfId="16656"/>
    <cellStyle name="Обычный 5 2 9 2 4" xfId="16657"/>
    <cellStyle name="Процентный 5 2 9 2 4" xfId="16658"/>
    <cellStyle name="Обычный 6 6 2 4" xfId="16659"/>
    <cellStyle name="Процентный 6 6 2 4" xfId="16660"/>
    <cellStyle name="Обычный 4 23 2 4" xfId="16661"/>
    <cellStyle name="Процентный 4 23 2 4" xfId="16662"/>
    <cellStyle name="Обычный 5 16 2 4" xfId="16663"/>
    <cellStyle name="Процентный 5 16 2 4" xfId="16664"/>
    <cellStyle name="Обычный 4 2 10 2 4" xfId="16665"/>
    <cellStyle name="Процентный 4 2 10 2 4" xfId="16666"/>
    <cellStyle name="Обычный 5 2 10 2 4" xfId="16667"/>
    <cellStyle name="Процентный 5 2 10 2 4" xfId="16668"/>
    <cellStyle name="Обычный 6 7 2 4" xfId="16669"/>
    <cellStyle name="Процентный 6 7 2 4" xfId="16670"/>
    <cellStyle name="Обычный 4 24 2 4" xfId="16671"/>
    <cellStyle name="Процентный 4 24 2 4" xfId="16672"/>
    <cellStyle name="Обычный 5 17 2 4" xfId="16673"/>
    <cellStyle name="Процентный 5 17 2 4" xfId="16674"/>
    <cellStyle name="Обычный 4 2 11 2 4" xfId="16675"/>
    <cellStyle name="Процентный 4 2 11 2 4" xfId="16676"/>
    <cellStyle name="Обычный 5 2 11 2 4" xfId="16677"/>
    <cellStyle name="Процентный 5 2 11 2 4" xfId="16678"/>
    <cellStyle name="Обычный 6 8 2 4" xfId="16679"/>
    <cellStyle name="Процентный 6 8 2 4" xfId="16680"/>
    <cellStyle name="Обычный 4 25 2 4" xfId="16681"/>
    <cellStyle name="Процентный 4 25 2 4" xfId="16682"/>
    <cellStyle name="Обычный 5 18 2 4" xfId="16683"/>
    <cellStyle name="Процентный 5 18 2 4" xfId="16684"/>
    <cellStyle name="Обычный 4 2 12 2 4" xfId="16685"/>
    <cellStyle name="Процентный 4 2 12 2 4" xfId="16686"/>
    <cellStyle name="Обычный 5 2 12 2 4" xfId="16687"/>
    <cellStyle name="Процентный 5 2 12 2 4" xfId="16688"/>
    <cellStyle name="Обычный 6 9 2 4" xfId="16689"/>
    <cellStyle name="Процентный 6 9 2 4" xfId="16690"/>
    <cellStyle name="Обычный 4 26 2 4" xfId="16691"/>
    <cellStyle name="Процентный 4 26 2 4" xfId="16692"/>
    <cellStyle name="Обычный 5 19 2 4" xfId="16693"/>
    <cellStyle name="Процентный 5 19 2 4" xfId="16694"/>
    <cellStyle name="Обычный 4 2 13 2 4" xfId="16695"/>
    <cellStyle name="Процентный 4 2 13 2 4" xfId="16696"/>
    <cellStyle name="Обычный 5 2 13 2 4" xfId="16697"/>
    <cellStyle name="Процентный 5 2 13 2 4" xfId="16698"/>
    <cellStyle name="Обычный 6 10 2 4" xfId="16699"/>
    <cellStyle name="Процентный 6 10 2 4" xfId="16700"/>
    <cellStyle name="Обычный 4 27 2 4" xfId="16701"/>
    <cellStyle name="Процентный 4 27 2 4" xfId="16702"/>
    <cellStyle name="Обычный 5 20 2 4" xfId="16703"/>
    <cellStyle name="Процентный 5 20 2 4" xfId="16704"/>
    <cellStyle name="Обычный 4 2 14 2 4" xfId="16705"/>
    <cellStyle name="Процентный 4 2 14 2 4" xfId="16706"/>
    <cellStyle name="Обычный 5 2 14 2 4" xfId="16707"/>
    <cellStyle name="Процентный 5 2 14 2 4" xfId="16708"/>
    <cellStyle name="Обычный 6 11 2 4" xfId="16709"/>
    <cellStyle name="Процентный 6 11 2 4" xfId="16710"/>
    <cellStyle name="Обычный 4 28 2 4" xfId="16711"/>
    <cellStyle name="Процентный 4 28 2 4" xfId="16712"/>
    <cellStyle name="Обычный 5 21 2 4" xfId="16713"/>
    <cellStyle name="Процентный 5 21 2 4" xfId="16714"/>
    <cellStyle name="Обычный 4 2 15 2 4" xfId="16715"/>
    <cellStyle name="Процентный 4 2 15 2 4" xfId="16716"/>
    <cellStyle name="Обычный 5 2 15 2 4" xfId="16717"/>
    <cellStyle name="Процентный 5 2 15 2 4" xfId="16718"/>
    <cellStyle name="Обычный 6 12 2 4" xfId="16719"/>
    <cellStyle name="Процентный 6 12 2 4" xfId="16720"/>
    <cellStyle name="Обычный 4 29 2 4" xfId="16721"/>
    <cellStyle name="Процентный 4 29 2 4" xfId="16722"/>
    <cellStyle name="Обычный 5 22 2 4" xfId="16723"/>
    <cellStyle name="Процентный 5 22 2 4" xfId="16724"/>
    <cellStyle name="Обычный 4 2 16 2 4" xfId="16725"/>
    <cellStyle name="Процентный 4 2 16 2 4" xfId="16726"/>
    <cellStyle name="Обычный 5 2 16 2 4" xfId="16727"/>
    <cellStyle name="Процентный 5 2 16 2 4" xfId="16728"/>
    <cellStyle name="Обычный 6 13 2 4" xfId="16729"/>
    <cellStyle name="Процентный 6 13 2 4" xfId="16730"/>
    <cellStyle name="Обычный 4 30 2 4" xfId="16731"/>
    <cellStyle name="Процентный 4 30 2 4" xfId="16732"/>
    <cellStyle name="Обычный 5 23 2 4" xfId="16733"/>
    <cellStyle name="Процентный 5 23 2 4" xfId="16734"/>
    <cellStyle name="Обычный 4 2 17 2 4" xfId="16735"/>
    <cellStyle name="Процентный 4 2 17 2 4" xfId="16736"/>
    <cellStyle name="Обычный 5 2 17 2 4" xfId="16737"/>
    <cellStyle name="Процентный 5 2 17 2 4" xfId="16738"/>
    <cellStyle name="Обычный 6 14 2 4" xfId="16739"/>
    <cellStyle name="Процентный 6 14 2 4" xfId="16740"/>
    <cellStyle name="Обычный 4 31 2 4" xfId="16741"/>
    <cellStyle name="Процентный 4 31 2 4" xfId="16742"/>
    <cellStyle name="Обычный 5 24 2 4" xfId="16743"/>
    <cellStyle name="Процентный 5 24 2 4" xfId="16744"/>
    <cellStyle name="Обычный 4 2 18 2 4" xfId="16745"/>
    <cellStyle name="Процентный 4 2 18 2 4" xfId="16746"/>
    <cellStyle name="Обычный 5 2 18 2 4" xfId="16747"/>
    <cellStyle name="Процентный 5 2 18 2 4" xfId="16748"/>
    <cellStyle name="Обычный 6 15 2 4" xfId="16749"/>
    <cellStyle name="Процентный 6 15 2 4" xfId="16750"/>
    <cellStyle name="Обычный 4 32 2 4" xfId="16751"/>
    <cellStyle name="Процентный 4 32 2 4" xfId="16752"/>
    <cellStyle name="Обычный 5 25 2 4" xfId="16753"/>
    <cellStyle name="Процентный 5 25 2 4" xfId="16754"/>
    <cellStyle name="Обычный 4 2 19 2 4" xfId="16755"/>
    <cellStyle name="Процентный 4 2 19 2 4" xfId="16756"/>
    <cellStyle name="Обычный 5 2 19 2 4" xfId="16757"/>
    <cellStyle name="Процентный 5 2 19 2 4" xfId="16758"/>
    <cellStyle name="Обычный 6 16 2 4" xfId="16759"/>
    <cellStyle name="Процентный 6 16 2 4" xfId="16760"/>
    <cellStyle name="Обычный 4 33 2 4" xfId="16761"/>
    <cellStyle name="Процентный 4 33 2 4" xfId="16762"/>
    <cellStyle name="Обычный 5 26 2 4" xfId="16763"/>
    <cellStyle name="Процентный 5 26 2 4" xfId="16764"/>
    <cellStyle name="Обычный 4 2 20 2 4" xfId="16765"/>
    <cellStyle name="Процентный 4 2 20 2 4" xfId="16766"/>
    <cellStyle name="Обычный 5 2 20 2 4" xfId="16767"/>
    <cellStyle name="Процентный 5 2 20 2 4" xfId="16768"/>
    <cellStyle name="Обычный 6 17 2 4" xfId="16769"/>
    <cellStyle name="Процентный 6 17 2 4" xfId="16770"/>
    <cellStyle name="Обычный 4 34 2 4" xfId="16771"/>
    <cellStyle name="Процентный 4 34 2 4" xfId="16772"/>
    <cellStyle name="Обычный 5 27 2 4" xfId="16773"/>
    <cellStyle name="Процентный 5 27 2 4" xfId="16774"/>
    <cellStyle name="Обычный 4 2 21 2 4" xfId="16775"/>
    <cellStyle name="Процентный 4 2 21 2 4" xfId="16776"/>
    <cellStyle name="Обычный 5 2 21 2 4" xfId="16777"/>
    <cellStyle name="Процентный 5 2 21 2 4" xfId="16778"/>
    <cellStyle name="Обычный 6 18 2 4" xfId="16779"/>
    <cellStyle name="Процентный 6 18 2 4" xfId="16780"/>
    <cellStyle name="Обычный 4 35 2 4" xfId="16781"/>
    <cellStyle name="Процентный 4 35 2 4" xfId="16782"/>
    <cellStyle name="Обычный 5 28 2 4" xfId="16783"/>
    <cellStyle name="Процентный 5 28 2 4" xfId="16784"/>
    <cellStyle name="Обычный 4 2 22 2 4" xfId="16785"/>
    <cellStyle name="Процентный 4 2 22 2 4" xfId="16786"/>
    <cellStyle name="Обычный 5 2 22 2 4" xfId="16787"/>
    <cellStyle name="Процентный 5 2 22 2 4" xfId="16788"/>
    <cellStyle name="Обычный 6 19 2 4" xfId="16789"/>
    <cellStyle name="Процентный 6 19 2 4" xfId="16790"/>
    <cellStyle name="Обычный 4 36 2 4" xfId="16791"/>
    <cellStyle name="Процентный 4 36 2 4" xfId="16792"/>
    <cellStyle name="Обычный 5 29 2 4" xfId="16793"/>
    <cellStyle name="Процентный 5 29 2 4" xfId="16794"/>
    <cellStyle name="Обычный 4 2 23 2 4" xfId="16795"/>
    <cellStyle name="Процентный 4 2 23 2 4" xfId="16796"/>
    <cellStyle name="Обычный 5 2 23 2 4" xfId="16797"/>
    <cellStyle name="Процентный 5 2 23 2 4" xfId="16798"/>
    <cellStyle name="Обычный 6 20 2 4" xfId="16799"/>
    <cellStyle name="Процентный 6 20 2 4" xfId="16800"/>
    <cellStyle name="Обычный 4 37 2 4" xfId="16801"/>
    <cellStyle name="Процентный 4 37 2 4" xfId="16802"/>
    <cellStyle name="Обычный 5 30 2 4" xfId="16803"/>
    <cellStyle name="Процентный 5 30 2 4" xfId="16804"/>
    <cellStyle name="Обычный 4 2 24 2 4" xfId="16805"/>
    <cellStyle name="Процентный 4 2 24 2 4" xfId="16806"/>
    <cellStyle name="Обычный 5 2 24 2 4" xfId="16807"/>
    <cellStyle name="Процентный 5 2 24 2 4" xfId="16808"/>
    <cellStyle name="Обычный 6 21 2 4" xfId="16809"/>
    <cellStyle name="Процентный 6 21 2 4" xfId="16810"/>
    <cellStyle name="Обычный 4 38 2 4" xfId="16811"/>
    <cellStyle name="Процентный 4 38 2 4" xfId="16812"/>
    <cellStyle name="Обычный 5 31 2 4" xfId="16813"/>
    <cellStyle name="Процентный 5 31 2 4" xfId="16814"/>
    <cellStyle name="Обычный 4 2 25 2 4" xfId="16815"/>
    <cellStyle name="Процентный 4 2 25 2 4" xfId="16816"/>
    <cellStyle name="Обычный 5 2 25 2 4" xfId="16817"/>
    <cellStyle name="Процентный 5 2 25 2 4" xfId="16818"/>
    <cellStyle name="Обычный 6 22 2 4" xfId="16819"/>
    <cellStyle name="Процентный 6 22 2 4" xfId="16820"/>
    <cellStyle name="Обычный 4 39 2 4" xfId="16821"/>
    <cellStyle name="Процентный 4 39 2 4" xfId="16822"/>
    <cellStyle name="Обычный 5 32 2 4" xfId="16823"/>
    <cellStyle name="Процентный 5 32 2 4" xfId="16824"/>
    <cellStyle name="Обычный 4 2 26 2 4" xfId="16825"/>
    <cellStyle name="Процентный 4 2 26 2 4" xfId="16826"/>
    <cellStyle name="Обычный 5 2 26 2 4" xfId="16827"/>
    <cellStyle name="Процентный 5 2 26 2 4" xfId="16828"/>
    <cellStyle name="Обычный 6 23 2 4" xfId="16829"/>
    <cellStyle name="Процентный 6 23 2 4" xfId="16830"/>
    <cellStyle name="Обычный 4 40 2 4" xfId="16831"/>
    <cellStyle name="Процентный 4 40 2 4" xfId="16832"/>
    <cellStyle name="Обычный 5 33 2 4" xfId="16833"/>
    <cellStyle name="Процентный 5 33 2 4" xfId="16834"/>
    <cellStyle name="Обычный 4 2 27 2 4" xfId="16835"/>
    <cellStyle name="Процентный 4 2 27 2 4" xfId="16836"/>
    <cellStyle name="Обычный 5 2 27 2 4" xfId="16837"/>
    <cellStyle name="Процентный 5 2 27 2 4" xfId="16838"/>
    <cellStyle name="Обычный 6 24 2 4" xfId="16839"/>
    <cellStyle name="Процентный 6 24 2 4" xfId="16840"/>
    <cellStyle name="Обычный 4 41 2 4" xfId="16841"/>
    <cellStyle name="Процентный 4 41 2 4" xfId="16842"/>
    <cellStyle name="Обычный 5 34 2 4" xfId="16843"/>
    <cellStyle name="Процентный 5 34 2 4" xfId="16844"/>
    <cellStyle name="Обычный 4 2 28 2 4" xfId="16845"/>
    <cellStyle name="Процентный 4 2 28 2 4" xfId="16846"/>
    <cellStyle name="Обычный 5 2 28 2 4" xfId="16847"/>
    <cellStyle name="Процентный 5 2 28 2 4" xfId="16848"/>
    <cellStyle name="Обычный 6 25 2 4" xfId="16849"/>
    <cellStyle name="Процентный 6 25 2 4" xfId="16850"/>
    <cellStyle name="Обычный 4 42 2 4" xfId="16851"/>
    <cellStyle name="Процентный 4 42 2 4" xfId="16852"/>
    <cellStyle name="Обычный 5 35 2 4" xfId="16853"/>
    <cellStyle name="Процентный 5 35 2 4" xfId="16854"/>
    <cellStyle name="Обычный 4 2 29 2 4" xfId="16855"/>
    <cellStyle name="Процентный 4 2 29 2 4" xfId="16856"/>
    <cellStyle name="Обычный 5 2 29 2 4" xfId="16857"/>
    <cellStyle name="Процентный 5 2 29 2 4" xfId="16858"/>
    <cellStyle name="Обычный 6 26 2 4" xfId="16859"/>
    <cellStyle name="Процентный 6 26 2 4" xfId="16860"/>
    <cellStyle name="Обычный 4 43 2 4" xfId="16861"/>
    <cellStyle name="Процентный 4 43 2 4" xfId="16862"/>
    <cellStyle name="Обычный 5 36 2 4" xfId="16863"/>
    <cellStyle name="Процентный 5 36 2 4" xfId="16864"/>
    <cellStyle name="Обычный 4 2 30 2 4" xfId="16865"/>
    <cellStyle name="Процентный 4 2 30 2 4" xfId="16866"/>
    <cellStyle name="Обычный 5 2 30 2 4" xfId="16867"/>
    <cellStyle name="Процентный 5 2 30 2 4" xfId="16868"/>
    <cellStyle name="Обычный 6 27 2 4" xfId="16869"/>
    <cellStyle name="Процентный 6 27 2 4" xfId="16870"/>
    <cellStyle name="Обычный 4 44 2 4" xfId="16871"/>
    <cellStyle name="Процентный 4 44 2 4" xfId="16872"/>
    <cellStyle name="Обычный 5 37 2 4" xfId="16873"/>
    <cellStyle name="Процентный 5 37 2 4" xfId="16874"/>
    <cellStyle name="Обычный 4 2 31 2 4" xfId="16875"/>
    <cellStyle name="Процентный 4 2 31 2 4" xfId="16876"/>
    <cellStyle name="Обычный 5 2 31 2 4" xfId="16877"/>
    <cellStyle name="Процентный 5 2 31 2 4" xfId="16878"/>
    <cellStyle name="Обычный 6 28 2 4" xfId="16879"/>
    <cellStyle name="Процентный 6 28 2 4" xfId="16880"/>
    <cellStyle name="Обычный 4 45 2 4" xfId="16881"/>
    <cellStyle name="Процентный 4 45 2 4" xfId="16882"/>
    <cellStyle name="Обычный 5 38 2 4" xfId="16883"/>
    <cellStyle name="Процентный 5 38 2 4" xfId="16884"/>
    <cellStyle name="Обычный 4 2 32 2 4" xfId="16885"/>
    <cellStyle name="Процентный 4 2 32 2 4" xfId="16886"/>
    <cellStyle name="Обычный 5 2 32 2 4" xfId="16887"/>
    <cellStyle name="Процентный 5 2 32 2 4" xfId="16888"/>
    <cellStyle name="Обычный 6 29 2 4" xfId="16889"/>
    <cellStyle name="Процентный 6 29 2 4" xfId="16890"/>
    <cellStyle name="Обычный 4 46 2 4" xfId="16891"/>
    <cellStyle name="Процентный 4 46 2 4" xfId="16892"/>
    <cellStyle name="Обычный 5 39 2 4" xfId="16893"/>
    <cellStyle name="Процентный 5 39 2 4" xfId="16894"/>
    <cellStyle name="Обычный 4 2 33 2 4" xfId="16895"/>
    <cellStyle name="Процентный 4 2 33 2 4" xfId="16896"/>
    <cellStyle name="Обычный 5 2 33 2 4" xfId="16897"/>
    <cellStyle name="Процентный 5 2 33 2 4" xfId="16898"/>
    <cellStyle name="Обычный 6 30 2 4" xfId="16899"/>
    <cellStyle name="Процентный 6 30 2 4" xfId="16900"/>
    <cellStyle name="Обычный 4 47 2 4" xfId="16901"/>
    <cellStyle name="Процентный 4 47 2 4" xfId="16902"/>
    <cellStyle name="Обычный 5 40 2 4" xfId="16903"/>
    <cellStyle name="Процентный 5 40 2 4" xfId="16904"/>
    <cellStyle name="Обычный 4 2 34 2 4" xfId="16905"/>
    <cellStyle name="Процентный 4 2 34 2 4" xfId="16906"/>
    <cellStyle name="Обычный 5 2 34 2 4" xfId="16907"/>
    <cellStyle name="Процентный 5 2 34 2 4" xfId="16908"/>
    <cellStyle name="Обычный 6 31 2 4" xfId="16909"/>
    <cellStyle name="Процентный 6 31 2 4" xfId="16910"/>
    <cellStyle name="Обычный 7 10 4" xfId="16911"/>
    <cellStyle name="Процентный 7 10 4" xfId="16912"/>
    <cellStyle name="Обычный 4 48 2 4" xfId="16913"/>
    <cellStyle name="Процентный 4 48 2 4" xfId="16914"/>
    <cellStyle name="Обычный 5 41 2 4" xfId="16915"/>
    <cellStyle name="Процентный 5 41 2 4" xfId="16916"/>
    <cellStyle name="Обычный 4 2 35 2 4" xfId="16917"/>
    <cellStyle name="Процентный 4 2 35 2 4" xfId="16918"/>
    <cellStyle name="Обычный 5 2 35 2 4" xfId="16919"/>
    <cellStyle name="Процентный 5 2 35 2 4" xfId="16920"/>
    <cellStyle name="Обычный 6 32 2 4" xfId="16921"/>
    <cellStyle name="Процентный 6 32 2 4" xfId="16922"/>
    <cellStyle name="Обычный 7 2 2 4" xfId="16923"/>
    <cellStyle name="Процентный 7 2 2 4" xfId="16924"/>
    <cellStyle name="Обычный 4 49 2 4" xfId="16925"/>
    <cellStyle name="Процентный 4 49 2 4" xfId="16926"/>
    <cellStyle name="Обычный 5 42 2 4" xfId="16927"/>
    <cellStyle name="Процентный 5 42 2 4" xfId="16928"/>
    <cellStyle name="Обычный 4 2 36 2 4" xfId="16929"/>
    <cellStyle name="Процентный 4 2 36 2 4" xfId="16930"/>
    <cellStyle name="Обычный 5 2 36 2 4" xfId="16931"/>
    <cellStyle name="Процентный 5 2 36 2 4" xfId="16932"/>
    <cellStyle name="Обычный 6 33 2 4" xfId="16933"/>
    <cellStyle name="Процентный 6 33 2 4" xfId="16934"/>
    <cellStyle name="Обычный 7 3 2 4" xfId="16935"/>
    <cellStyle name="Процентный 7 3 2 4" xfId="16936"/>
    <cellStyle name="Обычный 4 50 2 4" xfId="16937"/>
    <cellStyle name="Процентный 4 50 2 4" xfId="16938"/>
    <cellStyle name="Обычный 5 43 2 4" xfId="16939"/>
    <cellStyle name="Процентный 5 43 2 4" xfId="16940"/>
    <cellStyle name="Обычный 4 2 37 2 4" xfId="16941"/>
    <cellStyle name="Процентный 4 2 37 2 4" xfId="16942"/>
    <cellStyle name="Обычный 5 2 37 2 4" xfId="16943"/>
    <cellStyle name="Процентный 5 2 37 2 4" xfId="16944"/>
    <cellStyle name="Обычный 6 34 2 4" xfId="16945"/>
    <cellStyle name="Процентный 6 34 2 4" xfId="16946"/>
    <cellStyle name="Обычный 7 4 2 4" xfId="16947"/>
    <cellStyle name="Процентный 7 4 2 4" xfId="16948"/>
    <cellStyle name="Обычный 4 51 2 4" xfId="16949"/>
    <cellStyle name="Процентный 4 51 2 4" xfId="16950"/>
    <cellStyle name="Обычный 5 44 2 4" xfId="16951"/>
    <cellStyle name="Процентный 5 44 2 4" xfId="16952"/>
    <cellStyle name="Обычный 4 2 38 2 4" xfId="16953"/>
    <cellStyle name="Процентный 4 2 38 2 4" xfId="16954"/>
    <cellStyle name="Обычный 5 2 38 2 4" xfId="16955"/>
    <cellStyle name="Процентный 5 2 38 2 4" xfId="16956"/>
    <cellStyle name="Обычный 6 35 2 4" xfId="16957"/>
    <cellStyle name="Процентный 6 35 2 4" xfId="16958"/>
    <cellStyle name="Обычный 7 5 2 4" xfId="16959"/>
    <cellStyle name="Процентный 7 5 2 4" xfId="16960"/>
    <cellStyle name="Обычный 4 52 2 4" xfId="16961"/>
    <cellStyle name="Процентный 4 52 2 4" xfId="16962"/>
    <cellStyle name="Обычный 5 45 2 4" xfId="16963"/>
    <cellStyle name="Процентный 5 45 2 4" xfId="16964"/>
    <cellStyle name="Обычный 4 2 39 2 4" xfId="16965"/>
    <cellStyle name="Процентный 4 2 39 2 4" xfId="16966"/>
    <cellStyle name="Обычный 5 2 39 2 4" xfId="16967"/>
    <cellStyle name="Процентный 5 2 39 2 4" xfId="16968"/>
    <cellStyle name="Обычный 6 36 2 4" xfId="16969"/>
    <cellStyle name="Процентный 6 36 2 4" xfId="16970"/>
    <cellStyle name="Обычный 7 6 2 4" xfId="16971"/>
    <cellStyle name="Процентный 7 6 2 4" xfId="16972"/>
    <cellStyle name="Обычный 4 53 2 4" xfId="16973"/>
    <cellStyle name="Процентный 4 53 2 4" xfId="16974"/>
    <cellStyle name="Обычный 5 46 2 4" xfId="16975"/>
    <cellStyle name="Процентный 5 46 2 4" xfId="16976"/>
    <cellStyle name="Обычный 4 2 40 2 4" xfId="16977"/>
    <cellStyle name="Процентный 4 2 40 2 4" xfId="16978"/>
    <cellStyle name="Обычный 5 2 40 2 4" xfId="16979"/>
    <cellStyle name="Процентный 5 2 40 2 4" xfId="16980"/>
    <cellStyle name="Обычный 6 37 2 4" xfId="16981"/>
    <cellStyle name="Процентный 6 37 2 4" xfId="16982"/>
    <cellStyle name="Обычный 7 7 2 4" xfId="16983"/>
    <cellStyle name="Процентный 7 7 2 4" xfId="16984"/>
    <cellStyle name="Обычный 4 54 2 4" xfId="16985"/>
    <cellStyle name="Процентный 4 54 2 4" xfId="16986"/>
    <cellStyle name="Обычный 5 47 2 4" xfId="16987"/>
    <cellStyle name="Процентный 5 47 2 4" xfId="16988"/>
    <cellStyle name="Обычный 4 2 41 2 4" xfId="16989"/>
    <cellStyle name="Процентный 4 2 41 2 4" xfId="16990"/>
    <cellStyle name="Обычный 5 2 41 2 4" xfId="16991"/>
    <cellStyle name="Процентный 5 2 41 2 4" xfId="16992"/>
    <cellStyle name="Обычный 6 38 2 4" xfId="16993"/>
    <cellStyle name="Процентный 6 38 2 4" xfId="16994"/>
    <cellStyle name="Обычный 7 8 2 4" xfId="16995"/>
    <cellStyle name="Процентный 7 8 2 4" xfId="16996"/>
    <cellStyle name="Обычный 4 55 2 4" xfId="16997"/>
    <cellStyle name="Процентный 4 55 2 4" xfId="16998"/>
    <cellStyle name="Обычный 5 48 2 4" xfId="16999"/>
    <cellStyle name="Процентный 5 48 2 4" xfId="17000"/>
    <cellStyle name="Обычный 4 2 42 2 4" xfId="17001"/>
    <cellStyle name="Процентный 4 2 42 2 4" xfId="17002"/>
    <cellStyle name="Обычный 5 2 42 2 4" xfId="17003"/>
    <cellStyle name="Процентный 5 2 42 2 4" xfId="17004"/>
    <cellStyle name="Обычный 6 39 2 4" xfId="17005"/>
    <cellStyle name="Процентный 6 39 2 4" xfId="17006"/>
    <cellStyle name="Обычный 7 9 2 4" xfId="17007"/>
    <cellStyle name="Процентный 7 9 2 4" xfId="17008"/>
    <cellStyle name="Обычный 4 57 4" xfId="17009"/>
    <cellStyle name="Процентный 4 57 4" xfId="17010"/>
    <cellStyle name="Обычный 5 50 4" xfId="17011"/>
    <cellStyle name="Процентный 5 50 4" xfId="17012"/>
    <cellStyle name="Обычный 4 2 44 4" xfId="17013"/>
    <cellStyle name="Процентный 4 2 44 4" xfId="17014"/>
    <cellStyle name="Обычный 5 2 44 4" xfId="17015"/>
    <cellStyle name="Процентный 5 2 44 4" xfId="17016"/>
    <cellStyle name="Обычный 6 41 4" xfId="17017"/>
    <cellStyle name="Процентный 6 41 4" xfId="17018"/>
    <cellStyle name="Обычный 7 11 4" xfId="17019"/>
    <cellStyle name="Процентный 7 11 4" xfId="17020"/>
    <cellStyle name="Обычный 4 3 3 4" xfId="17021"/>
    <cellStyle name="Процентный 4 3 3 4" xfId="17022"/>
    <cellStyle name="Обычный 5 3 3 4" xfId="17023"/>
    <cellStyle name="Процентный 5 3 3 4" xfId="17024"/>
    <cellStyle name="Обычный 4 2 2 3 4" xfId="17025"/>
    <cellStyle name="Процентный 4 2 2 3 4" xfId="17026"/>
    <cellStyle name="Обычный 5 2 2 3 4" xfId="17027"/>
    <cellStyle name="Процентный 5 2 2 3 4" xfId="17028"/>
    <cellStyle name="Обычный 6 2 3 4" xfId="17029"/>
    <cellStyle name="Процентный 6 2 3 4" xfId="17030"/>
    <cellStyle name="Обычный 7 2 3 4" xfId="17031"/>
    <cellStyle name="Процентный 7 2 3 4" xfId="17032"/>
    <cellStyle name="Обычный 4 58 4" xfId="17033"/>
    <cellStyle name="Процентный 4 58 4" xfId="17034"/>
    <cellStyle name="Обычный 5 51 4" xfId="17035"/>
    <cellStyle name="Процентный 5 51 4" xfId="17036"/>
    <cellStyle name="Обычный 4 2 45 4" xfId="17037"/>
    <cellStyle name="Процентный 4 2 45 4" xfId="17038"/>
    <cellStyle name="Обычный 5 2 45 4" xfId="17039"/>
    <cellStyle name="Процентный 5 2 45 4" xfId="17040"/>
    <cellStyle name="Обычный 6 42 4" xfId="17041"/>
    <cellStyle name="Процентный 6 42 4" xfId="17042"/>
    <cellStyle name="Обычный 7 12 4" xfId="17043"/>
    <cellStyle name="Процентный 7 12 4" xfId="17044"/>
    <cellStyle name="Обычный 4 3 4 4" xfId="17045"/>
    <cellStyle name="Процентный 4 3 4 4" xfId="17046"/>
    <cellStyle name="Обычный 5 3 4 4" xfId="17047"/>
    <cellStyle name="Процентный 5 3 4 4" xfId="17048"/>
    <cellStyle name="Обычный 4 2 2 4 4" xfId="17049"/>
    <cellStyle name="Процентный 4 2 2 4 4" xfId="17050"/>
    <cellStyle name="Обычный 5 2 2 4 4" xfId="17051"/>
    <cellStyle name="Процентный 5 2 2 4 4" xfId="17052"/>
    <cellStyle name="Обычный 6 2 4 4" xfId="17053"/>
    <cellStyle name="Процентный 6 2 4 4" xfId="17054"/>
    <cellStyle name="Обычный 7 2 4 4" xfId="17055"/>
    <cellStyle name="Процентный 7 2 4 4" xfId="17056"/>
    <cellStyle name="Обычный 4 59 4" xfId="17057"/>
    <cellStyle name="Процентный 4 59 4" xfId="17058"/>
    <cellStyle name="Обычный 5 52 4" xfId="17059"/>
    <cellStyle name="Процентный 5 52 4" xfId="17060"/>
    <cellStyle name="Обычный 4 2 46 4" xfId="17061"/>
    <cellStyle name="Процентный 4 2 46 4" xfId="17062"/>
    <cellStyle name="Обычный 5 2 46 4" xfId="17063"/>
    <cellStyle name="Процентный 5 2 46 4" xfId="17064"/>
    <cellStyle name="Обычный 6 43 4" xfId="17065"/>
    <cellStyle name="Процентный 6 43 4" xfId="17066"/>
    <cellStyle name="Обычный 7 13 4" xfId="17067"/>
    <cellStyle name="Процентный 7 13 4" xfId="17068"/>
    <cellStyle name="Обычный 4 3 5 4" xfId="17069"/>
    <cellStyle name="Процентный 4 3 5 4" xfId="17070"/>
    <cellStyle name="Обычный 5 3 5 4" xfId="17071"/>
    <cellStyle name="Процентный 5 3 5 4" xfId="17072"/>
    <cellStyle name="Обычный 4 2 2 5 4" xfId="17073"/>
    <cellStyle name="Процентный 4 2 2 5 4" xfId="17074"/>
    <cellStyle name="Обычный 5 2 2 5 4" xfId="17075"/>
    <cellStyle name="Процентный 5 2 2 5 4" xfId="17076"/>
    <cellStyle name="Обычный 6 2 5 4" xfId="17077"/>
    <cellStyle name="Процентный 6 2 5 4" xfId="17078"/>
    <cellStyle name="Обычный 7 2 5 4" xfId="17079"/>
    <cellStyle name="Процентный 7 2 5 4" xfId="17080"/>
    <cellStyle name="Обычный 8 147" xfId="17081"/>
    <cellStyle name="Процентный 8 147" xfId="17082"/>
    <cellStyle name="Обычный 4 60 4" xfId="17083"/>
    <cellStyle name="Процентный 4 60 4" xfId="17084"/>
    <cellStyle name="Обычный 5 53 4" xfId="17085"/>
    <cellStyle name="Процентный 5 53 4" xfId="17086"/>
    <cellStyle name="Обычный 4 2 47 4" xfId="17087"/>
    <cellStyle name="Процентный 4 2 47 4" xfId="17088"/>
    <cellStyle name="Обычный 5 2 47 4" xfId="17089"/>
    <cellStyle name="Процентный 5 2 47 4" xfId="17090"/>
    <cellStyle name="Обычный 6 44 4" xfId="17091"/>
    <cellStyle name="Процентный 6 44 4" xfId="17092"/>
    <cellStyle name="Обычный 7 14 4" xfId="17093"/>
    <cellStyle name="Процентный 7 14 4" xfId="17094"/>
    <cellStyle name="Обычный 4 3 6 4" xfId="17095"/>
    <cellStyle name="Процентный 4 3 6 4" xfId="17096"/>
    <cellStyle name="Обычный 5 3 6 4" xfId="17097"/>
    <cellStyle name="Процентный 5 3 6 4" xfId="17098"/>
    <cellStyle name="Обычный 4 2 2 6 4" xfId="17099"/>
    <cellStyle name="Процентный 4 2 2 6 4" xfId="17100"/>
    <cellStyle name="Обычный 5 2 2 6 4" xfId="17101"/>
    <cellStyle name="Процентный 5 2 2 6 4" xfId="17102"/>
    <cellStyle name="Обычный 6 2 6 4" xfId="17103"/>
    <cellStyle name="Процентный 6 2 6 4" xfId="17104"/>
    <cellStyle name="Обычный 7 2 6 4" xfId="17105"/>
    <cellStyle name="Процентный 7 2 6 4" xfId="17106"/>
    <cellStyle name="Обычный 8 2 4" xfId="17107"/>
    <cellStyle name="Процентный 8 2 4" xfId="17108"/>
    <cellStyle name="Обычный 4 61 4" xfId="17109"/>
    <cellStyle name="Процентный 4 61 4" xfId="17110"/>
    <cellStyle name="Обычный 5 54 4" xfId="17111"/>
    <cellStyle name="Процентный 5 54 4" xfId="17112"/>
    <cellStyle name="Обычный 4 2 48 4" xfId="17113"/>
    <cellStyle name="Процентный 4 2 48 4" xfId="17114"/>
    <cellStyle name="Обычный 5 2 48 4" xfId="17115"/>
    <cellStyle name="Процентный 5 2 48 4" xfId="17116"/>
    <cellStyle name="Обычный 6 45 4" xfId="17117"/>
    <cellStyle name="Процентный 6 45 4" xfId="17118"/>
    <cellStyle name="Обычный 7 15 4" xfId="17119"/>
    <cellStyle name="Процентный 7 15 4" xfId="17120"/>
    <cellStyle name="Обычный 4 3 7 4" xfId="17121"/>
    <cellStyle name="Процентный 4 3 7 4" xfId="17122"/>
    <cellStyle name="Обычный 5 3 7 4" xfId="17123"/>
    <cellStyle name="Процентный 5 3 7 4" xfId="17124"/>
    <cellStyle name="Обычный 4 2 2 7 4" xfId="17125"/>
    <cellStyle name="Процентный 4 2 2 7 4" xfId="17126"/>
    <cellStyle name="Обычный 5 2 2 7 4" xfId="17127"/>
    <cellStyle name="Процентный 5 2 2 7 4" xfId="17128"/>
    <cellStyle name="Обычный 6 2 7 4" xfId="17129"/>
    <cellStyle name="Процентный 6 2 7 4" xfId="17130"/>
    <cellStyle name="Обычный 7 2 7 4" xfId="17131"/>
    <cellStyle name="Процентный 7 2 7 4" xfId="17132"/>
    <cellStyle name="Обычный 8 3 4" xfId="17133"/>
    <cellStyle name="Процентный 8 3 4" xfId="17134"/>
    <cellStyle name="Обычный 4 62 4" xfId="17135"/>
    <cellStyle name="Процентный 4 62 4" xfId="17136"/>
    <cellStyle name="Обычный 5 55 4" xfId="17137"/>
    <cellStyle name="Процентный 5 55 4" xfId="17138"/>
    <cellStyle name="Обычный 4 2 49 4" xfId="17139"/>
    <cellStyle name="Процентный 4 2 49 4" xfId="17140"/>
    <cellStyle name="Обычный 5 2 49 4" xfId="17141"/>
    <cellStyle name="Процентный 5 2 49 4" xfId="17142"/>
    <cellStyle name="Обычный 6 46 4" xfId="17143"/>
    <cellStyle name="Процентный 6 46 4" xfId="17144"/>
    <cellStyle name="Обычный 7 16 4" xfId="17145"/>
    <cellStyle name="Процентный 7 16 4" xfId="17146"/>
    <cellStyle name="Обычный 4 3 8 4" xfId="17147"/>
    <cellStyle name="Процентный 4 3 8 4" xfId="17148"/>
    <cellStyle name="Обычный 5 3 8 4" xfId="17149"/>
    <cellStyle name="Процентный 5 3 8 4" xfId="17150"/>
    <cellStyle name="Обычный 4 2 2 8 4" xfId="17151"/>
    <cellStyle name="Процентный 4 2 2 8 4" xfId="17152"/>
    <cellStyle name="Обычный 5 2 2 8 4" xfId="17153"/>
    <cellStyle name="Процентный 5 2 2 8 4" xfId="17154"/>
    <cellStyle name="Обычный 6 2 8 4" xfId="17155"/>
    <cellStyle name="Процентный 6 2 8 4" xfId="17156"/>
    <cellStyle name="Обычный 7 2 8 4" xfId="17157"/>
    <cellStyle name="Процентный 7 2 8 4" xfId="17158"/>
    <cellStyle name="Обычный 8 4 4" xfId="17159"/>
    <cellStyle name="Процентный 8 4 4" xfId="17160"/>
    <cellStyle name="Обычный 4 63 4" xfId="17161"/>
    <cellStyle name="Процентный 4 63 4" xfId="17162"/>
    <cellStyle name="Обычный 5 56 4" xfId="17163"/>
    <cellStyle name="Процентный 5 56 4" xfId="17164"/>
    <cellStyle name="Обычный 4 2 50 4" xfId="17165"/>
    <cellStyle name="Процентный 4 2 50 4" xfId="17166"/>
    <cellStyle name="Обычный 5 2 50 4" xfId="17167"/>
    <cellStyle name="Процентный 5 2 50 4" xfId="17168"/>
    <cellStyle name="Обычный 6 47 4" xfId="17169"/>
    <cellStyle name="Процентный 6 47 4" xfId="17170"/>
    <cellStyle name="Обычный 7 17 4" xfId="17171"/>
    <cellStyle name="Процентный 7 17 4" xfId="17172"/>
    <cellStyle name="Обычный 4 3 9 4" xfId="17173"/>
    <cellStyle name="Процентный 4 3 9 4" xfId="17174"/>
    <cellStyle name="Обычный 5 3 9 4" xfId="17175"/>
    <cellStyle name="Процентный 5 3 9 4" xfId="17176"/>
    <cellStyle name="Обычный 4 2 2 9 4" xfId="17177"/>
    <cellStyle name="Процентный 4 2 2 9 4" xfId="17178"/>
    <cellStyle name="Обычный 5 2 2 9 4" xfId="17179"/>
    <cellStyle name="Процентный 5 2 2 9 4" xfId="17180"/>
    <cellStyle name="Обычный 6 2 9 4" xfId="17181"/>
    <cellStyle name="Процентный 6 2 9 4" xfId="17182"/>
    <cellStyle name="Обычный 7 2 9 4" xfId="17183"/>
    <cellStyle name="Процентный 7 2 9 4" xfId="17184"/>
    <cellStyle name="Обычный 8 5 4" xfId="17185"/>
    <cellStyle name="Процентный 8 5 4" xfId="17186"/>
    <cellStyle name="Обычный 4 64 4" xfId="17187"/>
    <cellStyle name="Процентный 4 64 4" xfId="17188"/>
    <cellStyle name="Обычный 5 57 4" xfId="17189"/>
    <cellStyle name="Процентный 5 57 4" xfId="17190"/>
    <cellStyle name="Обычный 4 2 51 4" xfId="17191"/>
    <cellStyle name="Процентный 4 2 51 4" xfId="17192"/>
    <cellStyle name="Обычный 5 2 51 4" xfId="17193"/>
    <cellStyle name="Процентный 5 2 51 4" xfId="17194"/>
    <cellStyle name="Обычный 6 48 4" xfId="17195"/>
    <cellStyle name="Процентный 6 48 4" xfId="17196"/>
    <cellStyle name="Обычный 7 18 4" xfId="17197"/>
    <cellStyle name="Процентный 7 18 4" xfId="17198"/>
    <cellStyle name="Обычный 4 3 10 4" xfId="17199"/>
    <cellStyle name="Процентный 4 3 10 4" xfId="17200"/>
    <cellStyle name="Обычный 5 3 10 4" xfId="17201"/>
    <cellStyle name="Процентный 5 3 10 4" xfId="17202"/>
    <cellStyle name="Обычный 4 2 2 10 4" xfId="17203"/>
    <cellStyle name="Процентный 4 2 2 10 4" xfId="17204"/>
    <cellStyle name="Обычный 5 2 2 10 4" xfId="17205"/>
    <cellStyle name="Процентный 5 2 2 10 4" xfId="17206"/>
    <cellStyle name="Обычный 6 2 10 4" xfId="17207"/>
    <cellStyle name="Процентный 6 2 10 4" xfId="17208"/>
    <cellStyle name="Обычный 7 2 10 4" xfId="17209"/>
    <cellStyle name="Процентный 7 2 10 4" xfId="17210"/>
    <cellStyle name="Обычный 8 6 4" xfId="17211"/>
    <cellStyle name="Процентный 8 6 4" xfId="17212"/>
    <cellStyle name="Обычный 4 65 4" xfId="17213"/>
    <cellStyle name="Процентный 4 65 4" xfId="17214"/>
    <cellStyle name="Обычный 5 58 4" xfId="17215"/>
    <cellStyle name="Процентный 5 58 4" xfId="17216"/>
    <cellStyle name="Обычный 4 2 52 4" xfId="17217"/>
    <cellStyle name="Процентный 4 2 52 4" xfId="17218"/>
    <cellStyle name="Обычный 5 2 52 4" xfId="17219"/>
    <cellStyle name="Процентный 5 2 52 4" xfId="17220"/>
    <cellStyle name="Обычный 6 49 4" xfId="17221"/>
    <cellStyle name="Процентный 6 49 4" xfId="17222"/>
    <cellStyle name="Обычный 7 19 4" xfId="17223"/>
    <cellStyle name="Процентный 7 19 4" xfId="17224"/>
    <cellStyle name="Обычный 4 3 11 4" xfId="17225"/>
    <cellStyle name="Процентный 4 3 11 4" xfId="17226"/>
    <cellStyle name="Обычный 5 3 11 4" xfId="17227"/>
    <cellStyle name="Процентный 5 3 11 4" xfId="17228"/>
    <cellStyle name="Обычный 4 2 2 11 4" xfId="17229"/>
    <cellStyle name="Процентный 4 2 2 11 4" xfId="17230"/>
    <cellStyle name="Обычный 5 2 2 11 4" xfId="17231"/>
    <cellStyle name="Процентный 5 2 2 11 4" xfId="17232"/>
    <cellStyle name="Обычный 6 2 11 4" xfId="17233"/>
    <cellStyle name="Процентный 6 2 11 4" xfId="17234"/>
    <cellStyle name="Обычный 7 2 11 4" xfId="17235"/>
    <cellStyle name="Процентный 7 2 11 4" xfId="17236"/>
    <cellStyle name="Обычный 8 7 4" xfId="17237"/>
    <cellStyle name="Процентный 8 7 4" xfId="17238"/>
    <cellStyle name="Обычный 4 66 4" xfId="17239"/>
    <cellStyle name="Процентный 4 66 4" xfId="17240"/>
    <cellStyle name="Обычный 5 59 4" xfId="17241"/>
    <cellStyle name="Процентный 5 59 4" xfId="17242"/>
    <cellStyle name="Обычный 4 2 53 4" xfId="17243"/>
    <cellStyle name="Процентный 4 2 53 4" xfId="17244"/>
    <cellStyle name="Обычный 5 2 53 4" xfId="17245"/>
    <cellStyle name="Процентный 5 2 53 4" xfId="17246"/>
    <cellStyle name="Обычный 6 50 4" xfId="17247"/>
    <cellStyle name="Процентный 6 50 4" xfId="17248"/>
    <cellStyle name="Обычный 7 20 4" xfId="17249"/>
    <cellStyle name="Процентный 7 20 4" xfId="17250"/>
    <cellStyle name="Обычный 4 3 12 4" xfId="17251"/>
    <cellStyle name="Процентный 4 3 12 4" xfId="17252"/>
    <cellStyle name="Обычный 5 3 12 4" xfId="17253"/>
    <cellStyle name="Процентный 5 3 12 4" xfId="17254"/>
    <cellStyle name="Обычный 4 2 2 12 4" xfId="17255"/>
    <cellStyle name="Процентный 4 2 2 12 4" xfId="17256"/>
    <cellStyle name="Обычный 5 2 2 12 4" xfId="17257"/>
    <cellStyle name="Процентный 5 2 2 12 4" xfId="17258"/>
    <cellStyle name="Обычный 6 2 12 4" xfId="17259"/>
    <cellStyle name="Процентный 6 2 12 4" xfId="17260"/>
    <cellStyle name="Обычный 7 2 12 4" xfId="17261"/>
    <cellStyle name="Процентный 7 2 12 4" xfId="17262"/>
    <cellStyle name="Обычный 8 8 4" xfId="17263"/>
    <cellStyle name="Процентный 8 8 4" xfId="17264"/>
    <cellStyle name="Обычный 4 67 4" xfId="17265"/>
    <cellStyle name="Процентный 4 67 4" xfId="17266"/>
    <cellStyle name="Обычный 5 60 4" xfId="17267"/>
    <cellStyle name="Процентный 5 60 4" xfId="17268"/>
    <cellStyle name="Обычный 4 2 54 4" xfId="17269"/>
    <cellStyle name="Процентный 4 2 54 4" xfId="17270"/>
    <cellStyle name="Обычный 5 2 54 4" xfId="17271"/>
    <cellStyle name="Процентный 5 2 54 4" xfId="17272"/>
    <cellStyle name="Обычный 6 51 4" xfId="17273"/>
    <cellStyle name="Процентный 6 51 4" xfId="17274"/>
    <cellStyle name="Обычный 7 21 4" xfId="17275"/>
    <cellStyle name="Процентный 7 21 4" xfId="17276"/>
    <cellStyle name="Обычный 4 3 13 4" xfId="17277"/>
    <cellStyle name="Процентный 4 3 13 4" xfId="17278"/>
    <cellStyle name="Обычный 5 3 13 4" xfId="17279"/>
    <cellStyle name="Процентный 5 3 13 4" xfId="17280"/>
    <cellStyle name="Обычный 4 2 2 13 4" xfId="17281"/>
    <cellStyle name="Процентный 4 2 2 13 4" xfId="17282"/>
    <cellStyle name="Обычный 5 2 2 13 4" xfId="17283"/>
    <cellStyle name="Процентный 5 2 2 13 4" xfId="17284"/>
    <cellStyle name="Обычный 6 2 13 4" xfId="17285"/>
    <cellStyle name="Процентный 6 2 13 4" xfId="17286"/>
    <cellStyle name="Обычный 7 2 13 4" xfId="17287"/>
    <cellStyle name="Процентный 7 2 13 4" xfId="17288"/>
    <cellStyle name="Обычный 8 9 4" xfId="17289"/>
    <cellStyle name="Процентный 8 9 4" xfId="17290"/>
    <cellStyle name="Обычный 4 68 4" xfId="17291"/>
    <cellStyle name="Процентный 4 68 4" xfId="17292"/>
    <cellStyle name="Обычный 5 61 4" xfId="17293"/>
    <cellStyle name="Процентный 5 61 4" xfId="17294"/>
    <cellStyle name="Обычный 4 2 55 4" xfId="17295"/>
    <cellStyle name="Процентный 4 2 55 4" xfId="17296"/>
    <cellStyle name="Обычный 5 2 55 4" xfId="17297"/>
    <cellStyle name="Процентный 5 2 55 4" xfId="17298"/>
    <cellStyle name="Обычный 6 52 4" xfId="17299"/>
    <cellStyle name="Процентный 6 52 4" xfId="17300"/>
    <cellStyle name="Обычный 7 22 4" xfId="17301"/>
    <cellStyle name="Процентный 7 22 4" xfId="17302"/>
    <cellStyle name="Обычный 4 3 14 4" xfId="17303"/>
    <cellStyle name="Процентный 4 3 14 4" xfId="17304"/>
    <cellStyle name="Обычный 5 3 14 4" xfId="17305"/>
    <cellStyle name="Процентный 5 3 14 4" xfId="17306"/>
    <cellStyle name="Обычный 4 2 2 14 4" xfId="17307"/>
    <cellStyle name="Процентный 4 2 2 14 4" xfId="17308"/>
    <cellStyle name="Обычный 5 2 2 14 4" xfId="17309"/>
    <cellStyle name="Процентный 5 2 2 14 4" xfId="17310"/>
    <cellStyle name="Обычный 6 2 14 4" xfId="17311"/>
    <cellStyle name="Процентный 6 2 14 4" xfId="17312"/>
    <cellStyle name="Обычный 7 2 14 4" xfId="17313"/>
    <cellStyle name="Процентный 7 2 14 4" xfId="17314"/>
    <cellStyle name="Обычный 8 10 4" xfId="17315"/>
    <cellStyle name="Процентный 8 10 4" xfId="17316"/>
    <cellStyle name="Обычный 4 69 4" xfId="17317"/>
    <cellStyle name="Процентный 4 69 4" xfId="17318"/>
    <cellStyle name="Обычный 5 62 4" xfId="17319"/>
    <cellStyle name="Процентный 5 62 4" xfId="17320"/>
    <cellStyle name="Обычный 4 2 56 4" xfId="17321"/>
    <cellStyle name="Процентный 4 2 56 4" xfId="17322"/>
    <cellStyle name="Обычный 5 2 56 4" xfId="17323"/>
    <cellStyle name="Процентный 5 2 56 4" xfId="17324"/>
    <cellStyle name="Обычный 6 53 4" xfId="17325"/>
    <cellStyle name="Процентный 6 53 4" xfId="17326"/>
    <cellStyle name="Обычный 7 23 4" xfId="17327"/>
    <cellStyle name="Процентный 7 23 4" xfId="17328"/>
    <cellStyle name="Обычный 4 3 15 4" xfId="17329"/>
    <cellStyle name="Процентный 4 3 15 4" xfId="17330"/>
    <cellStyle name="Обычный 5 3 15 4" xfId="17331"/>
    <cellStyle name="Процентный 5 3 15 4" xfId="17332"/>
    <cellStyle name="Обычный 4 2 2 15 4" xfId="17333"/>
    <cellStyle name="Процентный 4 2 2 15 4" xfId="17334"/>
    <cellStyle name="Обычный 5 2 2 15 4" xfId="17335"/>
    <cellStyle name="Процентный 5 2 2 15 4" xfId="17336"/>
    <cellStyle name="Обычный 6 2 15 4" xfId="17337"/>
    <cellStyle name="Процентный 6 2 15 4" xfId="17338"/>
    <cellStyle name="Обычный 7 2 15 4" xfId="17339"/>
    <cellStyle name="Процентный 7 2 15 4" xfId="17340"/>
    <cellStyle name="Обычный 8 11 4" xfId="17341"/>
    <cellStyle name="Процентный 8 11 4" xfId="17342"/>
    <cellStyle name="Обычный 4 70 4" xfId="17343"/>
    <cellStyle name="Процентный 4 70 4" xfId="17344"/>
    <cellStyle name="Обычный 5 63 4" xfId="17345"/>
    <cellStyle name="Процентный 5 63 4" xfId="17346"/>
    <cellStyle name="Обычный 4 2 57 4" xfId="17347"/>
    <cellStyle name="Процентный 4 2 57 4" xfId="17348"/>
    <cellStyle name="Обычный 5 2 57 4" xfId="17349"/>
    <cellStyle name="Процентный 5 2 57 4" xfId="17350"/>
    <cellStyle name="Обычный 6 54 4" xfId="17351"/>
    <cellStyle name="Процентный 6 54 4" xfId="17352"/>
    <cellStyle name="Обычный 7 24 4" xfId="17353"/>
    <cellStyle name="Процентный 7 24 4" xfId="17354"/>
    <cellStyle name="Обычный 4 3 16 4" xfId="17355"/>
    <cellStyle name="Процентный 4 3 16 4" xfId="17356"/>
    <cellStyle name="Обычный 5 3 16 4" xfId="17357"/>
    <cellStyle name="Процентный 5 3 16 4" xfId="17358"/>
    <cellStyle name="Обычный 4 2 2 16 4" xfId="17359"/>
    <cellStyle name="Процентный 4 2 2 16 4" xfId="17360"/>
    <cellStyle name="Обычный 5 2 2 16 4" xfId="17361"/>
    <cellStyle name="Процентный 5 2 2 16 4" xfId="17362"/>
    <cellStyle name="Обычный 6 2 16 4" xfId="17363"/>
    <cellStyle name="Процентный 6 2 16 4" xfId="17364"/>
    <cellStyle name="Обычный 7 2 16 4" xfId="17365"/>
    <cellStyle name="Процентный 7 2 16 4" xfId="17366"/>
    <cellStyle name="Обычный 8 12 4" xfId="17367"/>
    <cellStyle name="Процентный 8 12 4" xfId="17368"/>
    <cellStyle name="Обычный 4 71 4" xfId="17369"/>
    <cellStyle name="Процентный 4 71 4" xfId="17370"/>
    <cellStyle name="Обычный 5 64 4" xfId="17371"/>
    <cellStyle name="Процентный 5 64 4" xfId="17372"/>
    <cellStyle name="Обычный 4 2 58 4" xfId="17373"/>
    <cellStyle name="Процентный 4 2 58 4" xfId="17374"/>
    <cellStyle name="Обычный 5 2 58 4" xfId="17375"/>
    <cellStyle name="Процентный 5 2 58 4" xfId="17376"/>
    <cellStyle name="Обычный 6 55 4" xfId="17377"/>
    <cellStyle name="Процентный 6 55 4" xfId="17378"/>
    <cellStyle name="Обычный 7 25 4" xfId="17379"/>
    <cellStyle name="Процентный 7 25 4" xfId="17380"/>
    <cellStyle name="Обычный 4 3 17 4" xfId="17381"/>
    <cellStyle name="Процентный 4 3 17 4" xfId="17382"/>
    <cellStyle name="Обычный 5 3 17 4" xfId="17383"/>
    <cellStyle name="Процентный 5 3 17 4" xfId="17384"/>
    <cellStyle name="Обычный 4 2 2 17 4" xfId="17385"/>
    <cellStyle name="Процентный 4 2 2 17 4" xfId="17386"/>
    <cellStyle name="Обычный 5 2 2 17 4" xfId="17387"/>
    <cellStyle name="Процентный 5 2 2 17 4" xfId="17388"/>
    <cellStyle name="Обычный 6 2 17 4" xfId="17389"/>
    <cellStyle name="Процентный 6 2 17 4" xfId="17390"/>
    <cellStyle name="Обычный 7 2 17 4" xfId="17391"/>
    <cellStyle name="Процентный 7 2 17 4" xfId="17392"/>
    <cellStyle name="Обычный 8 13 4" xfId="17393"/>
    <cellStyle name="Процентный 8 13 4" xfId="17394"/>
    <cellStyle name="Обычный 4 72 4" xfId="17395"/>
    <cellStyle name="Процентный 4 72 4" xfId="17396"/>
    <cellStyle name="Обычный 5 65 4" xfId="17397"/>
    <cellStyle name="Процентный 5 65 4" xfId="17398"/>
    <cellStyle name="Обычный 4 2 59 4" xfId="17399"/>
    <cellStyle name="Процентный 4 2 59 4" xfId="17400"/>
    <cellStyle name="Обычный 5 2 59 4" xfId="17401"/>
    <cellStyle name="Процентный 5 2 59 4" xfId="17402"/>
    <cellStyle name="Обычный 6 56 4" xfId="17403"/>
    <cellStyle name="Процентный 6 56 4" xfId="17404"/>
    <cellStyle name="Обычный 7 26 4" xfId="17405"/>
    <cellStyle name="Процентный 7 26 4" xfId="17406"/>
    <cellStyle name="Обычный 4 3 18 4" xfId="17407"/>
    <cellStyle name="Процентный 4 3 18 4" xfId="17408"/>
    <cellStyle name="Обычный 5 3 18 4" xfId="17409"/>
    <cellStyle name="Процентный 5 3 18 4" xfId="17410"/>
    <cellStyle name="Обычный 4 2 2 18 4" xfId="17411"/>
    <cellStyle name="Процентный 4 2 2 18 4" xfId="17412"/>
    <cellStyle name="Обычный 5 2 2 18 4" xfId="17413"/>
    <cellStyle name="Процентный 5 2 2 18 4" xfId="17414"/>
    <cellStyle name="Обычный 6 2 18 4" xfId="17415"/>
    <cellStyle name="Процентный 6 2 18 4" xfId="17416"/>
    <cellStyle name="Обычный 7 2 18 4" xfId="17417"/>
    <cellStyle name="Процентный 7 2 18 4" xfId="17418"/>
    <cellStyle name="Обычный 8 14 4" xfId="17419"/>
    <cellStyle name="Процентный 8 14 4" xfId="17420"/>
    <cellStyle name="Обычный 4 73 4" xfId="17421"/>
    <cellStyle name="Процентный 4 73 4" xfId="17422"/>
    <cellStyle name="Обычный 5 66 4" xfId="17423"/>
    <cellStyle name="Процентный 5 66 4" xfId="17424"/>
    <cellStyle name="Обычный 4 2 60 4" xfId="17425"/>
    <cellStyle name="Процентный 4 2 60 4" xfId="17426"/>
    <cellStyle name="Обычный 5 2 60 4" xfId="17427"/>
    <cellStyle name="Процентный 5 2 60 4" xfId="17428"/>
    <cellStyle name="Обычный 6 57 4" xfId="17429"/>
    <cellStyle name="Процентный 6 57 4" xfId="17430"/>
    <cellStyle name="Обычный 7 27 4" xfId="17431"/>
    <cellStyle name="Процентный 7 27 4" xfId="17432"/>
    <cellStyle name="Обычный 4 3 19 4" xfId="17433"/>
    <cellStyle name="Процентный 4 3 19 4" xfId="17434"/>
    <cellStyle name="Обычный 5 3 19 4" xfId="17435"/>
    <cellStyle name="Процентный 5 3 19 4" xfId="17436"/>
    <cellStyle name="Обычный 4 2 2 19 4" xfId="17437"/>
    <cellStyle name="Процентный 4 2 2 19 4" xfId="17438"/>
    <cellStyle name="Обычный 5 2 2 19 4" xfId="17439"/>
    <cellStyle name="Процентный 5 2 2 19 4" xfId="17440"/>
    <cellStyle name="Обычный 6 2 19 4" xfId="17441"/>
    <cellStyle name="Процентный 6 2 19 4" xfId="17442"/>
    <cellStyle name="Обычный 7 2 19 4" xfId="17443"/>
    <cellStyle name="Процентный 7 2 19 4" xfId="17444"/>
    <cellStyle name="Обычный 8 15 4" xfId="17445"/>
    <cellStyle name="Процентный 8 15 4" xfId="17446"/>
    <cellStyle name="Обычный 4 74 4" xfId="17447"/>
    <cellStyle name="Процентный 4 74 4" xfId="17448"/>
    <cellStyle name="Обычный 5 67 4" xfId="17449"/>
    <cellStyle name="Процентный 5 67 4" xfId="17450"/>
    <cellStyle name="Обычный 4 2 61 4" xfId="17451"/>
    <cellStyle name="Процентный 4 2 61 4" xfId="17452"/>
    <cellStyle name="Обычный 5 2 61 4" xfId="17453"/>
    <cellStyle name="Процентный 5 2 61 4" xfId="17454"/>
    <cellStyle name="Обычный 6 58 4" xfId="17455"/>
    <cellStyle name="Процентный 6 58 4" xfId="17456"/>
    <cellStyle name="Обычный 7 28 4" xfId="17457"/>
    <cellStyle name="Процентный 7 28 4" xfId="17458"/>
    <cellStyle name="Обычный 4 3 20 4" xfId="17459"/>
    <cellStyle name="Процентный 4 3 20 4" xfId="17460"/>
    <cellStyle name="Обычный 5 3 20 4" xfId="17461"/>
    <cellStyle name="Процентный 5 3 20 4" xfId="17462"/>
    <cellStyle name="Обычный 4 2 2 20 4" xfId="17463"/>
    <cellStyle name="Процентный 4 2 2 20 4" xfId="17464"/>
    <cellStyle name="Обычный 5 2 2 20 4" xfId="17465"/>
    <cellStyle name="Процентный 5 2 2 20 4" xfId="17466"/>
    <cellStyle name="Обычный 6 2 20 4" xfId="17467"/>
    <cellStyle name="Процентный 6 2 20 4" xfId="17468"/>
    <cellStyle name="Обычный 7 2 20 4" xfId="17469"/>
    <cellStyle name="Процентный 7 2 20 4" xfId="17470"/>
    <cellStyle name="Обычный 8 16 4" xfId="17471"/>
    <cellStyle name="Процентный 8 16 4" xfId="17472"/>
    <cellStyle name="Обычный 4 75 4" xfId="17473"/>
    <cellStyle name="Процентный 4 75 4" xfId="17474"/>
    <cellStyle name="Обычный 5 68 4" xfId="17475"/>
    <cellStyle name="Процентный 5 68 4" xfId="17476"/>
    <cellStyle name="Обычный 4 2 62 4" xfId="17477"/>
    <cellStyle name="Процентный 4 2 62 4" xfId="17478"/>
    <cellStyle name="Обычный 5 2 62 4" xfId="17479"/>
    <cellStyle name="Процентный 5 2 62 4" xfId="17480"/>
    <cellStyle name="Обычный 6 59 4" xfId="17481"/>
    <cellStyle name="Процентный 6 59 4" xfId="17482"/>
    <cellStyle name="Обычный 7 29 4" xfId="17483"/>
    <cellStyle name="Процентный 7 29 4" xfId="17484"/>
    <cellStyle name="Обычный 4 3 21 4" xfId="17485"/>
    <cellStyle name="Процентный 4 3 21 4" xfId="17486"/>
    <cellStyle name="Обычный 5 3 21 4" xfId="17487"/>
    <cellStyle name="Процентный 5 3 21 4" xfId="17488"/>
    <cellStyle name="Обычный 4 2 2 21 4" xfId="17489"/>
    <cellStyle name="Процентный 4 2 2 21 4" xfId="17490"/>
    <cellStyle name="Обычный 5 2 2 21 4" xfId="17491"/>
    <cellStyle name="Процентный 5 2 2 21 4" xfId="17492"/>
    <cellStyle name="Обычный 6 2 21 4" xfId="17493"/>
    <cellStyle name="Процентный 6 2 21 4" xfId="17494"/>
    <cellStyle name="Обычный 7 2 21 4" xfId="17495"/>
    <cellStyle name="Процентный 7 2 21 4" xfId="17496"/>
    <cellStyle name="Обычный 8 17 4" xfId="17497"/>
    <cellStyle name="Процентный 8 17 4" xfId="17498"/>
    <cellStyle name="Обычный 4 76 4" xfId="17499"/>
    <cellStyle name="Процентный 4 76 4" xfId="17500"/>
    <cellStyle name="Обычный 5 69 4" xfId="17501"/>
    <cellStyle name="Процентный 5 69 4" xfId="17502"/>
    <cellStyle name="Обычный 4 2 63 4" xfId="17503"/>
    <cellStyle name="Процентный 4 2 63 4" xfId="17504"/>
    <cellStyle name="Обычный 5 2 63 4" xfId="17505"/>
    <cellStyle name="Процентный 5 2 63 4" xfId="17506"/>
    <cellStyle name="Обычный 6 60 4" xfId="17507"/>
    <cellStyle name="Процентный 6 60 4" xfId="17508"/>
    <cellStyle name="Обычный 7 30 4" xfId="17509"/>
    <cellStyle name="Процентный 7 30 4" xfId="17510"/>
    <cellStyle name="Обычный 4 3 22 4" xfId="17511"/>
    <cellStyle name="Процентный 4 3 22 4" xfId="17512"/>
    <cellStyle name="Обычный 5 3 22 4" xfId="17513"/>
    <cellStyle name="Процентный 5 3 22 4" xfId="17514"/>
    <cellStyle name="Обычный 4 2 2 22 4" xfId="17515"/>
    <cellStyle name="Процентный 4 2 2 22 4" xfId="17516"/>
    <cellStyle name="Обычный 5 2 2 22 4" xfId="17517"/>
    <cellStyle name="Процентный 5 2 2 22 4" xfId="17518"/>
    <cellStyle name="Обычный 6 2 22 4" xfId="17519"/>
    <cellStyle name="Процентный 6 2 22 4" xfId="17520"/>
    <cellStyle name="Обычный 7 2 22 4" xfId="17521"/>
    <cellStyle name="Процентный 7 2 22 4" xfId="17522"/>
    <cellStyle name="Обычный 8 18 4" xfId="17523"/>
    <cellStyle name="Процентный 8 18 4" xfId="17524"/>
    <cellStyle name="Обычный 4 77 4" xfId="17525"/>
    <cellStyle name="Процентный 4 77 4" xfId="17526"/>
    <cellStyle name="Обычный 5 70 4" xfId="17527"/>
    <cellStyle name="Процентный 5 70 4" xfId="17528"/>
    <cellStyle name="Обычный 4 2 64 4" xfId="17529"/>
    <cellStyle name="Процентный 4 2 64 4" xfId="17530"/>
    <cellStyle name="Обычный 5 2 64 4" xfId="17531"/>
    <cellStyle name="Процентный 5 2 64 4" xfId="17532"/>
    <cellStyle name="Обычный 6 61 4" xfId="17533"/>
    <cellStyle name="Процентный 6 61 4" xfId="17534"/>
    <cellStyle name="Обычный 7 31 4" xfId="17535"/>
    <cellStyle name="Процентный 7 31 4" xfId="17536"/>
    <cellStyle name="Обычный 4 3 23 4" xfId="17537"/>
    <cellStyle name="Процентный 4 3 23 4" xfId="17538"/>
    <cellStyle name="Обычный 5 3 23 4" xfId="17539"/>
    <cellStyle name="Процентный 5 3 23 4" xfId="17540"/>
    <cellStyle name="Обычный 4 2 2 23 4" xfId="17541"/>
    <cellStyle name="Процентный 4 2 2 23 4" xfId="17542"/>
    <cellStyle name="Обычный 5 2 2 23 4" xfId="17543"/>
    <cellStyle name="Процентный 5 2 2 23 4" xfId="17544"/>
    <cellStyle name="Обычный 6 2 23 4" xfId="17545"/>
    <cellStyle name="Процентный 6 2 23 4" xfId="17546"/>
    <cellStyle name="Обычный 7 2 23 4" xfId="17547"/>
    <cellStyle name="Процентный 7 2 23 4" xfId="17548"/>
    <cellStyle name="Обычный 8 19 4" xfId="17549"/>
    <cellStyle name="Процентный 8 19 4" xfId="17550"/>
    <cellStyle name="Обычный 4 78 4" xfId="17551"/>
    <cellStyle name="Процентный 4 78 4" xfId="17552"/>
    <cellStyle name="Обычный 5 71 4" xfId="17553"/>
    <cellStyle name="Процентный 5 71 4" xfId="17554"/>
    <cellStyle name="Обычный 4 2 65 4" xfId="17555"/>
    <cellStyle name="Процентный 4 2 65 4" xfId="17556"/>
    <cellStyle name="Обычный 5 2 65 4" xfId="17557"/>
    <cellStyle name="Процентный 5 2 65 4" xfId="17558"/>
    <cellStyle name="Обычный 6 62 4" xfId="17559"/>
    <cellStyle name="Процентный 6 62 4" xfId="17560"/>
    <cellStyle name="Обычный 7 32 4" xfId="17561"/>
    <cellStyle name="Процентный 7 32 4" xfId="17562"/>
    <cellStyle name="Обычный 4 3 24 4" xfId="17563"/>
    <cellStyle name="Процентный 4 3 24 4" xfId="17564"/>
    <cellStyle name="Обычный 5 3 24 4" xfId="17565"/>
    <cellStyle name="Процентный 5 3 24 4" xfId="17566"/>
    <cellStyle name="Обычный 4 2 2 24 4" xfId="17567"/>
    <cellStyle name="Процентный 4 2 2 24 4" xfId="17568"/>
    <cellStyle name="Обычный 5 2 2 24 4" xfId="17569"/>
    <cellStyle name="Процентный 5 2 2 24 4" xfId="17570"/>
    <cellStyle name="Обычный 6 2 24 4" xfId="17571"/>
    <cellStyle name="Процентный 6 2 24 4" xfId="17572"/>
    <cellStyle name="Обычный 7 2 24 4" xfId="17573"/>
    <cellStyle name="Процентный 7 2 24 4" xfId="17574"/>
    <cellStyle name="Обычный 8 20 4" xfId="17575"/>
    <cellStyle name="Процентный 8 20 4" xfId="17576"/>
    <cellStyle name="Обычный 4 79 4" xfId="17577"/>
    <cellStyle name="Процентный 4 79 4" xfId="17578"/>
    <cellStyle name="Обычный 5 72 4" xfId="17579"/>
    <cellStyle name="Процентный 5 72 4" xfId="17580"/>
    <cellStyle name="Обычный 4 2 66 4" xfId="17581"/>
    <cellStyle name="Процентный 4 2 66 4" xfId="17582"/>
    <cellStyle name="Обычный 5 2 66 4" xfId="17583"/>
    <cellStyle name="Процентный 5 2 66 4" xfId="17584"/>
    <cellStyle name="Обычный 6 63 4" xfId="17585"/>
    <cellStyle name="Процентный 6 63 4" xfId="17586"/>
    <cellStyle name="Обычный 7 33 4" xfId="17587"/>
    <cellStyle name="Процентный 7 33 4" xfId="17588"/>
    <cellStyle name="Обычный 4 3 25 4" xfId="17589"/>
    <cellStyle name="Процентный 4 3 25 4" xfId="17590"/>
    <cellStyle name="Обычный 5 3 25 4" xfId="17591"/>
    <cellStyle name="Процентный 5 3 25 4" xfId="17592"/>
    <cellStyle name="Обычный 4 2 2 25 4" xfId="17593"/>
    <cellStyle name="Процентный 4 2 2 25 4" xfId="17594"/>
    <cellStyle name="Обычный 5 2 2 25 4" xfId="17595"/>
    <cellStyle name="Процентный 5 2 2 25 4" xfId="17596"/>
    <cellStyle name="Обычный 6 2 25 4" xfId="17597"/>
    <cellStyle name="Процентный 6 2 25 4" xfId="17598"/>
    <cellStyle name="Обычный 7 2 25 4" xfId="17599"/>
    <cellStyle name="Процентный 7 2 25 4" xfId="17600"/>
    <cellStyle name="Обычный 8 21 4" xfId="17601"/>
    <cellStyle name="Процентный 8 21 4" xfId="17602"/>
    <cellStyle name="Обычный 4 80 4" xfId="17603"/>
    <cellStyle name="Процентный 4 80 4" xfId="17604"/>
    <cellStyle name="Обычный 5 73 4" xfId="17605"/>
    <cellStyle name="Процентный 5 73 4" xfId="17606"/>
    <cellStyle name="Обычный 4 2 67 4" xfId="17607"/>
    <cellStyle name="Процентный 4 2 67 4" xfId="17608"/>
    <cellStyle name="Обычный 5 2 67 4" xfId="17609"/>
    <cellStyle name="Процентный 5 2 67 4" xfId="17610"/>
    <cellStyle name="Обычный 6 64 4" xfId="17611"/>
    <cellStyle name="Процентный 6 64 4" xfId="17612"/>
    <cellStyle name="Обычный 7 34 4" xfId="17613"/>
    <cellStyle name="Процентный 7 34 4" xfId="17614"/>
    <cellStyle name="Обычный 4 3 26 4" xfId="17615"/>
    <cellStyle name="Процентный 4 3 26 4" xfId="17616"/>
    <cellStyle name="Обычный 5 3 26 4" xfId="17617"/>
    <cellStyle name="Процентный 5 3 26 4" xfId="17618"/>
    <cellStyle name="Обычный 4 2 2 26 4" xfId="17619"/>
    <cellStyle name="Процентный 4 2 2 26 4" xfId="17620"/>
    <cellStyle name="Обычный 5 2 2 26 4" xfId="17621"/>
    <cellStyle name="Процентный 5 2 2 26 4" xfId="17622"/>
    <cellStyle name="Обычный 6 2 26 4" xfId="17623"/>
    <cellStyle name="Процентный 6 2 26 4" xfId="17624"/>
    <cellStyle name="Обычный 7 2 26 4" xfId="17625"/>
    <cellStyle name="Процентный 7 2 26 4" xfId="17626"/>
    <cellStyle name="Обычный 8 22 4" xfId="17627"/>
    <cellStyle name="Процентный 8 22 4" xfId="17628"/>
    <cellStyle name="Обычный 4 81 4" xfId="17629"/>
    <cellStyle name="Процентный 4 81 4" xfId="17630"/>
    <cellStyle name="Обычный 5 74 4" xfId="17631"/>
    <cellStyle name="Процентный 5 74 4" xfId="17632"/>
    <cellStyle name="Обычный 4 2 68 4" xfId="17633"/>
    <cellStyle name="Процентный 4 2 68 4" xfId="17634"/>
    <cellStyle name="Обычный 5 2 68 4" xfId="17635"/>
    <cellStyle name="Процентный 5 2 68 4" xfId="17636"/>
    <cellStyle name="Обычный 6 65 4" xfId="17637"/>
    <cellStyle name="Процентный 6 65 4" xfId="17638"/>
    <cellStyle name="Обычный 7 35 4" xfId="17639"/>
    <cellStyle name="Процентный 7 35 4" xfId="17640"/>
    <cellStyle name="Обычный 4 3 27 4" xfId="17641"/>
    <cellStyle name="Процентный 4 3 27 4" xfId="17642"/>
    <cellStyle name="Обычный 5 3 27 4" xfId="17643"/>
    <cellStyle name="Процентный 5 3 27 4" xfId="17644"/>
    <cellStyle name="Обычный 4 2 2 27 4" xfId="17645"/>
    <cellStyle name="Процентный 4 2 2 27 4" xfId="17646"/>
    <cellStyle name="Обычный 5 2 2 27 4" xfId="17647"/>
    <cellStyle name="Процентный 5 2 2 27 4" xfId="17648"/>
    <cellStyle name="Обычный 6 2 27 4" xfId="17649"/>
    <cellStyle name="Процентный 6 2 27 4" xfId="17650"/>
    <cellStyle name="Обычный 7 2 27 4" xfId="17651"/>
    <cellStyle name="Процентный 7 2 27 4" xfId="17652"/>
    <cellStyle name="Обычный 8 23 4" xfId="17653"/>
    <cellStyle name="Процентный 8 23 4" xfId="17654"/>
    <cellStyle name="Обычный 4 82 4" xfId="17655"/>
    <cellStyle name="Процентный 4 82 4" xfId="17656"/>
    <cellStyle name="Обычный 5 75 4" xfId="17657"/>
    <cellStyle name="Процентный 5 75 4" xfId="17658"/>
    <cellStyle name="Обычный 4 2 69 4" xfId="17659"/>
    <cellStyle name="Процентный 4 2 69 4" xfId="17660"/>
    <cellStyle name="Обычный 5 2 69 4" xfId="17661"/>
    <cellStyle name="Процентный 5 2 69 4" xfId="17662"/>
    <cellStyle name="Обычный 6 66 4" xfId="17663"/>
    <cellStyle name="Процентный 6 66 4" xfId="17664"/>
    <cellStyle name="Обычный 7 36 4" xfId="17665"/>
    <cellStyle name="Процентный 7 36 4" xfId="17666"/>
    <cellStyle name="Обычный 4 3 28 4" xfId="17667"/>
    <cellStyle name="Процентный 4 3 28 4" xfId="17668"/>
    <cellStyle name="Обычный 5 3 28 4" xfId="17669"/>
    <cellStyle name="Процентный 5 3 28 4" xfId="17670"/>
    <cellStyle name="Обычный 4 2 2 28 4" xfId="17671"/>
    <cellStyle name="Процентный 4 2 2 28 4" xfId="17672"/>
    <cellStyle name="Обычный 5 2 2 28 4" xfId="17673"/>
    <cellStyle name="Процентный 5 2 2 28 4" xfId="17674"/>
    <cellStyle name="Обычный 6 2 28 4" xfId="17675"/>
    <cellStyle name="Процентный 6 2 28 4" xfId="17676"/>
    <cellStyle name="Обычный 7 2 28 4" xfId="17677"/>
    <cellStyle name="Процентный 7 2 28 4" xfId="17678"/>
    <cellStyle name="Обычный 8 24 4" xfId="17679"/>
    <cellStyle name="Процентный 8 24 4" xfId="17680"/>
    <cellStyle name="Обычный 4 83 4" xfId="17681"/>
    <cellStyle name="Процентный 4 83 4" xfId="17682"/>
    <cellStyle name="Обычный 5 76 4" xfId="17683"/>
    <cellStyle name="Процентный 5 76 4" xfId="17684"/>
    <cellStyle name="Обычный 4 2 70 4" xfId="17685"/>
    <cellStyle name="Процентный 4 2 70 4" xfId="17686"/>
    <cellStyle name="Обычный 5 2 70 4" xfId="17687"/>
    <cellStyle name="Процентный 5 2 70 4" xfId="17688"/>
    <cellStyle name="Обычный 6 67 4" xfId="17689"/>
    <cellStyle name="Процентный 6 67 4" xfId="17690"/>
    <cellStyle name="Обычный 7 37 4" xfId="17691"/>
    <cellStyle name="Процентный 7 37 4" xfId="17692"/>
    <cellStyle name="Обычный 4 3 29 4" xfId="17693"/>
    <cellStyle name="Процентный 4 3 29 4" xfId="17694"/>
    <cellStyle name="Обычный 5 3 29 4" xfId="17695"/>
    <cellStyle name="Процентный 5 3 29 4" xfId="17696"/>
    <cellStyle name="Обычный 4 2 2 29 4" xfId="17697"/>
    <cellStyle name="Процентный 4 2 2 29 4" xfId="17698"/>
    <cellStyle name="Обычный 5 2 2 29 4" xfId="17699"/>
    <cellStyle name="Процентный 5 2 2 29 4" xfId="17700"/>
    <cellStyle name="Обычный 6 2 29 4" xfId="17701"/>
    <cellStyle name="Процентный 6 2 29 4" xfId="17702"/>
    <cellStyle name="Обычный 7 2 29 4" xfId="17703"/>
    <cellStyle name="Процентный 7 2 29 4" xfId="17704"/>
    <cellStyle name="Обычный 8 25 4" xfId="17705"/>
    <cellStyle name="Процентный 8 25 4" xfId="17706"/>
    <cellStyle name="Обычный 4 84 4" xfId="17707"/>
    <cellStyle name="Процентный 4 84 4" xfId="17708"/>
    <cellStyle name="Обычный 5 77 4" xfId="17709"/>
    <cellStyle name="Процентный 5 77 4" xfId="17710"/>
    <cellStyle name="Обычный 4 2 71 4" xfId="17711"/>
    <cellStyle name="Процентный 4 2 71 4" xfId="17712"/>
    <cellStyle name="Обычный 5 2 71 4" xfId="17713"/>
    <cellStyle name="Процентный 5 2 71 4" xfId="17714"/>
    <cellStyle name="Обычный 6 68 4" xfId="17715"/>
    <cellStyle name="Процентный 6 68 4" xfId="17716"/>
    <cellStyle name="Обычный 7 38 4" xfId="17717"/>
    <cellStyle name="Процентный 7 38 4" xfId="17718"/>
    <cellStyle name="Обычный 4 3 30 4" xfId="17719"/>
    <cellStyle name="Процентный 4 3 30 4" xfId="17720"/>
    <cellStyle name="Обычный 5 3 30 4" xfId="17721"/>
    <cellStyle name="Процентный 5 3 30 4" xfId="17722"/>
    <cellStyle name="Обычный 4 2 2 30 4" xfId="17723"/>
    <cellStyle name="Процентный 4 2 2 30 4" xfId="17724"/>
    <cellStyle name="Обычный 5 2 2 30 4" xfId="17725"/>
    <cellStyle name="Процентный 5 2 2 30 4" xfId="17726"/>
    <cellStyle name="Обычный 6 2 30 4" xfId="17727"/>
    <cellStyle name="Процентный 6 2 30 4" xfId="17728"/>
    <cellStyle name="Обычный 7 2 30 4" xfId="17729"/>
    <cellStyle name="Процентный 7 2 30 4" xfId="17730"/>
    <cellStyle name="Обычный 8 26 4" xfId="17731"/>
    <cellStyle name="Процентный 8 26 4" xfId="17732"/>
    <cellStyle name="Обычный 4 85 4" xfId="17733"/>
    <cellStyle name="Процентный 4 85 4" xfId="17734"/>
    <cellStyle name="Обычный 5 78 4" xfId="17735"/>
    <cellStyle name="Процентный 5 78 4" xfId="17736"/>
    <cellStyle name="Обычный 4 2 72 4" xfId="17737"/>
    <cellStyle name="Процентный 4 2 72 4" xfId="17738"/>
    <cellStyle name="Обычный 5 2 72 4" xfId="17739"/>
    <cellStyle name="Процентный 5 2 72 4" xfId="17740"/>
    <cellStyle name="Обычный 6 69 4" xfId="17741"/>
    <cellStyle name="Процентный 6 69 4" xfId="17742"/>
    <cellStyle name="Обычный 7 39 4" xfId="17743"/>
    <cellStyle name="Процентный 7 39 4" xfId="17744"/>
    <cellStyle name="Обычный 4 3 31 4" xfId="17745"/>
    <cellStyle name="Процентный 4 3 31 4" xfId="17746"/>
    <cellStyle name="Обычный 5 3 31 4" xfId="17747"/>
    <cellStyle name="Процентный 5 3 31 4" xfId="17748"/>
    <cellStyle name="Обычный 4 2 2 31 4" xfId="17749"/>
    <cellStyle name="Процентный 4 2 2 31 4" xfId="17750"/>
    <cellStyle name="Обычный 5 2 2 31 4" xfId="17751"/>
    <cellStyle name="Процентный 5 2 2 31 4" xfId="17752"/>
    <cellStyle name="Обычный 6 2 31 4" xfId="17753"/>
    <cellStyle name="Процентный 6 2 31 4" xfId="17754"/>
    <cellStyle name="Обычный 7 2 31 4" xfId="17755"/>
    <cellStyle name="Процентный 7 2 31 4" xfId="17756"/>
    <cellStyle name="Обычный 8 27 4" xfId="17757"/>
    <cellStyle name="Процентный 8 27 4" xfId="17758"/>
    <cellStyle name="Обычный 4 86 4" xfId="17759"/>
    <cellStyle name="Процентный 4 86 4" xfId="17760"/>
    <cellStyle name="Обычный 5 79 4" xfId="17761"/>
    <cellStyle name="Процентный 5 79 4" xfId="17762"/>
    <cellStyle name="Обычный 4 2 73 4" xfId="17763"/>
    <cellStyle name="Процентный 4 2 73 4" xfId="17764"/>
    <cellStyle name="Обычный 5 2 73 4" xfId="17765"/>
    <cellStyle name="Процентный 5 2 73 4" xfId="17766"/>
    <cellStyle name="Обычный 6 70 4" xfId="17767"/>
    <cellStyle name="Процентный 6 70 4" xfId="17768"/>
    <cellStyle name="Обычный 7 40 4" xfId="17769"/>
    <cellStyle name="Процентный 7 40 4" xfId="17770"/>
    <cellStyle name="Обычный 4 3 32 4" xfId="17771"/>
    <cellStyle name="Процентный 4 3 32 4" xfId="17772"/>
    <cellStyle name="Обычный 5 3 32 4" xfId="17773"/>
    <cellStyle name="Процентный 5 3 32 4" xfId="17774"/>
    <cellStyle name="Обычный 4 2 2 32 4" xfId="17775"/>
    <cellStyle name="Процентный 4 2 2 32 4" xfId="17776"/>
    <cellStyle name="Обычный 5 2 2 32 4" xfId="17777"/>
    <cellStyle name="Процентный 5 2 2 32 4" xfId="17778"/>
    <cellStyle name="Обычный 6 2 32 4" xfId="17779"/>
    <cellStyle name="Процентный 6 2 32 4" xfId="17780"/>
    <cellStyle name="Обычный 7 2 32 4" xfId="17781"/>
    <cellStyle name="Процентный 7 2 32 4" xfId="17782"/>
    <cellStyle name="Обычный 8 28 4" xfId="17783"/>
    <cellStyle name="Процентный 8 28 4" xfId="17784"/>
    <cellStyle name="Обычный 4 87 4" xfId="17785"/>
    <cellStyle name="Процентный 4 87 4" xfId="17786"/>
    <cellStyle name="Обычный 5 80 4" xfId="17787"/>
    <cellStyle name="Процентный 5 80 4" xfId="17788"/>
    <cellStyle name="Обычный 4 2 74 4" xfId="17789"/>
    <cellStyle name="Процентный 4 2 74 4" xfId="17790"/>
    <cellStyle name="Обычный 5 2 74 4" xfId="17791"/>
    <cellStyle name="Процентный 5 2 74 4" xfId="17792"/>
    <cellStyle name="Обычный 6 71 4" xfId="17793"/>
    <cellStyle name="Процентный 6 71 4" xfId="17794"/>
    <cellStyle name="Обычный 7 41 4" xfId="17795"/>
    <cellStyle name="Процентный 7 41 4" xfId="17796"/>
    <cellStyle name="Обычный 4 3 33 4" xfId="17797"/>
    <cellStyle name="Процентный 4 3 33 4" xfId="17798"/>
    <cellStyle name="Обычный 5 3 33 4" xfId="17799"/>
    <cellStyle name="Процентный 5 3 33 4" xfId="17800"/>
    <cellStyle name="Обычный 4 2 2 33 4" xfId="17801"/>
    <cellStyle name="Процентный 4 2 2 33 4" xfId="17802"/>
    <cellStyle name="Обычный 5 2 2 33 4" xfId="17803"/>
    <cellStyle name="Процентный 5 2 2 33 4" xfId="17804"/>
    <cellStyle name="Обычный 6 2 33 4" xfId="17805"/>
    <cellStyle name="Процентный 6 2 33 4" xfId="17806"/>
    <cellStyle name="Обычный 7 2 33 4" xfId="17807"/>
    <cellStyle name="Процентный 7 2 33 4" xfId="17808"/>
    <cellStyle name="Обычный 8 29 4" xfId="17809"/>
    <cellStyle name="Процентный 8 29 4" xfId="17810"/>
    <cellStyle name="Обычный 4 88 4" xfId="17811"/>
    <cellStyle name="Процентный 4 88 4" xfId="17812"/>
    <cellStyle name="Обычный 5 81 4" xfId="17813"/>
    <cellStyle name="Процентный 5 81 4" xfId="17814"/>
    <cellStyle name="Обычный 4 2 75 4" xfId="17815"/>
    <cellStyle name="Процентный 4 2 75 4" xfId="17816"/>
    <cellStyle name="Обычный 5 2 75 4" xfId="17817"/>
    <cellStyle name="Процентный 5 2 75 4" xfId="17818"/>
    <cellStyle name="Обычный 6 72 4" xfId="17819"/>
    <cellStyle name="Процентный 6 72 4" xfId="17820"/>
    <cellStyle name="Обычный 7 42 4" xfId="17821"/>
    <cellStyle name="Процентный 7 42 4" xfId="17822"/>
    <cellStyle name="Обычный 4 3 34 4" xfId="17823"/>
    <cellStyle name="Процентный 4 3 34 4" xfId="17824"/>
    <cellStyle name="Обычный 5 3 34 4" xfId="17825"/>
    <cellStyle name="Процентный 5 3 34 4" xfId="17826"/>
    <cellStyle name="Обычный 4 2 2 34 4" xfId="17827"/>
    <cellStyle name="Процентный 4 2 2 34 4" xfId="17828"/>
    <cellStyle name="Обычный 5 2 2 34 4" xfId="17829"/>
    <cellStyle name="Процентный 5 2 2 34 4" xfId="17830"/>
    <cellStyle name="Обычный 6 2 34 4" xfId="17831"/>
    <cellStyle name="Процентный 6 2 34 4" xfId="17832"/>
    <cellStyle name="Обычный 7 2 34 4" xfId="17833"/>
    <cellStyle name="Процентный 7 2 34 4" xfId="17834"/>
    <cellStyle name="Обычный 8 30 4" xfId="17835"/>
    <cellStyle name="Процентный 8 30 4" xfId="17836"/>
    <cellStyle name="Обычный 4 89 4" xfId="17837"/>
    <cellStyle name="Процентный 4 89 4" xfId="17838"/>
    <cellStyle name="Обычный 5 82 4" xfId="17839"/>
    <cellStyle name="Процентный 5 82 4" xfId="17840"/>
    <cellStyle name="Обычный 4 2 76 4" xfId="17841"/>
    <cellStyle name="Процентный 4 2 76 4" xfId="17842"/>
    <cellStyle name="Обычный 5 2 76 4" xfId="17843"/>
    <cellStyle name="Процентный 5 2 76 4" xfId="17844"/>
    <cellStyle name="Обычный 6 73 4" xfId="17845"/>
    <cellStyle name="Процентный 6 73 4" xfId="17846"/>
    <cellStyle name="Обычный 7 43 4" xfId="17847"/>
    <cellStyle name="Процентный 7 43 4" xfId="17848"/>
    <cellStyle name="Обычный 4 3 35 4" xfId="17849"/>
    <cellStyle name="Процентный 4 3 35 4" xfId="17850"/>
    <cellStyle name="Обычный 5 3 35 4" xfId="17851"/>
    <cellStyle name="Процентный 5 3 35 4" xfId="17852"/>
    <cellStyle name="Обычный 4 2 2 35 4" xfId="17853"/>
    <cellStyle name="Процентный 4 2 2 35 4" xfId="17854"/>
    <cellStyle name="Обычный 5 2 2 35 4" xfId="17855"/>
    <cellStyle name="Процентный 5 2 2 35 4" xfId="17856"/>
    <cellStyle name="Обычный 6 2 35 4" xfId="17857"/>
    <cellStyle name="Процентный 6 2 35 4" xfId="17858"/>
    <cellStyle name="Обычный 7 2 35 4" xfId="17859"/>
    <cellStyle name="Процентный 7 2 35 4" xfId="17860"/>
    <cellStyle name="Обычный 8 31 4" xfId="17861"/>
    <cellStyle name="Процентный 8 31 4" xfId="17862"/>
    <cellStyle name="Обычный 4 90 4" xfId="17863"/>
    <cellStyle name="Процентный 4 90 4" xfId="17864"/>
    <cellStyle name="Обычный 5 83 4" xfId="17865"/>
    <cellStyle name="Процентный 5 83 4" xfId="17866"/>
    <cellStyle name="Обычный 4 2 77 4" xfId="17867"/>
    <cellStyle name="Процентный 4 2 77 4" xfId="17868"/>
    <cellStyle name="Обычный 5 2 77 4" xfId="17869"/>
    <cellStyle name="Процентный 5 2 77 4" xfId="17870"/>
    <cellStyle name="Обычный 6 74 4" xfId="17871"/>
    <cellStyle name="Процентный 6 74 4" xfId="17872"/>
    <cellStyle name="Обычный 7 44 4" xfId="17873"/>
    <cellStyle name="Процентный 7 44 4" xfId="17874"/>
    <cellStyle name="Обычный 4 3 36 4" xfId="17875"/>
    <cellStyle name="Процентный 4 3 36 4" xfId="17876"/>
    <cellStyle name="Обычный 5 3 36 4" xfId="17877"/>
    <cellStyle name="Процентный 5 3 36 4" xfId="17878"/>
    <cellStyle name="Обычный 4 2 2 36 4" xfId="17879"/>
    <cellStyle name="Процентный 4 2 2 36 4" xfId="17880"/>
    <cellStyle name="Обычный 5 2 2 36 4" xfId="17881"/>
    <cellStyle name="Процентный 5 2 2 36 4" xfId="17882"/>
    <cellStyle name="Обычный 6 2 36 4" xfId="17883"/>
    <cellStyle name="Процентный 6 2 36 4" xfId="17884"/>
    <cellStyle name="Обычный 7 2 36 4" xfId="17885"/>
    <cellStyle name="Процентный 7 2 36 4" xfId="17886"/>
    <cellStyle name="Обычный 8 32 4" xfId="17887"/>
    <cellStyle name="Процентный 8 32 4" xfId="17888"/>
    <cellStyle name="Обычный 4 91 4" xfId="17889"/>
    <cellStyle name="Процентный 4 91 4" xfId="17890"/>
    <cellStyle name="Обычный 5 84 4" xfId="17891"/>
    <cellStyle name="Процентный 5 84 4" xfId="17892"/>
    <cellStyle name="Обычный 4 2 78 4" xfId="17893"/>
    <cellStyle name="Процентный 4 2 78 4" xfId="17894"/>
    <cellStyle name="Обычный 5 2 78 4" xfId="17895"/>
    <cellStyle name="Процентный 5 2 78 4" xfId="17896"/>
    <cellStyle name="Обычный 6 75 4" xfId="17897"/>
    <cellStyle name="Процентный 6 75 4" xfId="17898"/>
    <cellStyle name="Обычный 7 45 4" xfId="17899"/>
    <cellStyle name="Процентный 7 45 4" xfId="17900"/>
    <cellStyle name="Обычный 4 3 37 4" xfId="17901"/>
    <cellStyle name="Процентный 4 3 37 4" xfId="17902"/>
    <cellStyle name="Обычный 5 3 37 4" xfId="17903"/>
    <cellStyle name="Процентный 5 3 37 4" xfId="17904"/>
    <cellStyle name="Обычный 4 2 2 37 4" xfId="17905"/>
    <cellStyle name="Процентный 4 2 2 37 4" xfId="17906"/>
    <cellStyle name="Обычный 5 2 2 37 4" xfId="17907"/>
    <cellStyle name="Процентный 5 2 2 37 4" xfId="17908"/>
    <cellStyle name="Обычный 6 2 37 4" xfId="17909"/>
    <cellStyle name="Процентный 6 2 37 4" xfId="17910"/>
    <cellStyle name="Обычный 7 2 37 4" xfId="17911"/>
    <cellStyle name="Процентный 7 2 37 4" xfId="17912"/>
    <cellStyle name="Обычный 8 33 4" xfId="17913"/>
    <cellStyle name="Процентный 8 33 4" xfId="17914"/>
    <cellStyle name="Обычный 4 92 4" xfId="17915"/>
    <cellStyle name="Процентный 4 92 4" xfId="17916"/>
    <cellStyle name="Обычный 5 85 4" xfId="17917"/>
    <cellStyle name="Процентный 5 85 4" xfId="17918"/>
    <cellStyle name="Обычный 4 2 79 4" xfId="17919"/>
    <cellStyle name="Процентный 4 2 79 4" xfId="17920"/>
    <cellStyle name="Обычный 5 2 79 4" xfId="17921"/>
    <cellStyle name="Процентный 5 2 79 4" xfId="17922"/>
    <cellStyle name="Обычный 6 76 4" xfId="17923"/>
    <cellStyle name="Процентный 6 76 4" xfId="17924"/>
    <cellStyle name="Обычный 7 46 4" xfId="17925"/>
    <cellStyle name="Процентный 7 46 4" xfId="17926"/>
    <cellStyle name="Обычный 4 3 38 4" xfId="17927"/>
    <cellStyle name="Процентный 4 3 38 4" xfId="17928"/>
    <cellStyle name="Обычный 5 3 38 4" xfId="17929"/>
    <cellStyle name="Процентный 5 3 38 4" xfId="17930"/>
    <cellStyle name="Обычный 4 2 2 38 4" xfId="17931"/>
    <cellStyle name="Процентный 4 2 2 38 4" xfId="17932"/>
    <cellStyle name="Обычный 5 2 2 38 4" xfId="17933"/>
    <cellStyle name="Процентный 5 2 2 38 4" xfId="17934"/>
    <cellStyle name="Обычный 6 2 38 4" xfId="17935"/>
    <cellStyle name="Процентный 6 2 38 4" xfId="17936"/>
    <cellStyle name="Обычный 7 2 38 4" xfId="17937"/>
    <cellStyle name="Процентный 7 2 38 4" xfId="17938"/>
    <cellStyle name="Обычный 8 34 4" xfId="17939"/>
    <cellStyle name="Процентный 8 34 4" xfId="17940"/>
    <cellStyle name="Обычный 4 93 4" xfId="17941"/>
    <cellStyle name="Процентный 4 93 4" xfId="17942"/>
    <cellStyle name="Обычный 5 86 4" xfId="17943"/>
    <cellStyle name="Процентный 5 86 4" xfId="17944"/>
    <cellStyle name="Обычный 4 2 80 4" xfId="17945"/>
    <cellStyle name="Процентный 4 2 80 4" xfId="17946"/>
    <cellStyle name="Обычный 5 2 80 4" xfId="17947"/>
    <cellStyle name="Процентный 5 2 80 4" xfId="17948"/>
    <cellStyle name="Обычный 6 77 4" xfId="17949"/>
    <cellStyle name="Процентный 6 77 4" xfId="17950"/>
    <cellStyle name="Обычный 7 47 4" xfId="17951"/>
    <cellStyle name="Процентный 7 47 4" xfId="17952"/>
    <cellStyle name="Обычный 4 3 39 4" xfId="17953"/>
    <cellStyle name="Процентный 4 3 39 4" xfId="17954"/>
    <cellStyle name="Обычный 5 3 39 4" xfId="17955"/>
    <cellStyle name="Процентный 5 3 39 4" xfId="17956"/>
    <cellStyle name="Обычный 4 2 2 39 4" xfId="17957"/>
    <cellStyle name="Процентный 4 2 2 39 4" xfId="17958"/>
    <cellStyle name="Обычный 5 2 2 39 4" xfId="17959"/>
    <cellStyle name="Процентный 5 2 2 39 4" xfId="17960"/>
    <cellStyle name="Обычный 6 2 39 4" xfId="17961"/>
    <cellStyle name="Процентный 6 2 39 4" xfId="17962"/>
    <cellStyle name="Обычный 7 2 39 4" xfId="17963"/>
    <cellStyle name="Процентный 7 2 39 4" xfId="17964"/>
    <cellStyle name="Обычный 8 35 4" xfId="17965"/>
    <cellStyle name="Процентный 8 35 4" xfId="17966"/>
    <cellStyle name="Обычный 9 113" xfId="17967"/>
    <cellStyle name="Процентный 9 2 4" xfId="17968"/>
    <cellStyle name="Обычный 4 94 4" xfId="17969"/>
    <cellStyle name="Процентный 4 94 4" xfId="17970"/>
    <cellStyle name="Обычный 5 87 4" xfId="17971"/>
    <cellStyle name="Процентный 5 87 4" xfId="17972"/>
    <cellStyle name="Обычный 4 2 81 4" xfId="17973"/>
    <cellStyle name="Процентный 4 2 81 4" xfId="17974"/>
    <cellStyle name="Обычный 5 2 81 4" xfId="17975"/>
    <cellStyle name="Процентный 5 2 81 4" xfId="17976"/>
    <cellStyle name="Обычный 6 78 4" xfId="17977"/>
    <cellStyle name="Процентный 6 78 4" xfId="17978"/>
    <cellStyle name="Обычный 7 48 4" xfId="17979"/>
    <cellStyle name="Процентный 7 48 4" xfId="17980"/>
    <cellStyle name="Обычный 4 3 40 4" xfId="17981"/>
    <cellStyle name="Процентный 4 3 40 4" xfId="17982"/>
    <cellStyle name="Обычный 5 3 40 4" xfId="17983"/>
    <cellStyle name="Процентный 5 3 40 4" xfId="17984"/>
    <cellStyle name="Обычный 4 2 2 40 4" xfId="17985"/>
    <cellStyle name="Процентный 4 2 2 40 4" xfId="17986"/>
    <cellStyle name="Обычный 5 2 2 40 4" xfId="17987"/>
    <cellStyle name="Процентный 5 2 2 40 4" xfId="17988"/>
    <cellStyle name="Обычный 6 2 40 4" xfId="17989"/>
    <cellStyle name="Процентный 6 2 40 4" xfId="17990"/>
    <cellStyle name="Обычный 7 2 40 4" xfId="17991"/>
    <cellStyle name="Процентный 7 2 40 4" xfId="17992"/>
    <cellStyle name="Обычный 8 36 4" xfId="17993"/>
    <cellStyle name="Процентный 8 36 4" xfId="17994"/>
    <cellStyle name="Обычный 9 2 4" xfId="17995"/>
    <cellStyle name="Процентный 9 3 4" xfId="17996"/>
    <cellStyle name="Обычный 4 95 4" xfId="17997"/>
    <cellStyle name="Процентный 4 95 4" xfId="17998"/>
    <cellStyle name="Обычный 5 88 4" xfId="17999"/>
    <cellStyle name="Процентный 5 88 4" xfId="18000"/>
    <cellStyle name="Обычный 4 2 82 4" xfId="18001"/>
    <cellStyle name="Процентный 4 2 82 4" xfId="18002"/>
    <cellStyle name="Обычный 5 2 82 4" xfId="18003"/>
    <cellStyle name="Процентный 5 2 82 4" xfId="18004"/>
    <cellStyle name="Обычный 6 79 4" xfId="18005"/>
    <cellStyle name="Процентный 6 79 4" xfId="18006"/>
    <cellStyle name="Обычный 7 49 4" xfId="18007"/>
    <cellStyle name="Процентный 7 49 4" xfId="18008"/>
    <cellStyle name="Обычный 4 3 41 4" xfId="18009"/>
    <cellStyle name="Процентный 4 3 41 4" xfId="18010"/>
    <cellStyle name="Обычный 5 3 41 4" xfId="18011"/>
    <cellStyle name="Процентный 5 3 41 4" xfId="18012"/>
    <cellStyle name="Обычный 4 2 2 41 4" xfId="18013"/>
    <cellStyle name="Процентный 4 2 2 41 4" xfId="18014"/>
    <cellStyle name="Обычный 5 2 2 41 4" xfId="18015"/>
    <cellStyle name="Процентный 5 2 2 41 4" xfId="18016"/>
    <cellStyle name="Обычный 6 2 41 4" xfId="18017"/>
    <cellStyle name="Процентный 6 2 41 4" xfId="18018"/>
    <cellStyle name="Обычный 7 2 41 4" xfId="18019"/>
    <cellStyle name="Процентный 7 2 41 4" xfId="18020"/>
    <cellStyle name="Обычный 8 37 4" xfId="18021"/>
    <cellStyle name="Процентный 8 37 4" xfId="18022"/>
    <cellStyle name="Обычный 9 3 4" xfId="18023"/>
    <cellStyle name="Процентный 9 4 4" xfId="18024"/>
    <cellStyle name="Обычный 4 96 4" xfId="18025"/>
    <cellStyle name="Процентный 4 96 4" xfId="18026"/>
    <cellStyle name="Обычный 5 89 4" xfId="18027"/>
    <cellStyle name="Процентный 5 89 4" xfId="18028"/>
    <cellStyle name="Обычный 4 2 83 4" xfId="18029"/>
    <cellStyle name="Процентный 4 2 83 4" xfId="18030"/>
    <cellStyle name="Обычный 5 2 83 4" xfId="18031"/>
    <cellStyle name="Процентный 5 2 83 4" xfId="18032"/>
    <cellStyle name="Обычный 6 80 4" xfId="18033"/>
    <cellStyle name="Процентный 6 80 4" xfId="18034"/>
    <cellStyle name="Обычный 7 50 4" xfId="18035"/>
    <cellStyle name="Процентный 7 50 4" xfId="18036"/>
    <cellStyle name="Обычный 4 3 42 4" xfId="18037"/>
    <cellStyle name="Процентный 4 3 42 4" xfId="18038"/>
    <cellStyle name="Обычный 5 3 42 4" xfId="18039"/>
    <cellStyle name="Процентный 5 3 42 4" xfId="18040"/>
    <cellStyle name="Обычный 4 2 2 42 4" xfId="18041"/>
    <cellStyle name="Процентный 4 2 2 42 4" xfId="18042"/>
    <cellStyle name="Обычный 5 2 2 42 4" xfId="18043"/>
    <cellStyle name="Процентный 5 2 2 42 4" xfId="18044"/>
    <cellStyle name="Обычный 6 2 42 4" xfId="18045"/>
    <cellStyle name="Процентный 6 2 42 4" xfId="18046"/>
    <cellStyle name="Обычный 7 2 42 4" xfId="18047"/>
    <cellStyle name="Процентный 7 2 42 4" xfId="18048"/>
    <cellStyle name="Обычный 8 38 4" xfId="18049"/>
    <cellStyle name="Процентный 8 38 4" xfId="18050"/>
    <cellStyle name="Обычный 9 4 4" xfId="18051"/>
    <cellStyle name="Процентный 9 5 4" xfId="18052"/>
    <cellStyle name="Обычный 4 97 4" xfId="18053"/>
    <cellStyle name="Процентный 4 97 4" xfId="18054"/>
    <cellStyle name="Обычный 5 90 4" xfId="18055"/>
    <cellStyle name="Процентный 5 90 4" xfId="18056"/>
    <cellStyle name="Обычный 4 2 84 4" xfId="18057"/>
    <cellStyle name="Процентный 4 2 84 4" xfId="18058"/>
    <cellStyle name="Обычный 5 2 84 4" xfId="18059"/>
    <cellStyle name="Процентный 5 2 84 4" xfId="18060"/>
    <cellStyle name="Обычный 6 81 4" xfId="18061"/>
    <cellStyle name="Процентный 6 81 4" xfId="18062"/>
    <cellStyle name="Обычный 7 51 4" xfId="18063"/>
    <cellStyle name="Процентный 7 51 4" xfId="18064"/>
    <cellStyle name="Обычный 4 3 43 4" xfId="18065"/>
    <cellStyle name="Процентный 4 3 43 4" xfId="18066"/>
    <cellStyle name="Обычный 5 3 43 4" xfId="18067"/>
    <cellStyle name="Процентный 5 3 43 4" xfId="18068"/>
    <cellStyle name="Обычный 4 2 2 43 4" xfId="18069"/>
    <cellStyle name="Процентный 4 2 2 43 4" xfId="18070"/>
    <cellStyle name="Обычный 5 2 2 43 4" xfId="18071"/>
    <cellStyle name="Процентный 5 2 2 43 4" xfId="18072"/>
    <cellStyle name="Обычный 6 2 43 4" xfId="18073"/>
    <cellStyle name="Процентный 6 2 43 4" xfId="18074"/>
    <cellStyle name="Обычный 7 2 43 4" xfId="18075"/>
    <cellStyle name="Процентный 7 2 43 4" xfId="18076"/>
    <cellStyle name="Обычный 8 39 4" xfId="18077"/>
    <cellStyle name="Процентный 8 39 4" xfId="18078"/>
    <cellStyle name="Обычный 9 5 4" xfId="18079"/>
    <cellStyle name="Процентный 9 6 4" xfId="18080"/>
    <cellStyle name="Обычный 4 98 4" xfId="18081"/>
    <cellStyle name="Процентный 4 98 4" xfId="18082"/>
    <cellStyle name="Обычный 5 91 4" xfId="18083"/>
    <cellStyle name="Процентный 5 91 4" xfId="18084"/>
    <cellStyle name="Обычный 4 2 85 4" xfId="18085"/>
    <cellStyle name="Процентный 4 2 85 4" xfId="18086"/>
    <cellStyle name="Обычный 5 2 85 4" xfId="18087"/>
    <cellStyle name="Процентный 5 2 85 4" xfId="18088"/>
    <cellStyle name="Обычный 6 82 4" xfId="18089"/>
    <cellStyle name="Процентный 6 82 4" xfId="18090"/>
    <cellStyle name="Обычный 7 52 4" xfId="18091"/>
    <cellStyle name="Процентный 7 52 4" xfId="18092"/>
    <cellStyle name="Обычный 4 3 44 4" xfId="18093"/>
    <cellStyle name="Процентный 4 3 44 4" xfId="18094"/>
    <cellStyle name="Обычный 5 3 44 4" xfId="18095"/>
    <cellStyle name="Процентный 5 3 44 4" xfId="18096"/>
    <cellStyle name="Обычный 4 2 2 44 4" xfId="18097"/>
    <cellStyle name="Процентный 4 2 2 44 4" xfId="18098"/>
    <cellStyle name="Обычный 5 2 2 44 4" xfId="18099"/>
    <cellStyle name="Процентный 5 2 2 44 4" xfId="18100"/>
    <cellStyle name="Обычный 6 2 44 4" xfId="18101"/>
    <cellStyle name="Процентный 6 2 44 4" xfId="18102"/>
    <cellStyle name="Обычный 7 2 44 4" xfId="18103"/>
    <cellStyle name="Процентный 7 2 44 4" xfId="18104"/>
    <cellStyle name="Обычный 8 40 4" xfId="18105"/>
    <cellStyle name="Процентный 8 40 4" xfId="18106"/>
    <cellStyle name="Обычный 9 6 4" xfId="18107"/>
    <cellStyle name="Процентный 9 7 4" xfId="18108"/>
    <cellStyle name="Обычный 4 99 4" xfId="18109"/>
    <cellStyle name="Процентный 4 99 4" xfId="18110"/>
    <cellStyle name="Обычный 5 92 4" xfId="18111"/>
    <cellStyle name="Процентный 5 92 4" xfId="18112"/>
    <cellStyle name="Обычный 4 2 86 4" xfId="18113"/>
    <cellStyle name="Процентный 4 2 86 4" xfId="18114"/>
    <cellStyle name="Обычный 5 2 86 4" xfId="18115"/>
    <cellStyle name="Процентный 5 2 86 4" xfId="18116"/>
    <cellStyle name="Обычный 6 83 4" xfId="18117"/>
    <cellStyle name="Процентный 6 83 4" xfId="18118"/>
    <cellStyle name="Обычный 7 53 4" xfId="18119"/>
    <cellStyle name="Процентный 7 53 4" xfId="18120"/>
    <cellStyle name="Обычный 4 3 45 4" xfId="18121"/>
    <cellStyle name="Процентный 4 3 45 4" xfId="18122"/>
    <cellStyle name="Обычный 5 3 45 4" xfId="18123"/>
    <cellStyle name="Процентный 5 3 45 4" xfId="18124"/>
    <cellStyle name="Обычный 4 2 2 45 4" xfId="18125"/>
    <cellStyle name="Процентный 4 2 2 45 4" xfId="18126"/>
    <cellStyle name="Обычный 5 2 2 45 4" xfId="18127"/>
    <cellStyle name="Процентный 5 2 2 45 4" xfId="18128"/>
    <cellStyle name="Обычный 6 2 45 4" xfId="18129"/>
    <cellStyle name="Процентный 6 2 45 4" xfId="18130"/>
    <cellStyle name="Обычный 7 2 45 4" xfId="18131"/>
    <cellStyle name="Процентный 7 2 45 4" xfId="18132"/>
    <cellStyle name="Обычный 8 41 4" xfId="18133"/>
    <cellStyle name="Процентный 8 41 4" xfId="18134"/>
    <cellStyle name="Обычный 9 7 4" xfId="18135"/>
    <cellStyle name="Процентный 9 8 4" xfId="18136"/>
    <cellStyle name="Обычный 4 100 4" xfId="18137"/>
    <cellStyle name="Процентный 4 100 4" xfId="18138"/>
    <cellStyle name="Обычный 5 93 4" xfId="18139"/>
    <cellStyle name="Процентный 5 93 4" xfId="18140"/>
    <cellStyle name="Обычный 4 2 87 4" xfId="18141"/>
    <cellStyle name="Процентный 4 2 87 4" xfId="18142"/>
    <cellStyle name="Обычный 5 2 87 4" xfId="18143"/>
    <cellStyle name="Процентный 5 2 87 4" xfId="18144"/>
    <cellStyle name="Обычный 6 84 4" xfId="18145"/>
    <cellStyle name="Процентный 6 84 4" xfId="18146"/>
    <cellStyle name="Обычный 7 54 4" xfId="18147"/>
    <cellStyle name="Процентный 7 54 4" xfId="18148"/>
    <cellStyle name="Обычный 4 3 46 4" xfId="18149"/>
    <cellStyle name="Процентный 4 3 46 4" xfId="18150"/>
    <cellStyle name="Обычный 5 3 46 4" xfId="18151"/>
    <cellStyle name="Процентный 5 3 46 4" xfId="18152"/>
    <cellStyle name="Обычный 4 2 2 46 4" xfId="18153"/>
    <cellStyle name="Процентный 4 2 2 46 4" xfId="18154"/>
    <cellStyle name="Обычный 5 2 2 46 4" xfId="18155"/>
    <cellStyle name="Процентный 5 2 2 46 4" xfId="18156"/>
    <cellStyle name="Обычный 6 2 46 4" xfId="18157"/>
    <cellStyle name="Процентный 6 2 46 4" xfId="18158"/>
    <cellStyle name="Обычный 7 2 46 4" xfId="18159"/>
    <cellStyle name="Процентный 7 2 46 4" xfId="18160"/>
    <cellStyle name="Обычный 8 42 4" xfId="18161"/>
    <cellStyle name="Процентный 8 42 4" xfId="18162"/>
    <cellStyle name="Обычный 9 8 4" xfId="18163"/>
    <cellStyle name="Процентный 9 9 4" xfId="18164"/>
    <cellStyle name="Обычный 10 106" xfId="18165"/>
    <cellStyle name="Процентный 10 106" xfId="18166"/>
    <cellStyle name="Обычный 4 101 4" xfId="18167"/>
    <cellStyle name="Процентный 4 101 4" xfId="18168"/>
    <cellStyle name="Обычный 5 94 4" xfId="18169"/>
    <cellStyle name="Процентный 5 94 4" xfId="18170"/>
    <cellStyle name="Обычный 4 2 88 4" xfId="18171"/>
    <cellStyle name="Процентный 4 2 88 4" xfId="18172"/>
    <cellStyle name="Обычный 5 2 88 4" xfId="18173"/>
    <cellStyle name="Процентный 5 2 88 4" xfId="18174"/>
    <cellStyle name="Обычный 6 85 4" xfId="18175"/>
    <cellStyle name="Процентный 6 85 4" xfId="18176"/>
    <cellStyle name="Обычный 7 55 4" xfId="18177"/>
    <cellStyle name="Процентный 7 55 4" xfId="18178"/>
    <cellStyle name="Обычный 4 3 47 4" xfId="18179"/>
    <cellStyle name="Процентный 4 3 47 4" xfId="18180"/>
    <cellStyle name="Обычный 5 3 47 4" xfId="18181"/>
    <cellStyle name="Процентный 5 3 47 4" xfId="18182"/>
    <cellStyle name="Обычный 4 2 2 47 4" xfId="18183"/>
    <cellStyle name="Процентный 4 2 2 47 4" xfId="18184"/>
    <cellStyle name="Обычный 5 2 2 47 4" xfId="18185"/>
    <cellStyle name="Процентный 5 2 2 47 4" xfId="18186"/>
    <cellStyle name="Обычный 6 2 47 4" xfId="18187"/>
    <cellStyle name="Процентный 6 2 47 4" xfId="18188"/>
    <cellStyle name="Обычный 7 2 47 4" xfId="18189"/>
    <cellStyle name="Процентный 7 2 47 4" xfId="18190"/>
    <cellStyle name="Обычный 8 43 4" xfId="18191"/>
    <cellStyle name="Процентный 8 43 4" xfId="18192"/>
    <cellStyle name="Обычный 9 9 4" xfId="18193"/>
    <cellStyle name="Процентный 9 10 4" xfId="18194"/>
    <cellStyle name="Обычный 10 2 4" xfId="18195"/>
    <cellStyle name="Процентный 10 2 4" xfId="18196"/>
    <cellStyle name="Обычный 4 102 4" xfId="18197"/>
    <cellStyle name="Процентный 4 102 4" xfId="18198"/>
    <cellStyle name="Обычный 5 95 4" xfId="18199"/>
    <cellStyle name="Процентный 5 95 4" xfId="18200"/>
    <cellStyle name="Обычный 4 2 89 4" xfId="18201"/>
    <cellStyle name="Процентный 4 2 89 4" xfId="18202"/>
    <cellStyle name="Обычный 5 2 89 4" xfId="18203"/>
    <cellStyle name="Процентный 5 2 89 4" xfId="18204"/>
    <cellStyle name="Обычный 6 86 4" xfId="18205"/>
    <cellStyle name="Процентный 6 86 4" xfId="18206"/>
    <cellStyle name="Обычный 7 56 4" xfId="18207"/>
    <cellStyle name="Процентный 7 56 4" xfId="18208"/>
    <cellStyle name="Обычный 4 3 48 4" xfId="18209"/>
    <cellStyle name="Процентный 4 3 48 4" xfId="18210"/>
    <cellStyle name="Обычный 5 3 48 4" xfId="18211"/>
    <cellStyle name="Процентный 5 3 48 4" xfId="18212"/>
    <cellStyle name="Обычный 4 2 2 48 4" xfId="18213"/>
    <cellStyle name="Процентный 4 2 2 48 4" xfId="18214"/>
    <cellStyle name="Обычный 5 2 2 48 4" xfId="18215"/>
    <cellStyle name="Процентный 5 2 2 48 4" xfId="18216"/>
    <cellStyle name="Обычный 6 2 48 4" xfId="18217"/>
    <cellStyle name="Процентный 6 2 48 4" xfId="18218"/>
    <cellStyle name="Обычный 7 2 48 4" xfId="18219"/>
    <cellStyle name="Процентный 7 2 48 4" xfId="18220"/>
    <cellStyle name="Обычный 8 44 4" xfId="18221"/>
    <cellStyle name="Процентный 8 44 4" xfId="18222"/>
    <cellStyle name="Обычный 9 10 4" xfId="18223"/>
    <cellStyle name="Процентный 9 11 4" xfId="18224"/>
    <cellStyle name="Обычный 10 3 4" xfId="18225"/>
    <cellStyle name="Процентный 10 3 4" xfId="18226"/>
    <cellStyle name="Обычный 4 103 4" xfId="18227"/>
    <cellStyle name="Процентный 4 103 4" xfId="18228"/>
    <cellStyle name="Обычный 5 96 4" xfId="18229"/>
    <cellStyle name="Процентный 5 96 4" xfId="18230"/>
    <cellStyle name="Обычный 4 2 90 4" xfId="18231"/>
    <cellStyle name="Процентный 4 2 90 4" xfId="18232"/>
    <cellStyle name="Обычный 5 2 90 4" xfId="18233"/>
    <cellStyle name="Процентный 5 2 90 4" xfId="18234"/>
    <cellStyle name="Обычный 6 87 4" xfId="18235"/>
    <cellStyle name="Процентный 6 87 4" xfId="18236"/>
    <cellStyle name="Обычный 7 57 4" xfId="18237"/>
    <cellStyle name="Процентный 7 57 4" xfId="18238"/>
    <cellStyle name="Обычный 4 3 49 4" xfId="18239"/>
    <cellStyle name="Процентный 4 3 49 4" xfId="18240"/>
    <cellStyle name="Обычный 5 3 49 4" xfId="18241"/>
    <cellStyle name="Процентный 5 3 49 4" xfId="18242"/>
    <cellStyle name="Обычный 4 2 2 49 4" xfId="18243"/>
    <cellStyle name="Процентный 4 2 2 49 4" xfId="18244"/>
    <cellStyle name="Обычный 5 2 2 49 4" xfId="18245"/>
    <cellStyle name="Процентный 5 2 2 49 4" xfId="18246"/>
    <cellStyle name="Обычный 6 2 49 4" xfId="18247"/>
    <cellStyle name="Процентный 6 2 49 4" xfId="18248"/>
    <cellStyle name="Обычный 7 2 49 4" xfId="18249"/>
    <cellStyle name="Процентный 7 2 49 4" xfId="18250"/>
    <cellStyle name="Обычный 8 45 4" xfId="18251"/>
    <cellStyle name="Процентный 8 45 4" xfId="18252"/>
    <cellStyle name="Обычный 9 11 4" xfId="18253"/>
    <cellStyle name="Процентный 9 12 4" xfId="18254"/>
    <cellStyle name="Обычный 10 4 4" xfId="18255"/>
    <cellStyle name="Процентный 10 4 4" xfId="18256"/>
    <cellStyle name="Обычный 4 104 4" xfId="18257"/>
    <cellStyle name="Процентный 4 104 4" xfId="18258"/>
    <cellStyle name="Обычный 5 97 4" xfId="18259"/>
    <cellStyle name="Процентный 5 97 4" xfId="18260"/>
    <cellStyle name="Обычный 4 2 91 4" xfId="18261"/>
    <cellStyle name="Процентный 4 2 91 4" xfId="18262"/>
    <cellStyle name="Обычный 5 2 91 4" xfId="18263"/>
    <cellStyle name="Процентный 5 2 91 4" xfId="18264"/>
    <cellStyle name="Обычный 6 88 4" xfId="18265"/>
    <cellStyle name="Процентный 6 88 4" xfId="18266"/>
    <cellStyle name="Обычный 7 58 4" xfId="18267"/>
    <cellStyle name="Процентный 7 58 4" xfId="18268"/>
    <cellStyle name="Обычный 4 3 50 4" xfId="18269"/>
    <cellStyle name="Процентный 4 3 50 4" xfId="18270"/>
    <cellStyle name="Обычный 5 3 50 4" xfId="18271"/>
    <cellStyle name="Процентный 5 3 50 4" xfId="18272"/>
    <cellStyle name="Обычный 4 2 2 50 4" xfId="18273"/>
    <cellStyle name="Процентный 4 2 2 50 4" xfId="18274"/>
    <cellStyle name="Обычный 5 2 2 50 4" xfId="18275"/>
    <cellStyle name="Процентный 5 2 2 50 4" xfId="18276"/>
    <cellStyle name="Обычный 6 2 50 4" xfId="18277"/>
    <cellStyle name="Процентный 6 2 50 4" xfId="18278"/>
    <cellStyle name="Обычный 7 2 50 4" xfId="18279"/>
    <cellStyle name="Процентный 7 2 50 4" xfId="18280"/>
    <cellStyle name="Обычный 8 46 4" xfId="18281"/>
    <cellStyle name="Процентный 8 46 4" xfId="18282"/>
    <cellStyle name="Обычный 9 12 4" xfId="18283"/>
    <cellStyle name="Процентный 9 13 4" xfId="18284"/>
    <cellStyle name="Обычный 10 5 4" xfId="18285"/>
    <cellStyle name="Процентный 10 5 4" xfId="18286"/>
    <cellStyle name="Обычный 4 105 4" xfId="18287"/>
    <cellStyle name="Процентный 4 105 4" xfId="18288"/>
    <cellStyle name="Обычный 5 98 4" xfId="18289"/>
    <cellStyle name="Процентный 5 98 4" xfId="18290"/>
    <cellStyle name="Обычный 4 2 92 4" xfId="18291"/>
    <cellStyle name="Процентный 4 2 92 4" xfId="18292"/>
    <cellStyle name="Обычный 5 2 92 4" xfId="18293"/>
    <cellStyle name="Процентный 5 2 92 4" xfId="18294"/>
    <cellStyle name="Обычный 6 89 4" xfId="18295"/>
    <cellStyle name="Процентный 6 89 4" xfId="18296"/>
    <cellStyle name="Обычный 7 59 4" xfId="18297"/>
    <cellStyle name="Процентный 7 59 4" xfId="18298"/>
    <cellStyle name="Обычный 4 3 51 4" xfId="18299"/>
    <cellStyle name="Процентный 4 3 51 4" xfId="18300"/>
    <cellStyle name="Обычный 5 3 51 4" xfId="18301"/>
    <cellStyle name="Процентный 5 3 51 4" xfId="18302"/>
    <cellStyle name="Обычный 4 2 2 51 4" xfId="18303"/>
    <cellStyle name="Процентный 4 2 2 51 4" xfId="18304"/>
    <cellStyle name="Обычный 5 2 2 51 4" xfId="18305"/>
    <cellStyle name="Процентный 5 2 2 51 4" xfId="18306"/>
    <cellStyle name="Обычный 6 2 51 4" xfId="18307"/>
    <cellStyle name="Процентный 6 2 51 4" xfId="18308"/>
    <cellStyle name="Обычный 7 2 51 4" xfId="18309"/>
    <cellStyle name="Процентный 7 2 51 4" xfId="18310"/>
    <cellStyle name="Обычный 8 47 4" xfId="18311"/>
    <cellStyle name="Процентный 8 47 4" xfId="18312"/>
    <cellStyle name="Обычный 9 13 4" xfId="18313"/>
    <cellStyle name="Процентный 9 14 4" xfId="18314"/>
    <cellStyle name="Обычный 10 6 4" xfId="18315"/>
    <cellStyle name="Процентный 10 6 4" xfId="18316"/>
    <cellStyle name="Обычный 4 106 4" xfId="18317"/>
    <cellStyle name="Процентный 4 106 4" xfId="18318"/>
    <cellStyle name="Обычный 5 99 4" xfId="18319"/>
    <cellStyle name="Процентный 5 99 4" xfId="18320"/>
    <cellStyle name="Обычный 4 2 93 4" xfId="18321"/>
    <cellStyle name="Процентный 4 2 93 4" xfId="18322"/>
    <cellStyle name="Обычный 5 2 93 4" xfId="18323"/>
    <cellStyle name="Процентный 5 2 93 4" xfId="18324"/>
    <cellStyle name="Обычный 6 90 4" xfId="18325"/>
    <cellStyle name="Процентный 6 90 4" xfId="18326"/>
    <cellStyle name="Обычный 7 60 4" xfId="18327"/>
    <cellStyle name="Процентный 7 60 4" xfId="18328"/>
    <cellStyle name="Обычный 4 3 52 4" xfId="18329"/>
    <cellStyle name="Процентный 4 3 52 4" xfId="18330"/>
    <cellStyle name="Обычный 5 3 52 4" xfId="18331"/>
    <cellStyle name="Процентный 5 3 52 4" xfId="18332"/>
    <cellStyle name="Обычный 4 2 2 52 4" xfId="18333"/>
    <cellStyle name="Процентный 4 2 2 52 4" xfId="18334"/>
    <cellStyle name="Обычный 5 2 2 52 4" xfId="18335"/>
    <cellStyle name="Процентный 5 2 2 52 4" xfId="18336"/>
    <cellStyle name="Обычный 6 2 52 4" xfId="18337"/>
    <cellStyle name="Процентный 6 2 52 4" xfId="18338"/>
    <cellStyle name="Обычный 7 2 52 4" xfId="18339"/>
    <cellStyle name="Процентный 7 2 52 4" xfId="18340"/>
    <cellStyle name="Обычный 8 48 4" xfId="18341"/>
    <cellStyle name="Процентный 8 48 4" xfId="18342"/>
    <cellStyle name="Обычный 9 14 4" xfId="18343"/>
    <cellStyle name="Процентный 9 15 4" xfId="18344"/>
    <cellStyle name="Обычный 10 7 4" xfId="18345"/>
    <cellStyle name="Процентный 10 7 4" xfId="18346"/>
    <cellStyle name="Обычный 4 107 4" xfId="18347"/>
    <cellStyle name="Процентный 4 107 4" xfId="18348"/>
    <cellStyle name="Обычный 5 100 4" xfId="18349"/>
    <cellStyle name="Процентный 5 100 4" xfId="18350"/>
    <cellStyle name="Обычный 4 2 94 4" xfId="18351"/>
    <cellStyle name="Процентный 4 2 94 4" xfId="18352"/>
    <cellStyle name="Обычный 5 2 94 4" xfId="18353"/>
    <cellStyle name="Процентный 5 2 94 4" xfId="18354"/>
    <cellStyle name="Обычный 6 91 4" xfId="18355"/>
    <cellStyle name="Процентный 6 91 4" xfId="18356"/>
    <cellStyle name="Обычный 7 61 4" xfId="18357"/>
    <cellStyle name="Процентный 7 61 4" xfId="18358"/>
    <cellStyle name="Обычный 4 3 53 4" xfId="18359"/>
    <cellStyle name="Процентный 4 3 53 4" xfId="18360"/>
    <cellStyle name="Обычный 5 3 53 4" xfId="18361"/>
    <cellStyle name="Процентный 5 3 53 4" xfId="18362"/>
    <cellStyle name="Обычный 4 2 2 53 4" xfId="18363"/>
    <cellStyle name="Процентный 4 2 2 53 4" xfId="18364"/>
    <cellStyle name="Обычный 5 2 2 53 4" xfId="18365"/>
    <cellStyle name="Процентный 5 2 2 53 4" xfId="18366"/>
    <cellStyle name="Обычный 6 2 53 4" xfId="18367"/>
    <cellStyle name="Процентный 6 2 53 4" xfId="18368"/>
    <cellStyle name="Обычный 7 2 53 4" xfId="18369"/>
    <cellStyle name="Процентный 7 2 53 4" xfId="18370"/>
    <cellStyle name="Обычный 8 49 4" xfId="18371"/>
    <cellStyle name="Процентный 8 49 4" xfId="18372"/>
    <cellStyle name="Обычный 9 15 4" xfId="18373"/>
    <cellStyle name="Процентный 9 16 4" xfId="18374"/>
    <cellStyle name="Обычный 10 8 4" xfId="18375"/>
    <cellStyle name="Процентный 10 8 4" xfId="18376"/>
    <cellStyle name="Обычный 4 108 4" xfId="18377"/>
    <cellStyle name="Процентный 4 108 4" xfId="18378"/>
    <cellStyle name="Обычный 5 101 4" xfId="18379"/>
    <cellStyle name="Процентный 5 101 4" xfId="18380"/>
    <cellStyle name="Обычный 4 2 95 4" xfId="18381"/>
    <cellStyle name="Процентный 4 2 95 4" xfId="18382"/>
    <cellStyle name="Обычный 5 2 95 4" xfId="18383"/>
    <cellStyle name="Процентный 5 2 95 4" xfId="18384"/>
    <cellStyle name="Обычный 6 92 4" xfId="18385"/>
    <cellStyle name="Процентный 6 92 4" xfId="18386"/>
    <cellStyle name="Обычный 7 62 4" xfId="18387"/>
    <cellStyle name="Процентный 7 62 4" xfId="18388"/>
    <cellStyle name="Обычный 4 3 54 4" xfId="18389"/>
    <cellStyle name="Процентный 4 3 54 4" xfId="18390"/>
    <cellStyle name="Обычный 5 3 54 4" xfId="18391"/>
    <cellStyle name="Процентный 5 3 54 4" xfId="18392"/>
    <cellStyle name="Обычный 4 2 2 54 4" xfId="18393"/>
    <cellStyle name="Процентный 4 2 2 54 4" xfId="18394"/>
    <cellStyle name="Обычный 5 2 2 54 4" xfId="18395"/>
    <cellStyle name="Процентный 5 2 2 54 4" xfId="18396"/>
    <cellStyle name="Обычный 6 2 54 4" xfId="18397"/>
    <cellStyle name="Процентный 6 2 54 4" xfId="18398"/>
    <cellStyle name="Обычный 7 2 54 4" xfId="18399"/>
    <cellStyle name="Процентный 7 2 54 4" xfId="18400"/>
    <cellStyle name="Обычный 8 50 4" xfId="18401"/>
    <cellStyle name="Процентный 8 50 4" xfId="18402"/>
    <cellStyle name="Обычный 9 16 4" xfId="18403"/>
    <cellStyle name="Процентный 9 17 4" xfId="18404"/>
    <cellStyle name="Обычный 10 9 4" xfId="18405"/>
    <cellStyle name="Процентный 10 9 4" xfId="18406"/>
    <cellStyle name="Обычный 4 109 4" xfId="18407"/>
    <cellStyle name="Процентный 4 109 4" xfId="18408"/>
    <cellStyle name="Обычный 5 102 4" xfId="18409"/>
    <cellStyle name="Процентный 5 102 4" xfId="18410"/>
    <cellStyle name="Обычный 4 2 96 4" xfId="18411"/>
    <cellStyle name="Процентный 4 2 96 4" xfId="18412"/>
    <cellStyle name="Обычный 5 2 96 4" xfId="18413"/>
    <cellStyle name="Процентный 5 2 96 4" xfId="18414"/>
    <cellStyle name="Обычный 6 93 4" xfId="18415"/>
    <cellStyle name="Процентный 6 93 4" xfId="18416"/>
    <cellStyle name="Обычный 7 63 4" xfId="18417"/>
    <cellStyle name="Процентный 7 63 4" xfId="18418"/>
    <cellStyle name="Обычный 4 3 55 4" xfId="18419"/>
    <cellStyle name="Процентный 4 3 55 4" xfId="18420"/>
    <cellStyle name="Обычный 5 3 55 4" xfId="18421"/>
    <cellStyle name="Процентный 5 3 55 4" xfId="18422"/>
    <cellStyle name="Обычный 4 2 2 55 4" xfId="18423"/>
    <cellStyle name="Процентный 4 2 2 55 4" xfId="18424"/>
    <cellStyle name="Обычный 5 2 2 55 4" xfId="18425"/>
    <cellStyle name="Процентный 5 2 2 55 4" xfId="18426"/>
    <cellStyle name="Обычный 6 2 55 4" xfId="18427"/>
    <cellStyle name="Процентный 6 2 55 4" xfId="18428"/>
    <cellStyle name="Обычный 7 2 55 4" xfId="18429"/>
    <cellStyle name="Процентный 7 2 55 4" xfId="18430"/>
    <cellStyle name="Обычный 8 51 4" xfId="18431"/>
    <cellStyle name="Процентный 8 51 4" xfId="18432"/>
    <cellStyle name="Обычный 9 17 4" xfId="18433"/>
    <cellStyle name="Процентный 9 18 4" xfId="18434"/>
    <cellStyle name="Обычный 10 10 4" xfId="18435"/>
    <cellStyle name="Процентный 10 10 4" xfId="18436"/>
    <cellStyle name="Обычный 4 110 4" xfId="18437"/>
    <cellStyle name="Процентный 4 110 4" xfId="18438"/>
    <cellStyle name="Обычный 5 103 4" xfId="18439"/>
    <cellStyle name="Процентный 5 103 4" xfId="18440"/>
    <cellStyle name="Обычный 4 2 97 4" xfId="18441"/>
    <cellStyle name="Процентный 4 2 97 4" xfId="18442"/>
    <cellStyle name="Обычный 5 2 97 4" xfId="18443"/>
    <cellStyle name="Процентный 5 2 97 4" xfId="18444"/>
    <cellStyle name="Обычный 6 94 4" xfId="18445"/>
    <cellStyle name="Процентный 6 94 4" xfId="18446"/>
    <cellStyle name="Обычный 7 64 4" xfId="18447"/>
    <cellStyle name="Процентный 7 64 4" xfId="18448"/>
    <cellStyle name="Обычный 4 3 56 4" xfId="18449"/>
    <cellStyle name="Процентный 4 3 56 4" xfId="18450"/>
    <cellStyle name="Обычный 5 3 56 4" xfId="18451"/>
    <cellStyle name="Процентный 5 3 56 4" xfId="18452"/>
    <cellStyle name="Обычный 4 2 2 56 4" xfId="18453"/>
    <cellStyle name="Процентный 4 2 2 56 4" xfId="18454"/>
    <cellStyle name="Обычный 5 2 2 56 4" xfId="18455"/>
    <cellStyle name="Процентный 5 2 2 56 4" xfId="18456"/>
    <cellStyle name="Обычный 6 2 56 4" xfId="18457"/>
    <cellStyle name="Процентный 6 2 56 4" xfId="18458"/>
    <cellStyle name="Обычный 7 2 56 4" xfId="18459"/>
    <cellStyle name="Процентный 7 2 56 4" xfId="18460"/>
    <cellStyle name="Обычный 8 52 4" xfId="18461"/>
    <cellStyle name="Процентный 8 52 4" xfId="18462"/>
    <cellStyle name="Обычный 9 18 4" xfId="18463"/>
    <cellStyle name="Процентный 9 19 4" xfId="18464"/>
    <cellStyle name="Обычный 10 11 4" xfId="18465"/>
    <cellStyle name="Процентный 10 11 4" xfId="18466"/>
    <cellStyle name="Обычный 4 111 4" xfId="18467"/>
    <cellStyle name="Процентный 4 111 4" xfId="18468"/>
    <cellStyle name="Обычный 5 104 4" xfId="18469"/>
    <cellStyle name="Процентный 5 104 4" xfId="18470"/>
    <cellStyle name="Обычный 4 2 98 4" xfId="18471"/>
    <cellStyle name="Процентный 4 2 98 4" xfId="18472"/>
    <cellStyle name="Обычный 5 2 98 4" xfId="18473"/>
    <cellStyle name="Процентный 5 2 98 4" xfId="18474"/>
    <cellStyle name="Обычный 6 95 4" xfId="18475"/>
    <cellStyle name="Процентный 6 95 4" xfId="18476"/>
    <cellStyle name="Обычный 7 65 4" xfId="18477"/>
    <cellStyle name="Процентный 7 65 4" xfId="18478"/>
    <cellStyle name="Обычный 4 3 57 4" xfId="18479"/>
    <cellStyle name="Процентный 4 3 57 4" xfId="18480"/>
    <cellStyle name="Обычный 5 3 57 4" xfId="18481"/>
    <cellStyle name="Процентный 5 3 57 4" xfId="18482"/>
    <cellStyle name="Обычный 4 2 2 57 4" xfId="18483"/>
    <cellStyle name="Процентный 4 2 2 57 4" xfId="18484"/>
    <cellStyle name="Обычный 5 2 2 57 4" xfId="18485"/>
    <cellStyle name="Процентный 5 2 2 57 4" xfId="18486"/>
    <cellStyle name="Обычный 6 2 57 4" xfId="18487"/>
    <cellStyle name="Процентный 6 2 57 4" xfId="18488"/>
    <cellStyle name="Обычный 7 2 57 4" xfId="18489"/>
    <cellStyle name="Процентный 7 2 57 4" xfId="18490"/>
    <cellStyle name="Обычный 8 53 4" xfId="18491"/>
    <cellStyle name="Процентный 8 53 4" xfId="18492"/>
    <cellStyle name="Обычный 9 19 4" xfId="18493"/>
    <cellStyle name="Процентный 9 20 4" xfId="18494"/>
    <cellStyle name="Обычный 10 12 4" xfId="18495"/>
    <cellStyle name="Процентный 10 12 4" xfId="18496"/>
    <cellStyle name="Обычный 4 112 4" xfId="18497"/>
    <cellStyle name="Процентный 4 112 4" xfId="18498"/>
    <cellStyle name="Обычный 5 105 4" xfId="18499"/>
    <cellStyle name="Процентный 5 105 4" xfId="18500"/>
    <cellStyle name="Обычный 4 2 99 4" xfId="18501"/>
    <cellStyle name="Процентный 4 2 99 4" xfId="18502"/>
    <cellStyle name="Обычный 5 2 99 4" xfId="18503"/>
    <cellStyle name="Процентный 5 2 99 4" xfId="18504"/>
    <cellStyle name="Обычный 6 96 4" xfId="18505"/>
    <cellStyle name="Процентный 6 96 4" xfId="18506"/>
    <cellStyle name="Обычный 7 66 4" xfId="18507"/>
    <cellStyle name="Процентный 7 66 4" xfId="18508"/>
    <cellStyle name="Обычный 4 3 58 4" xfId="18509"/>
    <cellStyle name="Процентный 4 3 58 4" xfId="18510"/>
    <cellStyle name="Обычный 5 3 58 4" xfId="18511"/>
    <cellStyle name="Процентный 5 3 58 4" xfId="18512"/>
    <cellStyle name="Обычный 4 2 2 58 4" xfId="18513"/>
    <cellStyle name="Процентный 4 2 2 58 4" xfId="18514"/>
    <cellStyle name="Обычный 5 2 2 58 4" xfId="18515"/>
    <cellStyle name="Процентный 5 2 2 58 4" xfId="18516"/>
    <cellStyle name="Обычный 6 2 58 4" xfId="18517"/>
    <cellStyle name="Процентный 6 2 58 4" xfId="18518"/>
    <cellStyle name="Обычный 7 2 58 4" xfId="18519"/>
    <cellStyle name="Процентный 7 2 58 4" xfId="18520"/>
    <cellStyle name="Обычный 8 54 4" xfId="18521"/>
    <cellStyle name="Процентный 8 54 4" xfId="18522"/>
    <cellStyle name="Обычный 9 20 4" xfId="18523"/>
    <cellStyle name="Процентный 9 21 4" xfId="18524"/>
    <cellStyle name="Обычный 10 13 4" xfId="18525"/>
    <cellStyle name="Процентный 10 13 4" xfId="18526"/>
    <cellStyle name="Обычный 11 94" xfId="18527"/>
    <cellStyle name="Процентный 11 94" xfId="18528"/>
    <cellStyle name="Обычный 4 113 4" xfId="18529"/>
    <cellStyle name="Процентный 4 113 4" xfId="18530"/>
    <cellStyle name="Обычный 5 106 4" xfId="18531"/>
    <cellStyle name="Процентный 5 106 4" xfId="18532"/>
    <cellStyle name="Обычный 4 2 100 4" xfId="18533"/>
    <cellStyle name="Процентный 4 2 100 4" xfId="18534"/>
    <cellStyle name="Обычный 5 2 100 4" xfId="18535"/>
    <cellStyle name="Процентный 5 2 100 4" xfId="18536"/>
    <cellStyle name="Обычный 6 97 4" xfId="18537"/>
    <cellStyle name="Процентный 6 97 4" xfId="18538"/>
    <cellStyle name="Обычный 7 67 4" xfId="18539"/>
    <cellStyle name="Процентный 7 67 4" xfId="18540"/>
    <cellStyle name="Обычный 4 3 59 4" xfId="18541"/>
    <cellStyle name="Процентный 4 3 59 4" xfId="18542"/>
    <cellStyle name="Обычный 5 3 59 4" xfId="18543"/>
    <cellStyle name="Процентный 5 3 59 4" xfId="18544"/>
    <cellStyle name="Обычный 4 2 2 59 4" xfId="18545"/>
    <cellStyle name="Процентный 4 2 2 59 4" xfId="18546"/>
    <cellStyle name="Обычный 5 2 2 59 4" xfId="18547"/>
    <cellStyle name="Процентный 5 2 2 59 4" xfId="18548"/>
    <cellStyle name="Обычный 6 2 59 4" xfId="18549"/>
    <cellStyle name="Процентный 6 2 59 4" xfId="18550"/>
    <cellStyle name="Обычный 7 2 59 4" xfId="18551"/>
    <cellStyle name="Процентный 7 2 59 4" xfId="18552"/>
    <cellStyle name="Обычный 8 55 4" xfId="18553"/>
    <cellStyle name="Процентный 8 55 4" xfId="18554"/>
    <cellStyle name="Обычный 9 21 4" xfId="18555"/>
    <cellStyle name="Процентный 9 22 4" xfId="18556"/>
    <cellStyle name="Обычный 10 14 4" xfId="18557"/>
    <cellStyle name="Процентный 10 14 4" xfId="18558"/>
    <cellStyle name="Обычный 11 2 4" xfId="18559"/>
    <cellStyle name="Процентный 11 2 4" xfId="18560"/>
    <cellStyle name="Обычный 12 4" xfId="18561"/>
    <cellStyle name="Процентный 12 4" xfId="18562"/>
    <cellStyle name="Обычный 4 114 4" xfId="18563"/>
    <cellStyle name="Процентный 4 114 4" xfId="18564"/>
    <cellStyle name="Обычный 5 107 4" xfId="18565"/>
    <cellStyle name="Процентный 5 107 4" xfId="18566"/>
    <cellStyle name="Обычный 4 2 101 4" xfId="18567"/>
    <cellStyle name="Процентный 4 2 101 4" xfId="18568"/>
    <cellStyle name="Обычный 5 2 101 4" xfId="18569"/>
    <cellStyle name="Процентный 5 2 101 4" xfId="18570"/>
    <cellStyle name="Обычный 6 98 4" xfId="18571"/>
    <cellStyle name="Процентный 6 98 4" xfId="18572"/>
    <cellStyle name="Обычный 7 68 4" xfId="18573"/>
    <cellStyle name="Процентный 7 68 4" xfId="18574"/>
    <cellStyle name="Обычный 4 3 60 4" xfId="18575"/>
    <cellStyle name="Процентный 4 3 60 4" xfId="18576"/>
    <cellStyle name="Обычный 5 3 60 4" xfId="18577"/>
    <cellStyle name="Процентный 5 3 60 4" xfId="18578"/>
    <cellStyle name="Обычный 4 2 2 60 4" xfId="18579"/>
    <cellStyle name="Процентный 4 2 2 60 4" xfId="18580"/>
    <cellStyle name="Обычный 5 2 2 60 4" xfId="18581"/>
    <cellStyle name="Процентный 5 2 2 60 4" xfId="18582"/>
    <cellStyle name="Обычный 6 2 60 4" xfId="18583"/>
    <cellStyle name="Процентный 6 2 60 4" xfId="18584"/>
    <cellStyle name="Обычный 7 2 60 4" xfId="18585"/>
    <cellStyle name="Процентный 7 2 60 4" xfId="18586"/>
    <cellStyle name="Обычный 8 56 4" xfId="18587"/>
    <cellStyle name="Процентный 8 56 4" xfId="18588"/>
    <cellStyle name="Обычный 9 22 4" xfId="18589"/>
    <cellStyle name="Процентный 9 23 4" xfId="18590"/>
    <cellStyle name="Обычный 10 15 4" xfId="18591"/>
    <cellStyle name="Процентный 10 15 4" xfId="18592"/>
    <cellStyle name="Обычный 11 3 4" xfId="18593"/>
    <cellStyle name="Процентный 11 3 4" xfId="18594"/>
    <cellStyle name="Обычный 4 115 4" xfId="18595"/>
    <cellStyle name="Процентный 4 115 4" xfId="18596"/>
    <cellStyle name="Обычный 5 108 4" xfId="18597"/>
    <cellStyle name="Процентный 5 108 4" xfId="18598"/>
    <cellStyle name="Обычный 4 2 102 4" xfId="18599"/>
    <cellStyle name="Процентный 4 2 102 4" xfId="18600"/>
    <cellStyle name="Обычный 5 2 102 4" xfId="18601"/>
    <cellStyle name="Процентный 5 2 102 4" xfId="18602"/>
    <cellStyle name="Обычный 6 99 4" xfId="18603"/>
    <cellStyle name="Процентный 6 99 4" xfId="18604"/>
    <cellStyle name="Обычный 7 69 4" xfId="18605"/>
    <cellStyle name="Процентный 7 69 4" xfId="18606"/>
    <cellStyle name="Обычный 4 3 61 4" xfId="18607"/>
    <cellStyle name="Процентный 4 3 61 4" xfId="18608"/>
    <cellStyle name="Обычный 5 3 61 4" xfId="18609"/>
    <cellStyle name="Процентный 5 3 61 4" xfId="18610"/>
    <cellStyle name="Обычный 4 2 2 61 4" xfId="18611"/>
    <cellStyle name="Процентный 4 2 2 61 4" xfId="18612"/>
    <cellStyle name="Обычный 5 2 2 61 4" xfId="18613"/>
    <cellStyle name="Процентный 5 2 2 61 4" xfId="18614"/>
    <cellStyle name="Обычный 6 2 61 4" xfId="18615"/>
    <cellStyle name="Процентный 6 2 61 4" xfId="18616"/>
    <cellStyle name="Обычный 7 2 61 4" xfId="18617"/>
    <cellStyle name="Процентный 7 2 61 4" xfId="18618"/>
    <cellStyle name="Обычный 8 57 4" xfId="18619"/>
    <cellStyle name="Процентный 8 57 4" xfId="18620"/>
    <cellStyle name="Обычный 9 23 4" xfId="18621"/>
    <cellStyle name="Процентный 9 24 4" xfId="18622"/>
    <cellStyle name="Обычный 10 16 4" xfId="18623"/>
    <cellStyle name="Процентный 10 16 4" xfId="18624"/>
    <cellStyle name="Обычный 11 4 4" xfId="18625"/>
    <cellStyle name="Процентный 11 4 4" xfId="18626"/>
    <cellStyle name="Обычный 4 116 4" xfId="18627"/>
    <cellStyle name="Процентный 4 116 4" xfId="18628"/>
    <cellStyle name="Обычный 5 109 4" xfId="18629"/>
    <cellStyle name="Процентный 5 109 4" xfId="18630"/>
    <cellStyle name="Обычный 4 2 103 4" xfId="18631"/>
    <cellStyle name="Процентный 4 2 103 4" xfId="18632"/>
    <cellStyle name="Обычный 5 2 103 4" xfId="18633"/>
    <cellStyle name="Процентный 5 2 103 4" xfId="18634"/>
    <cellStyle name="Обычный 6 100 4" xfId="18635"/>
    <cellStyle name="Процентный 6 100 4" xfId="18636"/>
    <cellStyle name="Обычный 7 70 4" xfId="18637"/>
    <cellStyle name="Процентный 7 70 4" xfId="18638"/>
    <cellStyle name="Обычный 4 3 62 4" xfId="18639"/>
    <cellStyle name="Процентный 4 3 62 4" xfId="18640"/>
    <cellStyle name="Обычный 5 3 62 4" xfId="18641"/>
    <cellStyle name="Процентный 5 3 62 4" xfId="18642"/>
    <cellStyle name="Обычный 4 2 2 62 4" xfId="18643"/>
    <cellStyle name="Процентный 4 2 2 62 4" xfId="18644"/>
    <cellStyle name="Обычный 5 2 2 62 4" xfId="18645"/>
    <cellStyle name="Процентный 5 2 2 62 4" xfId="18646"/>
    <cellStyle name="Обычный 6 2 62 4" xfId="18647"/>
    <cellStyle name="Процентный 6 2 62 4" xfId="18648"/>
    <cellStyle name="Обычный 7 2 62 4" xfId="18649"/>
    <cellStyle name="Процентный 7 2 62 4" xfId="18650"/>
    <cellStyle name="Обычный 8 58 4" xfId="18651"/>
    <cellStyle name="Процентный 8 58 4" xfId="18652"/>
    <cellStyle name="Обычный 9 24 4" xfId="18653"/>
    <cellStyle name="Процентный 9 25 4" xfId="18654"/>
    <cellStyle name="Обычный 10 17 4" xfId="18655"/>
    <cellStyle name="Процентный 10 17 4" xfId="18656"/>
    <cellStyle name="Обычный 11 5 4" xfId="18657"/>
    <cellStyle name="Процентный 11 5 4" xfId="18658"/>
    <cellStyle name="Обычный 4 117 4" xfId="18659"/>
    <cellStyle name="Процентный 4 117 4" xfId="18660"/>
    <cellStyle name="Обычный 5 110 4" xfId="18661"/>
    <cellStyle name="Процентный 5 110 4" xfId="18662"/>
    <cellStyle name="Обычный 4 2 104 4" xfId="18663"/>
    <cellStyle name="Процентный 4 2 104 4" xfId="18664"/>
    <cellStyle name="Обычный 5 2 104 4" xfId="18665"/>
    <cellStyle name="Процентный 5 2 104 4" xfId="18666"/>
    <cellStyle name="Обычный 6 101 4" xfId="18667"/>
    <cellStyle name="Процентный 6 101 4" xfId="18668"/>
    <cellStyle name="Обычный 7 71 4" xfId="18669"/>
    <cellStyle name="Процентный 7 71 4" xfId="18670"/>
    <cellStyle name="Обычный 4 3 63 4" xfId="18671"/>
    <cellStyle name="Процентный 4 3 63 4" xfId="18672"/>
    <cellStyle name="Обычный 5 3 63 4" xfId="18673"/>
    <cellStyle name="Процентный 5 3 63 4" xfId="18674"/>
    <cellStyle name="Обычный 4 2 2 63 4" xfId="18675"/>
    <cellStyle name="Процентный 4 2 2 63 4" xfId="18676"/>
    <cellStyle name="Обычный 5 2 2 63 4" xfId="18677"/>
    <cellStyle name="Процентный 5 2 2 63 4" xfId="18678"/>
    <cellStyle name="Обычный 6 2 63 4" xfId="18679"/>
    <cellStyle name="Процентный 6 2 63 4" xfId="18680"/>
    <cellStyle name="Обычный 7 2 63 4" xfId="18681"/>
    <cellStyle name="Процентный 7 2 63 4" xfId="18682"/>
    <cellStyle name="Обычный 8 59 4" xfId="18683"/>
    <cellStyle name="Процентный 8 59 4" xfId="18684"/>
    <cellStyle name="Обычный 9 25 4" xfId="18685"/>
    <cellStyle name="Процентный 9 26 4" xfId="18686"/>
    <cellStyle name="Обычный 10 18 4" xfId="18687"/>
    <cellStyle name="Процентный 10 18 4" xfId="18688"/>
    <cellStyle name="Обычный 11 6 4" xfId="18689"/>
    <cellStyle name="Процентный 11 6 4" xfId="18690"/>
    <cellStyle name="Обычный 4 118 4" xfId="18691"/>
    <cellStyle name="Процентный 4 118 4" xfId="18692"/>
    <cellStyle name="Обычный 5 111 4" xfId="18693"/>
    <cellStyle name="Процентный 5 111 4" xfId="18694"/>
    <cellStyle name="Обычный 4 2 105 4" xfId="18695"/>
    <cellStyle name="Процентный 4 2 105 4" xfId="18696"/>
    <cellStyle name="Обычный 5 2 105 4" xfId="18697"/>
    <cellStyle name="Процентный 5 2 105 4" xfId="18698"/>
    <cellStyle name="Обычный 6 102 4" xfId="18699"/>
    <cellStyle name="Процентный 6 102 4" xfId="18700"/>
    <cellStyle name="Обычный 7 72 4" xfId="18701"/>
    <cellStyle name="Процентный 7 72 4" xfId="18702"/>
    <cellStyle name="Обычный 4 3 64 4" xfId="18703"/>
    <cellStyle name="Процентный 4 3 64 4" xfId="18704"/>
    <cellStyle name="Обычный 5 3 64 4" xfId="18705"/>
    <cellStyle name="Процентный 5 3 64 4" xfId="18706"/>
    <cellStyle name="Обычный 4 2 2 64 4" xfId="18707"/>
    <cellStyle name="Процентный 4 2 2 64 4" xfId="18708"/>
    <cellStyle name="Обычный 5 2 2 64 4" xfId="18709"/>
    <cellStyle name="Процентный 5 2 2 64 4" xfId="18710"/>
    <cellStyle name="Обычный 6 2 64 4" xfId="18711"/>
    <cellStyle name="Процентный 6 2 64 4" xfId="18712"/>
    <cellStyle name="Обычный 7 2 64 4" xfId="18713"/>
    <cellStyle name="Процентный 7 2 64 4" xfId="18714"/>
    <cellStyle name="Обычный 8 60 4" xfId="18715"/>
    <cellStyle name="Процентный 8 60 4" xfId="18716"/>
    <cellStyle name="Обычный 9 26 4" xfId="18717"/>
    <cellStyle name="Процентный 9 27 4" xfId="18718"/>
    <cellStyle name="Обычный 10 19 4" xfId="18719"/>
    <cellStyle name="Процентный 10 19 4" xfId="18720"/>
    <cellStyle name="Обычный 11 7 4" xfId="18721"/>
    <cellStyle name="Процентный 11 7 4" xfId="18722"/>
    <cellStyle name="Обычный 4 119 4" xfId="18723"/>
    <cellStyle name="Процентный 4 119 4" xfId="18724"/>
    <cellStyle name="Обычный 5 112 4" xfId="18725"/>
    <cellStyle name="Процентный 5 112 4" xfId="18726"/>
    <cellStyle name="Обычный 4 2 106 4" xfId="18727"/>
    <cellStyle name="Процентный 4 2 106 4" xfId="18728"/>
    <cellStyle name="Обычный 5 2 106 4" xfId="18729"/>
    <cellStyle name="Процентный 5 2 106 4" xfId="18730"/>
    <cellStyle name="Обычный 6 103 4" xfId="18731"/>
    <cellStyle name="Процентный 6 103 4" xfId="18732"/>
    <cellStyle name="Обычный 7 73 4" xfId="18733"/>
    <cellStyle name="Процентный 7 73 4" xfId="18734"/>
    <cellStyle name="Обычный 4 3 65 4" xfId="18735"/>
    <cellStyle name="Процентный 4 3 65 4" xfId="18736"/>
    <cellStyle name="Обычный 5 3 65 4" xfId="18737"/>
    <cellStyle name="Процентный 5 3 65 4" xfId="18738"/>
    <cellStyle name="Обычный 4 2 2 65 4" xfId="18739"/>
    <cellStyle name="Процентный 4 2 2 65 4" xfId="18740"/>
    <cellStyle name="Обычный 5 2 2 65 4" xfId="18741"/>
    <cellStyle name="Процентный 5 2 2 65 4" xfId="18742"/>
    <cellStyle name="Обычный 6 2 65 4" xfId="18743"/>
    <cellStyle name="Процентный 6 2 65 4" xfId="18744"/>
    <cellStyle name="Обычный 7 2 65 4" xfId="18745"/>
    <cellStyle name="Процентный 7 2 65 4" xfId="18746"/>
    <cellStyle name="Обычный 8 61 4" xfId="18747"/>
    <cellStyle name="Процентный 8 61 4" xfId="18748"/>
    <cellStyle name="Обычный 9 27 4" xfId="18749"/>
    <cellStyle name="Процентный 9 28 4" xfId="18750"/>
    <cellStyle name="Обычный 10 20 4" xfId="18751"/>
    <cellStyle name="Процентный 10 20 4" xfId="18752"/>
    <cellStyle name="Обычный 11 8 4" xfId="18753"/>
    <cellStyle name="Процентный 11 8 4" xfId="18754"/>
    <cellStyle name="Обычный 4 120 4" xfId="18755"/>
    <cellStyle name="Процентный 4 120 4" xfId="18756"/>
    <cellStyle name="Обычный 5 113 4" xfId="18757"/>
    <cellStyle name="Процентный 5 113 4" xfId="18758"/>
    <cellStyle name="Обычный 4 2 107 4" xfId="18759"/>
    <cellStyle name="Процентный 4 2 107 4" xfId="18760"/>
    <cellStyle name="Обычный 5 2 107 4" xfId="18761"/>
    <cellStyle name="Процентный 5 2 107 4" xfId="18762"/>
    <cellStyle name="Обычный 6 104 4" xfId="18763"/>
    <cellStyle name="Процентный 6 104 4" xfId="18764"/>
    <cellStyle name="Обычный 7 74 4" xfId="18765"/>
    <cellStyle name="Процентный 7 74 4" xfId="18766"/>
    <cellStyle name="Обычный 4 3 66 4" xfId="18767"/>
    <cellStyle name="Процентный 4 3 66 4" xfId="18768"/>
    <cellStyle name="Обычный 5 3 66 4" xfId="18769"/>
    <cellStyle name="Процентный 5 3 66 4" xfId="18770"/>
    <cellStyle name="Обычный 4 2 2 66 4" xfId="18771"/>
    <cellStyle name="Процентный 4 2 2 66 4" xfId="18772"/>
    <cellStyle name="Обычный 5 2 2 66 4" xfId="18773"/>
    <cellStyle name="Процентный 5 2 2 66 4" xfId="18774"/>
    <cellStyle name="Обычный 6 2 66 4" xfId="18775"/>
    <cellStyle name="Процентный 6 2 66 4" xfId="18776"/>
    <cellStyle name="Обычный 7 2 66 4" xfId="18777"/>
    <cellStyle name="Процентный 7 2 66 4" xfId="18778"/>
    <cellStyle name="Обычный 8 62 4" xfId="18779"/>
    <cellStyle name="Процентный 8 62 4" xfId="18780"/>
    <cellStyle name="Обычный 9 28 4" xfId="18781"/>
    <cellStyle name="Процентный 9 29 4" xfId="18782"/>
    <cellStyle name="Обычный 10 21 4" xfId="18783"/>
    <cellStyle name="Процентный 10 21 4" xfId="18784"/>
    <cellStyle name="Обычный 11 9 4" xfId="18785"/>
    <cellStyle name="Процентный 11 9 4" xfId="18786"/>
    <cellStyle name="Обычный 13 4" xfId="18787"/>
    <cellStyle name="Процентный 13 4" xfId="18788"/>
    <cellStyle name="Обычный 4 121 4" xfId="18789"/>
    <cellStyle name="Процентный 4 121 4" xfId="18790"/>
    <cellStyle name="Обычный 5 114 4" xfId="18791"/>
    <cellStyle name="Процентный 5 114 4" xfId="18792"/>
    <cellStyle name="Обычный 4 2 108 4" xfId="18793"/>
    <cellStyle name="Процентный 4 2 108 4" xfId="18794"/>
    <cellStyle name="Обычный 5 2 108 4" xfId="18795"/>
    <cellStyle name="Процентный 5 2 108 4" xfId="18796"/>
    <cellStyle name="Обычный 6 105 4" xfId="18797"/>
    <cellStyle name="Процентный 6 105 4" xfId="18798"/>
    <cellStyle name="Обычный 7 75 4" xfId="18799"/>
    <cellStyle name="Процентный 7 75 4" xfId="18800"/>
    <cellStyle name="Обычный 4 3 67 4" xfId="18801"/>
    <cellStyle name="Процентный 4 3 67 4" xfId="18802"/>
    <cellStyle name="Обычный 5 3 67 4" xfId="18803"/>
    <cellStyle name="Процентный 5 3 67 4" xfId="18804"/>
    <cellStyle name="Обычный 4 2 2 67 4" xfId="18805"/>
    <cellStyle name="Процентный 4 2 2 67 4" xfId="18806"/>
    <cellStyle name="Обычный 5 2 2 67 4" xfId="18807"/>
    <cellStyle name="Процентный 5 2 2 67 4" xfId="18808"/>
    <cellStyle name="Обычный 6 2 67 4" xfId="18809"/>
    <cellStyle name="Процентный 6 2 67 4" xfId="18810"/>
    <cellStyle name="Обычный 7 2 67 4" xfId="18811"/>
    <cellStyle name="Процентный 7 2 67 4" xfId="18812"/>
    <cellStyle name="Обычный 8 63 4" xfId="18813"/>
    <cellStyle name="Процентный 8 63 4" xfId="18814"/>
    <cellStyle name="Обычный 9 29 4" xfId="18815"/>
    <cellStyle name="Процентный 9 30 4" xfId="18816"/>
    <cellStyle name="Обычный 10 22 4" xfId="18817"/>
    <cellStyle name="Процентный 10 22 4" xfId="18818"/>
    <cellStyle name="Обычный 11 10 4" xfId="18819"/>
    <cellStyle name="Процентный 11 10 4" xfId="18820"/>
    <cellStyle name="Обычный 4 122 4" xfId="18821"/>
    <cellStyle name="Процентный 4 122 4" xfId="18822"/>
    <cellStyle name="Обычный 5 115 4" xfId="18823"/>
    <cellStyle name="Процентный 5 115 4" xfId="18824"/>
    <cellStyle name="Обычный 4 2 109 4" xfId="18825"/>
    <cellStyle name="Процентный 4 2 109 4" xfId="18826"/>
    <cellStyle name="Обычный 5 2 109 4" xfId="18827"/>
    <cellStyle name="Процентный 5 2 109 4" xfId="18828"/>
    <cellStyle name="Обычный 6 106 4" xfId="18829"/>
    <cellStyle name="Процентный 6 106 4" xfId="18830"/>
    <cellStyle name="Обычный 7 76 4" xfId="18831"/>
    <cellStyle name="Процентный 7 76 4" xfId="18832"/>
    <cellStyle name="Обычный 4 3 68 4" xfId="18833"/>
    <cellStyle name="Процентный 4 3 68 4" xfId="18834"/>
    <cellStyle name="Обычный 5 3 68 4" xfId="18835"/>
    <cellStyle name="Процентный 5 3 68 4" xfId="18836"/>
    <cellStyle name="Обычный 4 2 2 68 4" xfId="18837"/>
    <cellStyle name="Процентный 4 2 2 68 4" xfId="18838"/>
    <cellStyle name="Обычный 5 2 2 68 4" xfId="18839"/>
    <cellStyle name="Процентный 5 2 2 68 4" xfId="18840"/>
    <cellStyle name="Обычный 6 2 68 4" xfId="18841"/>
    <cellStyle name="Процентный 6 2 68 4" xfId="18842"/>
    <cellStyle name="Обычный 7 2 68 4" xfId="18843"/>
    <cellStyle name="Процентный 7 2 68 4" xfId="18844"/>
    <cellStyle name="Обычный 8 64 4" xfId="18845"/>
    <cellStyle name="Процентный 8 64 4" xfId="18846"/>
    <cellStyle name="Обычный 9 30 4" xfId="18847"/>
    <cellStyle name="Процентный 9 31 4" xfId="18848"/>
    <cellStyle name="Обычный 10 23 4" xfId="18849"/>
    <cellStyle name="Процентный 10 23 4" xfId="18850"/>
    <cellStyle name="Обычный 11 11 4" xfId="18851"/>
    <cellStyle name="Процентный 11 11 4" xfId="18852"/>
    <cellStyle name="Обычный 4 123 4" xfId="18853"/>
    <cellStyle name="Процентный 4 123 4" xfId="18854"/>
    <cellStyle name="Обычный 5 116 4" xfId="18855"/>
    <cellStyle name="Процентный 5 116 4" xfId="18856"/>
    <cellStyle name="Обычный 4 2 110 4" xfId="18857"/>
    <cellStyle name="Процентный 4 2 110 4" xfId="18858"/>
    <cellStyle name="Обычный 5 2 110 4" xfId="18859"/>
    <cellStyle name="Процентный 5 2 110 4" xfId="18860"/>
    <cellStyle name="Обычный 6 107 4" xfId="18861"/>
    <cellStyle name="Процентный 6 107 4" xfId="18862"/>
    <cellStyle name="Обычный 7 77 4" xfId="18863"/>
    <cellStyle name="Процентный 7 77 4" xfId="18864"/>
    <cellStyle name="Обычный 4 3 69 4" xfId="18865"/>
    <cellStyle name="Процентный 4 3 69 4" xfId="18866"/>
    <cellStyle name="Обычный 5 3 69 4" xfId="18867"/>
    <cellStyle name="Процентный 5 3 69 4" xfId="18868"/>
    <cellStyle name="Обычный 4 2 2 69 4" xfId="18869"/>
    <cellStyle name="Процентный 4 2 2 69 4" xfId="18870"/>
    <cellStyle name="Обычный 5 2 2 69 4" xfId="18871"/>
    <cellStyle name="Процентный 5 2 2 69 4" xfId="18872"/>
    <cellStyle name="Обычный 6 2 69 4" xfId="18873"/>
    <cellStyle name="Процентный 6 2 69 4" xfId="18874"/>
    <cellStyle name="Обычный 7 2 69 4" xfId="18875"/>
    <cellStyle name="Процентный 7 2 69 4" xfId="18876"/>
    <cellStyle name="Обычный 8 65 4" xfId="18877"/>
    <cellStyle name="Процентный 8 65 4" xfId="18878"/>
    <cellStyle name="Обычный 9 31 4" xfId="18879"/>
    <cellStyle name="Процентный 9 32 4" xfId="18880"/>
    <cellStyle name="Обычный 10 24 4" xfId="18881"/>
    <cellStyle name="Процентный 10 24 4" xfId="18882"/>
    <cellStyle name="Обычный 11 12 4" xfId="18883"/>
    <cellStyle name="Процентный 11 12 4" xfId="18884"/>
    <cellStyle name="Обычный 4 124 4" xfId="18885"/>
    <cellStyle name="Процентный 4 124 4" xfId="18886"/>
    <cellStyle name="Обычный 5 117 4" xfId="18887"/>
    <cellStyle name="Процентный 5 117 4" xfId="18888"/>
    <cellStyle name="Обычный 4 2 111 4" xfId="18889"/>
    <cellStyle name="Процентный 4 2 111 4" xfId="18890"/>
    <cellStyle name="Обычный 5 2 111 4" xfId="18891"/>
    <cellStyle name="Процентный 5 2 111 4" xfId="18892"/>
    <cellStyle name="Обычный 6 108 4" xfId="18893"/>
    <cellStyle name="Процентный 6 108 4" xfId="18894"/>
    <cellStyle name="Обычный 7 78 4" xfId="18895"/>
    <cellStyle name="Процентный 7 78 4" xfId="18896"/>
    <cellStyle name="Обычный 4 3 70 4" xfId="18897"/>
    <cellStyle name="Процентный 4 3 70 4" xfId="18898"/>
    <cellStyle name="Обычный 5 3 70 4" xfId="18899"/>
    <cellStyle name="Процентный 5 3 70 4" xfId="18900"/>
    <cellStyle name="Обычный 4 2 2 70 4" xfId="18901"/>
    <cellStyle name="Процентный 4 2 2 70 4" xfId="18902"/>
    <cellStyle name="Обычный 5 2 2 70 4" xfId="18903"/>
    <cellStyle name="Процентный 5 2 2 70 4" xfId="18904"/>
    <cellStyle name="Обычный 6 2 70 4" xfId="18905"/>
    <cellStyle name="Процентный 6 2 70 4" xfId="18906"/>
    <cellStyle name="Обычный 7 2 70 4" xfId="18907"/>
    <cellStyle name="Процентный 7 2 70 4" xfId="18908"/>
    <cellStyle name="Обычный 8 66 4" xfId="18909"/>
    <cellStyle name="Процентный 8 66 4" xfId="18910"/>
    <cellStyle name="Обычный 9 32 4" xfId="18911"/>
    <cellStyle name="Процентный 9 33 4" xfId="18912"/>
    <cellStyle name="Обычный 10 25 4" xfId="18913"/>
    <cellStyle name="Процентный 10 25 4" xfId="18914"/>
    <cellStyle name="Обычный 11 13 4" xfId="18915"/>
    <cellStyle name="Процентный 11 13 4" xfId="18916"/>
    <cellStyle name="Обычный 4 125 4" xfId="18917"/>
    <cellStyle name="Процентный 4 125 4" xfId="18918"/>
    <cellStyle name="Обычный 5 118 4" xfId="18919"/>
    <cellStyle name="Процентный 5 118 4" xfId="18920"/>
    <cellStyle name="Обычный 4 2 112 4" xfId="18921"/>
    <cellStyle name="Процентный 4 2 112 4" xfId="18922"/>
    <cellStyle name="Обычный 5 2 112 4" xfId="18923"/>
    <cellStyle name="Процентный 5 2 112 4" xfId="18924"/>
    <cellStyle name="Обычный 6 109 4" xfId="18925"/>
    <cellStyle name="Процентный 6 109 4" xfId="18926"/>
    <cellStyle name="Обычный 7 79 4" xfId="18927"/>
    <cellStyle name="Процентный 7 79 4" xfId="18928"/>
    <cellStyle name="Обычный 4 3 71 4" xfId="18929"/>
    <cellStyle name="Процентный 4 3 71 4" xfId="18930"/>
    <cellStyle name="Обычный 5 3 71 4" xfId="18931"/>
    <cellStyle name="Процентный 5 3 71 4" xfId="18932"/>
    <cellStyle name="Обычный 4 2 2 71 4" xfId="18933"/>
    <cellStyle name="Процентный 4 2 2 71 4" xfId="18934"/>
    <cellStyle name="Обычный 5 2 2 71 4" xfId="18935"/>
    <cellStyle name="Процентный 5 2 2 71 4" xfId="18936"/>
    <cellStyle name="Обычный 6 2 71 4" xfId="18937"/>
    <cellStyle name="Процентный 6 2 71 4" xfId="18938"/>
    <cellStyle name="Обычный 7 2 71 4" xfId="18939"/>
    <cellStyle name="Процентный 7 2 71 4" xfId="18940"/>
    <cellStyle name="Обычный 8 67 4" xfId="18941"/>
    <cellStyle name="Процентный 8 67 4" xfId="18942"/>
    <cellStyle name="Обычный 9 33 4" xfId="18943"/>
    <cellStyle name="Процентный 9 34 4" xfId="18944"/>
    <cellStyle name="Обычный 10 26 4" xfId="18945"/>
    <cellStyle name="Процентный 10 26 4" xfId="18946"/>
    <cellStyle name="Обычный 11 14 4" xfId="18947"/>
    <cellStyle name="Процентный 11 14 4" xfId="18948"/>
    <cellStyle name="Обычный 4 126 4" xfId="18949"/>
    <cellStyle name="Процентный 4 126 4" xfId="18950"/>
    <cellStyle name="Обычный 5 119 4" xfId="18951"/>
    <cellStyle name="Процентный 5 119 4" xfId="18952"/>
    <cellStyle name="Обычный 4 2 113 4" xfId="18953"/>
    <cellStyle name="Процентный 4 2 113 4" xfId="18954"/>
    <cellStyle name="Обычный 5 2 113 4" xfId="18955"/>
    <cellStyle name="Процентный 5 2 113 4" xfId="18956"/>
    <cellStyle name="Обычный 6 110 4" xfId="18957"/>
    <cellStyle name="Процентный 6 110 4" xfId="18958"/>
    <cellStyle name="Обычный 7 80 4" xfId="18959"/>
    <cellStyle name="Процентный 7 80 4" xfId="18960"/>
    <cellStyle name="Обычный 4 3 72 4" xfId="18961"/>
    <cellStyle name="Процентный 4 3 72 4" xfId="18962"/>
    <cellStyle name="Обычный 5 3 72 4" xfId="18963"/>
    <cellStyle name="Процентный 5 3 72 4" xfId="18964"/>
    <cellStyle name="Обычный 4 2 2 72 4" xfId="18965"/>
    <cellStyle name="Процентный 4 2 2 72 4" xfId="18966"/>
    <cellStyle name="Обычный 5 2 2 72 4" xfId="18967"/>
    <cellStyle name="Процентный 5 2 2 72 4" xfId="18968"/>
    <cellStyle name="Обычный 6 2 72 4" xfId="18969"/>
    <cellStyle name="Процентный 6 2 72 4" xfId="18970"/>
    <cellStyle name="Обычный 7 2 72 4" xfId="18971"/>
    <cellStyle name="Процентный 7 2 72 4" xfId="18972"/>
    <cellStyle name="Обычный 8 68 4" xfId="18973"/>
    <cellStyle name="Процентный 8 68 4" xfId="18974"/>
    <cellStyle name="Обычный 9 34 4" xfId="18975"/>
    <cellStyle name="Процентный 9 35 4" xfId="18976"/>
    <cellStyle name="Обычный 10 27 4" xfId="18977"/>
    <cellStyle name="Процентный 10 27 4" xfId="18978"/>
    <cellStyle name="Обычный 11 15 4" xfId="18979"/>
    <cellStyle name="Процентный 11 15 4" xfId="18980"/>
    <cellStyle name="Обычный 4 127 4" xfId="18981"/>
    <cellStyle name="Процентный 4 127 4" xfId="18982"/>
    <cellStyle name="Обычный 5 120 4" xfId="18983"/>
    <cellStyle name="Процентный 5 120 4" xfId="18984"/>
    <cellStyle name="Обычный 4 2 114 4" xfId="18985"/>
    <cellStyle name="Процентный 4 2 114 4" xfId="18986"/>
    <cellStyle name="Обычный 5 2 114 4" xfId="18987"/>
    <cellStyle name="Процентный 5 2 114 4" xfId="18988"/>
    <cellStyle name="Обычный 6 111 4" xfId="18989"/>
    <cellStyle name="Процентный 6 111 4" xfId="18990"/>
    <cellStyle name="Обычный 7 81 4" xfId="18991"/>
    <cellStyle name="Процентный 7 81 4" xfId="18992"/>
    <cellStyle name="Обычный 4 3 73 4" xfId="18993"/>
    <cellStyle name="Процентный 4 3 73 4" xfId="18994"/>
    <cellStyle name="Обычный 5 3 73 4" xfId="18995"/>
    <cellStyle name="Процентный 5 3 73 4" xfId="18996"/>
    <cellStyle name="Обычный 4 2 2 73 4" xfId="18997"/>
    <cellStyle name="Процентный 4 2 2 73 4" xfId="18998"/>
    <cellStyle name="Обычный 5 2 2 73 4" xfId="18999"/>
    <cellStyle name="Процентный 5 2 2 73 4" xfId="19000"/>
    <cellStyle name="Обычный 6 2 73 4" xfId="19001"/>
    <cellStyle name="Процентный 6 2 73 4" xfId="19002"/>
    <cellStyle name="Обычный 7 2 73 4" xfId="19003"/>
    <cellStyle name="Процентный 7 2 73 4" xfId="19004"/>
    <cellStyle name="Обычный 8 69 4" xfId="19005"/>
    <cellStyle name="Процентный 8 69 4" xfId="19006"/>
    <cellStyle name="Обычный 9 35 4" xfId="19007"/>
    <cellStyle name="Процентный 9 36 4" xfId="19008"/>
    <cellStyle name="Обычный 10 28 4" xfId="19009"/>
    <cellStyle name="Процентный 10 28 4" xfId="19010"/>
    <cellStyle name="Обычный 11 16 4" xfId="19011"/>
    <cellStyle name="Процентный 11 16 4" xfId="19012"/>
    <cellStyle name="Обычный 4 128 4" xfId="19013"/>
    <cellStyle name="Процентный 4 128 4" xfId="19014"/>
    <cellStyle name="Обычный 5 121 4" xfId="19015"/>
    <cellStyle name="Процентный 5 121 4" xfId="19016"/>
    <cellStyle name="Обычный 4 2 115 4" xfId="19017"/>
    <cellStyle name="Процентный 4 2 115 4" xfId="19018"/>
    <cellStyle name="Обычный 5 2 115 4" xfId="19019"/>
    <cellStyle name="Процентный 5 2 115 4" xfId="19020"/>
    <cellStyle name="Обычный 6 112 4" xfId="19021"/>
    <cellStyle name="Процентный 6 112 4" xfId="19022"/>
    <cellStyle name="Обычный 7 82 4" xfId="19023"/>
    <cellStyle name="Процентный 7 82 4" xfId="19024"/>
    <cellStyle name="Обычный 4 3 74 4" xfId="19025"/>
    <cellStyle name="Процентный 4 3 74 4" xfId="19026"/>
    <cellStyle name="Обычный 5 3 74 4" xfId="19027"/>
    <cellStyle name="Процентный 5 3 74 4" xfId="19028"/>
    <cellStyle name="Обычный 4 2 2 74 4" xfId="19029"/>
    <cellStyle name="Процентный 4 2 2 74 4" xfId="19030"/>
    <cellStyle name="Обычный 5 2 2 74 4" xfId="19031"/>
    <cellStyle name="Процентный 5 2 2 74 4" xfId="19032"/>
    <cellStyle name="Обычный 6 2 74 4" xfId="19033"/>
    <cellStyle name="Процентный 6 2 74 4" xfId="19034"/>
    <cellStyle name="Обычный 7 2 74 4" xfId="19035"/>
    <cellStyle name="Процентный 7 2 74 4" xfId="19036"/>
    <cellStyle name="Обычный 8 70 4" xfId="19037"/>
    <cellStyle name="Процентный 8 70 4" xfId="19038"/>
    <cellStyle name="Обычный 9 36 4" xfId="19039"/>
    <cellStyle name="Процентный 9 37 4" xfId="19040"/>
    <cellStyle name="Обычный 10 29 4" xfId="19041"/>
    <cellStyle name="Процентный 10 29 4" xfId="19042"/>
    <cellStyle name="Обычный 11 17 4" xfId="19043"/>
    <cellStyle name="Процентный 11 17 4" xfId="19044"/>
    <cellStyle name="Обычный 4 129 4" xfId="19045"/>
    <cellStyle name="Процентный 4 129 4" xfId="19046"/>
    <cellStyle name="Обычный 5 122 4" xfId="19047"/>
    <cellStyle name="Процентный 5 122 4" xfId="19048"/>
    <cellStyle name="Обычный 4 2 116 4" xfId="19049"/>
    <cellStyle name="Процентный 4 2 116 4" xfId="19050"/>
    <cellStyle name="Обычный 5 2 116 4" xfId="19051"/>
    <cellStyle name="Процентный 5 2 116 4" xfId="19052"/>
    <cellStyle name="Обычный 6 113 4" xfId="19053"/>
    <cellStyle name="Процентный 6 113 4" xfId="19054"/>
    <cellStyle name="Обычный 7 83 4" xfId="19055"/>
    <cellStyle name="Процентный 7 83 4" xfId="19056"/>
    <cellStyle name="Обычный 4 3 75 4" xfId="19057"/>
    <cellStyle name="Процентный 4 3 75 4" xfId="19058"/>
    <cellStyle name="Обычный 5 3 75 4" xfId="19059"/>
    <cellStyle name="Процентный 5 3 75 4" xfId="19060"/>
    <cellStyle name="Обычный 4 2 2 75 4" xfId="19061"/>
    <cellStyle name="Процентный 4 2 2 75 4" xfId="19062"/>
    <cellStyle name="Обычный 5 2 2 75 4" xfId="19063"/>
    <cellStyle name="Процентный 5 2 2 75 4" xfId="19064"/>
    <cellStyle name="Обычный 6 2 75 4" xfId="19065"/>
    <cellStyle name="Процентный 6 2 75 4" xfId="19066"/>
    <cellStyle name="Обычный 7 2 75 4" xfId="19067"/>
    <cellStyle name="Процентный 7 2 75 4" xfId="19068"/>
    <cellStyle name="Обычный 8 71 4" xfId="19069"/>
    <cellStyle name="Процентный 8 71 4" xfId="19070"/>
    <cellStyle name="Обычный 9 37 4" xfId="19071"/>
    <cellStyle name="Процентный 9 38 4" xfId="19072"/>
    <cellStyle name="Обычный 10 30 4" xfId="19073"/>
    <cellStyle name="Процентный 10 30 4" xfId="19074"/>
    <cellStyle name="Обычный 11 18 4" xfId="19075"/>
    <cellStyle name="Процентный 11 18 4" xfId="19076"/>
    <cellStyle name="Обычный 4 130 4" xfId="19077"/>
    <cellStyle name="Процентный 4 130 4" xfId="19078"/>
    <cellStyle name="Обычный 5 123 4" xfId="19079"/>
    <cellStyle name="Процентный 5 123 4" xfId="19080"/>
    <cellStyle name="Обычный 4 2 117 4" xfId="19081"/>
    <cellStyle name="Процентный 4 2 117 4" xfId="19082"/>
    <cellStyle name="Обычный 5 2 117 4" xfId="19083"/>
    <cellStyle name="Процентный 5 2 117 4" xfId="19084"/>
    <cellStyle name="Обычный 6 114 4" xfId="19085"/>
    <cellStyle name="Процентный 6 114 4" xfId="19086"/>
    <cellStyle name="Обычный 7 84 4" xfId="19087"/>
    <cellStyle name="Процентный 7 84 4" xfId="19088"/>
    <cellStyle name="Обычный 4 3 76 4" xfId="19089"/>
    <cellStyle name="Процентный 4 3 76 4" xfId="19090"/>
    <cellStyle name="Обычный 5 3 76 4" xfId="19091"/>
    <cellStyle name="Процентный 5 3 76 4" xfId="19092"/>
    <cellStyle name="Обычный 4 2 2 76 4" xfId="19093"/>
    <cellStyle name="Процентный 4 2 2 76 4" xfId="19094"/>
    <cellStyle name="Обычный 5 2 2 76 4" xfId="19095"/>
    <cellStyle name="Процентный 5 2 2 76 4" xfId="19096"/>
    <cellStyle name="Обычный 6 2 76 4" xfId="19097"/>
    <cellStyle name="Процентный 6 2 76 4" xfId="19098"/>
    <cellStyle name="Обычный 7 2 76 4" xfId="19099"/>
    <cellStyle name="Процентный 7 2 76 4" xfId="19100"/>
    <cellStyle name="Обычный 8 72 4" xfId="19101"/>
    <cellStyle name="Процентный 8 72 4" xfId="19102"/>
    <cellStyle name="Обычный 9 38 4" xfId="19103"/>
    <cellStyle name="Процентный 9 39 4" xfId="19104"/>
    <cellStyle name="Обычный 10 31 4" xfId="19105"/>
    <cellStyle name="Процентный 10 31 4" xfId="19106"/>
    <cellStyle name="Обычный 11 19 4" xfId="19107"/>
    <cellStyle name="Процентный 11 19 4" xfId="19108"/>
    <cellStyle name="Обычный 4 131 4" xfId="19109"/>
    <cellStyle name="Процентный 4 131 4" xfId="19110"/>
    <cellStyle name="Обычный 5 124 4" xfId="19111"/>
    <cellStyle name="Процентный 5 124 4" xfId="19112"/>
    <cellStyle name="Обычный 4 2 118 4" xfId="19113"/>
    <cellStyle name="Процентный 4 2 118 4" xfId="19114"/>
    <cellStyle name="Обычный 5 2 118 4" xfId="19115"/>
    <cellStyle name="Процентный 5 2 118 4" xfId="19116"/>
    <cellStyle name="Обычный 6 115 4" xfId="19117"/>
    <cellStyle name="Процентный 6 115 4" xfId="19118"/>
    <cellStyle name="Обычный 7 85 4" xfId="19119"/>
    <cellStyle name="Процентный 7 85 4" xfId="19120"/>
    <cellStyle name="Обычный 4 3 77 4" xfId="19121"/>
    <cellStyle name="Процентный 4 3 77 4" xfId="19122"/>
    <cellStyle name="Обычный 5 3 77 4" xfId="19123"/>
    <cellStyle name="Процентный 5 3 77 4" xfId="19124"/>
    <cellStyle name="Обычный 4 2 2 77 4" xfId="19125"/>
    <cellStyle name="Процентный 4 2 2 77 4" xfId="19126"/>
    <cellStyle name="Обычный 5 2 2 77 4" xfId="19127"/>
    <cellStyle name="Процентный 5 2 2 77 4" xfId="19128"/>
    <cellStyle name="Обычный 6 2 77 4" xfId="19129"/>
    <cellStyle name="Процентный 6 2 77 4" xfId="19130"/>
    <cellStyle name="Обычный 7 2 77 4" xfId="19131"/>
    <cellStyle name="Процентный 7 2 77 4" xfId="19132"/>
    <cellStyle name="Обычный 8 73 4" xfId="19133"/>
    <cellStyle name="Процентный 8 73 4" xfId="19134"/>
    <cellStyle name="Обычный 9 39 4" xfId="19135"/>
    <cellStyle name="Процентный 9 40 4" xfId="19136"/>
    <cellStyle name="Обычный 10 32 4" xfId="19137"/>
    <cellStyle name="Процентный 10 32 4" xfId="19138"/>
    <cellStyle name="Обычный 11 20 4" xfId="19139"/>
    <cellStyle name="Процентный 11 20 4" xfId="19140"/>
    <cellStyle name="Обычный 4 132 4" xfId="19141"/>
    <cellStyle name="Процентный 4 132 4" xfId="19142"/>
    <cellStyle name="Обычный 5 125 4" xfId="19143"/>
    <cellStyle name="Процентный 5 125 4" xfId="19144"/>
    <cellStyle name="Обычный 4 2 119 4" xfId="19145"/>
    <cellStyle name="Процентный 4 2 119 4" xfId="19146"/>
    <cellStyle name="Обычный 5 2 119 4" xfId="19147"/>
    <cellStyle name="Процентный 5 2 119 4" xfId="19148"/>
    <cellStyle name="Обычный 6 116 4" xfId="19149"/>
    <cellStyle name="Процентный 6 116 4" xfId="19150"/>
    <cellStyle name="Обычный 7 86 4" xfId="19151"/>
    <cellStyle name="Процентный 7 86 4" xfId="19152"/>
    <cellStyle name="Обычный 4 3 78 4" xfId="19153"/>
    <cellStyle name="Процентный 4 3 78 4" xfId="19154"/>
    <cellStyle name="Обычный 5 3 78 4" xfId="19155"/>
    <cellStyle name="Процентный 5 3 78 4" xfId="19156"/>
    <cellStyle name="Обычный 4 2 2 78 4" xfId="19157"/>
    <cellStyle name="Процентный 4 2 2 78 4" xfId="19158"/>
    <cellStyle name="Обычный 5 2 2 78 4" xfId="19159"/>
    <cellStyle name="Процентный 5 2 2 78 4" xfId="19160"/>
    <cellStyle name="Обычный 6 2 78 4" xfId="19161"/>
    <cellStyle name="Процентный 6 2 78 4" xfId="19162"/>
    <cellStyle name="Обычный 7 2 78 4" xfId="19163"/>
    <cellStyle name="Процентный 7 2 78 4" xfId="19164"/>
    <cellStyle name="Обычный 8 74 4" xfId="19165"/>
    <cellStyle name="Процентный 8 74 4" xfId="19166"/>
    <cellStyle name="Обычный 9 40 4" xfId="19167"/>
    <cellStyle name="Процентный 9 41 4" xfId="19168"/>
    <cellStyle name="Обычный 10 33 4" xfId="19169"/>
    <cellStyle name="Процентный 10 33 4" xfId="19170"/>
    <cellStyle name="Обычный 11 21 4" xfId="19171"/>
    <cellStyle name="Процентный 11 21 4" xfId="19172"/>
    <cellStyle name="Обычный 4 133 4" xfId="19173"/>
    <cellStyle name="Процентный 4 133 4" xfId="19174"/>
    <cellStyle name="Обычный 5 126 4" xfId="19175"/>
    <cellStyle name="Процентный 5 126 4" xfId="19176"/>
    <cellStyle name="Обычный 4 2 120 4" xfId="19177"/>
    <cellStyle name="Процентный 4 2 120 4" xfId="19178"/>
    <cellStyle name="Обычный 5 2 120 4" xfId="19179"/>
    <cellStyle name="Процентный 5 2 120 4" xfId="19180"/>
    <cellStyle name="Обычный 6 117 4" xfId="19181"/>
    <cellStyle name="Процентный 6 117 4" xfId="19182"/>
    <cellStyle name="Обычный 7 87 4" xfId="19183"/>
    <cellStyle name="Процентный 7 87 4" xfId="19184"/>
    <cellStyle name="Обычный 4 3 79 4" xfId="19185"/>
    <cellStyle name="Процентный 4 3 79 4" xfId="19186"/>
    <cellStyle name="Обычный 5 3 79 4" xfId="19187"/>
    <cellStyle name="Процентный 5 3 79 4" xfId="19188"/>
    <cellStyle name="Обычный 4 2 2 79 4" xfId="19189"/>
    <cellStyle name="Процентный 4 2 2 79 4" xfId="19190"/>
    <cellStyle name="Обычный 5 2 2 79 4" xfId="19191"/>
    <cellStyle name="Процентный 5 2 2 79 4" xfId="19192"/>
    <cellStyle name="Обычный 6 2 79 4" xfId="19193"/>
    <cellStyle name="Процентный 6 2 79 4" xfId="19194"/>
    <cellStyle name="Обычный 7 2 79 4" xfId="19195"/>
    <cellStyle name="Процентный 7 2 79 4" xfId="19196"/>
    <cellStyle name="Обычный 8 75 4" xfId="19197"/>
    <cellStyle name="Процентный 8 75 4" xfId="19198"/>
    <cellStyle name="Обычный 9 41 4" xfId="19199"/>
    <cellStyle name="Процентный 9 42 4" xfId="19200"/>
    <cellStyle name="Обычный 10 34 4" xfId="19201"/>
    <cellStyle name="Процентный 10 34 4" xfId="19202"/>
    <cellStyle name="Обычный 11 22 4" xfId="19203"/>
    <cellStyle name="Процентный 11 22 4" xfId="19204"/>
    <cellStyle name="Обычный 4 134 4" xfId="19205"/>
    <cellStyle name="Процентный 4 134 4" xfId="19206"/>
    <cellStyle name="Обычный 5 127 4" xfId="19207"/>
    <cellStyle name="Процентный 5 127 4" xfId="19208"/>
    <cellStyle name="Обычный 4 2 121 4" xfId="19209"/>
    <cellStyle name="Процентный 4 2 121 4" xfId="19210"/>
    <cellStyle name="Обычный 5 2 121 4" xfId="19211"/>
    <cellStyle name="Процентный 5 2 121 4" xfId="19212"/>
    <cellStyle name="Обычный 6 118 4" xfId="19213"/>
    <cellStyle name="Процентный 6 118 4" xfId="19214"/>
    <cellStyle name="Обычный 7 88 4" xfId="19215"/>
    <cellStyle name="Процентный 7 88 4" xfId="19216"/>
    <cellStyle name="Обычный 4 3 80 4" xfId="19217"/>
    <cellStyle name="Процентный 4 3 80 4" xfId="19218"/>
    <cellStyle name="Обычный 5 3 80 4" xfId="19219"/>
    <cellStyle name="Процентный 5 3 80 4" xfId="19220"/>
    <cellStyle name="Обычный 4 2 2 80 4" xfId="19221"/>
    <cellStyle name="Процентный 4 2 2 80 4" xfId="19222"/>
    <cellStyle name="Обычный 5 2 2 80 4" xfId="19223"/>
    <cellStyle name="Процентный 5 2 2 80 4" xfId="19224"/>
    <cellStyle name="Обычный 6 2 80 4" xfId="19225"/>
    <cellStyle name="Процентный 6 2 80 4" xfId="19226"/>
    <cellStyle name="Обычный 7 2 80 4" xfId="19227"/>
    <cellStyle name="Процентный 7 2 80 4" xfId="19228"/>
    <cellStyle name="Обычный 8 76 4" xfId="19229"/>
    <cellStyle name="Процентный 8 76 4" xfId="19230"/>
    <cellStyle name="Обычный 9 42 4" xfId="19231"/>
    <cellStyle name="Процентный 9 43 4" xfId="19232"/>
    <cellStyle name="Обычный 10 35 4" xfId="19233"/>
    <cellStyle name="Процентный 10 35 4" xfId="19234"/>
    <cellStyle name="Обычный 11 23 4" xfId="19235"/>
    <cellStyle name="Процентный 11 23 4" xfId="19236"/>
    <cellStyle name="Обычный 4 135 4" xfId="19237"/>
    <cellStyle name="Процентный 4 135 4" xfId="19238"/>
    <cellStyle name="Обычный 5 128 4" xfId="19239"/>
    <cellStyle name="Процентный 5 128 4" xfId="19240"/>
    <cellStyle name="Обычный 4 2 122 4" xfId="19241"/>
    <cellStyle name="Процентный 4 2 122 4" xfId="19242"/>
    <cellStyle name="Обычный 5 2 122 4" xfId="19243"/>
    <cellStyle name="Процентный 5 2 122 4" xfId="19244"/>
    <cellStyle name="Обычный 6 119 4" xfId="19245"/>
    <cellStyle name="Процентный 6 119 4" xfId="19246"/>
    <cellStyle name="Обычный 7 89 4" xfId="19247"/>
    <cellStyle name="Процентный 7 89 4" xfId="19248"/>
    <cellStyle name="Обычный 4 3 81 4" xfId="19249"/>
    <cellStyle name="Процентный 4 3 81 4" xfId="19250"/>
    <cellStyle name="Обычный 5 3 81 4" xfId="19251"/>
    <cellStyle name="Процентный 5 3 81 4" xfId="19252"/>
    <cellStyle name="Обычный 4 2 2 81 4" xfId="19253"/>
    <cellStyle name="Процентный 4 2 2 81 4" xfId="19254"/>
    <cellStyle name="Обычный 5 2 2 81 4" xfId="19255"/>
    <cellStyle name="Процентный 5 2 2 81 4" xfId="19256"/>
    <cellStyle name="Обычный 6 2 81 4" xfId="19257"/>
    <cellStyle name="Процентный 6 2 81 4" xfId="19258"/>
    <cellStyle name="Обычный 7 2 81 4" xfId="19259"/>
    <cellStyle name="Процентный 7 2 81 4" xfId="19260"/>
    <cellStyle name="Обычный 8 77 4" xfId="19261"/>
    <cellStyle name="Процентный 8 77 4" xfId="19262"/>
    <cellStyle name="Обычный 9 43 4" xfId="19263"/>
    <cellStyle name="Процентный 9 44 4" xfId="19264"/>
    <cellStyle name="Обычный 10 36 4" xfId="19265"/>
    <cellStyle name="Процентный 10 36 4" xfId="19266"/>
    <cellStyle name="Обычный 11 24 4" xfId="19267"/>
    <cellStyle name="Процентный 11 24 4" xfId="19268"/>
    <cellStyle name="Обычный 4 136 4" xfId="19269"/>
    <cellStyle name="Процентный 4 136 4" xfId="19270"/>
    <cellStyle name="Обычный 5 129 4" xfId="19271"/>
    <cellStyle name="Процентный 5 129 4" xfId="19272"/>
    <cellStyle name="Обычный 4 2 123 4" xfId="19273"/>
    <cellStyle name="Процентный 4 2 123 4" xfId="19274"/>
    <cellStyle name="Обычный 5 2 123 4" xfId="19275"/>
    <cellStyle name="Процентный 5 2 123 4" xfId="19276"/>
    <cellStyle name="Обычный 6 120 4" xfId="19277"/>
    <cellStyle name="Процентный 6 120 4" xfId="19278"/>
    <cellStyle name="Обычный 7 90 4" xfId="19279"/>
    <cellStyle name="Процентный 7 90 4" xfId="19280"/>
    <cellStyle name="Обычный 4 3 82 4" xfId="19281"/>
    <cellStyle name="Процентный 4 3 82 4" xfId="19282"/>
    <cellStyle name="Обычный 5 3 82 4" xfId="19283"/>
    <cellStyle name="Процентный 5 3 82 4" xfId="19284"/>
    <cellStyle name="Обычный 4 2 2 82 4" xfId="19285"/>
    <cellStyle name="Процентный 4 2 2 82 4" xfId="19286"/>
    <cellStyle name="Обычный 5 2 2 82 4" xfId="19287"/>
    <cellStyle name="Процентный 5 2 2 82 4" xfId="19288"/>
    <cellStyle name="Обычный 6 2 82 4" xfId="19289"/>
    <cellStyle name="Процентный 6 2 82 4" xfId="19290"/>
    <cellStyle name="Обычный 7 2 82 4" xfId="19291"/>
    <cellStyle name="Процентный 7 2 82 4" xfId="19292"/>
    <cellStyle name="Обычный 8 78 4" xfId="19293"/>
    <cellStyle name="Процентный 8 78 4" xfId="19294"/>
    <cellStyle name="Обычный 9 44 4" xfId="19295"/>
    <cellStyle name="Процентный 9 45 4" xfId="19296"/>
    <cellStyle name="Обычный 10 37 4" xfId="19297"/>
    <cellStyle name="Процентный 10 37 4" xfId="19298"/>
    <cellStyle name="Обычный 11 25 4" xfId="19299"/>
    <cellStyle name="Процентный 11 25 4" xfId="19300"/>
    <cellStyle name="Обычный 4 137 4" xfId="19301"/>
    <cellStyle name="Процентный 4 137 4" xfId="19302"/>
    <cellStyle name="Обычный 5 130 4" xfId="19303"/>
    <cellStyle name="Процентный 5 130 4" xfId="19304"/>
    <cellStyle name="Обычный 4 2 124 4" xfId="19305"/>
    <cellStyle name="Процентный 4 2 124 4" xfId="19306"/>
    <cellStyle name="Обычный 5 2 124 4" xfId="19307"/>
    <cellStyle name="Процентный 5 2 124 4" xfId="19308"/>
    <cellStyle name="Обычный 6 121 4" xfId="19309"/>
    <cellStyle name="Процентный 6 121 4" xfId="19310"/>
    <cellStyle name="Обычный 7 91 4" xfId="19311"/>
    <cellStyle name="Процентный 7 91 4" xfId="19312"/>
    <cellStyle name="Обычный 4 3 83 4" xfId="19313"/>
    <cellStyle name="Процентный 4 3 83 4" xfId="19314"/>
    <cellStyle name="Обычный 5 3 83 4" xfId="19315"/>
    <cellStyle name="Процентный 5 3 83 4" xfId="19316"/>
    <cellStyle name="Обычный 4 2 2 83 4" xfId="19317"/>
    <cellStyle name="Процентный 4 2 2 83 4" xfId="19318"/>
    <cellStyle name="Обычный 5 2 2 83 4" xfId="19319"/>
    <cellStyle name="Процентный 5 2 2 83 4" xfId="19320"/>
    <cellStyle name="Обычный 6 2 83 4" xfId="19321"/>
    <cellStyle name="Процентный 6 2 83 4" xfId="19322"/>
    <cellStyle name="Обычный 7 2 83 4" xfId="19323"/>
    <cellStyle name="Процентный 7 2 83 4" xfId="19324"/>
    <cellStyle name="Обычный 8 79 4" xfId="19325"/>
    <cellStyle name="Процентный 8 79 4" xfId="19326"/>
    <cellStyle name="Обычный 9 45 4" xfId="19327"/>
    <cellStyle name="Процентный 9 46 4" xfId="19328"/>
    <cellStyle name="Обычный 10 38 4" xfId="19329"/>
    <cellStyle name="Процентный 10 38 4" xfId="19330"/>
    <cellStyle name="Обычный 11 26 4" xfId="19331"/>
    <cellStyle name="Процентный 11 26 4" xfId="19332"/>
    <cellStyle name="Обычный 4 138 4" xfId="19333"/>
    <cellStyle name="Процентный 4 138 4" xfId="19334"/>
    <cellStyle name="Обычный 5 131 4" xfId="19335"/>
    <cellStyle name="Процентный 5 131 4" xfId="19336"/>
    <cellStyle name="Обычный 4 2 125 4" xfId="19337"/>
    <cellStyle name="Процентный 4 2 125 4" xfId="19338"/>
    <cellStyle name="Обычный 5 2 125 4" xfId="19339"/>
    <cellStyle name="Процентный 5 2 125 4" xfId="19340"/>
    <cellStyle name="Обычный 6 122 4" xfId="19341"/>
    <cellStyle name="Процентный 6 122 4" xfId="19342"/>
    <cellStyle name="Обычный 7 92 4" xfId="19343"/>
    <cellStyle name="Процентный 7 92 4" xfId="19344"/>
    <cellStyle name="Обычный 4 3 84 4" xfId="19345"/>
    <cellStyle name="Процентный 4 3 84 4" xfId="19346"/>
    <cellStyle name="Обычный 5 3 84 4" xfId="19347"/>
    <cellStyle name="Процентный 5 3 84 4" xfId="19348"/>
    <cellStyle name="Обычный 4 2 2 84 4" xfId="19349"/>
    <cellStyle name="Процентный 4 2 2 84 4" xfId="19350"/>
    <cellStyle name="Обычный 5 2 2 84 4" xfId="19351"/>
    <cellStyle name="Процентный 5 2 2 84 4" xfId="19352"/>
    <cellStyle name="Обычный 6 2 84 4" xfId="19353"/>
    <cellStyle name="Процентный 6 2 84 4" xfId="19354"/>
    <cellStyle name="Обычный 7 2 84 4" xfId="19355"/>
    <cellStyle name="Процентный 7 2 84 4" xfId="19356"/>
    <cellStyle name="Обычный 8 80 4" xfId="19357"/>
    <cellStyle name="Процентный 8 80 4" xfId="19358"/>
    <cellStyle name="Обычный 9 46 4" xfId="19359"/>
    <cellStyle name="Процентный 9 47 4" xfId="19360"/>
    <cellStyle name="Обычный 10 39 4" xfId="19361"/>
    <cellStyle name="Процентный 10 39 4" xfId="19362"/>
    <cellStyle name="Обычный 11 27 4" xfId="19363"/>
    <cellStyle name="Процентный 11 27 4" xfId="19364"/>
    <cellStyle name="Обычный 4 139 4" xfId="19365"/>
    <cellStyle name="Процентный 4 139 4" xfId="19366"/>
    <cellStyle name="Обычный 5 132 4" xfId="19367"/>
    <cellStyle name="Процентный 5 132 4" xfId="19368"/>
    <cellStyle name="Обычный 4 2 126 4" xfId="19369"/>
    <cellStyle name="Процентный 4 2 126 4" xfId="19370"/>
    <cellStyle name="Обычный 5 2 126 4" xfId="19371"/>
    <cellStyle name="Процентный 5 2 126 4" xfId="19372"/>
    <cellStyle name="Обычный 6 123 4" xfId="19373"/>
    <cellStyle name="Процентный 6 123 4" xfId="19374"/>
    <cellStyle name="Обычный 7 93 4" xfId="19375"/>
    <cellStyle name="Процентный 7 93 4" xfId="19376"/>
    <cellStyle name="Обычный 4 3 85 4" xfId="19377"/>
    <cellStyle name="Процентный 4 3 85 4" xfId="19378"/>
    <cellStyle name="Обычный 5 3 85 4" xfId="19379"/>
    <cellStyle name="Процентный 5 3 85 4" xfId="19380"/>
    <cellStyle name="Обычный 4 2 2 85 4" xfId="19381"/>
    <cellStyle name="Процентный 4 2 2 85 4" xfId="19382"/>
    <cellStyle name="Обычный 5 2 2 85 4" xfId="19383"/>
    <cellStyle name="Процентный 5 2 2 85 4" xfId="19384"/>
    <cellStyle name="Обычный 6 2 85 4" xfId="19385"/>
    <cellStyle name="Процентный 6 2 85 4" xfId="19386"/>
    <cellStyle name="Обычный 7 2 85 4" xfId="19387"/>
    <cellStyle name="Процентный 7 2 85 4" xfId="19388"/>
    <cellStyle name="Обычный 8 81 4" xfId="19389"/>
    <cellStyle name="Процентный 8 81 4" xfId="19390"/>
    <cellStyle name="Обычный 9 47 4" xfId="19391"/>
    <cellStyle name="Процентный 9 48 4" xfId="19392"/>
    <cellStyle name="Обычный 10 40 4" xfId="19393"/>
    <cellStyle name="Процентный 10 40 4" xfId="19394"/>
    <cellStyle name="Обычный 11 28 4" xfId="19395"/>
    <cellStyle name="Процентный 11 28 4" xfId="19396"/>
    <cellStyle name="Обычный 4 140 4" xfId="19397"/>
    <cellStyle name="Процентный 4 140 4" xfId="19398"/>
    <cellStyle name="Обычный 5 133 4" xfId="19399"/>
    <cellStyle name="Процентный 5 133 4" xfId="19400"/>
    <cellStyle name="Обычный 4 2 127 4" xfId="19401"/>
    <cellStyle name="Процентный 4 2 127 4" xfId="19402"/>
    <cellStyle name="Обычный 5 2 127 4" xfId="19403"/>
    <cellStyle name="Процентный 5 2 127 4" xfId="19404"/>
    <cellStyle name="Обычный 6 124 4" xfId="19405"/>
    <cellStyle name="Процентный 6 124 4" xfId="19406"/>
    <cellStyle name="Обычный 7 94 4" xfId="19407"/>
    <cellStyle name="Процентный 7 94 4" xfId="19408"/>
    <cellStyle name="Обычный 4 3 86 4" xfId="19409"/>
    <cellStyle name="Процентный 4 3 86 4" xfId="19410"/>
    <cellStyle name="Обычный 5 3 86 4" xfId="19411"/>
    <cellStyle name="Процентный 5 3 86 4" xfId="19412"/>
    <cellStyle name="Обычный 4 2 2 86 4" xfId="19413"/>
    <cellStyle name="Процентный 4 2 2 86 4" xfId="19414"/>
    <cellStyle name="Обычный 5 2 2 86 4" xfId="19415"/>
    <cellStyle name="Процентный 5 2 2 86 4" xfId="19416"/>
    <cellStyle name="Обычный 6 2 86 4" xfId="19417"/>
    <cellStyle name="Процентный 6 2 86 4" xfId="19418"/>
    <cellStyle name="Обычный 7 2 86 4" xfId="19419"/>
    <cellStyle name="Процентный 7 2 86 4" xfId="19420"/>
    <cellStyle name="Обычный 8 82 4" xfId="19421"/>
    <cellStyle name="Процентный 8 82 4" xfId="19422"/>
    <cellStyle name="Обычный 9 48 4" xfId="19423"/>
    <cellStyle name="Процентный 9 49 4" xfId="19424"/>
    <cellStyle name="Обычный 10 41 4" xfId="19425"/>
    <cellStyle name="Процентный 10 41 4" xfId="19426"/>
    <cellStyle name="Обычный 11 29 4" xfId="19427"/>
    <cellStyle name="Процентный 11 29 4" xfId="19428"/>
    <cellStyle name="Обычный 4 141 4" xfId="19429"/>
    <cellStyle name="Процентный 4 141 4" xfId="19430"/>
    <cellStyle name="Обычный 5 134 4" xfId="19431"/>
    <cellStyle name="Процентный 5 134 4" xfId="19432"/>
    <cellStyle name="Обычный 4 2 128 4" xfId="19433"/>
    <cellStyle name="Процентный 4 2 128 4" xfId="19434"/>
    <cellStyle name="Обычный 5 2 128 4" xfId="19435"/>
    <cellStyle name="Процентный 5 2 128 4" xfId="19436"/>
    <cellStyle name="Обычный 6 125 4" xfId="19437"/>
    <cellStyle name="Процентный 6 125 4" xfId="19438"/>
    <cellStyle name="Обычный 7 95 4" xfId="19439"/>
    <cellStyle name="Процентный 7 95 4" xfId="19440"/>
    <cellStyle name="Обычный 4 3 87 4" xfId="19441"/>
    <cellStyle name="Процентный 4 3 87 4" xfId="19442"/>
    <cellStyle name="Обычный 5 3 87 4" xfId="19443"/>
    <cellStyle name="Процентный 5 3 87 4" xfId="19444"/>
    <cellStyle name="Обычный 4 2 2 87 4" xfId="19445"/>
    <cellStyle name="Процентный 4 2 2 87 4" xfId="19446"/>
    <cellStyle name="Обычный 5 2 2 87 4" xfId="19447"/>
    <cellStyle name="Процентный 5 2 2 87 4" xfId="19448"/>
    <cellStyle name="Обычный 6 2 87 4" xfId="19449"/>
    <cellStyle name="Процентный 6 2 87 4" xfId="19450"/>
    <cellStyle name="Обычный 7 2 87 4" xfId="19451"/>
    <cellStyle name="Процентный 7 2 87 4" xfId="19452"/>
    <cellStyle name="Обычный 8 83 4" xfId="19453"/>
    <cellStyle name="Процентный 8 83 4" xfId="19454"/>
    <cellStyle name="Обычный 9 49 4" xfId="19455"/>
    <cellStyle name="Процентный 9 50 4" xfId="19456"/>
    <cellStyle name="Обычный 10 42 4" xfId="19457"/>
    <cellStyle name="Процентный 10 42 4" xfId="19458"/>
    <cellStyle name="Обычный 11 30 4" xfId="19459"/>
    <cellStyle name="Процентный 11 30 4" xfId="19460"/>
    <cellStyle name="Обычный 4 142 4" xfId="19461"/>
    <cellStyle name="Процентный 4 142 4" xfId="19462"/>
    <cellStyle name="Обычный 5 135 4" xfId="19463"/>
    <cellStyle name="Процентный 5 135 4" xfId="19464"/>
    <cellStyle name="Обычный 4 2 129 4" xfId="19465"/>
    <cellStyle name="Процентный 4 2 129 4" xfId="19466"/>
    <cellStyle name="Обычный 5 2 129 4" xfId="19467"/>
    <cellStyle name="Процентный 5 2 129 4" xfId="19468"/>
    <cellStyle name="Обычный 6 126 4" xfId="19469"/>
    <cellStyle name="Процентный 6 126 4" xfId="19470"/>
    <cellStyle name="Обычный 7 96 4" xfId="19471"/>
    <cellStyle name="Процентный 7 96 4" xfId="19472"/>
    <cellStyle name="Обычный 4 3 88 4" xfId="19473"/>
    <cellStyle name="Процентный 4 3 88 4" xfId="19474"/>
    <cellStyle name="Обычный 5 3 88 4" xfId="19475"/>
    <cellStyle name="Процентный 5 3 88 4" xfId="19476"/>
    <cellStyle name="Обычный 4 2 2 88 4" xfId="19477"/>
    <cellStyle name="Процентный 4 2 2 88 4" xfId="19478"/>
    <cellStyle name="Обычный 5 2 2 88 4" xfId="19479"/>
    <cellStyle name="Процентный 5 2 2 88 4" xfId="19480"/>
    <cellStyle name="Обычный 6 2 88 4" xfId="19481"/>
    <cellStyle name="Процентный 6 2 88 4" xfId="19482"/>
    <cellStyle name="Обычный 7 2 88 4" xfId="19483"/>
    <cellStyle name="Процентный 7 2 88 4" xfId="19484"/>
    <cellStyle name="Обычный 8 84 4" xfId="19485"/>
    <cellStyle name="Процентный 8 84 4" xfId="19486"/>
    <cellStyle name="Обычный 9 50 4" xfId="19487"/>
    <cellStyle name="Процентный 9 51 4" xfId="19488"/>
    <cellStyle name="Обычный 10 43 4" xfId="19489"/>
    <cellStyle name="Процентный 10 43 4" xfId="19490"/>
    <cellStyle name="Обычный 11 31 4" xfId="19491"/>
    <cellStyle name="Процентный 11 31 4" xfId="19492"/>
    <cellStyle name="Обычный 4 143 4" xfId="19493"/>
    <cellStyle name="Процентный 4 143 4" xfId="19494"/>
    <cellStyle name="Обычный 5 136 4" xfId="19495"/>
    <cellStyle name="Процентный 5 136 4" xfId="19496"/>
    <cellStyle name="Обычный 4 2 130 4" xfId="19497"/>
    <cellStyle name="Процентный 4 2 130 4" xfId="19498"/>
    <cellStyle name="Обычный 5 2 130 4" xfId="19499"/>
    <cellStyle name="Процентный 5 2 130 4" xfId="19500"/>
    <cellStyle name="Обычный 6 127 4" xfId="19501"/>
    <cellStyle name="Процентный 6 127 4" xfId="19502"/>
    <cellStyle name="Обычный 7 97 4" xfId="19503"/>
    <cellStyle name="Процентный 7 97 4" xfId="19504"/>
    <cellStyle name="Обычный 4 3 89 4" xfId="19505"/>
    <cellStyle name="Процентный 4 3 89 4" xfId="19506"/>
    <cellStyle name="Обычный 5 3 89 4" xfId="19507"/>
    <cellStyle name="Процентный 5 3 89 4" xfId="19508"/>
    <cellStyle name="Обычный 4 2 2 89 4" xfId="19509"/>
    <cellStyle name="Процентный 4 2 2 89 4" xfId="19510"/>
    <cellStyle name="Обычный 5 2 2 89 4" xfId="19511"/>
    <cellStyle name="Процентный 5 2 2 89 4" xfId="19512"/>
    <cellStyle name="Обычный 6 2 89 4" xfId="19513"/>
    <cellStyle name="Процентный 6 2 89 4" xfId="19514"/>
    <cellStyle name="Обычный 7 2 89 4" xfId="19515"/>
    <cellStyle name="Процентный 7 2 89 4" xfId="19516"/>
    <cellStyle name="Обычный 8 85 4" xfId="19517"/>
    <cellStyle name="Процентный 8 85 4" xfId="19518"/>
    <cellStyle name="Обычный 9 51 4" xfId="19519"/>
    <cellStyle name="Процентный 9 52 4" xfId="19520"/>
    <cellStyle name="Обычный 10 44 4" xfId="19521"/>
    <cellStyle name="Процентный 10 44 4" xfId="19522"/>
    <cellStyle name="Обычный 11 32 4" xfId="19523"/>
    <cellStyle name="Процентный 11 32 4" xfId="19524"/>
    <cellStyle name="Обычный 4 144 4" xfId="19525"/>
    <cellStyle name="Процентный 4 144 4" xfId="19526"/>
    <cellStyle name="Обычный 5 137 4" xfId="19527"/>
    <cellStyle name="Процентный 5 137 4" xfId="19528"/>
    <cellStyle name="Обычный 4 2 131 4" xfId="19529"/>
    <cellStyle name="Процентный 4 2 131 4" xfId="19530"/>
    <cellStyle name="Обычный 5 2 131 4" xfId="19531"/>
    <cellStyle name="Процентный 5 2 131 4" xfId="19532"/>
    <cellStyle name="Обычный 6 128 4" xfId="19533"/>
    <cellStyle name="Процентный 6 128 4" xfId="19534"/>
    <cellStyle name="Обычный 7 98 4" xfId="19535"/>
    <cellStyle name="Процентный 7 98 4" xfId="19536"/>
    <cellStyle name="Обычный 4 3 90 4" xfId="19537"/>
    <cellStyle name="Процентный 4 3 90 4" xfId="19538"/>
    <cellStyle name="Обычный 5 3 90 4" xfId="19539"/>
    <cellStyle name="Процентный 5 3 90 4" xfId="19540"/>
    <cellStyle name="Обычный 4 2 2 90 4" xfId="19541"/>
    <cellStyle name="Процентный 4 2 2 90 4" xfId="19542"/>
    <cellStyle name="Обычный 5 2 2 90 4" xfId="19543"/>
    <cellStyle name="Процентный 5 2 2 90 4" xfId="19544"/>
    <cellStyle name="Обычный 6 2 90 4" xfId="19545"/>
    <cellStyle name="Процентный 6 2 90 4" xfId="19546"/>
    <cellStyle name="Обычный 7 2 90 4" xfId="19547"/>
    <cellStyle name="Процентный 7 2 90 4" xfId="19548"/>
    <cellStyle name="Обычный 8 86 4" xfId="19549"/>
    <cellStyle name="Процентный 8 86 4" xfId="19550"/>
    <cellStyle name="Обычный 9 52 4" xfId="19551"/>
    <cellStyle name="Процентный 9 53 4" xfId="19552"/>
    <cellStyle name="Обычный 10 45 4" xfId="19553"/>
    <cellStyle name="Процентный 10 45 4" xfId="19554"/>
    <cellStyle name="Обычный 11 33 4" xfId="19555"/>
    <cellStyle name="Процентный 11 33 4" xfId="19556"/>
    <cellStyle name="Обычный 4 145 4" xfId="19557"/>
    <cellStyle name="Процентный 4 145 4" xfId="19558"/>
    <cellStyle name="Обычный 5 138 4" xfId="19559"/>
    <cellStyle name="Процентный 5 138 4" xfId="19560"/>
    <cellStyle name="Обычный 4 2 132 4" xfId="19561"/>
    <cellStyle name="Процентный 4 2 132 4" xfId="19562"/>
    <cellStyle name="Обычный 5 2 132 4" xfId="19563"/>
    <cellStyle name="Процентный 5 2 132 4" xfId="19564"/>
    <cellStyle name="Обычный 6 129 4" xfId="19565"/>
    <cellStyle name="Процентный 6 129 4" xfId="19566"/>
    <cellStyle name="Обычный 7 99 4" xfId="19567"/>
    <cellStyle name="Процентный 7 99 4" xfId="19568"/>
    <cellStyle name="Обычный 4 3 91 4" xfId="19569"/>
    <cellStyle name="Процентный 4 3 91 4" xfId="19570"/>
    <cellStyle name="Обычный 5 3 91 4" xfId="19571"/>
    <cellStyle name="Процентный 5 3 91 4" xfId="19572"/>
    <cellStyle name="Обычный 4 2 2 91 4" xfId="19573"/>
    <cellStyle name="Процентный 4 2 2 91 4" xfId="19574"/>
    <cellStyle name="Обычный 5 2 2 91 4" xfId="19575"/>
    <cellStyle name="Процентный 5 2 2 91 4" xfId="19576"/>
    <cellStyle name="Обычный 6 2 91 4" xfId="19577"/>
    <cellStyle name="Процентный 6 2 91 4" xfId="19578"/>
    <cellStyle name="Обычный 7 2 91 4" xfId="19579"/>
    <cellStyle name="Процентный 7 2 91 4" xfId="19580"/>
    <cellStyle name="Обычный 8 87 4" xfId="19581"/>
    <cellStyle name="Процентный 8 87 4" xfId="19582"/>
    <cellStyle name="Обычный 9 53 4" xfId="19583"/>
    <cellStyle name="Процентный 9 54 4" xfId="19584"/>
    <cellStyle name="Обычный 10 46 4" xfId="19585"/>
    <cellStyle name="Процентный 10 46 4" xfId="19586"/>
    <cellStyle name="Обычный 11 34 4" xfId="19587"/>
    <cellStyle name="Процентный 11 34 4" xfId="19588"/>
    <cellStyle name="Обычный 4 146 4" xfId="19589"/>
    <cellStyle name="Процентный 4 146 4" xfId="19590"/>
    <cellStyle name="Обычный 5 139 4" xfId="19591"/>
    <cellStyle name="Процентный 5 139 4" xfId="19592"/>
    <cellStyle name="Обычный 4 2 133 4" xfId="19593"/>
    <cellStyle name="Процентный 4 2 133 4" xfId="19594"/>
    <cellStyle name="Обычный 5 2 133 4" xfId="19595"/>
    <cellStyle name="Процентный 5 2 133 4" xfId="19596"/>
    <cellStyle name="Обычный 6 130 4" xfId="19597"/>
    <cellStyle name="Процентный 6 130 4" xfId="19598"/>
    <cellStyle name="Обычный 7 100 4" xfId="19599"/>
    <cellStyle name="Процентный 7 100 4" xfId="19600"/>
    <cellStyle name="Обычный 4 3 92 4" xfId="19601"/>
    <cellStyle name="Процентный 4 3 92 4" xfId="19602"/>
    <cellStyle name="Обычный 5 3 92 4" xfId="19603"/>
    <cellStyle name="Процентный 5 3 92 4" xfId="19604"/>
    <cellStyle name="Обычный 4 2 2 92 4" xfId="19605"/>
    <cellStyle name="Процентный 4 2 2 92 4" xfId="19606"/>
    <cellStyle name="Обычный 5 2 2 92 4" xfId="19607"/>
    <cellStyle name="Процентный 5 2 2 92 4" xfId="19608"/>
    <cellStyle name="Обычный 6 2 92 4" xfId="19609"/>
    <cellStyle name="Процентный 6 2 92 4" xfId="19610"/>
    <cellStyle name="Обычный 7 2 92 4" xfId="19611"/>
    <cellStyle name="Процентный 7 2 92 4" xfId="19612"/>
    <cellStyle name="Обычный 8 88 4" xfId="19613"/>
    <cellStyle name="Процентный 8 88 4" xfId="19614"/>
    <cellStyle name="Обычный 9 54 4" xfId="19615"/>
    <cellStyle name="Процентный 9 55 4" xfId="19616"/>
    <cellStyle name="Обычный 10 47 4" xfId="19617"/>
    <cellStyle name="Процентный 10 47 4" xfId="19618"/>
    <cellStyle name="Обычный 11 35 4" xfId="19619"/>
    <cellStyle name="Процентный 11 35 4" xfId="19620"/>
    <cellStyle name="Обычный 4 147 4" xfId="19621"/>
    <cellStyle name="Процентный 4 147 4" xfId="19622"/>
    <cellStyle name="Обычный 5 140 4" xfId="19623"/>
    <cellStyle name="Процентный 5 140 4" xfId="19624"/>
    <cellStyle name="Обычный 4 2 134 4" xfId="19625"/>
    <cellStyle name="Процентный 4 2 134 4" xfId="19626"/>
    <cellStyle name="Обычный 5 2 134 4" xfId="19627"/>
    <cellStyle name="Процентный 5 2 134 4" xfId="19628"/>
    <cellStyle name="Обычный 6 131 4" xfId="19629"/>
    <cellStyle name="Процентный 6 131 4" xfId="19630"/>
    <cellStyle name="Обычный 7 101 4" xfId="19631"/>
    <cellStyle name="Процентный 7 101 4" xfId="19632"/>
    <cellStyle name="Обычный 4 3 93 4" xfId="19633"/>
    <cellStyle name="Процентный 4 3 93 4" xfId="19634"/>
    <cellStyle name="Обычный 5 3 93 4" xfId="19635"/>
    <cellStyle name="Процентный 5 3 93 4" xfId="19636"/>
    <cellStyle name="Обычный 4 2 2 93 4" xfId="19637"/>
    <cellStyle name="Процентный 4 2 2 93 4" xfId="19638"/>
    <cellStyle name="Обычный 5 2 2 93 4" xfId="19639"/>
    <cellStyle name="Процентный 5 2 2 93 4" xfId="19640"/>
    <cellStyle name="Обычный 6 2 93 4" xfId="19641"/>
    <cellStyle name="Процентный 6 2 93 4" xfId="19642"/>
    <cellStyle name="Обычный 7 2 93 4" xfId="19643"/>
    <cellStyle name="Процентный 7 2 93 4" xfId="19644"/>
    <cellStyle name="Обычный 8 89 4" xfId="19645"/>
    <cellStyle name="Процентный 8 89 4" xfId="19646"/>
    <cellStyle name="Обычный 9 55 4" xfId="19647"/>
    <cellStyle name="Процентный 9 56 4" xfId="19648"/>
    <cellStyle name="Обычный 10 48 4" xfId="19649"/>
    <cellStyle name="Процентный 10 48 4" xfId="19650"/>
    <cellStyle name="Обычный 11 36 4" xfId="19651"/>
    <cellStyle name="Процентный 11 36 4" xfId="19652"/>
    <cellStyle name="Обычный 4 148 4" xfId="19653"/>
    <cellStyle name="Процентный 4 148 4" xfId="19654"/>
    <cellStyle name="Обычный 5 141 4" xfId="19655"/>
    <cellStyle name="Процентный 5 141 4" xfId="19656"/>
    <cellStyle name="Обычный 4 2 135 4" xfId="19657"/>
    <cellStyle name="Процентный 4 2 135 4" xfId="19658"/>
    <cellStyle name="Обычный 5 2 135 4" xfId="19659"/>
    <cellStyle name="Процентный 5 2 135 4" xfId="19660"/>
    <cellStyle name="Обычный 6 132 4" xfId="19661"/>
    <cellStyle name="Процентный 6 132 4" xfId="19662"/>
    <cellStyle name="Обычный 7 102 4" xfId="19663"/>
    <cellStyle name="Процентный 7 102 4" xfId="19664"/>
    <cellStyle name="Обычный 4 3 94 4" xfId="19665"/>
    <cellStyle name="Процентный 4 3 94 4" xfId="19666"/>
    <cellStyle name="Обычный 5 3 94 4" xfId="19667"/>
    <cellStyle name="Процентный 5 3 94 4" xfId="19668"/>
    <cellStyle name="Обычный 4 2 2 94 4" xfId="19669"/>
    <cellStyle name="Процентный 4 2 2 94 4" xfId="19670"/>
    <cellStyle name="Обычный 5 2 2 94 4" xfId="19671"/>
    <cellStyle name="Процентный 5 2 2 94 4" xfId="19672"/>
    <cellStyle name="Обычный 6 2 94 4" xfId="19673"/>
    <cellStyle name="Процентный 6 2 94 4" xfId="19674"/>
    <cellStyle name="Обычный 7 2 94 4" xfId="19675"/>
    <cellStyle name="Процентный 7 2 94 4" xfId="19676"/>
    <cellStyle name="Обычный 8 90 4" xfId="19677"/>
    <cellStyle name="Процентный 8 90 4" xfId="19678"/>
    <cellStyle name="Обычный 9 56 4" xfId="19679"/>
    <cellStyle name="Процентный 9 57 4" xfId="19680"/>
    <cellStyle name="Обычный 10 49 4" xfId="19681"/>
    <cellStyle name="Процентный 10 49 4" xfId="19682"/>
    <cellStyle name="Обычный 11 37 4" xfId="19683"/>
    <cellStyle name="Процентный 11 37 4" xfId="19684"/>
    <cellStyle name="Обычный 4 149 4" xfId="19685"/>
    <cellStyle name="Процентный 4 149 4" xfId="19686"/>
    <cellStyle name="Обычный 5 142 4" xfId="19687"/>
    <cellStyle name="Процентный 5 142 4" xfId="19688"/>
    <cellStyle name="Обычный 4 2 136 4" xfId="19689"/>
    <cellStyle name="Процентный 4 2 136 4" xfId="19690"/>
    <cellStyle name="Обычный 5 2 136 4" xfId="19691"/>
    <cellStyle name="Процентный 5 2 136 4" xfId="19692"/>
    <cellStyle name="Обычный 6 133 4" xfId="19693"/>
    <cellStyle name="Процентный 6 133 4" xfId="19694"/>
    <cellStyle name="Обычный 7 103 4" xfId="19695"/>
    <cellStyle name="Процентный 7 103 4" xfId="19696"/>
    <cellStyle name="Обычный 4 3 95 4" xfId="19697"/>
    <cellStyle name="Процентный 4 3 95 4" xfId="19698"/>
    <cellStyle name="Обычный 5 3 95 4" xfId="19699"/>
    <cellStyle name="Процентный 5 3 95 4" xfId="19700"/>
    <cellStyle name="Обычный 4 2 2 95 4" xfId="19701"/>
    <cellStyle name="Процентный 4 2 2 95 4" xfId="19702"/>
    <cellStyle name="Обычный 5 2 2 95 4" xfId="19703"/>
    <cellStyle name="Процентный 5 2 2 95 4" xfId="19704"/>
    <cellStyle name="Обычный 6 2 95 4" xfId="19705"/>
    <cellStyle name="Процентный 6 2 95 4" xfId="19706"/>
    <cellStyle name="Обычный 7 2 95 4" xfId="19707"/>
    <cellStyle name="Процентный 7 2 95 4" xfId="19708"/>
    <cellStyle name="Обычный 8 91 4" xfId="19709"/>
    <cellStyle name="Процентный 8 91 4" xfId="19710"/>
    <cellStyle name="Обычный 9 57 4" xfId="19711"/>
    <cellStyle name="Процентный 9 58 4" xfId="19712"/>
    <cellStyle name="Обычный 10 50 4" xfId="19713"/>
    <cellStyle name="Процентный 10 50 4" xfId="19714"/>
    <cellStyle name="Обычный 11 38 4" xfId="19715"/>
    <cellStyle name="Процентный 11 38 4" xfId="19716"/>
    <cellStyle name="Обычный 4 150 4" xfId="19717"/>
    <cellStyle name="Процентный 4 150 4" xfId="19718"/>
    <cellStyle name="Обычный 5 143 4" xfId="19719"/>
    <cellStyle name="Процентный 5 143 4" xfId="19720"/>
    <cellStyle name="Обычный 4 2 137 4" xfId="19721"/>
    <cellStyle name="Процентный 4 2 137 4" xfId="19722"/>
    <cellStyle name="Обычный 5 2 137 4" xfId="19723"/>
    <cellStyle name="Процентный 5 2 137 4" xfId="19724"/>
    <cellStyle name="Обычный 6 134 4" xfId="19725"/>
    <cellStyle name="Процентный 6 134 4" xfId="19726"/>
    <cellStyle name="Обычный 7 104 4" xfId="19727"/>
    <cellStyle name="Процентный 7 104 4" xfId="19728"/>
    <cellStyle name="Обычный 4 3 96 4" xfId="19729"/>
    <cellStyle name="Процентный 4 3 96 4" xfId="19730"/>
    <cellStyle name="Обычный 5 3 96 4" xfId="19731"/>
    <cellStyle name="Процентный 5 3 96 4" xfId="19732"/>
    <cellStyle name="Обычный 4 2 2 96 4" xfId="19733"/>
    <cellStyle name="Процентный 4 2 2 96 4" xfId="19734"/>
    <cellStyle name="Обычный 5 2 2 96 4" xfId="19735"/>
    <cellStyle name="Процентный 5 2 2 96 4" xfId="19736"/>
    <cellStyle name="Обычный 6 2 96 4" xfId="19737"/>
    <cellStyle name="Процентный 6 2 96 4" xfId="19738"/>
    <cellStyle name="Обычный 7 2 96 4" xfId="19739"/>
    <cellStyle name="Процентный 7 2 96 4" xfId="19740"/>
    <cellStyle name="Обычный 8 92 4" xfId="19741"/>
    <cellStyle name="Процентный 8 92 4" xfId="19742"/>
    <cellStyle name="Обычный 9 58 4" xfId="19743"/>
    <cellStyle name="Процентный 9 59 4" xfId="19744"/>
    <cellStyle name="Обычный 10 51 4" xfId="19745"/>
    <cellStyle name="Процентный 10 51 4" xfId="19746"/>
    <cellStyle name="Обычный 11 39 4" xfId="19747"/>
    <cellStyle name="Процентный 11 39 4" xfId="19748"/>
    <cellStyle name="Обычный 4 151 4" xfId="19749"/>
    <cellStyle name="Процентный 4 151 4" xfId="19750"/>
    <cellStyle name="Обычный 5 144 4" xfId="19751"/>
    <cellStyle name="Процентный 5 144 4" xfId="19752"/>
    <cellStyle name="Обычный 4 2 138 4" xfId="19753"/>
    <cellStyle name="Процентный 4 2 138 4" xfId="19754"/>
    <cellStyle name="Обычный 5 2 138 4" xfId="19755"/>
    <cellStyle name="Процентный 5 2 138 4" xfId="19756"/>
    <cellStyle name="Обычный 6 135 4" xfId="19757"/>
    <cellStyle name="Процентный 6 135 4" xfId="19758"/>
    <cellStyle name="Обычный 7 105 4" xfId="19759"/>
    <cellStyle name="Процентный 7 105 4" xfId="19760"/>
    <cellStyle name="Обычный 4 3 97 4" xfId="19761"/>
    <cellStyle name="Процентный 4 3 97 4" xfId="19762"/>
    <cellStyle name="Обычный 5 3 97 4" xfId="19763"/>
    <cellStyle name="Процентный 5 3 97 4" xfId="19764"/>
    <cellStyle name="Обычный 4 2 2 97 4" xfId="19765"/>
    <cellStyle name="Процентный 4 2 2 97 4" xfId="19766"/>
    <cellStyle name="Обычный 5 2 2 97 4" xfId="19767"/>
    <cellStyle name="Процентный 5 2 2 97 4" xfId="19768"/>
    <cellStyle name="Обычный 6 2 97 4" xfId="19769"/>
    <cellStyle name="Процентный 6 2 97 4" xfId="19770"/>
    <cellStyle name="Обычный 7 2 97 4" xfId="19771"/>
    <cellStyle name="Процентный 7 2 97 4" xfId="19772"/>
    <cellStyle name="Обычный 8 93 4" xfId="19773"/>
    <cellStyle name="Процентный 8 93 4" xfId="19774"/>
    <cellStyle name="Обычный 9 59 4" xfId="19775"/>
    <cellStyle name="Процентный 9 60 4" xfId="19776"/>
    <cellStyle name="Обычный 10 52 4" xfId="19777"/>
    <cellStyle name="Процентный 10 52 4" xfId="19778"/>
    <cellStyle name="Обычный 11 40 4" xfId="19779"/>
    <cellStyle name="Процентный 11 40 4" xfId="19780"/>
    <cellStyle name="Обычный 4 152 4" xfId="19781"/>
    <cellStyle name="Процентный 4 152 4" xfId="19782"/>
    <cellStyle name="Обычный 5 145 4" xfId="19783"/>
    <cellStyle name="Процентный 5 145 4" xfId="19784"/>
    <cellStyle name="Обычный 4 2 139 4" xfId="19785"/>
    <cellStyle name="Процентный 4 2 139 4" xfId="19786"/>
    <cellStyle name="Обычный 5 2 139 4" xfId="19787"/>
    <cellStyle name="Процентный 5 2 139 4" xfId="19788"/>
    <cellStyle name="Обычный 6 136 4" xfId="19789"/>
    <cellStyle name="Процентный 6 136 4" xfId="19790"/>
    <cellStyle name="Обычный 7 106 4" xfId="19791"/>
    <cellStyle name="Процентный 7 106 4" xfId="19792"/>
    <cellStyle name="Обычный 4 3 98 4" xfId="19793"/>
    <cellStyle name="Процентный 4 3 98 4" xfId="19794"/>
    <cellStyle name="Обычный 5 3 98 4" xfId="19795"/>
    <cellStyle name="Процентный 5 3 98 4" xfId="19796"/>
    <cellStyle name="Обычный 4 2 2 98 4" xfId="19797"/>
    <cellStyle name="Процентный 4 2 2 98 4" xfId="19798"/>
    <cellStyle name="Обычный 5 2 2 98 4" xfId="19799"/>
    <cellStyle name="Процентный 5 2 2 98 4" xfId="19800"/>
    <cellStyle name="Обычный 6 2 98 4" xfId="19801"/>
    <cellStyle name="Процентный 6 2 98 4" xfId="19802"/>
    <cellStyle name="Обычный 7 2 98 4" xfId="19803"/>
    <cellStyle name="Процентный 7 2 98 4" xfId="19804"/>
    <cellStyle name="Обычный 8 94 4" xfId="19805"/>
    <cellStyle name="Процентный 8 94 4" xfId="19806"/>
    <cellStyle name="Обычный 9 60 4" xfId="19807"/>
    <cellStyle name="Процентный 9 61 4" xfId="19808"/>
    <cellStyle name="Обычный 10 53 4" xfId="19809"/>
    <cellStyle name="Процентный 10 53 4" xfId="19810"/>
    <cellStyle name="Обычный 11 41 4" xfId="19811"/>
    <cellStyle name="Процентный 11 41 4" xfId="19812"/>
    <cellStyle name="Обычный 4 153 4" xfId="19813"/>
    <cellStyle name="Процентный 4 153 4" xfId="19814"/>
    <cellStyle name="Обычный 5 146 4" xfId="19815"/>
    <cellStyle name="Процентный 5 146 4" xfId="19816"/>
    <cellStyle name="Обычный 4 2 140 4" xfId="19817"/>
    <cellStyle name="Процентный 4 2 140 4" xfId="19818"/>
    <cellStyle name="Обычный 5 2 140 4" xfId="19819"/>
    <cellStyle name="Процентный 5 2 140 4" xfId="19820"/>
    <cellStyle name="Обычный 6 137 4" xfId="19821"/>
    <cellStyle name="Процентный 6 137 4" xfId="19822"/>
    <cellStyle name="Обычный 7 107 4" xfId="19823"/>
    <cellStyle name="Процентный 7 107 4" xfId="19824"/>
    <cellStyle name="Обычный 4 3 99 4" xfId="19825"/>
    <cellStyle name="Процентный 4 3 99 4" xfId="19826"/>
    <cellStyle name="Обычный 5 3 99 4" xfId="19827"/>
    <cellStyle name="Процентный 5 3 99 4" xfId="19828"/>
    <cellStyle name="Обычный 4 2 2 99 4" xfId="19829"/>
    <cellStyle name="Процентный 4 2 2 99 4" xfId="19830"/>
    <cellStyle name="Обычный 5 2 2 99 4" xfId="19831"/>
    <cellStyle name="Процентный 5 2 2 99 4" xfId="19832"/>
    <cellStyle name="Обычный 6 2 99 4" xfId="19833"/>
    <cellStyle name="Процентный 6 2 99 4" xfId="19834"/>
    <cellStyle name="Обычный 7 2 99 4" xfId="19835"/>
    <cellStyle name="Процентный 7 2 99 4" xfId="19836"/>
    <cellStyle name="Обычный 8 95 4" xfId="19837"/>
    <cellStyle name="Процентный 8 95 4" xfId="19838"/>
    <cellStyle name="Обычный 9 61 4" xfId="19839"/>
    <cellStyle name="Процентный 9 62 4" xfId="19840"/>
    <cellStyle name="Обычный 10 54 4" xfId="19841"/>
    <cellStyle name="Процентный 10 54 4" xfId="19842"/>
    <cellStyle name="Обычный 11 42 4" xfId="19843"/>
    <cellStyle name="Процентный 11 42 4" xfId="19844"/>
    <cellStyle name="Обычный 4 154 4" xfId="19845"/>
    <cellStyle name="Процентный 4 154 4" xfId="19846"/>
    <cellStyle name="Обычный 5 147 4" xfId="19847"/>
    <cellStyle name="Процентный 5 147 4" xfId="19848"/>
    <cellStyle name="Обычный 4 2 141 4" xfId="19849"/>
    <cellStyle name="Процентный 4 2 141 4" xfId="19850"/>
    <cellStyle name="Обычный 5 2 141 4" xfId="19851"/>
    <cellStyle name="Процентный 5 2 141 4" xfId="19852"/>
    <cellStyle name="Обычный 6 138 4" xfId="19853"/>
    <cellStyle name="Процентный 6 138 4" xfId="19854"/>
    <cellStyle name="Обычный 7 108 4" xfId="19855"/>
    <cellStyle name="Процентный 7 108 4" xfId="19856"/>
    <cellStyle name="Обычный 4 3 100 4" xfId="19857"/>
    <cellStyle name="Процентный 4 3 100 4" xfId="19858"/>
    <cellStyle name="Обычный 5 3 100 4" xfId="19859"/>
    <cellStyle name="Процентный 5 3 100 4" xfId="19860"/>
    <cellStyle name="Обычный 4 2 2 100 4" xfId="19861"/>
    <cellStyle name="Процентный 4 2 2 100 4" xfId="19862"/>
    <cellStyle name="Обычный 5 2 2 100 4" xfId="19863"/>
    <cellStyle name="Процентный 5 2 2 100 4" xfId="19864"/>
    <cellStyle name="Обычный 6 2 100 4" xfId="19865"/>
    <cellStyle name="Процентный 6 2 100 4" xfId="19866"/>
    <cellStyle name="Обычный 7 2 100 4" xfId="19867"/>
    <cellStyle name="Процентный 7 2 100 4" xfId="19868"/>
    <cellStyle name="Обычный 8 96 4" xfId="19869"/>
    <cellStyle name="Процентный 8 96 4" xfId="19870"/>
    <cellStyle name="Обычный 9 62 4" xfId="19871"/>
    <cellStyle name="Процентный 9 63 4" xfId="19872"/>
    <cellStyle name="Обычный 10 55 4" xfId="19873"/>
    <cellStyle name="Процентный 10 55 4" xfId="19874"/>
    <cellStyle name="Обычный 11 43 4" xfId="19875"/>
    <cellStyle name="Процентный 11 43 4" xfId="19876"/>
    <cellStyle name="Обычный 4 155 4" xfId="19877"/>
    <cellStyle name="Процентный 4 155 4" xfId="19878"/>
    <cellStyle name="Обычный 5 148 4" xfId="19879"/>
    <cellStyle name="Процентный 5 148 4" xfId="19880"/>
    <cellStyle name="Обычный 4 2 142 4" xfId="19881"/>
    <cellStyle name="Процентный 4 2 142 4" xfId="19882"/>
    <cellStyle name="Обычный 5 2 142 4" xfId="19883"/>
    <cellStyle name="Процентный 5 2 142 4" xfId="19884"/>
    <cellStyle name="Обычный 6 139 4" xfId="19885"/>
    <cellStyle name="Процентный 6 139 4" xfId="19886"/>
    <cellStyle name="Обычный 7 109 4" xfId="19887"/>
    <cellStyle name="Процентный 7 109 4" xfId="19888"/>
    <cellStyle name="Обычный 4 3 101 4" xfId="19889"/>
    <cellStyle name="Процентный 4 3 101 4" xfId="19890"/>
    <cellStyle name="Обычный 5 3 101 4" xfId="19891"/>
    <cellStyle name="Процентный 5 3 101 4" xfId="19892"/>
    <cellStyle name="Обычный 4 2 2 101 4" xfId="19893"/>
    <cellStyle name="Процентный 4 2 2 101 4" xfId="19894"/>
    <cellStyle name="Обычный 5 2 2 101 4" xfId="19895"/>
    <cellStyle name="Процентный 5 2 2 101 4" xfId="19896"/>
    <cellStyle name="Обычный 6 2 101 4" xfId="19897"/>
    <cellStyle name="Процентный 6 2 101 4" xfId="19898"/>
    <cellStyle name="Обычный 7 2 101 4" xfId="19899"/>
    <cellStyle name="Процентный 7 2 101 4" xfId="19900"/>
    <cellStyle name="Обычный 8 97 4" xfId="19901"/>
    <cellStyle name="Процентный 8 97 4" xfId="19902"/>
    <cellStyle name="Обычный 9 63 4" xfId="19903"/>
    <cellStyle name="Процентный 9 64 4" xfId="19904"/>
    <cellStyle name="Обычный 10 56 4" xfId="19905"/>
    <cellStyle name="Процентный 10 56 4" xfId="19906"/>
    <cellStyle name="Обычный 11 44 4" xfId="19907"/>
    <cellStyle name="Процентный 11 44 4" xfId="19908"/>
    <cellStyle name="Обычный 4 156 4" xfId="19909"/>
    <cellStyle name="Процентный 4 156 4" xfId="19910"/>
    <cellStyle name="Обычный 5 149 4" xfId="19911"/>
    <cellStyle name="Процентный 5 149 4" xfId="19912"/>
    <cellStyle name="Обычный 4 2 143 4" xfId="19913"/>
    <cellStyle name="Процентный 4 2 143 4" xfId="19914"/>
    <cellStyle name="Обычный 5 2 143 4" xfId="19915"/>
    <cellStyle name="Процентный 5 2 143 4" xfId="19916"/>
    <cellStyle name="Обычный 6 140 4" xfId="19917"/>
    <cellStyle name="Процентный 6 140 4" xfId="19918"/>
    <cellStyle name="Обычный 7 110 4" xfId="19919"/>
    <cellStyle name="Процентный 7 110 4" xfId="19920"/>
    <cellStyle name="Обычный 4 3 102 4" xfId="19921"/>
    <cellStyle name="Процентный 4 3 102 4" xfId="19922"/>
    <cellStyle name="Обычный 5 3 102 4" xfId="19923"/>
    <cellStyle name="Процентный 5 3 102 4" xfId="19924"/>
    <cellStyle name="Обычный 4 2 2 102 4" xfId="19925"/>
    <cellStyle name="Процентный 4 2 2 102 4" xfId="19926"/>
    <cellStyle name="Обычный 5 2 2 102 4" xfId="19927"/>
    <cellStyle name="Процентный 5 2 2 102 4" xfId="19928"/>
    <cellStyle name="Обычный 6 2 102 4" xfId="19929"/>
    <cellStyle name="Процентный 6 2 102 4" xfId="19930"/>
    <cellStyle name="Обычный 7 2 102 4" xfId="19931"/>
    <cellStyle name="Процентный 7 2 102 4" xfId="19932"/>
    <cellStyle name="Обычный 8 98 4" xfId="19933"/>
    <cellStyle name="Процентный 8 98 4" xfId="19934"/>
    <cellStyle name="Обычный 9 64 4" xfId="19935"/>
    <cellStyle name="Процентный 9 65 4" xfId="19936"/>
    <cellStyle name="Обычный 10 57 4" xfId="19937"/>
    <cellStyle name="Процентный 10 57 4" xfId="19938"/>
    <cellStyle name="Обычный 11 45 4" xfId="19939"/>
    <cellStyle name="Процентный 11 45 4" xfId="19940"/>
    <cellStyle name="Обычный 4 157 4" xfId="19941"/>
    <cellStyle name="Процентный 4 157 4" xfId="19942"/>
    <cellStyle name="Обычный 5 150 4" xfId="19943"/>
    <cellStyle name="Процентный 5 150 4" xfId="19944"/>
    <cellStyle name="Обычный 4 2 144 4" xfId="19945"/>
    <cellStyle name="Процентный 4 2 144 4" xfId="19946"/>
    <cellStyle name="Обычный 5 2 144 4" xfId="19947"/>
    <cellStyle name="Процентный 5 2 144 4" xfId="19948"/>
    <cellStyle name="Обычный 6 141 4" xfId="19949"/>
    <cellStyle name="Процентный 6 141 4" xfId="19950"/>
    <cellStyle name="Обычный 7 111 4" xfId="19951"/>
    <cellStyle name="Процентный 7 111 4" xfId="19952"/>
    <cellStyle name="Обычный 4 3 103 4" xfId="19953"/>
    <cellStyle name="Процентный 4 3 103 4" xfId="19954"/>
    <cellStyle name="Обычный 5 3 103 4" xfId="19955"/>
    <cellStyle name="Процентный 5 3 103 4" xfId="19956"/>
    <cellStyle name="Обычный 4 2 2 103 4" xfId="19957"/>
    <cellStyle name="Процентный 4 2 2 103 4" xfId="19958"/>
    <cellStyle name="Обычный 5 2 2 103 4" xfId="19959"/>
    <cellStyle name="Процентный 5 2 2 103 4" xfId="19960"/>
    <cellStyle name="Обычный 6 2 103 4" xfId="19961"/>
    <cellStyle name="Процентный 6 2 103 4" xfId="19962"/>
    <cellStyle name="Обычный 7 2 103 4" xfId="19963"/>
    <cellStyle name="Процентный 7 2 103 4" xfId="19964"/>
    <cellStyle name="Обычный 8 99 4" xfId="19965"/>
    <cellStyle name="Процентный 8 99 4" xfId="19966"/>
    <cellStyle name="Обычный 9 65 4" xfId="19967"/>
    <cellStyle name="Процентный 9 66 4" xfId="19968"/>
    <cellStyle name="Обычный 10 58 4" xfId="19969"/>
    <cellStyle name="Процентный 10 58 4" xfId="19970"/>
    <cellStyle name="Обычный 11 46 4" xfId="19971"/>
    <cellStyle name="Процентный 11 46 4" xfId="19972"/>
    <cellStyle name="Обычный 4 158 4" xfId="19973"/>
    <cellStyle name="Процентный 4 158 4" xfId="19974"/>
    <cellStyle name="Обычный 5 151 4" xfId="19975"/>
    <cellStyle name="Процентный 5 151 4" xfId="19976"/>
    <cellStyle name="Обычный 4 2 145 4" xfId="19977"/>
    <cellStyle name="Процентный 4 2 145 4" xfId="19978"/>
    <cellStyle name="Обычный 5 2 145 4" xfId="19979"/>
    <cellStyle name="Процентный 5 2 145 4" xfId="19980"/>
    <cellStyle name="Обычный 6 142 4" xfId="19981"/>
    <cellStyle name="Процентный 6 142 4" xfId="19982"/>
    <cellStyle name="Обычный 7 112 4" xfId="19983"/>
    <cellStyle name="Процентный 7 112 4" xfId="19984"/>
    <cellStyle name="Обычный 4 3 104 4" xfId="19985"/>
    <cellStyle name="Процентный 4 3 104 4" xfId="19986"/>
    <cellStyle name="Обычный 5 3 104 4" xfId="19987"/>
    <cellStyle name="Процентный 5 3 104 4" xfId="19988"/>
    <cellStyle name="Обычный 4 2 2 104 4" xfId="19989"/>
    <cellStyle name="Процентный 4 2 2 104 4" xfId="19990"/>
    <cellStyle name="Обычный 5 2 2 104 4" xfId="19991"/>
    <cellStyle name="Процентный 5 2 2 104 4" xfId="19992"/>
    <cellStyle name="Обычный 6 2 104 4" xfId="19993"/>
    <cellStyle name="Процентный 6 2 104 4" xfId="19994"/>
    <cellStyle name="Обычный 7 2 104 4" xfId="19995"/>
    <cellStyle name="Процентный 7 2 104 4" xfId="19996"/>
    <cellStyle name="Обычный 8 100 4" xfId="19997"/>
    <cellStyle name="Процентный 8 100 4" xfId="19998"/>
    <cellStyle name="Обычный 9 66 4" xfId="19999"/>
    <cellStyle name="Процентный 9 67 4" xfId="20000"/>
    <cellStyle name="Обычный 10 59 4" xfId="20001"/>
    <cellStyle name="Процентный 10 59 4" xfId="20002"/>
    <cellStyle name="Обычный 11 47 4" xfId="20003"/>
    <cellStyle name="Процентный 11 47 4" xfId="20004"/>
    <cellStyle name="Обычный 4 159 4" xfId="20005"/>
    <cellStyle name="Процентный 4 159 4" xfId="20006"/>
    <cellStyle name="Обычный 5 152 4" xfId="20007"/>
    <cellStyle name="Процентный 5 152 4" xfId="20008"/>
    <cellStyle name="Обычный 4 2 146 4" xfId="20009"/>
    <cellStyle name="Процентный 4 2 146 4" xfId="20010"/>
    <cellStyle name="Обычный 5 2 146 4" xfId="20011"/>
    <cellStyle name="Процентный 5 2 146 4" xfId="20012"/>
    <cellStyle name="Обычный 6 143 4" xfId="20013"/>
    <cellStyle name="Процентный 6 143 4" xfId="20014"/>
    <cellStyle name="Обычный 7 113 4" xfId="20015"/>
    <cellStyle name="Процентный 7 113 4" xfId="20016"/>
    <cellStyle name="Обычный 4 3 105 4" xfId="20017"/>
    <cellStyle name="Процентный 4 3 105 4" xfId="20018"/>
    <cellStyle name="Обычный 5 3 105 4" xfId="20019"/>
    <cellStyle name="Процентный 5 3 105 4" xfId="20020"/>
    <cellStyle name="Обычный 4 2 2 105 4" xfId="20021"/>
    <cellStyle name="Процентный 4 2 2 105 4" xfId="20022"/>
    <cellStyle name="Обычный 5 2 2 105 4" xfId="20023"/>
    <cellStyle name="Процентный 5 2 2 105 4" xfId="20024"/>
    <cellStyle name="Обычный 6 2 105 4" xfId="20025"/>
    <cellStyle name="Процентный 6 2 105 4" xfId="20026"/>
    <cellStyle name="Обычный 7 2 105 4" xfId="20027"/>
    <cellStyle name="Процентный 7 2 105 4" xfId="20028"/>
    <cellStyle name="Обычный 8 101 4" xfId="20029"/>
    <cellStyle name="Процентный 8 101 4" xfId="20030"/>
    <cellStyle name="Обычный 9 67 4" xfId="20031"/>
    <cellStyle name="Процентный 9 68 4" xfId="20032"/>
    <cellStyle name="Обычный 10 60 4" xfId="20033"/>
    <cellStyle name="Процентный 10 60 4" xfId="20034"/>
    <cellStyle name="Обычный 11 48 4" xfId="20035"/>
    <cellStyle name="Процентный 11 48 4" xfId="20036"/>
    <cellStyle name="Обычный 4 160 4" xfId="20037"/>
    <cellStyle name="Процентный 4 160 4" xfId="20038"/>
    <cellStyle name="Обычный 5 153 4" xfId="20039"/>
    <cellStyle name="Процентный 5 153 4" xfId="20040"/>
    <cellStyle name="Обычный 4 2 147 4" xfId="20041"/>
    <cellStyle name="Процентный 4 2 147 4" xfId="20042"/>
    <cellStyle name="Обычный 5 2 147 4" xfId="20043"/>
    <cellStyle name="Процентный 5 2 147 4" xfId="20044"/>
    <cellStyle name="Обычный 6 144 4" xfId="20045"/>
    <cellStyle name="Процентный 6 144 4" xfId="20046"/>
    <cellStyle name="Обычный 7 114 4" xfId="20047"/>
    <cellStyle name="Процентный 7 114 4" xfId="20048"/>
    <cellStyle name="Обычный 4 3 106 4" xfId="20049"/>
    <cellStyle name="Процентный 4 3 106 4" xfId="20050"/>
    <cellStyle name="Обычный 5 3 106 4" xfId="20051"/>
    <cellStyle name="Процентный 5 3 106 4" xfId="20052"/>
    <cellStyle name="Обычный 4 2 2 106 4" xfId="20053"/>
    <cellStyle name="Процентный 4 2 2 106 4" xfId="20054"/>
    <cellStyle name="Обычный 5 2 2 106 4" xfId="20055"/>
    <cellStyle name="Процентный 5 2 2 106 4" xfId="20056"/>
    <cellStyle name="Обычный 6 2 106 4" xfId="20057"/>
    <cellStyle name="Процентный 6 2 106 4" xfId="20058"/>
    <cellStyle name="Обычный 7 2 106 4" xfId="20059"/>
    <cellStyle name="Процентный 7 2 106 4" xfId="20060"/>
    <cellStyle name="Обычный 8 102 4" xfId="20061"/>
    <cellStyle name="Процентный 8 102 4" xfId="20062"/>
    <cellStyle name="Обычный 9 68 4" xfId="20063"/>
    <cellStyle name="Процентный 9 69 4" xfId="20064"/>
    <cellStyle name="Обычный 10 61 4" xfId="20065"/>
    <cellStyle name="Процентный 10 61 4" xfId="20066"/>
    <cellStyle name="Обычный 11 49 4" xfId="20067"/>
    <cellStyle name="Процентный 11 49 4" xfId="20068"/>
    <cellStyle name="Обычный 4 161 4" xfId="20069"/>
    <cellStyle name="Процентный 4 161 4" xfId="20070"/>
    <cellStyle name="Обычный 5 154 4" xfId="20071"/>
    <cellStyle name="Процентный 5 154 4" xfId="20072"/>
    <cellStyle name="Обычный 4 2 148 4" xfId="20073"/>
    <cellStyle name="Процентный 4 2 148 4" xfId="20074"/>
    <cellStyle name="Обычный 5 2 148 4" xfId="20075"/>
    <cellStyle name="Процентный 5 2 148 4" xfId="20076"/>
    <cellStyle name="Обычный 6 145 4" xfId="20077"/>
    <cellStyle name="Процентный 6 145 4" xfId="20078"/>
    <cellStyle name="Обычный 7 115 4" xfId="20079"/>
    <cellStyle name="Процентный 7 115 4" xfId="20080"/>
    <cellStyle name="Обычный 4 3 107 4" xfId="20081"/>
    <cellStyle name="Процентный 4 3 107 4" xfId="20082"/>
    <cellStyle name="Обычный 5 3 107 4" xfId="20083"/>
    <cellStyle name="Процентный 5 3 107 4" xfId="20084"/>
    <cellStyle name="Обычный 4 2 2 107 4" xfId="20085"/>
    <cellStyle name="Процентный 4 2 2 107 4" xfId="20086"/>
    <cellStyle name="Обычный 5 2 2 107 4" xfId="20087"/>
    <cellStyle name="Процентный 5 2 2 107 4" xfId="20088"/>
    <cellStyle name="Обычный 6 2 107 4" xfId="20089"/>
    <cellStyle name="Процентный 6 2 107 4" xfId="20090"/>
    <cellStyle name="Обычный 7 2 107 4" xfId="20091"/>
    <cellStyle name="Процентный 7 2 107 4" xfId="20092"/>
    <cellStyle name="Обычный 8 103 4" xfId="20093"/>
    <cellStyle name="Процентный 8 103 4" xfId="20094"/>
    <cellStyle name="Обычный 9 69 4" xfId="20095"/>
    <cellStyle name="Процентный 9 70 4" xfId="20096"/>
    <cellStyle name="Обычный 10 62 4" xfId="20097"/>
    <cellStyle name="Процентный 10 62 4" xfId="20098"/>
    <cellStyle name="Обычный 11 50 4" xfId="20099"/>
    <cellStyle name="Процентный 11 50 4" xfId="20100"/>
    <cellStyle name="Обычный 4 162 4" xfId="20101"/>
    <cellStyle name="Процентный 4 162 4" xfId="20102"/>
    <cellStyle name="Обычный 5 155 4" xfId="20103"/>
    <cellStyle name="Процентный 5 155 4" xfId="20104"/>
    <cellStyle name="Обычный 4 2 149 4" xfId="20105"/>
    <cellStyle name="Процентный 4 2 149 4" xfId="20106"/>
    <cellStyle name="Обычный 5 2 149 4" xfId="20107"/>
    <cellStyle name="Процентный 5 2 149 4" xfId="20108"/>
    <cellStyle name="Обычный 6 146 4" xfId="20109"/>
    <cellStyle name="Процентный 6 146 4" xfId="20110"/>
    <cellStyle name="Обычный 7 116 4" xfId="20111"/>
    <cellStyle name="Процентный 7 116 4" xfId="20112"/>
    <cellStyle name="Обычный 4 3 108 4" xfId="20113"/>
    <cellStyle name="Процентный 4 3 108 4" xfId="20114"/>
    <cellStyle name="Обычный 5 3 108 4" xfId="20115"/>
    <cellStyle name="Процентный 5 3 108 4" xfId="20116"/>
    <cellStyle name="Обычный 4 2 2 108 4" xfId="20117"/>
    <cellStyle name="Процентный 4 2 2 108 4" xfId="20118"/>
    <cellStyle name="Обычный 5 2 2 108 4" xfId="20119"/>
    <cellStyle name="Процентный 5 2 2 108 4" xfId="20120"/>
    <cellStyle name="Обычный 6 2 108 4" xfId="20121"/>
    <cellStyle name="Процентный 6 2 108 4" xfId="20122"/>
    <cellStyle name="Обычный 7 2 108 4" xfId="20123"/>
    <cellStyle name="Процентный 7 2 108 4" xfId="20124"/>
    <cellStyle name="Обычный 8 104 4" xfId="20125"/>
    <cellStyle name="Процентный 8 104 4" xfId="20126"/>
    <cellStyle name="Обычный 9 70 4" xfId="20127"/>
    <cellStyle name="Процентный 9 71 4" xfId="20128"/>
    <cellStyle name="Обычный 10 63 4" xfId="20129"/>
    <cellStyle name="Процентный 10 63 4" xfId="20130"/>
    <cellStyle name="Обычный 11 51 4" xfId="20131"/>
    <cellStyle name="Процентный 11 51 4" xfId="20132"/>
    <cellStyle name="Обычный 4 163 4" xfId="20133"/>
    <cellStyle name="Процентный 4 163 4" xfId="20134"/>
    <cellStyle name="Обычный 5 156 4" xfId="20135"/>
    <cellStyle name="Процентный 5 156 4" xfId="20136"/>
    <cellStyle name="Обычный 4 2 150 4" xfId="20137"/>
    <cellStyle name="Процентный 4 2 150 4" xfId="20138"/>
    <cellStyle name="Обычный 5 2 150 4" xfId="20139"/>
    <cellStyle name="Процентный 5 2 150 4" xfId="20140"/>
    <cellStyle name="Обычный 6 147 4" xfId="20141"/>
    <cellStyle name="Процентный 6 147 4" xfId="20142"/>
    <cellStyle name="Обычный 7 117 4" xfId="20143"/>
    <cellStyle name="Процентный 7 117 4" xfId="20144"/>
    <cellStyle name="Обычный 4 3 109 4" xfId="20145"/>
    <cellStyle name="Процентный 4 3 109 4" xfId="20146"/>
    <cellStyle name="Обычный 5 3 109 4" xfId="20147"/>
    <cellStyle name="Процентный 5 3 109 4" xfId="20148"/>
    <cellStyle name="Обычный 4 2 2 109 4" xfId="20149"/>
    <cellStyle name="Процентный 4 2 2 109 4" xfId="20150"/>
    <cellStyle name="Обычный 5 2 2 109 4" xfId="20151"/>
    <cellStyle name="Процентный 5 2 2 109 4" xfId="20152"/>
    <cellStyle name="Обычный 6 2 109 4" xfId="20153"/>
    <cellStyle name="Процентный 6 2 109 4" xfId="20154"/>
    <cellStyle name="Обычный 7 2 109 4" xfId="20155"/>
    <cellStyle name="Процентный 7 2 109 4" xfId="20156"/>
    <cellStyle name="Обычный 8 105 4" xfId="20157"/>
    <cellStyle name="Процентный 8 105 4" xfId="20158"/>
    <cellStyle name="Обычный 9 71 4" xfId="20159"/>
    <cellStyle name="Процентный 9 72 4" xfId="20160"/>
    <cellStyle name="Обычный 10 64 4" xfId="20161"/>
    <cellStyle name="Процентный 10 64 4" xfId="20162"/>
    <cellStyle name="Обычный 11 52 4" xfId="20163"/>
    <cellStyle name="Процентный 11 52 4" xfId="20164"/>
    <cellStyle name="Обычный 4 164 4" xfId="20165"/>
    <cellStyle name="Процентный 4 164 4" xfId="20166"/>
    <cellStyle name="Обычный 5 157 4" xfId="20167"/>
    <cellStyle name="Процентный 5 157 4" xfId="20168"/>
    <cellStyle name="Обычный 4 2 151 4" xfId="20169"/>
    <cellStyle name="Процентный 4 2 151 4" xfId="20170"/>
    <cellStyle name="Обычный 5 2 151 4" xfId="20171"/>
    <cellStyle name="Процентный 5 2 151 4" xfId="20172"/>
    <cellStyle name="Обычный 6 148 4" xfId="20173"/>
    <cellStyle name="Процентный 6 148 4" xfId="20174"/>
    <cellStyle name="Обычный 7 118 4" xfId="20175"/>
    <cellStyle name="Процентный 7 118 4" xfId="20176"/>
    <cellStyle name="Обычный 4 3 110 4" xfId="20177"/>
    <cellStyle name="Процентный 4 3 110 4" xfId="20178"/>
    <cellStyle name="Обычный 5 3 110 4" xfId="20179"/>
    <cellStyle name="Процентный 5 3 110 4" xfId="20180"/>
    <cellStyle name="Обычный 4 2 2 110 4" xfId="20181"/>
    <cellStyle name="Процентный 4 2 2 110 4" xfId="20182"/>
    <cellStyle name="Обычный 5 2 2 110 4" xfId="20183"/>
    <cellStyle name="Процентный 5 2 2 110 4" xfId="20184"/>
    <cellStyle name="Обычный 6 2 110 4" xfId="20185"/>
    <cellStyle name="Процентный 6 2 110 4" xfId="20186"/>
    <cellStyle name="Обычный 7 2 110 4" xfId="20187"/>
    <cellStyle name="Процентный 7 2 110 4" xfId="20188"/>
    <cellStyle name="Обычный 8 106 4" xfId="20189"/>
    <cellStyle name="Процентный 8 106 4" xfId="20190"/>
    <cellStyle name="Обычный 9 72 4" xfId="20191"/>
    <cellStyle name="Процентный 9 73 4" xfId="20192"/>
    <cellStyle name="Обычный 10 65 4" xfId="20193"/>
    <cellStyle name="Процентный 10 65 4" xfId="20194"/>
    <cellStyle name="Обычный 11 53 4" xfId="20195"/>
    <cellStyle name="Процентный 11 53 4" xfId="20196"/>
    <cellStyle name="Обычный 4 165 4" xfId="20197"/>
    <cellStyle name="Процентный 4 165 4" xfId="20198"/>
    <cellStyle name="Обычный 5 158 4" xfId="20199"/>
    <cellStyle name="Процентный 5 158 4" xfId="20200"/>
    <cellStyle name="Обычный 4 2 152 4" xfId="20201"/>
    <cellStyle name="Процентный 4 2 152 4" xfId="20202"/>
    <cellStyle name="Обычный 5 2 152 4" xfId="20203"/>
    <cellStyle name="Процентный 5 2 152 4" xfId="20204"/>
    <cellStyle name="Обычный 6 149 4" xfId="20205"/>
    <cellStyle name="Процентный 6 149 4" xfId="20206"/>
    <cellStyle name="Обычный 7 119 4" xfId="20207"/>
    <cellStyle name="Процентный 7 119 4" xfId="20208"/>
    <cellStyle name="Обычный 4 3 111 4" xfId="20209"/>
    <cellStyle name="Процентный 4 3 111 4" xfId="20210"/>
    <cellStyle name="Обычный 5 3 111 4" xfId="20211"/>
    <cellStyle name="Процентный 5 3 111 4" xfId="20212"/>
    <cellStyle name="Обычный 4 2 2 111 4" xfId="20213"/>
    <cellStyle name="Процентный 4 2 2 111 4" xfId="20214"/>
    <cellStyle name="Обычный 5 2 2 111 4" xfId="20215"/>
    <cellStyle name="Процентный 5 2 2 111 4" xfId="20216"/>
    <cellStyle name="Обычный 6 2 111 4" xfId="20217"/>
    <cellStyle name="Процентный 6 2 111 4" xfId="20218"/>
    <cellStyle name="Обычный 7 2 111 4" xfId="20219"/>
    <cellStyle name="Процентный 7 2 111 4" xfId="20220"/>
    <cellStyle name="Обычный 8 107 4" xfId="20221"/>
    <cellStyle name="Процентный 8 107 4" xfId="20222"/>
    <cellStyle name="Обычный 9 73 4" xfId="20223"/>
    <cellStyle name="Процентный 9 74 4" xfId="20224"/>
    <cellStyle name="Обычный 10 66 4" xfId="20225"/>
    <cellStyle name="Процентный 10 66 4" xfId="20226"/>
    <cellStyle name="Обычный 11 54 4" xfId="20227"/>
    <cellStyle name="Процентный 11 54 4" xfId="20228"/>
    <cellStyle name="Обычный 4 166 4" xfId="20229"/>
    <cellStyle name="Процентный 4 166 4" xfId="20230"/>
    <cellStyle name="Обычный 5 159 4" xfId="20231"/>
    <cellStyle name="Процентный 5 159 4" xfId="20232"/>
    <cellStyle name="Обычный 4 2 153 4" xfId="20233"/>
    <cellStyle name="Процентный 4 2 153 4" xfId="20234"/>
    <cellStyle name="Обычный 5 2 153 4" xfId="20235"/>
    <cellStyle name="Процентный 5 2 153 4" xfId="20236"/>
    <cellStyle name="Обычный 6 150 4" xfId="20237"/>
    <cellStyle name="Процентный 6 150 4" xfId="20238"/>
    <cellStyle name="Обычный 7 120 4" xfId="20239"/>
    <cellStyle name="Процентный 7 120 4" xfId="20240"/>
    <cellStyle name="Обычный 4 3 112 4" xfId="20241"/>
    <cellStyle name="Процентный 4 3 112 4" xfId="20242"/>
    <cellStyle name="Обычный 5 3 112 4" xfId="20243"/>
    <cellStyle name="Процентный 5 3 112 4" xfId="20244"/>
    <cellStyle name="Обычный 4 2 2 112 4" xfId="20245"/>
    <cellStyle name="Процентный 4 2 2 112 4" xfId="20246"/>
    <cellStyle name="Обычный 5 2 2 112 4" xfId="20247"/>
    <cellStyle name="Процентный 5 2 2 112 4" xfId="20248"/>
    <cellStyle name="Обычный 6 2 112 4" xfId="20249"/>
    <cellStyle name="Процентный 6 2 112 4" xfId="20250"/>
    <cellStyle name="Обычный 7 2 112 4" xfId="20251"/>
    <cellStyle name="Процентный 7 2 112 4" xfId="20252"/>
    <cellStyle name="Обычный 8 108 4" xfId="20253"/>
    <cellStyle name="Процентный 8 108 4" xfId="20254"/>
    <cellStyle name="Обычный 9 74 4" xfId="20255"/>
    <cellStyle name="Процентный 9 75 4" xfId="20256"/>
    <cellStyle name="Обычный 10 67 4" xfId="20257"/>
    <cellStyle name="Процентный 10 67 4" xfId="20258"/>
    <cellStyle name="Обычный 11 55 4" xfId="20259"/>
    <cellStyle name="Процентный 11 55 4" xfId="20260"/>
    <cellStyle name="Обычный 4 167 4" xfId="20261"/>
    <cellStyle name="Процентный 4 167 4" xfId="20262"/>
    <cellStyle name="Обычный 5 160 4" xfId="20263"/>
    <cellStyle name="Процентный 5 160 4" xfId="20264"/>
    <cellStyle name="Обычный 4 2 154 4" xfId="20265"/>
    <cellStyle name="Процентный 4 2 154 4" xfId="20266"/>
    <cellStyle name="Обычный 5 2 154 4" xfId="20267"/>
    <cellStyle name="Процентный 5 2 154 4" xfId="20268"/>
    <cellStyle name="Обычный 6 151 4" xfId="20269"/>
    <cellStyle name="Процентный 6 151 4" xfId="20270"/>
    <cellStyle name="Обычный 7 121 4" xfId="20271"/>
    <cellStyle name="Процентный 7 121 4" xfId="20272"/>
    <cellStyle name="Обычный 4 3 113 4" xfId="20273"/>
    <cellStyle name="Процентный 4 3 113 4" xfId="20274"/>
    <cellStyle name="Обычный 5 3 113 4" xfId="20275"/>
    <cellStyle name="Процентный 5 3 113 4" xfId="20276"/>
    <cellStyle name="Обычный 4 2 2 113 4" xfId="20277"/>
    <cellStyle name="Процентный 4 2 2 113 4" xfId="20278"/>
    <cellStyle name="Обычный 5 2 2 113 4" xfId="20279"/>
    <cellStyle name="Процентный 5 2 2 113 4" xfId="20280"/>
    <cellStyle name="Обычный 6 2 113 4" xfId="20281"/>
    <cellStyle name="Процентный 6 2 113 4" xfId="20282"/>
    <cellStyle name="Обычный 7 2 113 4" xfId="20283"/>
    <cellStyle name="Процентный 7 2 113 4" xfId="20284"/>
    <cellStyle name="Обычный 8 109 4" xfId="20285"/>
    <cellStyle name="Процентный 8 109 4" xfId="20286"/>
    <cellStyle name="Обычный 9 75 4" xfId="20287"/>
    <cellStyle name="Процентный 9 76 4" xfId="20288"/>
    <cellStyle name="Обычный 10 68 4" xfId="20289"/>
    <cellStyle name="Процентный 10 68 4" xfId="20290"/>
    <cellStyle name="Обычный 11 56 4" xfId="20291"/>
    <cellStyle name="Процентный 11 56 4" xfId="20292"/>
    <cellStyle name="Обычный 4 168 4" xfId="20293"/>
    <cellStyle name="Процентный 4 168 4" xfId="20294"/>
    <cellStyle name="Обычный 5 161 4" xfId="20295"/>
    <cellStyle name="Процентный 5 161 4" xfId="20296"/>
    <cellStyle name="Обычный 4 2 155 4" xfId="20297"/>
    <cellStyle name="Процентный 4 2 155 4" xfId="20298"/>
    <cellStyle name="Обычный 5 2 155 4" xfId="20299"/>
    <cellStyle name="Процентный 5 2 155 4" xfId="20300"/>
    <cellStyle name="Обычный 6 152 4" xfId="20301"/>
    <cellStyle name="Процентный 6 152 4" xfId="20302"/>
    <cellStyle name="Обычный 7 122 4" xfId="20303"/>
    <cellStyle name="Процентный 7 122 4" xfId="20304"/>
    <cellStyle name="Обычный 4 3 114 4" xfId="20305"/>
    <cellStyle name="Процентный 4 3 114 4" xfId="20306"/>
    <cellStyle name="Обычный 5 3 114 4" xfId="20307"/>
    <cellStyle name="Процентный 5 3 114 4" xfId="20308"/>
    <cellStyle name="Обычный 4 2 2 114 4" xfId="20309"/>
    <cellStyle name="Процентный 4 2 2 114 4" xfId="20310"/>
    <cellStyle name="Обычный 5 2 2 114 4" xfId="20311"/>
    <cellStyle name="Процентный 5 2 2 114 4" xfId="20312"/>
    <cellStyle name="Обычный 6 2 114 4" xfId="20313"/>
    <cellStyle name="Процентный 6 2 114 4" xfId="20314"/>
    <cellStyle name="Обычный 7 2 114 4" xfId="20315"/>
    <cellStyle name="Процентный 7 2 114 4" xfId="20316"/>
    <cellStyle name="Обычный 8 110 4" xfId="20317"/>
    <cellStyle name="Процентный 8 110 4" xfId="20318"/>
    <cellStyle name="Обычный 9 76 4" xfId="20319"/>
    <cellStyle name="Процентный 9 77 4" xfId="20320"/>
    <cellStyle name="Обычный 10 69 4" xfId="20321"/>
    <cellStyle name="Процентный 10 69 4" xfId="20322"/>
    <cellStyle name="Обычный 11 57 4" xfId="20323"/>
    <cellStyle name="Процентный 11 57 4" xfId="20324"/>
    <cellStyle name="Обычный 4 169 4" xfId="20325"/>
    <cellStyle name="Процентный 4 169 4" xfId="20326"/>
    <cellStyle name="Обычный 5 162 4" xfId="20327"/>
    <cellStyle name="Процентный 5 162 4" xfId="20328"/>
    <cellStyle name="Обычный 4 2 156 4" xfId="20329"/>
    <cellStyle name="Процентный 4 2 156 4" xfId="20330"/>
    <cellStyle name="Обычный 5 2 156 4" xfId="20331"/>
    <cellStyle name="Процентный 5 2 156 4" xfId="20332"/>
    <cellStyle name="Обычный 6 153 4" xfId="20333"/>
    <cellStyle name="Процентный 6 153 4" xfId="20334"/>
    <cellStyle name="Обычный 7 123 4" xfId="20335"/>
    <cellStyle name="Процентный 7 123 4" xfId="20336"/>
    <cellStyle name="Обычный 4 3 115 4" xfId="20337"/>
    <cellStyle name="Процентный 4 3 115 4" xfId="20338"/>
    <cellStyle name="Обычный 5 3 115 4" xfId="20339"/>
    <cellStyle name="Процентный 5 3 115 4" xfId="20340"/>
    <cellStyle name="Обычный 4 2 2 115 4" xfId="20341"/>
    <cellStyle name="Процентный 4 2 2 115 4" xfId="20342"/>
    <cellStyle name="Обычный 5 2 2 115 4" xfId="20343"/>
    <cellStyle name="Процентный 5 2 2 115 4" xfId="20344"/>
    <cellStyle name="Обычный 6 2 115 4" xfId="20345"/>
    <cellStyle name="Процентный 6 2 115 4" xfId="20346"/>
    <cellStyle name="Обычный 7 2 115 4" xfId="20347"/>
    <cellStyle name="Процентный 7 2 115 4" xfId="20348"/>
    <cellStyle name="Обычный 8 111 4" xfId="20349"/>
    <cellStyle name="Процентный 8 111 4" xfId="20350"/>
    <cellStyle name="Обычный 9 77 4" xfId="20351"/>
    <cellStyle name="Процентный 9 78 4" xfId="20352"/>
    <cellStyle name="Обычный 10 70 4" xfId="20353"/>
    <cellStyle name="Процентный 10 70 4" xfId="20354"/>
    <cellStyle name="Обычный 11 58 4" xfId="20355"/>
    <cellStyle name="Процентный 11 58 4" xfId="20356"/>
    <cellStyle name="Обычный 4 170 4" xfId="20357"/>
    <cellStyle name="Процентный 4 170 4" xfId="20358"/>
    <cellStyle name="Обычный 5 163 4" xfId="20359"/>
    <cellStyle name="Процентный 5 163 4" xfId="20360"/>
    <cellStyle name="Обычный 4 2 157 4" xfId="20361"/>
    <cellStyle name="Процентный 4 2 157 4" xfId="20362"/>
    <cellStyle name="Обычный 5 2 157 4" xfId="20363"/>
    <cellStyle name="Процентный 5 2 157 4" xfId="20364"/>
    <cellStyle name="Обычный 6 154 4" xfId="20365"/>
    <cellStyle name="Процентный 6 154 4" xfId="20366"/>
    <cellStyle name="Обычный 7 124 4" xfId="20367"/>
    <cellStyle name="Процентный 7 124 4" xfId="20368"/>
    <cellStyle name="Обычный 4 3 116 4" xfId="20369"/>
    <cellStyle name="Процентный 4 3 116 4" xfId="20370"/>
    <cellStyle name="Обычный 5 3 116 4" xfId="20371"/>
    <cellStyle name="Процентный 5 3 116 4" xfId="20372"/>
    <cellStyle name="Обычный 4 2 2 116 4" xfId="20373"/>
    <cellStyle name="Процентный 4 2 2 116 4" xfId="20374"/>
    <cellStyle name="Обычный 5 2 2 116 4" xfId="20375"/>
    <cellStyle name="Процентный 5 2 2 116 4" xfId="20376"/>
    <cellStyle name="Обычный 6 2 116 4" xfId="20377"/>
    <cellStyle name="Процентный 6 2 116 4" xfId="20378"/>
    <cellStyle name="Обычный 7 2 116 4" xfId="20379"/>
    <cellStyle name="Процентный 7 2 116 4" xfId="20380"/>
    <cellStyle name="Обычный 8 112 4" xfId="20381"/>
    <cellStyle name="Процентный 8 112 4" xfId="20382"/>
    <cellStyle name="Обычный 9 78 4" xfId="20383"/>
    <cellStyle name="Процентный 9 79 4" xfId="20384"/>
    <cellStyle name="Обычный 10 71 4" xfId="20385"/>
    <cellStyle name="Процентный 10 71 4" xfId="20386"/>
    <cellStyle name="Обычный 11 59 4" xfId="20387"/>
    <cellStyle name="Процентный 11 59 4" xfId="20388"/>
    <cellStyle name="Обычный 4 171 4" xfId="20389"/>
    <cellStyle name="Процентный 4 171 4" xfId="20390"/>
    <cellStyle name="Обычный 5 164 4" xfId="20391"/>
    <cellStyle name="Процентный 5 164 4" xfId="20392"/>
    <cellStyle name="Обычный 4 2 158 4" xfId="20393"/>
    <cellStyle name="Процентный 4 2 158 4" xfId="20394"/>
    <cellStyle name="Обычный 5 2 158 4" xfId="20395"/>
    <cellStyle name="Процентный 5 2 158 4" xfId="20396"/>
    <cellStyle name="Обычный 6 155 4" xfId="20397"/>
    <cellStyle name="Процентный 6 155 4" xfId="20398"/>
    <cellStyle name="Обычный 7 125 4" xfId="20399"/>
    <cellStyle name="Процентный 7 125 4" xfId="20400"/>
    <cellStyle name="Обычный 4 3 117 4" xfId="20401"/>
    <cellStyle name="Процентный 4 3 117 4" xfId="20402"/>
    <cellStyle name="Обычный 5 3 117 4" xfId="20403"/>
    <cellStyle name="Процентный 5 3 117 4" xfId="20404"/>
    <cellStyle name="Обычный 4 2 2 117 4" xfId="20405"/>
    <cellStyle name="Процентный 4 2 2 117 4" xfId="20406"/>
    <cellStyle name="Обычный 5 2 2 117 4" xfId="20407"/>
    <cellStyle name="Процентный 5 2 2 117 4" xfId="20408"/>
    <cellStyle name="Обычный 6 2 117 4" xfId="20409"/>
    <cellStyle name="Процентный 6 2 117 4" xfId="20410"/>
    <cellStyle name="Обычный 7 2 117 4" xfId="20411"/>
    <cellStyle name="Процентный 7 2 117 4" xfId="20412"/>
    <cellStyle name="Обычный 8 113 4" xfId="20413"/>
    <cellStyle name="Процентный 8 113 4" xfId="20414"/>
    <cellStyle name="Обычный 9 79 4" xfId="20415"/>
    <cellStyle name="Процентный 9 80 4" xfId="20416"/>
    <cellStyle name="Обычный 10 72 4" xfId="20417"/>
    <cellStyle name="Процентный 10 72 4" xfId="20418"/>
    <cellStyle name="Обычный 11 60 4" xfId="20419"/>
    <cellStyle name="Процентный 11 60 4" xfId="20420"/>
    <cellStyle name="Обычный 4 172 4" xfId="20421"/>
    <cellStyle name="Процентный 4 172 4" xfId="20422"/>
    <cellStyle name="Обычный 5 165 4" xfId="20423"/>
    <cellStyle name="Процентный 5 165 4" xfId="20424"/>
    <cellStyle name="Обычный 4 2 159 4" xfId="20425"/>
    <cellStyle name="Процентный 4 2 159 4" xfId="20426"/>
    <cellStyle name="Обычный 5 2 159 4" xfId="20427"/>
    <cellStyle name="Процентный 5 2 159 4" xfId="20428"/>
    <cellStyle name="Обычный 6 156 4" xfId="20429"/>
    <cellStyle name="Процентный 6 156 4" xfId="20430"/>
    <cellStyle name="Обычный 7 126 4" xfId="20431"/>
    <cellStyle name="Процентный 7 126 4" xfId="20432"/>
    <cellStyle name="Обычный 4 3 118 4" xfId="20433"/>
    <cellStyle name="Процентный 4 3 118 4" xfId="20434"/>
    <cellStyle name="Обычный 5 3 118 4" xfId="20435"/>
    <cellStyle name="Процентный 5 3 118 4" xfId="20436"/>
    <cellStyle name="Обычный 4 2 2 118 4" xfId="20437"/>
    <cellStyle name="Процентный 4 2 2 118 4" xfId="20438"/>
    <cellStyle name="Обычный 5 2 2 118 4" xfId="20439"/>
    <cellStyle name="Процентный 5 2 2 118 4" xfId="20440"/>
    <cellStyle name="Обычный 6 2 118 4" xfId="20441"/>
    <cellStyle name="Процентный 6 2 118 4" xfId="20442"/>
    <cellStyle name="Обычный 7 2 118 4" xfId="20443"/>
    <cellStyle name="Процентный 7 2 118 4" xfId="20444"/>
    <cellStyle name="Обычный 8 114 4" xfId="20445"/>
    <cellStyle name="Процентный 8 114 4" xfId="20446"/>
    <cellStyle name="Обычный 9 80 4" xfId="20447"/>
    <cellStyle name="Процентный 9 81 4" xfId="20448"/>
    <cellStyle name="Обычный 10 73 4" xfId="20449"/>
    <cellStyle name="Процентный 10 73 4" xfId="20450"/>
    <cellStyle name="Обычный 11 61 4" xfId="20451"/>
    <cellStyle name="Процентный 11 61 4" xfId="20452"/>
    <cellStyle name="Обычный 4 173 4" xfId="20453"/>
    <cellStyle name="Процентный 4 173 4" xfId="20454"/>
    <cellStyle name="Обычный 5 166 4" xfId="20455"/>
    <cellStyle name="Процентный 5 166 4" xfId="20456"/>
    <cellStyle name="Обычный 4 2 160 4" xfId="20457"/>
    <cellStyle name="Процентный 4 2 160 4" xfId="20458"/>
    <cellStyle name="Обычный 5 2 160 4" xfId="20459"/>
    <cellStyle name="Процентный 5 2 160 4" xfId="20460"/>
    <cellStyle name="Обычный 6 157 4" xfId="20461"/>
    <cellStyle name="Процентный 6 157 4" xfId="20462"/>
    <cellStyle name="Обычный 7 127 4" xfId="20463"/>
    <cellStyle name="Процентный 7 127 4" xfId="20464"/>
    <cellStyle name="Обычный 4 3 119 4" xfId="20465"/>
    <cellStyle name="Процентный 4 3 119 4" xfId="20466"/>
    <cellStyle name="Обычный 5 3 119 4" xfId="20467"/>
    <cellStyle name="Процентный 5 3 119 4" xfId="20468"/>
    <cellStyle name="Обычный 4 2 2 119 4" xfId="20469"/>
    <cellStyle name="Процентный 4 2 2 119 4" xfId="20470"/>
    <cellStyle name="Обычный 5 2 2 119 4" xfId="20471"/>
    <cellStyle name="Процентный 5 2 2 119 4" xfId="20472"/>
    <cellStyle name="Обычный 6 2 119 4" xfId="20473"/>
    <cellStyle name="Процентный 6 2 119 4" xfId="20474"/>
    <cellStyle name="Обычный 7 2 119 4" xfId="20475"/>
    <cellStyle name="Процентный 7 2 119 4" xfId="20476"/>
    <cellStyle name="Обычный 8 115 4" xfId="20477"/>
    <cellStyle name="Процентный 8 115 4" xfId="20478"/>
    <cellStyle name="Обычный 9 81 4" xfId="20479"/>
    <cellStyle name="Процентный 9 82 4" xfId="20480"/>
    <cellStyle name="Обычный 10 74 4" xfId="20481"/>
    <cellStyle name="Процентный 10 74 4" xfId="20482"/>
    <cellStyle name="Обычный 11 62 4" xfId="20483"/>
    <cellStyle name="Процентный 11 62 4" xfId="20484"/>
    <cellStyle name="Обычный 4 174 4" xfId="20485"/>
    <cellStyle name="Процентный 4 174 4" xfId="20486"/>
    <cellStyle name="Обычный 5 167 4" xfId="20487"/>
    <cellStyle name="Процентный 5 167 4" xfId="20488"/>
    <cellStyle name="Обычный 4 2 161 4" xfId="20489"/>
    <cellStyle name="Процентный 4 2 161 4" xfId="20490"/>
    <cellStyle name="Обычный 5 2 161 4" xfId="20491"/>
    <cellStyle name="Процентный 5 2 161 4" xfId="20492"/>
    <cellStyle name="Обычный 6 158 4" xfId="20493"/>
    <cellStyle name="Процентный 6 158 4" xfId="20494"/>
    <cellStyle name="Обычный 7 128 4" xfId="20495"/>
    <cellStyle name="Процентный 7 128 4" xfId="20496"/>
    <cellStyle name="Обычный 4 3 120 4" xfId="20497"/>
    <cellStyle name="Процентный 4 3 120 4" xfId="20498"/>
    <cellStyle name="Обычный 5 3 120 4" xfId="20499"/>
    <cellStyle name="Процентный 5 3 120 4" xfId="20500"/>
    <cellStyle name="Обычный 4 2 2 120 4" xfId="20501"/>
    <cellStyle name="Процентный 4 2 2 120 4" xfId="20502"/>
    <cellStyle name="Обычный 5 2 2 120 4" xfId="20503"/>
    <cellStyle name="Процентный 5 2 2 120 4" xfId="20504"/>
    <cellStyle name="Обычный 6 2 120 4" xfId="20505"/>
    <cellStyle name="Процентный 6 2 120 4" xfId="20506"/>
    <cellStyle name="Обычный 7 2 120 4" xfId="20507"/>
    <cellStyle name="Процентный 7 2 120 4" xfId="20508"/>
    <cellStyle name="Обычный 8 116 4" xfId="20509"/>
    <cellStyle name="Процентный 8 116 4" xfId="20510"/>
    <cellStyle name="Обычный 9 82 4" xfId="20511"/>
    <cellStyle name="Процентный 9 83 4" xfId="20512"/>
    <cellStyle name="Обычный 10 75 4" xfId="20513"/>
    <cellStyle name="Процентный 10 75 4" xfId="20514"/>
    <cellStyle name="Обычный 11 63 4" xfId="20515"/>
    <cellStyle name="Процентный 11 63 4" xfId="20516"/>
    <cellStyle name="Обычный 4 175 4" xfId="20517"/>
    <cellStyle name="Процентный 4 175 4" xfId="20518"/>
    <cellStyle name="Обычный 5 168 4" xfId="20519"/>
    <cellStyle name="Процентный 5 168 4" xfId="20520"/>
    <cellStyle name="Обычный 4 2 162 4" xfId="20521"/>
    <cellStyle name="Процентный 4 2 162 4" xfId="20522"/>
    <cellStyle name="Обычный 5 2 162 4" xfId="20523"/>
    <cellStyle name="Процентный 5 2 162 4" xfId="20524"/>
    <cellStyle name="Обычный 6 159 4" xfId="20525"/>
    <cellStyle name="Процентный 6 159 4" xfId="20526"/>
    <cellStyle name="Обычный 7 129 4" xfId="20527"/>
    <cellStyle name="Процентный 7 129 4" xfId="20528"/>
    <cellStyle name="Обычный 4 3 121 4" xfId="20529"/>
    <cellStyle name="Процентный 4 3 121 4" xfId="20530"/>
    <cellStyle name="Обычный 5 3 121 4" xfId="20531"/>
    <cellStyle name="Процентный 5 3 121 4" xfId="20532"/>
    <cellStyle name="Обычный 4 2 2 121 4" xfId="20533"/>
    <cellStyle name="Процентный 4 2 2 121 4" xfId="20534"/>
    <cellStyle name="Обычный 5 2 2 121 4" xfId="20535"/>
    <cellStyle name="Процентный 5 2 2 121 4" xfId="20536"/>
    <cellStyle name="Обычный 6 2 121 4" xfId="20537"/>
    <cellStyle name="Процентный 6 2 121 4" xfId="20538"/>
    <cellStyle name="Обычный 7 2 121 4" xfId="20539"/>
    <cellStyle name="Процентный 7 2 121 4" xfId="20540"/>
    <cellStyle name="Обычный 8 117 4" xfId="20541"/>
    <cellStyle name="Процентный 8 117 4" xfId="20542"/>
    <cellStyle name="Обычный 9 83 4" xfId="20543"/>
    <cellStyle name="Процентный 9 84 4" xfId="20544"/>
    <cellStyle name="Обычный 10 76 4" xfId="20545"/>
    <cellStyle name="Процентный 10 76 4" xfId="20546"/>
    <cellStyle name="Обычный 11 64 4" xfId="20547"/>
    <cellStyle name="Процентный 11 64 4" xfId="20548"/>
    <cellStyle name="Обычный 4 176 4" xfId="20549"/>
    <cellStyle name="Процентный 4 176 4" xfId="20550"/>
    <cellStyle name="Обычный 5 169 4" xfId="20551"/>
    <cellStyle name="Процентный 5 169 4" xfId="20552"/>
    <cellStyle name="Обычный 4 2 163 4" xfId="20553"/>
    <cellStyle name="Процентный 4 2 163 4" xfId="20554"/>
    <cellStyle name="Обычный 5 2 163 4" xfId="20555"/>
    <cellStyle name="Процентный 5 2 163 4" xfId="20556"/>
    <cellStyle name="Обычный 6 160 4" xfId="20557"/>
    <cellStyle name="Процентный 6 160 4" xfId="20558"/>
    <cellStyle name="Обычный 7 130 4" xfId="20559"/>
    <cellStyle name="Процентный 7 130 4" xfId="20560"/>
    <cellStyle name="Обычный 4 3 122 4" xfId="20561"/>
    <cellStyle name="Процентный 4 3 122 4" xfId="20562"/>
    <cellStyle name="Обычный 5 3 122 4" xfId="20563"/>
    <cellStyle name="Процентный 5 3 122 4" xfId="20564"/>
    <cellStyle name="Обычный 4 2 2 122 4" xfId="20565"/>
    <cellStyle name="Процентный 4 2 2 122 4" xfId="20566"/>
    <cellStyle name="Обычный 5 2 2 122 4" xfId="20567"/>
    <cellStyle name="Процентный 5 2 2 122 4" xfId="20568"/>
    <cellStyle name="Обычный 6 2 122 4" xfId="20569"/>
    <cellStyle name="Процентный 6 2 122 4" xfId="20570"/>
    <cellStyle name="Обычный 7 2 122 4" xfId="20571"/>
    <cellStyle name="Процентный 7 2 122 4" xfId="20572"/>
    <cellStyle name="Обычный 8 118 4" xfId="20573"/>
    <cellStyle name="Процентный 8 118 4" xfId="20574"/>
    <cellStyle name="Обычный 9 84 4" xfId="20575"/>
    <cellStyle name="Процентный 9 85 4" xfId="20576"/>
    <cellStyle name="Обычный 10 77 4" xfId="20577"/>
    <cellStyle name="Процентный 10 77 4" xfId="20578"/>
    <cellStyle name="Обычный 11 65 4" xfId="20579"/>
    <cellStyle name="Процентный 11 65 4" xfId="20580"/>
    <cellStyle name="Обычный 4 177 4" xfId="20581"/>
    <cellStyle name="Процентный 4 177 4" xfId="20582"/>
    <cellStyle name="Обычный 5 170 4" xfId="20583"/>
    <cellStyle name="Процентный 5 170 4" xfId="20584"/>
    <cellStyle name="Обычный 4 2 164 4" xfId="20585"/>
    <cellStyle name="Процентный 4 2 164 4" xfId="20586"/>
    <cellStyle name="Обычный 5 2 164 4" xfId="20587"/>
    <cellStyle name="Процентный 5 2 164 4" xfId="20588"/>
    <cellStyle name="Обычный 6 161 4" xfId="20589"/>
    <cellStyle name="Процентный 6 161 4" xfId="20590"/>
    <cellStyle name="Обычный 7 131 4" xfId="20591"/>
    <cellStyle name="Процентный 7 131 4" xfId="20592"/>
    <cellStyle name="Обычный 4 3 123 4" xfId="20593"/>
    <cellStyle name="Процентный 4 3 123 4" xfId="20594"/>
    <cellStyle name="Обычный 5 3 123 4" xfId="20595"/>
    <cellStyle name="Процентный 5 3 123 4" xfId="20596"/>
    <cellStyle name="Обычный 4 2 2 123 4" xfId="20597"/>
    <cellStyle name="Процентный 4 2 2 123 4" xfId="20598"/>
    <cellStyle name="Обычный 5 2 2 123 4" xfId="20599"/>
    <cellStyle name="Процентный 5 2 2 123 4" xfId="20600"/>
    <cellStyle name="Обычный 6 2 123 4" xfId="20601"/>
    <cellStyle name="Процентный 6 2 123 4" xfId="20602"/>
    <cellStyle name="Обычный 7 2 123 4" xfId="20603"/>
    <cellStyle name="Процентный 7 2 123 4" xfId="20604"/>
    <cellStyle name="Обычный 8 119 4" xfId="20605"/>
    <cellStyle name="Процентный 8 119 4" xfId="20606"/>
    <cellStyle name="Обычный 9 85 4" xfId="20607"/>
    <cellStyle name="Процентный 9 86 4" xfId="20608"/>
    <cellStyle name="Обычный 10 78 4" xfId="20609"/>
    <cellStyle name="Процентный 10 78 4" xfId="20610"/>
    <cellStyle name="Обычный 11 66 4" xfId="20611"/>
    <cellStyle name="Процентный 11 66 4" xfId="20612"/>
    <cellStyle name="Обычный 4 178 4" xfId="20613"/>
    <cellStyle name="Процентный 4 178 4" xfId="20614"/>
    <cellStyle name="Обычный 5 171 4" xfId="20615"/>
    <cellStyle name="Процентный 5 171 4" xfId="20616"/>
    <cellStyle name="Обычный 4 2 165 4" xfId="20617"/>
    <cellStyle name="Процентный 4 2 165 4" xfId="20618"/>
    <cellStyle name="Обычный 5 2 165 4" xfId="20619"/>
    <cellStyle name="Процентный 5 2 165 4" xfId="20620"/>
    <cellStyle name="Обычный 6 162 4" xfId="20621"/>
    <cellStyle name="Процентный 6 162 4" xfId="20622"/>
    <cellStyle name="Обычный 7 132 4" xfId="20623"/>
    <cellStyle name="Процентный 7 132 4" xfId="20624"/>
    <cellStyle name="Обычный 4 3 124 4" xfId="20625"/>
    <cellStyle name="Процентный 4 3 124 4" xfId="20626"/>
    <cellStyle name="Обычный 5 3 124 4" xfId="20627"/>
    <cellStyle name="Процентный 5 3 124 4" xfId="20628"/>
    <cellStyle name="Обычный 4 2 2 124 4" xfId="20629"/>
    <cellStyle name="Процентный 4 2 2 124 4" xfId="20630"/>
    <cellStyle name="Обычный 5 2 2 124 4" xfId="20631"/>
    <cellStyle name="Процентный 5 2 2 124 4" xfId="20632"/>
    <cellStyle name="Обычный 6 2 124 4" xfId="20633"/>
    <cellStyle name="Процентный 6 2 124 4" xfId="20634"/>
    <cellStyle name="Обычный 7 2 124 4" xfId="20635"/>
    <cellStyle name="Процентный 7 2 124 4" xfId="20636"/>
    <cellStyle name="Обычный 8 120 4" xfId="20637"/>
    <cellStyle name="Процентный 8 120 4" xfId="20638"/>
    <cellStyle name="Обычный 9 86 4" xfId="20639"/>
    <cellStyle name="Процентный 9 87 4" xfId="20640"/>
    <cellStyle name="Обычный 10 79 4" xfId="20641"/>
    <cellStyle name="Процентный 10 79 4" xfId="20642"/>
    <cellStyle name="Обычный 11 67 4" xfId="20643"/>
    <cellStyle name="Процентный 11 67 4" xfId="20644"/>
    <cellStyle name="Обычный 4 179 4" xfId="20645"/>
    <cellStyle name="Процентный 4 179 4" xfId="20646"/>
    <cellStyle name="Обычный 5 172 4" xfId="20647"/>
    <cellStyle name="Процентный 5 172 4" xfId="20648"/>
    <cellStyle name="Обычный 4 2 166 4" xfId="20649"/>
    <cellStyle name="Процентный 4 2 166 4" xfId="20650"/>
    <cellStyle name="Обычный 5 2 166 4" xfId="20651"/>
    <cellStyle name="Процентный 5 2 166 4" xfId="20652"/>
    <cellStyle name="Обычный 6 163 4" xfId="20653"/>
    <cellStyle name="Процентный 6 163 4" xfId="20654"/>
    <cellStyle name="Обычный 7 133 4" xfId="20655"/>
    <cellStyle name="Процентный 7 133 4" xfId="20656"/>
    <cellStyle name="Обычный 4 3 125 4" xfId="20657"/>
    <cellStyle name="Процентный 4 3 125 4" xfId="20658"/>
    <cellStyle name="Обычный 5 3 125 4" xfId="20659"/>
    <cellStyle name="Процентный 5 3 125 4" xfId="20660"/>
    <cellStyle name="Обычный 4 2 2 125 4" xfId="20661"/>
    <cellStyle name="Процентный 4 2 2 125 4" xfId="20662"/>
    <cellStyle name="Обычный 5 2 2 125 4" xfId="20663"/>
    <cellStyle name="Процентный 5 2 2 125 4" xfId="20664"/>
    <cellStyle name="Обычный 6 2 125 4" xfId="20665"/>
    <cellStyle name="Процентный 6 2 125 4" xfId="20666"/>
    <cellStyle name="Обычный 7 2 125 4" xfId="20667"/>
    <cellStyle name="Процентный 7 2 125 4" xfId="20668"/>
    <cellStyle name="Обычный 8 121 4" xfId="20669"/>
    <cellStyle name="Процентный 8 121 4" xfId="20670"/>
    <cellStyle name="Обычный 9 87 4" xfId="20671"/>
    <cellStyle name="Процентный 9 88 4" xfId="20672"/>
    <cellStyle name="Обычный 10 80 4" xfId="20673"/>
    <cellStyle name="Процентный 10 80 4" xfId="20674"/>
    <cellStyle name="Обычный 11 68 4" xfId="20675"/>
    <cellStyle name="Процентный 11 68 4" xfId="20676"/>
    <cellStyle name="Обычный 4 180 4" xfId="20677"/>
    <cellStyle name="Процентный 4 180 4" xfId="20678"/>
    <cellStyle name="Обычный 5 173 4" xfId="20679"/>
    <cellStyle name="Процентный 5 173 4" xfId="20680"/>
    <cellStyle name="Обычный 4 2 167 4" xfId="20681"/>
    <cellStyle name="Процентный 4 2 167 4" xfId="20682"/>
    <cellStyle name="Обычный 5 2 167 4" xfId="20683"/>
    <cellStyle name="Процентный 5 2 167 4" xfId="20684"/>
    <cellStyle name="Обычный 6 164 4" xfId="20685"/>
    <cellStyle name="Процентный 6 164 4" xfId="20686"/>
    <cellStyle name="Обычный 7 134 4" xfId="20687"/>
    <cellStyle name="Процентный 7 134 4" xfId="20688"/>
    <cellStyle name="Обычный 4 3 126 4" xfId="20689"/>
    <cellStyle name="Процентный 4 3 126 4" xfId="20690"/>
    <cellStyle name="Обычный 5 3 126 4" xfId="20691"/>
    <cellStyle name="Процентный 5 3 126 4" xfId="20692"/>
    <cellStyle name="Обычный 4 2 2 126 4" xfId="20693"/>
    <cellStyle name="Процентный 4 2 2 126 4" xfId="20694"/>
    <cellStyle name="Обычный 5 2 2 126 4" xfId="20695"/>
    <cellStyle name="Процентный 5 2 2 126 4" xfId="20696"/>
    <cellStyle name="Обычный 6 2 126 4" xfId="20697"/>
    <cellStyle name="Процентный 6 2 126 4" xfId="20698"/>
    <cellStyle name="Обычный 7 2 126 4" xfId="20699"/>
    <cellStyle name="Процентный 7 2 126 4" xfId="20700"/>
    <cellStyle name="Обычный 8 122 4" xfId="20701"/>
    <cellStyle name="Процентный 8 122 4" xfId="20702"/>
    <cellStyle name="Обычный 9 88 4" xfId="20703"/>
    <cellStyle name="Процентный 9 89 4" xfId="20704"/>
    <cellStyle name="Обычный 10 81 4" xfId="20705"/>
    <cellStyle name="Процентный 10 81 4" xfId="20706"/>
    <cellStyle name="Обычный 11 69 4" xfId="20707"/>
    <cellStyle name="Процентный 11 69 4" xfId="20708"/>
    <cellStyle name="Обычный 4 181 4" xfId="20709"/>
    <cellStyle name="Процентный 4 181 4" xfId="20710"/>
    <cellStyle name="Обычный 5 174 4" xfId="20711"/>
    <cellStyle name="Процентный 5 174 4" xfId="20712"/>
    <cellStyle name="Обычный 4 2 168 4" xfId="20713"/>
    <cellStyle name="Процентный 4 2 168 4" xfId="20714"/>
    <cellStyle name="Обычный 5 2 168 4" xfId="20715"/>
    <cellStyle name="Процентный 5 2 168 4" xfId="20716"/>
    <cellStyle name="Обычный 6 165 4" xfId="20717"/>
    <cellStyle name="Процентный 6 165 4" xfId="20718"/>
    <cellStyle name="Обычный 7 135 4" xfId="20719"/>
    <cellStyle name="Процентный 7 135 4" xfId="20720"/>
    <cellStyle name="Обычный 4 3 127 4" xfId="20721"/>
    <cellStyle name="Процентный 4 3 127 4" xfId="20722"/>
    <cellStyle name="Обычный 5 3 127 4" xfId="20723"/>
    <cellStyle name="Процентный 5 3 127 4" xfId="20724"/>
    <cellStyle name="Обычный 4 2 2 127 4" xfId="20725"/>
    <cellStyle name="Процентный 4 2 2 127 4" xfId="20726"/>
    <cellStyle name="Обычный 5 2 2 127 4" xfId="20727"/>
    <cellStyle name="Процентный 5 2 2 127 4" xfId="20728"/>
    <cellStyle name="Обычный 6 2 127 4" xfId="20729"/>
    <cellStyle name="Процентный 6 2 127 4" xfId="20730"/>
    <cellStyle name="Обычный 7 2 127 4" xfId="20731"/>
    <cellStyle name="Процентный 7 2 127 4" xfId="20732"/>
    <cellStyle name="Обычный 8 123 4" xfId="20733"/>
    <cellStyle name="Процентный 8 123 4" xfId="20734"/>
    <cellStyle name="Обычный 9 89 4" xfId="20735"/>
    <cellStyle name="Процентный 9 90 4" xfId="20736"/>
    <cellStyle name="Обычный 10 82 4" xfId="20737"/>
    <cellStyle name="Процентный 10 82 4" xfId="20738"/>
    <cellStyle name="Обычный 11 70 4" xfId="20739"/>
    <cellStyle name="Процентный 11 70 4" xfId="20740"/>
    <cellStyle name="Обычный 14 4" xfId="20741"/>
    <cellStyle name="Процентный 14 4" xfId="20742"/>
    <cellStyle name="Обычный 4 182 4" xfId="20743"/>
    <cellStyle name="Процентный 4 182 4" xfId="20744"/>
    <cellStyle name="Обычный 5 175 4" xfId="20745"/>
    <cellStyle name="Процентный 5 175 4" xfId="20746"/>
    <cellStyle name="Обычный 4 2 169 4" xfId="20747"/>
    <cellStyle name="Процентный 4 2 169 4" xfId="20748"/>
    <cellStyle name="Обычный 5 2 169 4" xfId="20749"/>
    <cellStyle name="Процентный 5 2 169 4" xfId="20750"/>
    <cellStyle name="Обычный 6 166 4" xfId="20751"/>
    <cellStyle name="Процентный 6 166 4" xfId="20752"/>
    <cellStyle name="Обычный 7 136 4" xfId="20753"/>
    <cellStyle name="Процентный 7 136 4" xfId="20754"/>
    <cellStyle name="Обычный 4 3 128 4" xfId="20755"/>
    <cellStyle name="Процентный 4 3 128 4" xfId="20756"/>
    <cellStyle name="Обычный 5 3 128 4" xfId="20757"/>
    <cellStyle name="Процентный 5 3 128 4" xfId="20758"/>
    <cellStyle name="Обычный 4 2 2 128 4" xfId="20759"/>
    <cellStyle name="Процентный 4 2 2 128 4" xfId="20760"/>
    <cellStyle name="Обычный 5 2 2 128 4" xfId="20761"/>
    <cellStyle name="Процентный 5 2 2 128 4" xfId="20762"/>
    <cellStyle name="Обычный 6 2 128 4" xfId="20763"/>
    <cellStyle name="Процентный 6 2 128 4" xfId="20764"/>
    <cellStyle name="Обычный 7 2 128 4" xfId="20765"/>
    <cellStyle name="Процентный 7 2 128 4" xfId="20766"/>
    <cellStyle name="Обычный 8 124 4" xfId="20767"/>
    <cellStyle name="Процентный 8 124 4" xfId="20768"/>
    <cellStyle name="Обычный 9 90 4" xfId="20769"/>
    <cellStyle name="Процентный 9 91 4" xfId="20770"/>
    <cellStyle name="Обычный 10 83 4" xfId="20771"/>
    <cellStyle name="Процентный 10 83 4" xfId="20772"/>
    <cellStyle name="Обычный 11 71 4" xfId="20773"/>
    <cellStyle name="Процентный 11 71 4" xfId="20774"/>
    <cellStyle name="Обычный 4 183 4" xfId="20775"/>
    <cellStyle name="Процентный 4 183 4" xfId="20776"/>
    <cellStyle name="Обычный 5 176 4" xfId="20777"/>
    <cellStyle name="Процентный 5 176 4" xfId="20778"/>
    <cellStyle name="Обычный 4 2 170 4" xfId="20779"/>
    <cellStyle name="Процентный 4 2 170 4" xfId="20780"/>
    <cellStyle name="Обычный 5 2 170 4" xfId="20781"/>
    <cellStyle name="Процентный 5 2 170 4" xfId="20782"/>
    <cellStyle name="Обычный 6 167 4" xfId="20783"/>
    <cellStyle name="Процентный 6 167 4" xfId="20784"/>
    <cellStyle name="Обычный 7 137 4" xfId="20785"/>
    <cellStyle name="Процентный 7 137 4" xfId="20786"/>
    <cellStyle name="Обычный 4 3 129 4" xfId="20787"/>
    <cellStyle name="Процентный 4 3 129 4" xfId="20788"/>
    <cellStyle name="Обычный 5 3 129 4" xfId="20789"/>
    <cellStyle name="Процентный 5 3 129 4" xfId="20790"/>
    <cellStyle name="Обычный 4 2 2 129 4" xfId="20791"/>
    <cellStyle name="Процентный 4 2 2 129 4" xfId="20792"/>
    <cellStyle name="Обычный 5 2 2 129 4" xfId="20793"/>
    <cellStyle name="Процентный 5 2 2 129 4" xfId="20794"/>
    <cellStyle name="Обычный 6 2 129 4" xfId="20795"/>
    <cellStyle name="Процентный 6 2 129 4" xfId="20796"/>
    <cellStyle name="Обычный 7 2 129 4" xfId="20797"/>
    <cellStyle name="Процентный 7 2 129 4" xfId="20798"/>
    <cellStyle name="Обычный 8 125 4" xfId="20799"/>
    <cellStyle name="Процентный 8 125 4" xfId="20800"/>
    <cellStyle name="Обычный 9 91 4" xfId="20801"/>
    <cellStyle name="Процентный 9 92 4" xfId="20802"/>
    <cellStyle name="Обычный 10 84 4" xfId="20803"/>
    <cellStyle name="Процентный 10 84 4" xfId="20804"/>
    <cellStyle name="Обычный 11 72 4" xfId="20805"/>
    <cellStyle name="Процентный 11 72 4" xfId="20806"/>
    <cellStyle name="Обычный 4 184 4" xfId="20807"/>
    <cellStyle name="Процентный 4 184 4" xfId="20808"/>
    <cellStyle name="Обычный 5 177 4" xfId="20809"/>
    <cellStyle name="Процентный 5 177 4" xfId="20810"/>
    <cellStyle name="Обычный 4 2 171 4" xfId="20811"/>
    <cellStyle name="Процентный 4 2 171 4" xfId="20812"/>
    <cellStyle name="Обычный 5 2 171 4" xfId="20813"/>
    <cellStyle name="Процентный 5 2 171 4" xfId="20814"/>
    <cellStyle name="Обычный 6 168 4" xfId="20815"/>
    <cellStyle name="Процентный 6 168 4" xfId="20816"/>
    <cellStyle name="Обычный 7 138 4" xfId="20817"/>
    <cellStyle name="Процентный 7 138 4" xfId="20818"/>
    <cellStyle name="Обычный 4 3 130 4" xfId="20819"/>
    <cellStyle name="Процентный 4 3 130 4" xfId="20820"/>
    <cellStyle name="Обычный 5 3 130 4" xfId="20821"/>
    <cellStyle name="Процентный 5 3 130 4" xfId="20822"/>
    <cellStyle name="Обычный 4 2 2 130 4" xfId="20823"/>
    <cellStyle name="Процентный 4 2 2 130 4" xfId="20824"/>
    <cellStyle name="Обычный 5 2 2 130 4" xfId="20825"/>
    <cellStyle name="Процентный 5 2 2 130 4" xfId="20826"/>
    <cellStyle name="Обычный 6 2 130 4" xfId="20827"/>
    <cellStyle name="Процентный 6 2 130 4" xfId="20828"/>
    <cellStyle name="Обычный 7 2 130 4" xfId="20829"/>
    <cellStyle name="Процентный 7 2 130 4" xfId="20830"/>
    <cellStyle name="Обычный 8 126 4" xfId="20831"/>
    <cellStyle name="Процентный 8 126 4" xfId="20832"/>
    <cellStyle name="Обычный 9 92 4" xfId="20833"/>
    <cellStyle name="Процентный 9 93 4" xfId="20834"/>
    <cellStyle name="Обычный 10 85 4" xfId="20835"/>
    <cellStyle name="Процентный 10 85 4" xfId="20836"/>
    <cellStyle name="Обычный 11 73 4" xfId="20837"/>
    <cellStyle name="Процентный 11 73 4" xfId="20838"/>
    <cellStyle name="Обычный 4 185 4" xfId="20839"/>
    <cellStyle name="Процентный 4 185 4" xfId="20840"/>
    <cellStyle name="Обычный 5 178 4" xfId="20841"/>
    <cellStyle name="Процентный 5 178 4" xfId="20842"/>
    <cellStyle name="Обычный 4 2 172 4" xfId="20843"/>
    <cellStyle name="Процентный 4 2 172 4" xfId="20844"/>
    <cellStyle name="Обычный 5 2 172 4" xfId="20845"/>
    <cellStyle name="Процентный 5 2 172 4" xfId="20846"/>
    <cellStyle name="Обычный 6 169 4" xfId="20847"/>
    <cellStyle name="Процентный 6 169 4" xfId="20848"/>
    <cellStyle name="Обычный 7 139 4" xfId="20849"/>
    <cellStyle name="Процентный 7 139 4" xfId="20850"/>
    <cellStyle name="Обычный 4 3 131 4" xfId="20851"/>
    <cellStyle name="Процентный 4 3 131 4" xfId="20852"/>
    <cellStyle name="Обычный 5 3 131 4" xfId="20853"/>
    <cellStyle name="Процентный 5 3 131 4" xfId="20854"/>
    <cellStyle name="Обычный 4 2 2 131 4" xfId="20855"/>
    <cellStyle name="Процентный 4 2 2 131 4" xfId="20856"/>
    <cellStyle name="Обычный 5 2 2 131 4" xfId="20857"/>
    <cellStyle name="Процентный 5 2 2 131 4" xfId="20858"/>
    <cellStyle name="Обычный 6 2 131 4" xfId="20859"/>
    <cellStyle name="Процентный 6 2 131 4" xfId="20860"/>
    <cellStyle name="Обычный 7 2 131 4" xfId="20861"/>
    <cellStyle name="Процентный 7 2 131 4" xfId="20862"/>
    <cellStyle name="Обычный 8 127 4" xfId="20863"/>
    <cellStyle name="Процентный 8 127 4" xfId="20864"/>
    <cellStyle name="Обычный 9 93 4" xfId="20865"/>
    <cellStyle name="Процентный 9 94 4" xfId="20866"/>
    <cellStyle name="Обычный 10 86 4" xfId="20867"/>
    <cellStyle name="Процентный 10 86 4" xfId="20868"/>
    <cellStyle name="Обычный 11 74 4" xfId="20869"/>
    <cellStyle name="Процентный 11 74 4" xfId="20870"/>
    <cellStyle name="Обычный 4 186 4" xfId="20871"/>
    <cellStyle name="Процентный 4 186 4" xfId="20872"/>
    <cellStyle name="Обычный 5 179 4" xfId="20873"/>
    <cellStyle name="Процентный 5 179 4" xfId="20874"/>
    <cellStyle name="Обычный 4 2 173 4" xfId="20875"/>
    <cellStyle name="Процентный 4 2 173 4" xfId="20876"/>
    <cellStyle name="Обычный 5 2 173 4" xfId="20877"/>
    <cellStyle name="Процентный 5 2 173 4" xfId="20878"/>
    <cellStyle name="Обычный 6 170 4" xfId="20879"/>
    <cellStyle name="Процентный 6 170 4" xfId="20880"/>
    <cellStyle name="Обычный 7 140 4" xfId="20881"/>
    <cellStyle name="Процентный 7 140 4" xfId="20882"/>
    <cellStyle name="Обычный 4 3 132 4" xfId="20883"/>
    <cellStyle name="Процентный 4 3 132 4" xfId="20884"/>
    <cellStyle name="Обычный 5 3 132 4" xfId="20885"/>
    <cellStyle name="Процентный 5 3 132 4" xfId="20886"/>
    <cellStyle name="Обычный 4 2 2 132 4" xfId="20887"/>
    <cellStyle name="Процентный 4 2 2 132 4" xfId="20888"/>
    <cellStyle name="Обычный 5 2 2 132 4" xfId="20889"/>
    <cellStyle name="Процентный 5 2 2 132 4" xfId="20890"/>
    <cellStyle name="Обычный 6 2 132 4" xfId="20891"/>
    <cellStyle name="Процентный 6 2 132 4" xfId="20892"/>
    <cellStyle name="Обычный 7 2 132 4" xfId="20893"/>
    <cellStyle name="Процентный 7 2 132 4" xfId="20894"/>
    <cellStyle name="Обычный 8 128 4" xfId="20895"/>
    <cellStyle name="Процентный 8 128 4" xfId="20896"/>
    <cellStyle name="Обычный 9 94 4" xfId="20897"/>
    <cellStyle name="Процентный 9 95 4" xfId="20898"/>
    <cellStyle name="Обычный 10 87 4" xfId="20899"/>
    <cellStyle name="Процентный 10 87 4" xfId="20900"/>
    <cellStyle name="Обычный 11 75 4" xfId="20901"/>
    <cellStyle name="Процентный 11 75 4" xfId="20902"/>
    <cellStyle name="Обычный 4 187 4" xfId="20903"/>
    <cellStyle name="Процентный 4 187 4" xfId="20904"/>
    <cellStyle name="Обычный 5 180 4" xfId="20905"/>
    <cellStyle name="Процентный 5 180 4" xfId="20906"/>
    <cellStyle name="Обычный 4 2 174 4" xfId="20907"/>
    <cellStyle name="Процентный 4 2 174 4" xfId="20908"/>
    <cellStyle name="Обычный 5 2 174 4" xfId="20909"/>
    <cellStyle name="Процентный 5 2 174 4" xfId="20910"/>
    <cellStyle name="Обычный 6 171 4" xfId="20911"/>
    <cellStyle name="Процентный 6 171 4" xfId="20912"/>
    <cellStyle name="Обычный 7 141 4" xfId="20913"/>
    <cellStyle name="Процентный 7 141 4" xfId="20914"/>
    <cellStyle name="Обычный 4 3 133 4" xfId="20915"/>
    <cellStyle name="Процентный 4 3 133 4" xfId="20916"/>
    <cellStyle name="Обычный 5 3 133 4" xfId="20917"/>
    <cellStyle name="Процентный 5 3 133 4" xfId="20918"/>
    <cellStyle name="Обычный 4 2 2 133 4" xfId="20919"/>
    <cellStyle name="Процентный 4 2 2 133 4" xfId="20920"/>
    <cellStyle name="Обычный 5 2 2 133 4" xfId="20921"/>
    <cellStyle name="Процентный 5 2 2 133 4" xfId="20922"/>
    <cellStyle name="Обычный 6 2 133 4" xfId="20923"/>
    <cellStyle name="Процентный 6 2 133 4" xfId="20924"/>
    <cellStyle name="Обычный 7 2 133 4" xfId="20925"/>
    <cellStyle name="Процентный 7 2 133 4" xfId="20926"/>
    <cellStyle name="Обычный 8 129 4" xfId="20927"/>
    <cellStyle name="Процентный 8 129 4" xfId="20928"/>
    <cellStyle name="Обычный 9 95 4" xfId="20929"/>
    <cellStyle name="Процентный 9 96 4" xfId="20930"/>
    <cellStyle name="Обычный 10 88 4" xfId="20931"/>
    <cellStyle name="Процентный 10 88 4" xfId="20932"/>
    <cellStyle name="Обычный 11 76 4" xfId="20933"/>
    <cellStyle name="Процентный 11 76 4" xfId="20934"/>
    <cellStyle name="Обычный 4 188 4" xfId="20935"/>
    <cellStyle name="Процентный 4 188 4" xfId="20936"/>
    <cellStyle name="Обычный 5 181 4" xfId="20937"/>
    <cellStyle name="Процентный 5 181 4" xfId="20938"/>
    <cellStyle name="Обычный 4 2 175 4" xfId="20939"/>
    <cellStyle name="Процентный 4 2 175 4" xfId="20940"/>
    <cellStyle name="Обычный 5 2 175 4" xfId="20941"/>
    <cellStyle name="Процентный 5 2 175 4" xfId="20942"/>
    <cellStyle name="Обычный 6 172 4" xfId="20943"/>
    <cellStyle name="Процентный 6 172 4" xfId="20944"/>
    <cellStyle name="Обычный 7 142 4" xfId="20945"/>
    <cellStyle name="Процентный 7 142 4" xfId="20946"/>
    <cellStyle name="Обычный 4 3 134 4" xfId="20947"/>
    <cellStyle name="Процентный 4 3 134 4" xfId="20948"/>
    <cellStyle name="Обычный 5 3 134 4" xfId="20949"/>
    <cellStyle name="Процентный 5 3 134 4" xfId="20950"/>
    <cellStyle name="Обычный 4 2 2 134 4" xfId="20951"/>
    <cellStyle name="Процентный 4 2 2 134 4" xfId="20952"/>
    <cellStyle name="Обычный 5 2 2 134 4" xfId="20953"/>
    <cellStyle name="Процентный 5 2 2 134 4" xfId="20954"/>
    <cellStyle name="Обычный 6 2 134 4" xfId="20955"/>
    <cellStyle name="Процентный 6 2 134 4" xfId="20956"/>
    <cellStyle name="Обычный 7 2 134 4" xfId="20957"/>
    <cellStyle name="Процентный 7 2 134 4" xfId="20958"/>
    <cellStyle name="Обычный 8 130 4" xfId="20959"/>
    <cellStyle name="Процентный 8 130 4" xfId="20960"/>
    <cellStyle name="Обычный 9 96 4" xfId="20961"/>
    <cellStyle name="Процентный 9 97 4" xfId="20962"/>
    <cellStyle name="Обычный 10 89 4" xfId="20963"/>
    <cellStyle name="Процентный 10 89 4" xfId="20964"/>
    <cellStyle name="Обычный 11 77 4" xfId="20965"/>
    <cellStyle name="Процентный 11 77 4" xfId="20966"/>
    <cellStyle name="Обычный 4 189 4" xfId="20967"/>
    <cellStyle name="Процентный 4 189 4" xfId="20968"/>
    <cellStyle name="Обычный 5 182 4" xfId="20969"/>
    <cellStyle name="Процентный 5 182 4" xfId="20970"/>
    <cellStyle name="Обычный 4 2 176 4" xfId="20971"/>
    <cellStyle name="Процентный 4 2 176 4" xfId="20972"/>
    <cellStyle name="Обычный 5 2 176 4" xfId="20973"/>
    <cellStyle name="Процентный 5 2 176 4" xfId="20974"/>
    <cellStyle name="Обычный 6 173 4" xfId="20975"/>
    <cellStyle name="Процентный 6 173 4" xfId="20976"/>
    <cellStyle name="Обычный 7 143 4" xfId="20977"/>
    <cellStyle name="Процентный 7 143 4" xfId="20978"/>
    <cellStyle name="Обычный 4 3 135 4" xfId="20979"/>
    <cellStyle name="Процентный 4 3 135 4" xfId="20980"/>
    <cellStyle name="Обычный 5 3 135 4" xfId="20981"/>
    <cellStyle name="Процентный 5 3 135 4" xfId="20982"/>
    <cellStyle name="Обычный 4 2 2 135 4" xfId="20983"/>
    <cellStyle name="Процентный 4 2 2 135 4" xfId="20984"/>
    <cellStyle name="Обычный 5 2 2 135 4" xfId="20985"/>
    <cellStyle name="Процентный 5 2 2 135 4" xfId="20986"/>
    <cellStyle name="Обычный 6 2 135 4" xfId="20987"/>
    <cellStyle name="Процентный 6 2 135 4" xfId="20988"/>
    <cellStyle name="Обычный 7 2 135 4" xfId="20989"/>
    <cellStyle name="Процентный 7 2 135 4" xfId="20990"/>
    <cellStyle name="Обычный 8 131 4" xfId="20991"/>
    <cellStyle name="Процентный 8 131 4" xfId="20992"/>
    <cellStyle name="Обычный 9 97 4" xfId="20993"/>
    <cellStyle name="Процентный 9 98 4" xfId="20994"/>
    <cellStyle name="Обычный 10 90 4" xfId="20995"/>
    <cellStyle name="Процентный 10 90 4" xfId="20996"/>
    <cellStyle name="Обычный 11 78 4" xfId="20997"/>
    <cellStyle name="Процентный 11 78 4" xfId="20998"/>
    <cellStyle name="Обычный 4 190 4" xfId="20999"/>
    <cellStyle name="Процентный 4 190 4" xfId="21000"/>
    <cellStyle name="Обычный 5 183 4" xfId="21001"/>
    <cellStyle name="Процентный 5 183 4" xfId="21002"/>
    <cellStyle name="Обычный 4 2 177 4" xfId="21003"/>
    <cellStyle name="Процентный 4 2 177 4" xfId="21004"/>
    <cellStyle name="Обычный 5 2 177 4" xfId="21005"/>
    <cellStyle name="Процентный 5 2 177 4" xfId="21006"/>
    <cellStyle name="Обычный 6 174 4" xfId="21007"/>
    <cellStyle name="Процентный 6 174 4" xfId="21008"/>
    <cellStyle name="Обычный 7 144 4" xfId="21009"/>
    <cellStyle name="Процентный 7 144 4" xfId="21010"/>
    <cellStyle name="Обычный 4 3 136 4" xfId="21011"/>
    <cellStyle name="Процентный 4 3 136 4" xfId="21012"/>
    <cellStyle name="Обычный 5 3 136 4" xfId="21013"/>
    <cellStyle name="Процентный 5 3 136 4" xfId="21014"/>
    <cellStyle name="Обычный 4 2 2 136 4" xfId="21015"/>
    <cellStyle name="Процентный 4 2 2 136 4" xfId="21016"/>
    <cellStyle name="Обычный 5 2 2 136 4" xfId="21017"/>
    <cellStyle name="Процентный 5 2 2 136 4" xfId="21018"/>
    <cellStyle name="Обычный 6 2 136 4" xfId="21019"/>
    <cellStyle name="Процентный 6 2 136 4" xfId="21020"/>
    <cellStyle name="Обычный 7 2 136 4" xfId="21021"/>
    <cellStyle name="Процентный 7 2 136 4" xfId="21022"/>
    <cellStyle name="Обычный 8 132 4" xfId="21023"/>
    <cellStyle name="Процентный 8 132 4" xfId="21024"/>
    <cellStyle name="Обычный 9 98 4" xfId="21025"/>
    <cellStyle name="Процентный 9 99 4" xfId="21026"/>
    <cellStyle name="Обычный 10 91 4" xfId="21027"/>
    <cellStyle name="Процентный 10 91 4" xfId="21028"/>
    <cellStyle name="Обычный 11 79 4" xfId="21029"/>
    <cellStyle name="Процентный 11 79 4" xfId="21030"/>
    <cellStyle name="Обычный 4 191 4" xfId="21031"/>
    <cellStyle name="Процентный 4 191 4" xfId="21032"/>
    <cellStyle name="Обычный 5 184 4" xfId="21033"/>
    <cellStyle name="Процентный 5 184 4" xfId="21034"/>
    <cellStyle name="Обычный 4 2 178 4" xfId="21035"/>
    <cellStyle name="Процентный 4 2 178 4" xfId="21036"/>
    <cellStyle name="Обычный 5 2 178 4" xfId="21037"/>
    <cellStyle name="Процентный 5 2 178 4" xfId="21038"/>
    <cellStyle name="Обычный 6 175 4" xfId="21039"/>
    <cellStyle name="Процентный 6 175 4" xfId="21040"/>
    <cellStyle name="Обычный 7 145 4" xfId="21041"/>
    <cellStyle name="Процентный 7 145 4" xfId="21042"/>
    <cellStyle name="Обычный 4 3 137 4" xfId="21043"/>
    <cellStyle name="Процентный 4 3 137 4" xfId="21044"/>
    <cellStyle name="Обычный 5 3 137 4" xfId="21045"/>
    <cellStyle name="Процентный 5 3 137 4" xfId="21046"/>
    <cellStyle name="Обычный 4 2 2 137 4" xfId="21047"/>
    <cellStyle name="Процентный 4 2 2 137 4" xfId="21048"/>
    <cellStyle name="Обычный 5 2 2 137 4" xfId="21049"/>
    <cellStyle name="Процентный 5 2 2 137 4" xfId="21050"/>
    <cellStyle name="Обычный 6 2 137 4" xfId="21051"/>
    <cellStyle name="Процентный 6 2 137 4" xfId="21052"/>
    <cellStyle name="Обычный 7 2 137 4" xfId="21053"/>
    <cellStyle name="Процентный 7 2 137 4" xfId="21054"/>
    <cellStyle name="Обычный 8 133 4" xfId="21055"/>
    <cellStyle name="Процентный 8 133 4" xfId="21056"/>
    <cellStyle name="Обычный 9 99 4" xfId="21057"/>
    <cellStyle name="Процентный 9 100 4" xfId="21058"/>
    <cellStyle name="Обычный 10 92 4" xfId="21059"/>
    <cellStyle name="Процентный 10 92 4" xfId="21060"/>
    <cellStyle name="Обычный 11 80 4" xfId="21061"/>
    <cellStyle name="Процентный 11 80 4" xfId="21062"/>
    <cellStyle name="Обычный 4 192 4" xfId="21063"/>
    <cellStyle name="Процентный 4 192 4" xfId="21064"/>
    <cellStyle name="Обычный 5 185 4" xfId="21065"/>
    <cellStyle name="Процентный 5 185 4" xfId="21066"/>
    <cellStyle name="Обычный 4 2 179 4" xfId="21067"/>
    <cellStyle name="Процентный 4 2 179 4" xfId="21068"/>
    <cellStyle name="Обычный 5 2 179 4" xfId="21069"/>
    <cellStyle name="Процентный 5 2 179 4" xfId="21070"/>
    <cellStyle name="Обычный 6 176 4" xfId="21071"/>
    <cellStyle name="Процентный 6 176 4" xfId="21072"/>
    <cellStyle name="Обычный 7 146 4" xfId="21073"/>
    <cellStyle name="Процентный 7 146 4" xfId="21074"/>
    <cellStyle name="Обычный 4 3 138 4" xfId="21075"/>
    <cellStyle name="Процентный 4 3 138 4" xfId="21076"/>
    <cellStyle name="Обычный 5 3 138 4" xfId="21077"/>
    <cellStyle name="Процентный 5 3 138 4" xfId="21078"/>
    <cellStyle name="Обычный 4 2 2 138 4" xfId="21079"/>
    <cellStyle name="Процентный 4 2 2 138 4" xfId="21080"/>
    <cellStyle name="Обычный 5 2 2 138 4" xfId="21081"/>
    <cellStyle name="Процентный 5 2 2 138 4" xfId="21082"/>
    <cellStyle name="Обычный 6 2 138 4" xfId="21083"/>
    <cellStyle name="Процентный 6 2 138 4" xfId="21084"/>
    <cellStyle name="Обычный 7 2 138 4" xfId="21085"/>
    <cellStyle name="Процентный 7 2 138 4" xfId="21086"/>
    <cellStyle name="Обычный 8 134 4" xfId="21087"/>
    <cellStyle name="Процентный 8 134 4" xfId="21088"/>
    <cellStyle name="Обычный 9 100 4" xfId="21089"/>
    <cellStyle name="Процентный 9 101 4" xfId="21090"/>
    <cellStyle name="Обычный 10 93 4" xfId="21091"/>
    <cellStyle name="Процентный 10 93 4" xfId="21092"/>
    <cellStyle name="Обычный 11 81 4" xfId="21093"/>
    <cellStyle name="Процентный 11 81 4" xfId="21094"/>
    <cellStyle name="Обычный 4 193 4" xfId="21095"/>
    <cellStyle name="Процентный 4 193 4" xfId="21096"/>
    <cellStyle name="Обычный 5 186 4" xfId="21097"/>
    <cellStyle name="Процентный 5 186 4" xfId="21098"/>
    <cellStyle name="Обычный 4 2 180 4" xfId="21099"/>
    <cellStyle name="Процентный 4 2 180 4" xfId="21100"/>
    <cellStyle name="Обычный 5 2 180 4" xfId="21101"/>
    <cellStyle name="Процентный 5 2 180 4" xfId="21102"/>
    <cellStyle name="Обычный 6 177 4" xfId="21103"/>
    <cellStyle name="Процентный 6 177 4" xfId="21104"/>
    <cellStyle name="Обычный 7 147 4" xfId="21105"/>
    <cellStyle name="Процентный 7 147 4" xfId="21106"/>
    <cellStyle name="Обычный 4 3 139 4" xfId="21107"/>
    <cellStyle name="Процентный 4 3 139 4" xfId="21108"/>
    <cellStyle name="Обычный 5 3 139 4" xfId="21109"/>
    <cellStyle name="Процентный 5 3 139 4" xfId="21110"/>
    <cellStyle name="Обычный 4 2 2 139 4" xfId="21111"/>
    <cellStyle name="Процентный 4 2 2 139 4" xfId="21112"/>
    <cellStyle name="Обычный 5 2 2 139 4" xfId="21113"/>
    <cellStyle name="Процентный 5 2 2 139 4" xfId="21114"/>
    <cellStyle name="Обычный 6 2 139 4" xfId="21115"/>
    <cellStyle name="Процентный 6 2 139 4" xfId="21116"/>
    <cellStyle name="Обычный 7 2 139 4" xfId="21117"/>
    <cellStyle name="Процентный 7 2 139 4" xfId="21118"/>
    <cellStyle name="Обычный 8 135 4" xfId="21119"/>
    <cellStyle name="Процентный 8 135 4" xfId="21120"/>
    <cellStyle name="Обычный 9 101 4" xfId="21121"/>
    <cellStyle name="Процентный 9 102 4" xfId="21122"/>
    <cellStyle name="Обычный 10 94 4" xfId="21123"/>
    <cellStyle name="Процентный 10 94 4" xfId="21124"/>
    <cellStyle name="Обычный 11 82 4" xfId="21125"/>
    <cellStyle name="Процентный 11 82 4" xfId="21126"/>
    <cellStyle name="Обычный 4 194 4" xfId="21127"/>
    <cellStyle name="Процентный 4 194 4" xfId="21128"/>
    <cellStyle name="Обычный 5 187 4" xfId="21129"/>
    <cellStyle name="Процентный 5 187 4" xfId="21130"/>
    <cellStyle name="Обычный 4 2 181 4" xfId="21131"/>
    <cellStyle name="Процентный 4 2 181 4" xfId="21132"/>
    <cellStyle name="Обычный 5 2 181 4" xfId="21133"/>
    <cellStyle name="Процентный 5 2 181 4" xfId="21134"/>
    <cellStyle name="Обычный 6 178 4" xfId="21135"/>
    <cellStyle name="Процентный 6 178 4" xfId="21136"/>
    <cellStyle name="Обычный 7 148 4" xfId="21137"/>
    <cellStyle name="Процентный 7 148 4" xfId="21138"/>
    <cellStyle name="Обычный 4 3 140 4" xfId="21139"/>
    <cellStyle name="Процентный 4 3 140 4" xfId="21140"/>
    <cellStyle name="Обычный 5 3 140 4" xfId="21141"/>
    <cellStyle name="Процентный 5 3 140 4" xfId="21142"/>
    <cellStyle name="Обычный 4 2 2 140 4" xfId="21143"/>
    <cellStyle name="Процентный 4 2 2 140 4" xfId="21144"/>
    <cellStyle name="Обычный 5 2 2 140 4" xfId="21145"/>
    <cellStyle name="Процентный 5 2 2 140 4" xfId="21146"/>
    <cellStyle name="Обычный 6 2 140 4" xfId="21147"/>
    <cellStyle name="Процентный 6 2 140 4" xfId="21148"/>
    <cellStyle name="Обычный 7 2 140 4" xfId="21149"/>
    <cellStyle name="Процентный 7 2 140 4" xfId="21150"/>
    <cellStyle name="Обычный 8 136 4" xfId="21151"/>
    <cellStyle name="Процентный 8 136 4" xfId="21152"/>
    <cellStyle name="Обычный 9 102 4" xfId="21153"/>
    <cellStyle name="Процентный 9 103 4" xfId="21154"/>
    <cellStyle name="Обычный 10 95 4" xfId="21155"/>
    <cellStyle name="Процентный 10 95 4" xfId="21156"/>
    <cellStyle name="Обычный 11 83 4" xfId="21157"/>
    <cellStyle name="Процентный 11 83 4" xfId="21158"/>
    <cellStyle name="Обычный 4 195 4" xfId="21159"/>
    <cellStyle name="Процентный 4 195 4" xfId="21160"/>
    <cellStyle name="Обычный 5 188 4" xfId="21161"/>
    <cellStyle name="Процентный 5 188 4" xfId="21162"/>
    <cellStyle name="Обычный 4 2 182 4" xfId="21163"/>
    <cellStyle name="Процентный 4 2 182 4" xfId="21164"/>
    <cellStyle name="Обычный 5 2 182 4" xfId="21165"/>
    <cellStyle name="Процентный 5 2 182 4" xfId="21166"/>
    <cellStyle name="Обычный 6 179 4" xfId="21167"/>
    <cellStyle name="Процентный 6 179 4" xfId="21168"/>
    <cellStyle name="Обычный 7 149 4" xfId="21169"/>
    <cellStyle name="Процентный 7 149 4" xfId="21170"/>
    <cellStyle name="Обычный 4 3 141 4" xfId="21171"/>
    <cellStyle name="Процентный 4 3 141 4" xfId="21172"/>
    <cellStyle name="Обычный 5 3 141 4" xfId="21173"/>
    <cellStyle name="Процентный 5 3 141 4" xfId="21174"/>
    <cellStyle name="Обычный 4 2 2 141 4" xfId="21175"/>
    <cellStyle name="Процентный 4 2 2 141 4" xfId="21176"/>
    <cellStyle name="Обычный 5 2 2 141 4" xfId="21177"/>
    <cellStyle name="Процентный 5 2 2 141 4" xfId="21178"/>
    <cellStyle name="Обычный 6 2 141 4" xfId="21179"/>
    <cellStyle name="Процентный 6 2 141 4" xfId="21180"/>
    <cellStyle name="Обычный 7 2 141 4" xfId="21181"/>
    <cellStyle name="Процентный 7 2 141 4" xfId="21182"/>
    <cellStyle name="Обычный 8 137 4" xfId="21183"/>
    <cellStyle name="Процентный 8 137 4" xfId="21184"/>
    <cellStyle name="Обычный 9 103 4" xfId="21185"/>
    <cellStyle name="Процентный 9 104 4" xfId="21186"/>
    <cellStyle name="Обычный 10 96 4" xfId="21187"/>
    <cellStyle name="Процентный 10 96 4" xfId="21188"/>
    <cellStyle name="Обычный 11 84 4" xfId="21189"/>
    <cellStyle name="Процентный 11 84 4" xfId="21190"/>
    <cellStyle name="Обычный 4 196 4" xfId="21191"/>
    <cellStyle name="Процентный 4 196 4" xfId="21192"/>
    <cellStyle name="Обычный 5 189 4" xfId="21193"/>
    <cellStyle name="Процентный 5 189 4" xfId="21194"/>
    <cellStyle name="Обычный 4 2 183 4" xfId="21195"/>
    <cellStyle name="Процентный 4 2 183 4" xfId="21196"/>
    <cellStyle name="Обычный 5 2 183 4" xfId="21197"/>
    <cellStyle name="Процентный 5 2 183 4" xfId="21198"/>
    <cellStyle name="Обычный 6 180 4" xfId="21199"/>
    <cellStyle name="Процентный 6 180 4" xfId="21200"/>
    <cellStyle name="Обычный 7 150 4" xfId="21201"/>
    <cellStyle name="Процентный 7 150 4" xfId="21202"/>
    <cellStyle name="Обычный 4 3 142 4" xfId="21203"/>
    <cellStyle name="Процентный 4 3 142 4" xfId="21204"/>
    <cellStyle name="Обычный 5 3 142 4" xfId="21205"/>
    <cellStyle name="Процентный 5 3 142 4" xfId="21206"/>
    <cellStyle name="Обычный 4 2 2 142 4" xfId="21207"/>
    <cellStyle name="Процентный 4 2 2 142 4" xfId="21208"/>
    <cellStyle name="Обычный 5 2 2 142 4" xfId="21209"/>
    <cellStyle name="Процентный 5 2 2 142 4" xfId="21210"/>
    <cellStyle name="Обычный 6 2 142 4" xfId="21211"/>
    <cellStyle name="Процентный 6 2 142 4" xfId="21212"/>
    <cellStyle name="Обычный 7 2 142 4" xfId="21213"/>
    <cellStyle name="Процентный 7 2 142 4" xfId="21214"/>
    <cellStyle name="Обычный 8 138 4" xfId="21215"/>
    <cellStyle name="Процентный 8 138 4" xfId="21216"/>
    <cellStyle name="Обычный 9 104 4" xfId="21217"/>
    <cellStyle name="Процентный 9 105 4" xfId="21218"/>
    <cellStyle name="Обычный 10 97 4" xfId="21219"/>
    <cellStyle name="Процентный 10 97 4" xfId="21220"/>
    <cellStyle name="Обычный 11 85 4" xfId="21221"/>
    <cellStyle name="Процентный 11 85 4" xfId="21222"/>
    <cellStyle name="Обычный 4 197 4" xfId="21223"/>
    <cellStyle name="Процентный 4 197 4" xfId="21224"/>
    <cellStyle name="Обычный 5 190 4" xfId="21225"/>
    <cellStyle name="Процентный 5 190 4" xfId="21226"/>
    <cellStyle name="Обычный 4 2 184 4" xfId="21227"/>
    <cellStyle name="Процентный 4 2 184 4" xfId="21228"/>
    <cellStyle name="Обычный 5 2 184 4" xfId="21229"/>
    <cellStyle name="Процентный 5 2 184 4" xfId="21230"/>
    <cellStyle name="Обычный 6 181 4" xfId="21231"/>
    <cellStyle name="Процентный 6 181 4" xfId="21232"/>
    <cellStyle name="Обычный 7 151 4" xfId="21233"/>
    <cellStyle name="Процентный 7 151 4" xfId="21234"/>
    <cellStyle name="Обычный 4 3 143 4" xfId="21235"/>
    <cellStyle name="Процентный 4 3 143 4" xfId="21236"/>
    <cellStyle name="Обычный 5 3 143 4" xfId="21237"/>
    <cellStyle name="Процентный 5 3 143 4" xfId="21238"/>
    <cellStyle name="Обычный 4 2 2 143 4" xfId="21239"/>
    <cellStyle name="Процентный 4 2 2 143 4" xfId="21240"/>
    <cellStyle name="Обычный 5 2 2 143 4" xfId="21241"/>
    <cellStyle name="Процентный 5 2 2 143 4" xfId="21242"/>
    <cellStyle name="Обычный 6 2 143 4" xfId="21243"/>
    <cellStyle name="Процентный 6 2 143 4" xfId="21244"/>
    <cellStyle name="Обычный 7 2 143 4" xfId="21245"/>
    <cellStyle name="Процентный 7 2 143 4" xfId="21246"/>
    <cellStyle name="Обычный 8 139 4" xfId="21247"/>
    <cellStyle name="Процентный 8 139 4" xfId="21248"/>
    <cellStyle name="Обычный 9 105 4" xfId="21249"/>
    <cellStyle name="Процентный 9 106 4" xfId="21250"/>
    <cellStyle name="Обычный 10 98 4" xfId="21251"/>
    <cellStyle name="Процентный 10 98 4" xfId="21252"/>
    <cellStyle name="Обычный 11 86 4" xfId="21253"/>
    <cellStyle name="Процентный 11 86 4" xfId="21254"/>
    <cellStyle name="Обычный 4 198 4" xfId="21255"/>
    <cellStyle name="Процентный 4 198 4" xfId="21256"/>
    <cellStyle name="Обычный 5 191 4" xfId="21257"/>
    <cellStyle name="Процентный 5 191 4" xfId="21258"/>
    <cellStyle name="Обычный 4 2 185 4" xfId="21259"/>
    <cellStyle name="Процентный 4 2 185 4" xfId="21260"/>
    <cellStyle name="Обычный 5 2 185 4" xfId="21261"/>
    <cellStyle name="Процентный 5 2 185 4" xfId="21262"/>
    <cellStyle name="Обычный 6 182 4" xfId="21263"/>
    <cellStyle name="Процентный 6 182 4" xfId="21264"/>
    <cellStyle name="Обычный 7 152 4" xfId="21265"/>
    <cellStyle name="Процентный 7 152 4" xfId="21266"/>
    <cellStyle name="Обычный 4 3 144 4" xfId="21267"/>
    <cellStyle name="Процентный 4 3 144 4" xfId="21268"/>
    <cellStyle name="Обычный 5 3 144 4" xfId="21269"/>
    <cellStyle name="Процентный 5 3 144 4" xfId="21270"/>
    <cellStyle name="Обычный 4 2 2 144 4" xfId="21271"/>
    <cellStyle name="Процентный 4 2 2 144 4" xfId="21272"/>
    <cellStyle name="Обычный 5 2 2 144 4" xfId="21273"/>
    <cellStyle name="Процентный 5 2 2 144 4" xfId="21274"/>
    <cellStyle name="Обычный 6 2 144 4" xfId="21275"/>
    <cellStyle name="Процентный 6 2 144 4" xfId="21276"/>
    <cellStyle name="Обычный 7 2 144 4" xfId="21277"/>
    <cellStyle name="Процентный 7 2 144 4" xfId="21278"/>
    <cellStyle name="Обычный 8 140 4" xfId="21279"/>
    <cellStyle name="Процентный 8 140 4" xfId="21280"/>
    <cellStyle name="Обычный 9 106 4" xfId="21281"/>
    <cellStyle name="Процентный 9 107 4" xfId="21282"/>
    <cellStyle name="Обычный 10 99 4" xfId="21283"/>
    <cellStyle name="Процентный 10 99 4" xfId="21284"/>
    <cellStyle name="Обычный 11 87 4" xfId="21285"/>
    <cellStyle name="Процентный 11 87 4" xfId="21286"/>
    <cellStyle name="Обычный 4 199 4" xfId="21287"/>
    <cellStyle name="Процентный 4 199 4" xfId="21288"/>
    <cellStyle name="Обычный 5 192 4" xfId="21289"/>
    <cellStyle name="Процентный 5 192 4" xfId="21290"/>
    <cellStyle name="Обычный 4 2 186 4" xfId="21291"/>
    <cellStyle name="Процентный 4 2 186 4" xfId="21292"/>
    <cellStyle name="Обычный 5 2 186 4" xfId="21293"/>
    <cellStyle name="Процентный 5 2 186 4" xfId="21294"/>
    <cellStyle name="Обычный 6 183 4" xfId="21295"/>
    <cellStyle name="Процентный 6 183 4" xfId="21296"/>
    <cellStyle name="Обычный 7 153 4" xfId="21297"/>
    <cellStyle name="Процентный 7 153 4" xfId="21298"/>
    <cellStyle name="Обычный 4 3 145 4" xfId="21299"/>
    <cellStyle name="Процентный 4 3 145 4" xfId="21300"/>
    <cellStyle name="Обычный 5 3 145 4" xfId="21301"/>
    <cellStyle name="Процентный 5 3 145 4" xfId="21302"/>
    <cellStyle name="Обычный 4 2 2 145 4" xfId="21303"/>
    <cellStyle name="Процентный 4 2 2 145 4" xfId="21304"/>
    <cellStyle name="Обычный 5 2 2 145 4" xfId="21305"/>
    <cellStyle name="Процентный 5 2 2 145 4" xfId="21306"/>
    <cellStyle name="Обычный 6 2 145 4" xfId="21307"/>
    <cellStyle name="Процентный 6 2 145 4" xfId="21308"/>
    <cellStyle name="Обычный 7 2 145 4" xfId="21309"/>
    <cellStyle name="Процентный 7 2 145 4" xfId="21310"/>
    <cellStyle name="Обычный 8 141 4" xfId="21311"/>
    <cellStyle name="Процентный 8 141 4" xfId="21312"/>
    <cellStyle name="Обычный 9 107 4" xfId="21313"/>
    <cellStyle name="Процентный 9 108 4" xfId="21314"/>
    <cellStyle name="Обычный 10 100 4" xfId="21315"/>
    <cellStyle name="Процентный 10 100 4" xfId="21316"/>
    <cellStyle name="Обычный 11 88 4" xfId="21317"/>
    <cellStyle name="Процентный 11 88 4" xfId="21318"/>
    <cellStyle name="Обычный 4 200 4" xfId="21319"/>
    <cellStyle name="Процентный 4 200 4" xfId="21320"/>
    <cellStyle name="Обычный 5 193 4" xfId="21321"/>
    <cellStyle name="Процентный 5 193 4" xfId="21322"/>
    <cellStyle name="Обычный 4 2 187 4" xfId="21323"/>
    <cellStyle name="Процентный 4 2 187 4" xfId="21324"/>
    <cellStyle name="Обычный 5 2 187 4" xfId="21325"/>
    <cellStyle name="Процентный 5 2 187 4" xfId="21326"/>
    <cellStyle name="Обычный 6 184 4" xfId="21327"/>
    <cellStyle name="Процентный 6 184 4" xfId="21328"/>
    <cellStyle name="Обычный 7 154 4" xfId="21329"/>
    <cellStyle name="Процентный 7 154 4" xfId="21330"/>
    <cellStyle name="Обычный 4 3 146 4" xfId="21331"/>
    <cellStyle name="Процентный 4 3 146 4" xfId="21332"/>
    <cellStyle name="Обычный 5 3 146 4" xfId="21333"/>
    <cellStyle name="Процентный 5 3 146 4" xfId="21334"/>
    <cellStyle name="Обычный 4 2 2 146 4" xfId="21335"/>
    <cellStyle name="Процентный 4 2 2 146 4" xfId="21336"/>
    <cellStyle name="Обычный 5 2 2 146 4" xfId="21337"/>
    <cellStyle name="Процентный 5 2 2 146 4" xfId="21338"/>
    <cellStyle name="Обычный 6 2 146 4" xfId="21339"/>
    <cellStyle name="Процентный 6 2 146 4" xfId="21340"/>
    <cellStyle name="Обычный 7 2 146 4" xfId="21341"/>
    <cellStyle name="Процентный 7 2 146 4" xfId="21342"/>
    <cellStyle name="Обычный 8 142 4" xfId="21343"/>
    <cellStyle name="Процентный 8 142 4" xfId="21344"/>
    <cellStyle name="Обычный 9 108 4" xfId="21345"/>
    <cellStyle name="Процентный 9 109 4" xfId="21346"/>
    <cellStyle name="Обычный 10 101 4" xfId="21347"/>
    <cellStyle name="Процентный 10 101 4" xfId="21348"/>
    <cellStyle name="Обычный 11 89 4" xfId="21349"/>
    <cellStyle name="Процентный 11 89 4" xfId="21350"/>
    <cellStyle name="Обычный 4 201 4" xfId="21351"/>
    <cellStyle name="Процентный 4 201 4" xfId="21352"/>
    <cellStyle name="Обычный 5 194 4" xfId="21353"/>
    <cellStyle name="Процентный 5 194 4" xfId="21354"/>
    <cellStyle name="Обычный 4 2 188 4" xfId="21355"/>
    <cellStyle name="Процентный 4 2 188 4" xfId="21356"/>
    <cellStyle name="Обычный 5 2 188 4" xfId="21357"/>
    <cellStyle name="Процентный 5 2 188 4" xfId="21358"/>
    <cellStyle name="Обычный 6 185 4" xfId="21359"/>
    <cellStyle name="Процентный 6 185 4" xfId="21360"/>
    <cellStyle name="Обычный 7 155 4" xfId="21361"/>
    <cellStyle name="Процентный 7 155 4" xfId="21362"/>
    <cellStyle name="Обычный 4 3 147 4" xfId="21363"/>
    <cellStyle name="Процентный 4 3 147 4" xfId="21364"/>
    <cellStyle name="Обычный 5 3 147 4" xfId="21365"/>
    <cellStyle name="Процентный 5 3 147 4" xfId="21366"/>
    <cellStyle name="Обычный 4 2 2 147 4" xfId="21367"/>
    <cellStyle name="Процентный 4 2 2 147 4" xfId="21368"/>
    <cellStyle name="Обычный 5 2 2 147 4" xfId="21369"/>
    <cellStyle name="Процентный 5 2 2 147 4" xfId="21370"/>
    <cellStyle name="Обычный 6 2 147 4" xfId="21371"/>
    <cellStyle name="Процентный 6 2 147 4" xfId="21372"/>
    <cellStyle name="Обычный 7 2 147 4" xfId="21373"/>
    <cellStyle name="Процентный 7 2 147 4" xfId="21374"/>
    <cellStyle name="Обычный 8 143 4" xfId="21375"/>
    <cellStyle name="Процентный 8 143 4" xfId="21376"/>
    <cellStyle name="Обычный 9 109 4" xfId="21377"/>
    <cellStyle name="Процентный 9 110 4" xfId="21378"/>
    <cellStyle name="Обычный 10 102 4" xfId="21379"/>
    <cellStyle name="Процентный 10 102 4" xfId="21380"/>
    <cellStyle name="Обычный 11 90 4" xfId="21381"/>
    <cellStyle name="Процентный 11 90 4" xfId="21382"/>
    <cellStyle name="Обычный 4 202 4" xfId="21383"/>
    <cellStyle name="Процентный 4 202 4" xfId="21384"/>
    <cellStyle name="Обычный 5 195 4" xfId="21385"/>
    <cellStyle name="Процентный 5 195 4" xfId="21386"/>
    <cellStyle name="Обычный 4 2 189 4" xfId="21387"/>
    <cellStyle name="Процентный 4 2 189 4" xfId="21388"/>
    <cellStyle name="Обычный 5 2 189 4" xfId="21389"/>
    <cellStyle name="Процентный 5 2 189 4" xfId="21390"/>
    <cellStyle name="Обычный 6 186 4" xfId="21391"/>
    <cellStyle name="Процентный 6 186 4" xfId="21392"/>
    <cellStyle name="Обычный 7 156 4" xfId="21393"/>
    <cellStyle name="Процентный 7 156 4" xfId="21394"/>
    <cellStyle name="Обычный 4 3 148 4" xfId="21395"/>
    <cellStyle name="Процентный 4 3 148 4" xfId="21396"/>
    <cellStyle name="Обычный 5 3 148 4" xfId="21397"/>
    <cellStyle name="Процентный 5 3 148 4" xfId="21398"/>
    <cellStyle name="Обычный 4 2 2 148 4" xfId="21399"/>
    <cellStyle name="Процентный 4 2 2 148 4" xfId="21400"/>
    <cellStyle name="Обычный 5 2 2 148 4" xfId="21401"/>
    <cellStyle name="Процентный 5 2 2 148 4" xfId="21402"/>
    <cellStyle name="Обычный 6 2 148 4" xfId="21403"/>
    <cellStyle name="Процентный 6 2 148 4" xfId="21404"/>
    <cellStyle name="Обычный 7 2 148 4" xfId="21405"/>
    <cellStyle name="Процентный 7 2 148 4" xfId="21406"/>
    <cellStyle name="Обычный 8 144 4" xfId="21407"/>
    <cellStyle name="Процентный 8 144 4" xfId="21408"/>
    <cellStyle name="Обычный 9 110 4" xfId="21409"/>
    <cellStyle name="Процентный 9 111 4" xfId="21410"/>
    <cellStyle name="Обычный 10 103 4" xfId="21411"/>
    <cellStyle name="Процентный 10 103 4" xfId="21412"/>
    <cellStyle name="Обычный 11 91 4" xfId="21413"/>
    <cellStyle name="Процентный 11 91 4" xfId="21414"/>
    <cellStyle name="Обычный 3 7" xfId="21415"/>
    <cellStyle name="Обычный 4 206" xfId="21416"/>
    <cellStyle name="Процентный 4 206" xfId="21417"/>
    <cellStyle name="Обычный 4 2 193" xfId="21418"/>
    <cellStyle name="Процентный 4 2 193" xfId="21419"/>
    <cellStyle name="Обычный 4 3 152" xfId="21420"/>
    <cellStyle name="Процентный 4 3 152" xfId="21421"/>
    <cellStyle name="Обычный 5 199" xfId="21422"/>
    <cellStyle name="Процентный 5 199" xfId="21423"/>
    <cellStyle name="Обычный 4 4 6" xfId="21424"/>
    <cellStyle name="Процентный 4 4 6" xfId="21425"/>
    <cellStyle name="Обычный 4 5 6" xfId="21426"/>
    <cellStyle name="Процентный 4 5 6" xfId="21427"/>
    <cellStyle name="Обычный 4 6 6" xfId="21428"/>
    <cellStyle name="Процентный 4 6 6" xfId="21429"/>
    <cellStyle name="Обычный 4 7 6" xfId="21430"/>
    <cellStyle name="Процентный 4 7 6" xfId="21431"/>
    <cellStyle name="Обычный 4 8 6" xfId="21432"/>
    <cellStyle name="Процентный 4 8 6" xfId="21433"/>
    <cellStyle name="Обычный 4 9 6" xfId="21434"/>
    <cellStyle name="Процентный 4 9 6" xfId="21435"/>
    <cellStyle name="Обычный 5 2 193" xfId="21436"/>
    <cellStyle name="Процентный 5 2 193" xfId="21437"/>
    <cellStyle name="Обычный 4 10 6" xfId="21438"/>
    <cellStyle name="Процентный 4 10 6" xfId="21439"/>
    <cellStyle name="Обычный 5 3 152" xfId="21440"/>
    <cellStyle name="Процентный 5 3 152" xfId="21441"/>
    <cellStyle name="Обычный 4 11 6" xfId="21442"/>
    <cellStyle name="Процентный 4 11 6" xfId="21443"/>
    <cellStyle name="Обычный 5 4 6" xfId="21444"/>
    <cellStyle name="Процентный 5 4 6" xfId="21445"/>
    <cellStyle name="Обычный 4 12 6" xfId="21446"/>
    <cellStyle name="Процентный 4 12 6" xfId="21447"/>
    <cellStyle name="Обычный 5 5 6" xfId="21448"/>
    <cellStyle name="Процентный 5 5 6" xfId="21449"/>
    <cellStyle name="Обычный 4 13 6" xfId="21450"/>
    <cellStyle name="Процентный 4 13 6" xfId="21451"/>
    <cellStyle name="Обычный 5 6 6" xfId="21452"/>
    <cellStyle name="Процентный 5 6 6" xfId="21453"/>
    <cellStyle name="Обычный 4 14 6" xfId="21454"/>
    <cellStyle name="Процентный 4 14 6" xfId="21455"/>
    <cellStyle name="Обычный 5 7 6" xfId="21456"/>
    <cellStyle name="Процентный 5 7 6" xfId="21457"/>
    <cellStyle name="Обычный 4 15 6" xfId="21458"/>
    <cellStyle name="Процентный 4 15 6" xfId="21459"/>
    <cellStyle name="Обычный 5 8 6" xfId="21460"/>
    <cellStyle name="Процентный 5 8 6" xfId="21461"/>
    <cellStyle name="Обычный 4 2 2 152" xfId="21462"/>
    <cellStyle name="Процентный 4 2 2 152" xfId="21463"/>
    <cellStyle name="Обычный 5 2 2 152" xfId="21464"/>
    <cellStyle name="Процентный 5 2 2 152" xfId="21465"/>
    <cellStyle name="Обычный 4 16 6" xfId="21466"/>
    <cellStyle name="Процентный 4 16 6" xfId="21467"/>
    <cellStyle name="Обычный 5 9 6" xfId="21468"/>
    <cellStyle name="Процентный 5 9 6" xfId="21469"/>
    <cellStyle name="Обычный 4 2 3 6" xfId="21470"/>
    <cellStyle name="Процентный 4 2 3 6" xfId="21471"/>
    <cellStyle name="Обычный 5 2 3 6" xfId="21472"/>
    <cellStyle name="Процентный 5 2 3 6" xfId="21473"/>
    <cellStyle name="Обычный 4 17 6" xfId="21474"/>
    <cellStyle name="Процентный 4 17 6" xfId="21475"/>
    <cellStyle name="Обычный 5 10 6" xfId="21476"/>
    <cellStyle name="Процентный 5 10 6" xfId="21477"/>
    <cellStyle name="Обычный 4 2 4 6" xfId="21478"/>
    <cellStyle name="Процентный 4 2 4 6" xfId="21479"/>
    <cellStyle name="Обычный 5 2 4 6" xfId="21480"/>
    <cellStyle name="Процентный 5 2 4 6" xfId="21481"/>
    <cellStyle name="Обычный 6 190" xfId="21482"/>
    <cellStyle name="Процентный 6 190" xfId="21483"/>
    <cellStyle name="Обычный 4 18 6" xfId="21484"/>
    <cellStyle name="Процентный 4 18 6" xfId="21485"/>
    <cellStyle name="Обычный 5 11 6" xfId="21486"/>
    <cellStyle name="Процентный 5 11 6" xfId="21487"/>
    <cellStyle name="Обычный 4 2 5 6" xfId="21488"/>
    <cellStyle name="Процентный 4 2 5 6" xfId="21489"/>
    <cellStyle name="Обычный 5 2 5 6" xfId="21490"/>
    <cellStyle name="Процентный 5 2 5 6" xfId="21491"/>
    <cellStyle name="Обычный 6 2 152" xfId="21492"/>
    <cellStyle name="Процентный 6 2 152" xfId="21493"/>
    <cellStyle name="Обычный 4 19 6" xfId="21494"/>
    <cellStyle name="Процентный 4 19 6" xfId="21495"/>
    <cellStyle name="Обычный 5 12 6" xfId="21496"/>
    <cellStyle name="Процентный 5 12 6" xfId="21497"/>
    <cellStyle name="Обычный 4 2 6 6" xfId="21498"/>
    <cellStyle name="Процентный 4 2 6 6" xfId="21499"/>
    <cellStyle name="Обычный 5 2 6 6" xfId="21500"/>
    <cellStyle name="Процентный 5 2 6 6" xfId="21501"/>
    <cellStyle name="Обычный 6 3 6" xfId="21502"/>
    <cellStyle name="Процентный 6 3 6" xfId="21503"/>
    <cellStyle name="Обычный 4 20 6" xfId="21504"/>
    <cellStyle name="Процентный 4 20 6" xfId="21505"/>
    <cellStyle name="Обычный 5 13 6" xfId="21506"/>
    <cellStyle name="Процентный 5 13 6" xfId="21507"/>
    <cellStyle name="Обычный 4 2 7 6" xfId="21508"/>
    <cellStyle name="Процентный 4 2 7 6" xfId="21509"/>
    <cellStyle name="Обычный 5 2 7 6" xfId="21510"/>
    <cellStyle name="Процентный 5 2 7 6" xfId="21511"/>
    <cellStyle name="Обычный 6 4 6" xfId="21512"/>
    <cellStyle name="Процентный 6 4 6" xfId="21513"/>
    <cellStyle name="Обычный 4 21 6" xfId="21514"/>
    <cellStyle name="Процентный 4 21 6" xfId="21515"/>
    <cellStyle name="Обычный 5 14 6" xfId="21516"/>
    <cellStyle name="Процентный 5 14 6" xfId="21517"/>
    <cellStyle name="Обычный 4 2 8 6" xfId="21518"/>
    <cellStyle name="Процентный 4 2 8 6" xfId="21519"/>
    <cellStyle name="Обычный 5 2 8 6" xfId="21520"/>
    <cellStyle name="Процентный 5 2 8 6" xfId="21521"/>
    <cellStyle name="Обычный 6 5 6" xfId="21522"/>
    <cellStyle name="Процентный 6 5 6" xfId="21523"/>
    <cellStyle name="Обычный 4 22 6" xfId="21524"/>
    <cellStyle name="Процентный 4 22 6" xfId="21525"/>
    <cellStyle name="Обычный 5 15 6" xfId="21526"/>
    <cellStyle name="Процентный 5 15 6" xfId="21527"/>
    <cellStyle name="Обычный 4 2 9 6" xfId="21528"/>
    <cellStyle name="Процентный 4 2 9 6" xfId="21529"/>
    <cellStyle name="Обычный 5 2 9 6" xfId="21530"/>
    <cellStyle name="Процентный 5 2 9 6" xfId="21531"/>
    <cellStyle name="Обычный 6 6 6" xfId="21532"/>
    <cellStyle name="Процентный 6 6 6" xfId="21533"/>
    <cellStyle name="Обычный 4 23 6" xfId="21534"/>
    <cellStyle name="Процентный 4 23 6" xfId="21535"/>
    <cellStyle name="Обычный 5 16 6" xfId="21536"/>
    <cellStyle name="Процентный 5 16 6" xfId="21537"/>
    <cellStyle name="Обычный 4 2 10 6" xfId="21538"/>
    <cellStyle name="Процентный 4 2 10 6" xfId="21539"/>
    <cellStyle name="Обычный 5 2 10 6" xfId="21540"/>
    <cellStyle name="Процентный 5 2 10 6" xfId="21541"/>
    <cellStyle name="Обычный 6 7 6" xfId="21542"/>
    <cellStyle name="Процентный 6 7 6" xfId="21543"/>
    <cellStyle name="Обычный 4 24 6" xfId="21544"/>
    <cellStyle name="Процентный 4 24 6" xfId="21545"/>
    <cellStyle name="Обычный 5 17 6" xfId="21546"/>
    <cellStyle name="Процентный 5 17 6" xfId="21547"/>
    <cellStyle name="Обычный 4 2 11 6" xfId="21548"/>
    <cellStyle name="Процентный 4 2 11 6" xfId="21549"/>
    <cellStyle name="Обычный 5 2 11 6" xfId="21550"/>
    <cellStyle name="Процентный 5 2 11 6" xfId="21551"/>
    <cellStyle name="Обычный 6 8 6" xfId="21552"/>
    <cellStyle name="Процентный 6 8 6" xfId="21553"/>
    <cellStyle name="Обычный 4 25 6" xfId="21554"/>
    <cellStyle name="Процентный 4 25 6" xfId="21555"/>
    <cellStyle name="Обычный 5 18 6" xfId="21556"/>
    <cellStyle name="Процентный 5 18 6" xfId="21557"/>
    <cellStyle name="Обычный 4 2 12 6" xfId="21558"/>
    <cellStyle name="Процентный 4 2 12 6" xfId="21559"/>
    <cellStyle name="Обычный 5 2 12 6" xfId="21560"/>
    <cellStyle name="Процентный 5 2 12 6" xfId="21561"/>
    <cellStyle name="Обычный 6 9 6" xfId="21562"/>
    <cellStyle name="Процентный 6 9 6" xfId="21563"/>
    <cellStyle name="Обычный 4 26 6" xfId="21564"/>
    <cellStyle name="Процентный 4 26 6" xfId="21565"/>
    <cellStyle name="Обычный 5 19 6" xfId="21566"/>
    <cellStyle name="Процентный 5 19 6" xfId="21567"/>
    <cellStyle name="Обычный 4 2 13 6" xfId="21568"/>
    <cellStyle name="Процентный 4 2 13 6" xfId="21569"/>
    <cellStyle name="Обычный 5 2 13 6" xfId="21570"/>
    <cellStyle name="Процентный 5 2 13 6" xfId="21571"/>
    <cellStyle name="Обычный 6 10 6" xfId="21572"/>
    <cellStyle name="Процентный 6 10 6" xfId="21573"/>
    <cellStyle name="Обычный 4 27 6" xfId="21574"/>
    <cellStyle name="Процентный 4 27 6" xfId="21575"/>
    <cellStyle name="Обычный 5 20 6" xfId="21576"/>
    <cellStyle name="Процентный 5 20 6" xfId="21577"/>
    <cellStyle name="Обычный 4 2 14 6" xfId="21578"/>
    <cellStyle name="Процентный 4 2 14 6" xfId="21579"/>
    <cellStyle name="Обычный 5 2 14 6" xfId="21580"/>
    <cellStyle name="Процентный 5 2 14 6" xfId="21581"/>
    <cellStyle name="Обычный 6 11 6" xfId="21582"/>
    <cellStyle name="Процентный 6 11 6" xfId="21583"/>
    <cellStyle name="Обычный 4 28 6" xfId="21584"/>
    <cellStyle name="Процентный 4 28 6" xfId="21585"/>
    <cellStyle name="Обычный 5 21 6" xfId="21586"/>
    <cellStyle name="Процентный 5 21 6" xfId="21587"/>
    <cellStyle name="Обычный 4 2 15 6" xfId="21588"/>
    <cellStyle name="Процентный 4 2 15 6" xfId="21589"/>
    <cellStyle name="Обычный 5 2 15 6" xfId="21590"/>
    <cellStyle name="Процентный 5 2 15 6" xfId="21591"/>
    <cellStyle name="Обычный 6 12 6" xfId="21592"/>
    <cellStyle name="Процентный 6 12 6" xfId="21593"/>
    <cellStyle name="Обычный 4 29 6" xfId="21594"/>
    <cellStyle name="Процентный 4 29 6" xfId="21595"/>
    <cellStyle name="Обычный 5 22 6" xfId="21596"/>
    <cellStyle name="Процентный 5 22 6" xfId="21597"/>
    <cellStyle name="Обычный 4 2 16 6" xfId="21598"/>
    <cellStyle name="Процентный 4 2 16 6" xfId="21599"/>
    <cellStyle name="Обычный 5 2 16 6" xfId="21600"/>
    <cellStyle name="Процентный 5 2 16 6" xfId="21601"/>
    <cellStyle name="Обычный 6 13 6" xfId="21602"/>
    <cellStyle name="Процентный 6 13 6" xfId="21603"/>
    <cellStyle name="Обычный 4 30 6" xfId="21604"/>
    <cellStyle name="Процентный 4 30 6" xfId="21605"/>
    <cellStyle name="Обычный 5 23 6" xfId="21606"/>
    <cellStyle name="Процентный 5 23 6" xfId="21607"/>
    <cellStyle name="Обычный 4 2 17 6" xfId="21608"/>
    <cellStyle name="Процентный 4 2 17 6" xfId="21609"/>
    <cellStyle name="Обычный 5 2 17 6" xfId="21610"/>
    <cellStyle name="Процентный 5 2 17 6" xfId="21611"/>
    <cellStyle name="Обычный 6 14 6" xfId="21612"/>
    <cellStyle name="Процентный 6 14 6" xfId="21613"/>
    <cellStyle name="Обычный 4 31 6" xfId="21614"/>
    <cellStyle name="Процентный 4 31 6" xfId="21615"/>
    <cellStyle name="Обычный 5 24 6" xfId="21616"/>
    <cellStyle name="Процентный 5 24 6" xfId="21617"/>
    <cellStyle name="Обычный 4 2 18 6" xfId="21618"/>
    <cellStyle name="Процентный 4 2 18 6" xfId="21619"/>
    <cellStyle name="Обычный 5 2 18 6" xfId="21620"/>
    <cellStyle name="Процентный 5 2 18 6" xfId="21621"/>
    <cellStyle name="Обычный 6 15 6" xfId="21622"/>
    <cellStyle name="Процентный 6 15 6" xfId="21623"/>
    <cellStyle name="Обычный 4 32 6" xfId="21624"/>
    <cellStyle name="Процентный 4 32 6" xfId="21625"/>
    <cellStyle name="Обычный 5 25 6" xfId="21626"/>
    <cellStyle name="Процентный 5 25 6" xfId="21627"/>
    <cellStyle name="Обычный 4 2 19 6" xfId="21628"/>
    <cellStyle name="Процентный 4 2 19 6" xfId="21629"/>
    <cellStyle name="Обычный 5 2 19 6" xfId="21630"/>
    <cellStyle name="Процентный 5 2 19 6" xfId="21631"/>
    <cellStyle name="Обычный 6 16 6" xfId="21632"/>
    <cellStyle name="Процентный 6 16 6" xfId="21633"/>
    <cellStyle name="Обычный 4 33 6" xfId="21634"/>
    <cellStyle name="Процентный 4 33 6" xfId="21635"/>
    <cellStyle name="Обычный 5 26 6" xfId="21636"/>
    <cellStyle name="Процентный 5 26 6" xfId="21637"/>
    <cellStyle name="Обычный 4 2 20 6" xfId="21638"/>
    <cellStyle name="Процентный 4 2 20 6" xfId="21639"/>
    <cellStyle name="Обычный 5 2 20 6" xfId="21640"/>
    <cellStyle name="Процентный 5 2 20 6" xfId="21641"/>
    <cellStyle name="Обычный 6 17 6" xfId="21642"/>
    <cellStyle name="Процентный 6 17 6" xfId="21643"/>
    <cellStyle name="Обычный 4 34 6" xfId="21644"/>
    <cellStyle name="Процентный 4 34 6" xfId="21645"/>
    <cellStyle name="Обычный 5 27 6" xfId="21646"/>
    <cellStyle name="Процентный 5 27 6" xfId="21647"/>
    <cellStyle name="Обычный 4 2 21 6" xfId="21648"/>
    <cellStyle name="Процентный 4 2 21 6" xfId="21649"/>
    <cellStyle name="Обычный 5 2 21 6" xfId="21650"/>
    <cellStyle name="Процентный 5 2 21 6" xfId="21651"/>
    <cellStyle name="Обычный 6 18 6" xfId="21652"/>
    <cellStyle name="Процентный 6 18 6" xfId="21653"/>
    <cellStyle name="Обычный 4 35 6" xfId="21654"/>
    <cellStyle name="Процентный 4 35 6" xfId="21655"/>
    <cellStyle name="Обычный 5 28 6" xfId="21656"/>
    <cellStyle name="Процентный 5 28 6" xfId="21657"/>
    <cellStyle name="Обычный 4 2 22 6" xfId="21658"/>
    <cellStyle name="Процентный 4 2 22 6" xfId="21659"/>
    <cellStyle name="Обычный 5 2 22 6" xfId="21660"/>
    <cellStyle name="Процентный 5 2 22 6" xfId="21661"/>
    <cellStyle name="Обычный 6 19 6" xfId="21662"/>
    <cellStyle name="Процентный 6 19 6" xfId="21663"/>
    <cellStyle name="Обычный 4 36 6" xfId="21664"/>
    <cellStyle name="Процентный 4 36 6" xfId="21665"/>
    <cellStyle name="Обычный 5 29 6" xfId="21666"/>
    <cellStyle name="Процентный 5 29 6" xfId="21667"/>
    <cellStyle name="Обычный 4 2 23 6" xfId="21668"/>
    <cellStyle name="Процентный 4 2 23 6" xfId="21669"/>
    <cellStyle name="Обычный 5 2 23 6" xfId="21670"/>
    <cellStyle name="Процентный 5 2 23 6" xfId="21671"/>
    <cellStyle name="Обычный 6 20 6" xfId="21672"/>
    <cellStyle name="Процентный 6 20 6" xfId="21673"/>
    <cellStyle name="Обычный 4 37 6" xfId="21674"/>
    <cellStyle name="Процентный 4 37 6" xfId="21675"/>
    <cellStyle name="Обычный 5 30 6" xfId="21676"/>
    <cellStyle name="Процентный 5 30 6" xfId="21677"/>
    <cellStyle name="Обычный 4 2 24 6" xfId="21678"/>
    <cellStyle name="Процентный 4 2 24 6" xfId="21679"/>
    <cellStyle name="Обычный 5 2 24 6" xfId="21680"/>
    <cellStyle name="Процентный 5 2 24 6" xfId="21681"/>
    <cellStyle name="Обычный 6 21 6" xfId="21682"/>
    <cellStyle name="Процентный 6 21 6" xfId="21683"/>
    <cellStyle name="Обычный 4 38 6" xfId="21684"/>
    <cellStyle name="Процентный 4 38 6" xfId="21685"/>
    <cellStyle name="Обычный 5 31 6" xfId="21686"/>
    <cellStyle name="Процентный 5 31 6" xfId="21687"/>
    <cellStyle name="Обычный 4 2 25 6" xfId="21688"/>
    <cellStyle name="Процентный 4 2 25 6" xfId="21689"/>
    <cellStyle name="Обычный 5 2 25 6" xfId="21690"/>
    <cellStyle name="Процентный 5 2 25 6" xfId="21691"/>
    <cellStyle name="Обычный 6 22 6" xfId="21692"/>
    <cellStyle name="Процентный 6 22 6" xfId="21693"/>
    <cellStyle name="Обычный 4 39 6" xfId="21694"/>
    <cellStyle name="Процентный 4 39 6" xfId="21695"/>
    <cellStyle name="Обычный 5 32 6" xfId="21696"/>
    <cellStyle name="Процентный 5 32 6" xfId="21697"/>
    <cellStyle name="Обычный 4 2 26 6" xfId="21698"/>
    <cellStyle name="Процентный 4 2 26 6" xfId="21699"/>
    <cellStyle name="Обычный 5 2 26 6" xfId="21700"/>
    <cellStyle name="Процентный 5 2 26 6" xfId="21701"/>
    <cellStyle name="Обычный 6 23 6" xfId="21702"/>
    <cellStyle name="Процентный 6 23 6" xfId="21703"/>
    <cellStyle name="Обычный 4 40 6" xfId="21704"/>
    <cellStyle name="Процентный 4 40 6" xfId="21705"/>
    <cellStyle name="Обычный 5 33 6" xfId="21706"/>
    <cellStyle name="Процентный 5 33 6" xfId="21707"/>
    <cellStyle name="Обычный 4 2 27 6" xfId="21708"/>
    <cellStyle name="Процентный 4 2 27 6" xfId="21709"/>
    <cellStyle name="Обычный 5 2 27 6" xfId="21710"/>
    <cellStyle name="Процентный 5 2 27 6" xfId="21711"/>
    <cellStyle name="Обычный 6 24 6" xfId="21712"/>
    <cellStyle name="Процентный 6 24 6" xfId="21713"/>
    <cellStyle name="Обычный 4 41 6" xfId="21714"/>
    <cellStyle name="Процентный 4 41 6" xfId="21715"/>
    <cellStyle name="Обычный 5 34 6" xfId="21716"/>
    <cellStyle name="Процентный 5 34 6" xfId="21717"/>
    <cellStyle name="Обычный 4 2 28 6" xfId="21718"/>
    <cellStyle name="Процентный 4 2 28 6" xfId="21719"/>
    <cellStyle name="Обычный 5 2 28 6" xfId="21720"/>
    <cellStyle name="Процентный 5 2 28 6" xfId="21721"/>
    <cellStyle name="Обычный 6 25 6" xfId="21722"/>
    <cellStyle name="Процентный 6 25 6" xfId="21723"/>
    <cellStyle name="Обычный 4 42 6" xfId="21724"/>
    <cellStyle name="Процентный 4 42 6" xfId="21725"/>
    <cellStyle name="Обычный 5 35 6" xfId="21726"/>
    <cellStyle name="Процентный 5 35 6" xfId="21727"/>
    <cellStyle name="Обычный 4 2 29 6" xfId="21728"/>
    <cellStyle name="Процентный 4 2 29 6" xfId="21729"/>
    <cellStyle name="Обычный 5 2 29 6" xfId="21730"/>
    <cellStyle name="Процентный 5 2 29 6" xfId="21731"/>
    <cellStyle name="Обычный 6 26 6" xfId="21732"/>
    <cellStyle name="Процентный 6 26 6" xfId="21733"/>
    <cellStyle name="Обычный 4 43 6" xfId="21734"/>
    <cellStyle name="Процентный 4 43 6" xfId="21735"/>
    <cellStyle name="Обычный 5 36 6" xfId="21736"/>
    <cellStyle name="Процентный 5 36 6" xfId="21737"/>
    <cellStyle name="Обычный 4 2 30 6" xfId="21738"/>
    <cellStyle name="Процентный 4 2 30 6" xfId="21739"/>
    <cellStyle name="Обычный 5 2 30 6" xfId="21740"/>
    <cellStyle name="Процентный 5 2 30 6" xfId="21741"/>
    <cellStyle name="Обычный 6 27 6" xfId="21742"/>
    <cellStyle name="Процентный 6 27 6" xfId="21743"/>
    <cellStyle name="Обычный 4 44 6" xfId="21744"/>
    <cellStyle name="Процентный 4 44 6" xfId="21745"/>
    <cellStyle name="Обычный 5 37 6" xfId="21746"/>
    <cellStyle name="Процентный 5 37 6" xfId="21747"/>
    <cellStyle name="Обычный 4 2 31 6" xfId="21748"/>
    <cellStyle name="Процентный 4 2 31 6" xfId="21749"/>
    <cellStyle name="Обычный 5 2 31 6" xfId="21750"/>
    <cellStyle name="Процентный 5 2 31 6" xfId="21751"/>
    <cellStyle name="Обычный 6 28 6" xfId="21752"/>
    <cellStyle name="Процентный 6 28 6" xfId="21753"/>
    <cellStyle name="Обычный 4 45 6" xfId="21754"/>
    <cellStyle name="Процентный 4 45 6" xfId="21755"/>
    <cellStyle name="Обычный 5 38 6" xfId="21756"/>
    <cellStyle name="Процентный 5 38 6" xfId="21757"/>
    <cellStyle name="Обычный 4 2 32 6" xfId="21758"/>
    <cellStyle name="Процентный 4 2 32 6" xfId="21759"/>
    <cellStyle name="Обычный 5 2 32 6" xfId="21760"/>
    <cellStyle name="Процентный 5 2 32 6" xfId="21761"/>
    <cellStyle name="Обычный 6 29 6" xfId="21762"/>
    <cellStyle name="Процентный 6 29 6" xfId="21763"/>
    <cellStyle name="Обычный 4 46 6" xfId="21764"/>
    <cellStyle name="Процентный 4 46 6" xfId="21765"/>
    <cellStyle name="Обычный 5 39 6" xfId="21766"/>
    <cellStyle name="Процентный 5 39 6" xfId="21767"/>
    <cellStyle name="Обычный 4 2 33 6" xfId="21768"/>
    <cellStyle name="Процентный 4 2 33 6" xfId="21769"/>
    <cellStyle name="Обычный 5 2 33 6" xfId="21770"/>
    <cellStyle name="Процентный 5 2 33 6" xfId="21771"/>
    <cellStyle name="Обычный 6 30 6" xfId="21772"/>
    <cellStyle name="Процентный 6 30 6" xfId="21773"/>
    <cellStyle name="Обычный 4 47 6" xfId="21774"/>
    <cellStyle name="Процентный 4 47 6" xfId="21775"/>
    <cellStyle name="Обычный 5 40 6" xfId="21776"/>
    <cellStyle name="Процентный 5 40 6" xfId="21777"/>
    <cellStyle name="Обычный 4 2 34 6" xfId="21778"/>
    <cellStyle name="Процентный 4 2 34 6" xfId="21779"/>
    <cellStyle name="Обычный 5 2 34 6" xfId="21780"/>
    <cellStyle name="Процентный 5 2 34 6" xfId="21781"/>
    <cellStyle name="Обычный 6 31 6" xfId="21782"/>
    <cellStyle name="Процентный 6 31 6" xfId="21783"/>
    <cellStyle name="Обычный 7 160" xfId="21784"/>
    <cellStyle name="Процентный 7 160" xfId="21785"/>
    <cellStyle name="Обычный 4 48 6" xfId="21786"/>
    <cellStyle name="Процентный 4 48 6" xfId="21787"/>
    <cellStyle name="Обычный 5 41 6" xfId="21788"/>
    <cellStyle name="Процентный 5 41 6" xfId="21789"/>
    <cellStyle name="Обычный 4 2 35 6" xfId="21790"/>
    <cellStyle name="Процентный 4 2 35 6" xfId="21791"/>
    <cellStyle name="Обычный 5 2 35 6" xfId="21792"/>
    <cellStyle name="Процентный 5 2 35 6" xfId="21793"/>
    <cellStyle name="Обычный 6 32 6" xfId="21794"/>
    <cellStyle name="Процентный 6 32 6" xfId="21795"/>
    <cellStyle name="Обычный 7 2 152" xfId="21796"/>
    <cellStyle name="Процентный 7 2 152" xfId="21797"/>
    <cellStyle name="Обычный 4 49 6" xfId="21798"/>
    <cellStyle name="Процентный 4 49 6" xfId="21799"/>
    <cellStyle name="Обычный 5 42 6" xfId="21800"/>
    <cellStyle name="Процентный 5 42 6" xfId="21801"/>
    <cellStyle name="Обычный 4 2 36 6" xfId="21802"/>
    <cellStyle name="Процентный 4 2 36 6" xfId="21803"/>
    <cellStyle name="Обычный 5 2 36 6" xfId="21804"/>
    <cellStyle name="Процентный 5 2 36 6" xfId="21805"/>
    <cellStyle name="Обычный 6 33 6" xfId="21806"/>
    <cellStyle name="Процентный 6 33 6" xfId="21807"/>
    <cellStyle name="Обычный 7 3 6" xfId="21808"/>
    <cellStyle name="Процентный 7 3 6" xfId="21809"/>
    <cellStyle name="Обычный 4 50 6" xfId="21810"/>
    <cellStyle name="Процентный 4 50 6" xfId="21811"/>
    <cellStyle name="Обычный 5 43 6" xfId="21812"/>
    <cellStyle name="Процентный 5 43 6" xfId="21813"/>
    <cellStyle name="Обычный 4 2 37 6" xfId="21814"/>
    <cellStyle name="Процентный 4 2 37 6" xfId="21815"/>
    <cellStyle name="Обычный 5 2 37 6" xfId="21816"/>
    <cellStyle name="Процентный 5 2 37 6" xfId="21817"/>
    <cellStyle name="Обычный 6 34 6" xfId="21818"/>
    <cellStyle name="Процентный 6 34 6" xfId="21819"/>
    <cellStyle name="Обычный 7 4 6" xfId="21820"/>
    <cellStyle name="Процентный 7 4 6" xfId="21821"/>
    <cellStyle name="Обычный 4 51 6" xfId="21822"/>
    <cellStyle name="Процентный 4 51 6" xfId="21823"/>
    <cellStyle name="Обычный 5 44 6" xfId="21824"/>
    <cellStyle name="Процентный 5 44 6" xfId="21825"/>
    <cellStyle name="Обычный 4 2 38 6" xfId="21826"/>
    <cellStyle name="Процентный 4 2 38 6" xfId="21827"/>
    <cellStyle name="Обычный 5 2 38 6" xfId="21828"/>
    <cellStyle name="Процентный 5 2 38 6" xfId="21829"/>
    <cellStyle name="Обычный 6 35 6" xfId="21830"/>
    <cellStyle name="Процентный 6 35 6" xfId="21831"/>
    <cellStyle name="Обычный 7 5 6" xfId="21832"/>
    <cellStyle name="Процентный 7 5 6" xfId="21833"/>
    <cellStyle name="Обычный 4 52 6" xfId="21834"/>
    <cellStyle name="Процентный 4 52 6" xfId="21835"/>
    <cellStyle name="Обычный 5 45 6" xfId="21836"/>
    <cellStyle name="Процентный 5 45 6" xfId="21837"/>
    <cellStyle name="Обычный 4 2 39 6" xfId="21838"/>
    <cellStyle name="Процентный 4 2 39 6" xfId="21839"/>
    <cellStyle name="Обычный 5 2 39 6" xfId="21840"/>
    <cellStyle name="Процентный 5 2 39 6" xfId="21841"/>
    <cellStyle name="Обычный 6 36 6" xfId="21842"/>
    <cellStyle name="Процентный 6 36 6" xfId="21843"/>
    <cellStyle name="Обычный 7 6 6" xfId="21844"/>
    <cellStyle name="Процентный 7 6 6" xfId="21845"/>
    <cellStyle name="Обычный 4 53 6" xfId="21846"/>
    <cellStyle name="Процентный 4 53 6" xfId="21847"/>
    <cellStyle name="Обычный 5 46 6" xfId="21848"/>
    <cellStyle name="Процентный 5 46 6" xfId="21849"/>
    <cellStyle name="Обычный 4 2 40 6" xfId="21850"/>
    <cellStyle name="Процентный 4 2 40 6" xfId="21851"/>
    <cellStyle name="Обычный 5 2 40 6" xfId="21852"/>
    <cellStyle name="Процентный 5 2 40 6" xfId="21853"/>
    <cellStyle name="Обычный 6 37 6" xfId="21854"/>
    <cellStyle name="Процентный 6 37 6" xfId="21855"/>
    <cellStyle name="Обычный 7 7 6" xfId="21856"/>
    <cellStyle name="Процентный 7 7 6" xfId="21857"/>
    <cellStyle name="Обычный 4 54 6" xfId="21858"/>
    <cellStyle name="Процентный 4 54 6" xfId="21859"/>
    <cellStyle name="Обычный 5 47 6" xfId="21860"/>
    <cellStyle name="Процентный 5 47 6" xfId="21861"/>
    <cellStyle name="Обычный 4 2 41 6" xfId="21862"/>
    <cellStyle name="Процентный 4 2 41 6" xfId="21863"/>
    <cellStyle name="Обычный 5 2 41 6" xfId="21864"/>
    <cellStyle name="Процентный 5 2 41 6" xfId="21865"/>
    <cellStyle name="Обычный 6 38 6" xfId="21866"/>
    <cellStyle name="Процентный 6 38 6" xfId="21867"/>
    <cellStyle name="Обычный 7 8 6" xfId="21868"/>
    <cellStyle name="Процентный 7 8 6" xfId="21869"/>
    <cellStyle name="Обычный 4 55 6" xfId="21870"/>
    <cellStyle name="Процентный 4 55 6" xfId="21871"/>
    <cellStyle name="Обычный 5 48 6" xfId="21872"/>
    <cellStyle name="Процентный 5 48 6" xfId="21873"/>
    <cellStyle name="Обычный 4 2 42 6" xfId="21874"/>
    <cellStyle name="Процентный 4 2 42 6" xfId="21875"/>
    <cellStyle name="Обычный 5 2 42 6" xfId="21876"/>
    <cellStyle name="Процентный 5 2 42 6" xfId="21877"/>
    <cellStyle name="Обычный 6 39 6" xfId="21878"/>
    <cellStyle name="Процентный 6 39 6" xfId="21879"/>
    <cellStyle name="Обычный 7 9 6" xfId="21880"/>
    <cellStyle name="Процентный 7 9 6" xfId="21881"/>
    <cellStyle name="Обычный 3 3 5" xfId="21882"/>
    <cellStyle name="Обычный 4 56 5" xfId="21883"/>
    <cellStyle name="Процентный 4 56 5" xfId="21884"/>
    <cellStyle name="Обычный 4 2 43 5" xfId="21885"/>
    <cellStyle name="Процентный 4 2 43 5" xfId="21886"/>
    <cellStyle name="Обычный 4 3 2 5" xfId="21887"/>
    <cellStyle name="Процентный 4 3 2 5" xfId="21888"/>
    <cellStyle name="Обычный 5 49 5" xfId="21889"/>
    <cellStyle name="Процентный 5 49 5" xfId="21890"/>
    <cellStyle name="Обычный 4 4 2 5" xfId="21891"/>
    <cellStyle name="Процентный 4 4 2 5" xfId="21892"/>
    <cellStyle name="Обычный 4 5 2 5" xfId="21893"/>
    <cellStyle name="Процентный 4 5 2 5" xfId="21894"/>
    <cellStyle name="Обычный 4 6 2 5" xfId="21895"/>
    <cellStyle name="Процентный 4 6 2 5" xfId="21896"/>
    <cellStyle name="Обычный 4 7 2 5" xfId="21897"/>
    <cellStyle name="Процентный 4 7 2 5" xfId="21898"/>
    <cellStyle name="Обычный 4 8 2 5" xfId="21899"/>
    <cellStyle name="Процентный 4 8 2 5" xfId="21900"/>
    <cellStyle name="Обычный 4 9 2 5" xfId="21901"/>
    <cellStyle name="Процентный 4 9 2 5" xfId="21902"/>
    <cellStyle name="Обычный 5 2 43 5" xfId="21903"/>
    <cellStyle name="Процентный 5 2 43 5" xfId="21904"/>
    <cellStyle name="Обычный 4 10 2 5" xfId="21905"/>
    <cellStyle name="Процентный 4 10 2 5" xfId="21906"/>
    <cellStyle name="Обычный 5 3 2 5" xfId="21907"/>
    <cellStyle name="Процентный 5 3 2 5" xfId="21908"/>
    <cellStyle name="Обычный 4 11 2 5" xfId="21909"/>
    <cellStyle name="Процентный 4 11 2 5" xfId="21910"/>
    <cellStyle name="Обычный 5 4 2 5" xfId="21911"/>
    <cellStyle name="Процентный 5 4 2 5" xfId="21912"/>
    <cellStyle name="Обычный 4 12 2 5" xfId="21913"/>
    <cellStyle name="Процентный 4 12 2 5" xfId="21914"/>
    <cellStyle name="Обычный 5 5 2 5" xfId="21915"/>
    <cellStyle name="Процентный 5 5 2 5" xfId="21916"/>
    <cellStyle name="Обычный 4 13 2 5" xfId="21917"/>
    <cellStyle name="Процентный 4 13 2 5" xfId="21918"/>
    <cellStyle name="Обычный 5 6 2 5" xfId="21919"/>
    <cellStyle name="Процентный 5 6 2 5" xfId="21920"/>
    <cellStyle name="Обычный 4 14 2 5" xfId="21921"/>
    <cellStyle name="Процентный 4 14 2 5" xfId="21922"/>
    <cellStyle name="Обычный 5 7 2 5" xfId="21923"/>
    <cellStyle name="Процентный 5 7 2 5" xfId="21924"/>
    <cellStyle name="Обычный 4 15 2 5" xfId="21925"/>
    <cellStyle name="Процентный 4 15 2 5" xfId="21926"/>
    <cellStyle name="Обычный 5 8 2 5" xfId="21927"/>
    <cellStyle name="Процентный 5 8 2 5" xfId="21928"/>
    <cellStyle name="Обычный 4 2 2 2 5" xfId="21929"/>
    <cellStyle name="Процентный 4 2 2 2 5" xfId="21930"/>
    <cellStyle name="Обычный 5 2 2 2 5" xfId="21931"/>
    <cellStyle name="Процентный 5 2 2 2 5" xfId="21932"/>
    <cellStyle name="Обычный 4 16 2 5" xfId="21933"/>
    <cellStyle name="Процентный 4 16 2 5" xfId="21934"/>
    <cellStyle name="Обычный 5 9 2 5" xfId="21935"/>
    <cellStyle name="Процентный 5 9 2 5" xfId="21936"/>
    <cellStyle name="Обычный 4 2 3 2 5" xfId="21937"/>
    <cellStyle name="Процентный 4 2 3 2 5" xfId="21938"/>
    <cellStyle name="Обычный 5 2 3 2 5" xfId="21939"/>
    <cellStyle name="Процентный 5 2 3 2 5" xfId="21940"/>
    <cellStyle name="Обычный 4 17 2 5" xfId="21941"/>
    <cellStyle name="Процентный 4 17 2 5" xfId="21942"/>
    <cellStyle name="Обычный 5 10 2 5" xfId="21943"/>
    <cellStyle name="Процентный 5 10 2 5" xfId="21944"/>
    <cellStyle name="Обычный 4 2 4 2 5" xfId="21945"/>
    <cellStyle name="Процентный 4 2 4 2 5" xfId="21946"/>
    <cellStyle name="Обычный 5 2 4 2 5" xfId="21947"/>
    <cellStyle name="Процентный 5 2 4 2 5" xfId="21948"/>
    <cellStyle name="Обычный 6 40 5" xfId="21949"/>
    <cellStyle name="Процентный 6 40 5" xfId="21950"/>
    <cellStyle name="Обычный 4 18 2 5" xfId="21951"/>
    <cellStyle name="Процентный 4 18 2 5" xfId="21952"/>
    <cellStyle name="Обычный 5 11 2 5" xfId="21953"/>
    <cellStyle name="Процентный 5 11 2 5" xfId="21954"/>
    <cellStyle name="Обычный 4 2 5 2 5" xfId="21955"/>
    <cellStyle name="Процентный 4 2 5 2 5" xfId="21956"/>
    <cellStyle name="Обычный 5 2 5 2 5" xfId="21957"/>
    <cellStyle name="Процентный 5 2 5 2 5" xfId="21958"/>
    <cellStyle name="Обычный 6 2 2 5" xfId="21959"/>
    <cellStyle name="Процентный 6 2 2 5" xfId="21960"/>
    <cellStyle name="Обычный 4 19 2 5" xfId="21961"/>
    <cellStyle name="Процентный 4 19 2 5" xfId="21962"/>
    <cellStyle name="Обычный 5 12 2 5" xfId="21963"/>
    <cellStyle name="Процентный 5 12 2 5" xfId="21964"/>
    <cellStyle name="Обычный 4 2 6 2 5" xfId="21965"/>
    <cellStyle name="Процентный 4 2 6 2 5" xfId="21966"/>
    <cellStyle name="Обычный 5 2 6 2 5" xfId="21967"/>
    <cellStyle name="Процентный 5 2 6 2 5" xfId="21968"/>
    <cellStyle name="Обычный 6 3 2 5" xfId="21969"/>
    <cellStyle name="Процентный 6 3 2 5" xfId="21970"/>
    <cellStyle name="Обычный 4 20 2 5" xfId="21971"/>
    <cellStyle name="Процентный 4 20 2 5" xfId="21972"/>
    <cellStyle name="Обычный 5 13 2 5" xfId="21973"/>
    <cellStyle name="Процентный 5 13 2 5" xfId="21974"/>
    <cellStyle name="Обычный 4 2 7 2 5" xfId="21975"/>
    <cellStyle name="Процентный 4 2 7 2 5" xfId="21976"/>
    <cellStyle name="Обычный 5 2 7 2 5" xfId="21977"/>
    <cellStyle name="Процентный 5 2 7 2 5" xfId="21978"/>
    <cellStyle name="Обычный 6 4 2 5" xfId="21979"/>
    <cellStyle name="Процентный 6 4 2 5" xfId="21980"/>
    <cellStyle name="Обычный 4 21 2 5" xfId="21981"/>
    <cellStyle name="Процентный 4 21 2 5" xfId="21982"/>
    <cellStyle name="Обычный 5 14 2 5" xfId="21983"/>
    <cellStyle name="Процентный 5 14 2 5" xfId="21984"/>
    <cellStyle name="Обычный 4 2 8 2 5" xfId="21985"/>
    <cellStyle name="Процентный 4 2 8 2 5" xfId="21986"/>
    <cellStyle name="Обычный 5 2 8 2 5" xfId="21987"/>
    <cellStyle name="Процентный 5 2 8 2 5" xfId="21988"/>
    <cellStyle name="Обычный 6 5 2 5" xfId="21989"/>
    <cellStyle name="Процентный 6 5 2 5" xfId="21990"/>
    <cellStyle name="Обычный 4 22 2 5" xfId="21991"/>
    <cellStyle name="Процентный 4 22 2 5" xfId="21992"/>
    <cellStyle name="Обычный 5 15 2 5" xfId="21993"/>
    <cellStyle name="Процентный 5 15 2 5" xfId="21994"/>
    <cellStyle name="Обычный 4 2 9 2 5" xfId="21995"/>
    <cellStyle name="Процентный 4 2 9 2 5" xfId="21996"/>
    <cellStyle name="Обычный 5 2 9 2 5" xfId="21997"/>
    <cellStyle name="Процентный 5 2 9 2 5" xfId="21998"/>
    <cellStyle name="Обычный 6 6 2 5" xfId="21999"/>
    <cellStyle name="Процентный 6 6 2 5" xfId="22000"/>
    <cellStyle name="Обычный 4 23 2 5" xfId="22001"/>
    <cellStyle name="Процентный 4 23 2 5" xfId="22002"/>
    <cellStyle name="Обычный 5 16 2 5" xfId="22003"/>
    <cellStyle name="Процентный 5 16 2 5" xfId="22004"/>
    <cellStyle name="Обычный 4 2 10 2 5" xfId="22005"/>
    <cellStyle name="Процентный 4 2 10 2 5" xfId="22006"/>
    <cellStyle name="Обычный 5 2 10 2 5" xfId="22007"/>
    <cellStyle name="Процентный 5 2 10 2 5" xfId="22008"/>
    <cellStyle name="Обычный 6 7 2 5" xfId="22009"/>
    <cellStyle name="Процентный 6 7 2 5" xfId="22010"/>
    <cellStyle name="Обычный 4 24 2 5" xfId="22011"/>
    <cellStyle name="Процентный 4 24 2 5" xfId="22012"/>
    <cellStyle name="Обычный 5 17 2 5" xfId="22013"/>
    <cellStyle name="Процентный 5 17 2 5" xfId="22014"/>
    <cellStyle name="Обычный 4 2 11 2 5" xfId="22015"/>
    <cellStyle name="Процентный 4 2 11 2 5" xfId="22016"/>
    <cellStyle name="Обычный 5 2 11 2 5" xfId="22017"/>
    <cellStyle name="Процентный 5 2 11 2 5" xfId="22018"/>
    <cellStyle name="Обычный 6 8 2 5" xfId="22019"/>
    <cellStyle name="Процентный 6 8 2 5" xfId="22020"/>
    <cellStyle name="Обычный 4 25 2 5" xfId="22021"/>
    <cellStyle name="Процентный 4 25 2 5" xfId="22022"/>
    <cellStyle name="Обычный 5 18 2 5" xfId="22023"/>
    <cellStyle name="Процентный 5 18 2 5" xfId="22024"/>
    <cellStyle name="Обычный 4 2 12 2 5" xfId="22025"/>
    <cellStyle name="Процентный 4 2 12 2 5" xfId="22026"/>
    <cellStyle name="Обычный 5 2 12 2 5" xfId="22027"/>
    <cellStyle name="Процентный 5 2 12 2 5" xfId="22028"/>
    <cellStyle name="Обычный 6 9 2 5" xfId="22029"/>
    <cellStyle name="Процентный 6 9 2 5" xfId="22030"/>
    <cellStyle name="Обычный 4 26 2 5" xfId="22031"/>
    <cellStyle name="Процентный 4 26 2 5" xfId="22032"/>
    <cellStyle name="Обычный 5 19 2 5" xfId="22033"/>
    <cellStyle name="Процентный 5 19 2 5" xfId="22034"/>
    <cellStyle name="Обычный 4 2 13 2 5" xfId="22035"/>
    <cellStyle name="Процентный 4 2 13 2 5" xfId="22036"/>
    <cellStyle name="Обычный 5 2 13 2 5" xfId="22037"/>
    <cellStyle name="Процентный 5 2 13 2 5" xfId="22038"/>
    <cellStyle name="Обычный 6 10 2 5" xfId="22039"/>
    <cellStyle name="Процентный 6 10 2 5" xfId="22040"/>
    <cellStyle name="Обычный 4 27 2 5" xfId="22041"/>
    <cellStyle name="Процентный 4 27 2 5" xfId="22042"/>
    <cellStyle name="Обычный 5 20 2 5" xfId="22043"/>
    <cellStyle name="Процентный 5 20 2 5" xfId="22044"/>
    <cellStyle name="Обычный 4 2 14 2 5" xfId="22045"/>
    <cellStyle name="Процентный 4 2 14 2 5" xfId="22046"/>
    <cellStyle name="Обычный 5 2 14 2 5" xfId="22047"/>
    <cellStyle name="Процентный 5 2 14 2 5" xfId="22048"/>
    <cellStyle name="Обычный 6 11 2 5" xfId="22049"/>
    <cellStyle name="Процентный 6 11 2 5" xfId="22050"/>
    <cellStyle name="Обычный 4 28 2 5" xfId="22051"/>
    <cellStyle name="Процентный 4 28 2 5" xfId="22052"/>
    <cellStyle name="Обычный 5 21 2 5" xfId="22053"/>
    <cellStyle name="Процентный 5 21 2 5" xfId="22054"/>
    <cellStyle name="Обычный 4 2 15 2 5" xfId="22055"/>
    <cellStyle name="Процентный 4 2 15 2 5" xfId="22056"/>
    <cellStyle name="Обычный 5 2 15 2 5" xfId="22057"/>
    <cellStyle name="Процентный 5 2 15 2 5" xfId="22058"/>
    <cellStyle name="Обычный 6 12 2 5" xfId="22059"/>
    <cellStyle name="Процентный 6 12 2 5" xfId="22060"/>
    <cellStyle name="Обычный 4 29 2 5" xfId="22061"/>
    <cellStyle name="Процентный 4 29 2 5" xfId="22062"/>
    <cellStyle name="Обычный 5 22 2 5" xfId="22063"/>
    <cellStyle name="Процентный 5 22 2 5" xfId="22064"/>
    <cellStyle name="Обычный 4 2 16 2 5" xfId="22065"/>
    <cellStyle name="Процентный 4 2 16 2 5" xfId="22066"/>
    <cellStyle name="Обычный 5 2 16 2 5" xfId="22067"/>
    <cellStyle name="Процентный 5 2 16 2 5" xfId="22068"/>
    <cellStyle name="Обычный 6 13 2 5" xfId="22069"/>
    <cellStyle name="Процентный 6 13 2 5" xfId="22070"/>
    <cellStyle name="Обычный 4 30 2 5" xfId="22071"/>
    <cellStyle name="Процентный 4 30 2 5" xfId="22072"/>
    <cellStyle name="Обычный 5 23 2 5" xfId="22073"/>
    <cellStyle name="Процентный 5 23 2 5" xfId="22074"/>
    <cellStyle name="Обычный 4 2 17 2 5" xfId="22075"/>
    <cellStyle name="Процентный 4 2 17 2 5" xfId="22076"/>
    <cellStyle name="Обычный 5 2 17 2 5" xfId="22077"/>
    <cellStyle name="Процентный 5 2 17 2 5" xfId="22078"/>
    <cellStyle name="Обычный 6 14 2 5" xfId="22079"/>
    <cellStyle name="Процентный 6 14 2 5" xfId="22080"/>
    <cellStyle name="Обычный 4 31 2 5" xfId="22081"/>
    <cellStyle name="Процентный 4 31 2 5" xfId="22082"/>
    <cellStyle name="Обычный 5 24 2 5" xfId="22083"/>
    <cellStyle name="Процентный 5 24 2 5" xfId="22084"/>
    <cellStyle name="Обычный 4 2 18 2 5" xfId="22085"/>
    <cellStyle name="Процентный 4 2 18 2 5" xfId="22086"/>
    <cellStyle name="Обычный 5 2 18 2 5" xfId="22087"/>
    <cellStyle name="Процентный 5 2 18 2 5" xfId="22088"/>
    <cellStyle name="Обычный 6 15 2 5" xfId="22089"/>
    <cellStyle name="Процентный 6 15 2 5" xfId="22090"/>
    <cellStyle name="Обычный 4 32 2 5" xfId="22091"/>
    <cellStyle name="Процентный 4 32 2 5" xfId="22092"/>
    <cellStyle name="Обычный 5 25 2 5" xfId="22093"/>
    <cellStyle name="Процентный 5 25 2 5" xfId="22094"/>
    <cellStyle name="Обычный 4 2 19 2 5" xfId="22095"/>
    <cellStyle name="Процентный 4 2 19 2 5" xfId="22096"/>
    <cellStyle name="Обычный 5 2 19 2 5" xfId="22097"/>
    <cellStyle name="Процентный 5 2 19 2 5" xfId="22098"/>
    <cellStyle name="Обычный 6 16 2 5" xfId="22099"/>
    <cellStyle name="Процентный 6 16 2 5" xfId="22100"/>
    <cellStyle name="Обычный 4 33 2 5" xfId="22101"/>
    <cellStyle name="Процентный 4 33 2 5" xfId="22102"/>
    <cellStyle name="Обычный 5 26 2 5" xfId="22103"/>
    <cellStyle name="Процентный 5 26 2 5" xfId="22104"/>
    <cellStyle name="Обычный 4 2 20 2 5" xfId="22105"/>
    <cellStyle name="Процентный 4 2 20 2 5" xfId="22106"/>
    <cellStyle name="Обычный 5 2 20 2 5" xfId="22107"/>
    <cellStyle name="Процентный 5 2 20 2 5" xfId="22108"/>
    <cellStyle name="Обычный 6 17 2 5" xfId="22109"/>
    <cellStyle name="Процентный 6 17 2 5" xfId="22110"/>
    <cellStyle name="Обычный 4 34 2 5" xfId="22111"/>
    <cellStyle name="Процентный 4 34 2 5" xfId="22112"/>
    <cellStyle name="Обычный 5 27 2 5" xfId="22113"/>
    <cellStyle name="Процентный 5 27 2 5" xfId="22114"/>
    <cellStyle name="Обычный 4 2 21 2 5" xfId="22115"/>
    <cellStyle name="Процентный 4 2 21 2 5" xfId="22116"/>
    <cellStyle name="Обычный 5 2 21 2 5" xfId="22117"/>
    <cellStyle name="Процентный 5 2 21 2 5" xfId="22118"/>
    <cellStyle name="Обычный 6 18 2 5" xfId="22119"/>
    <cellStyle name="Процентный 6 18 2 5" xfId="22120"/>
    <cellStyle name="Обычный 4 35 2 5" xfId="22121"/>
    <cellStyle name="Процентный 4 35 2 5" xfId="22122"/>
    <cellStyle name="Обычный 5 28 2 5" xfId="22123"/>
    <cellStyle name="Процентный 5 28 2 5" xfId="22124"/>
    <cellStyle name="Обычный 4 2 22 2 5" xfId="22125"/>
    <cellStyle name="Процентный 4 2 22 2 5" xfId="22126"/>
    <cellStyle name="Обычный 5 2 22 2 5" xfId="22127"/>
    <cellStyle name="Процентный 5 2 22 2 5" xfId="22128"/>
    <cellStyle name="Обычный 6 19 2 5" xfId="22129"/>
    <cellStyle name="Процентный 6 19 2 5" xfId="22130"/>
    <cellStyle name="Обычный 4 36 2 5" xfId="22131"/>
    <cellStyle name="Процентный 4 36 2 5" xfId="22132"/>
    <cellStyle name="Обычный 5 29 2 5" xfId="22133"/>
    <cellStyle name="Процентный 5 29 2 5" xfId="22134"/>
    <cellStyle name="Обычный 4 2 23 2 5" xfId="22135"/>
    <cellStyle name="Процентный 4 2 23 2 5" xfId="22136"/>
    <cellStyle name="Обычный 5 2 23 2 5" xfId="22137"/>
    <cellStyle name="Процентный 5 2 23 2 5" xfId="22138"/>
    <cellStyle name="Обычный 6 20 2 5" xfId="22139"/>
    <cellStyle name="Процентный 6 20 2 5" xfId="22140"/>
    <cellStyle name="Обычный 4 37 2 5" xfId="22141"/>
    <cellStyle name="Процентный 4 37 2 5" xfId="22142"/>
    <cellStyle name="Обычный 5 30 2 5" xfId="22143"/>
    <cellStyle name="Процентный 5 30 2 5" xfId="22144"/>
    <cellStyle name="Обычный 4 2 24 2 5" xfId="22145"/>
    <cellStyle name="Процентный 4 2 24 2 5" xfId="22146"/>
    <cellStyle name="Обычный 5 2 24 2 5" xfId="22147"/>
    <cellStyle name="Процентный 5 2 24 2 5" xfId="22148"/>
    <cellStyle name="Обычный 6 21 2 5" xfId="22149"/>
    <cellStyle name="Процентный 6 21 2 5" xfId="22150"/>
    <cellStyle name="Обычный 4 38 2 5" xfId="22151"/>
    <cellStyle name="Процентный 4 38 2 5" xfId="22152"/>
    <cellStyle name="Обычный 5 31 2 5" xfId="22153"/>
    <cellStyle name="Процентный 5 31 2 5" xfId="22154"/>
    <cellStyle name="Обычный 4 2 25 2 5" xfId="22155"/>
    <cellStyle name="Процентный 4 2 25 2 5" xfId="22156"/>
    <cellStyle name="Обычный 5 2 25 2 5" xfId="22157"/>
    <cellStyle name="Процентный 5 2 25 2 5" xfId="22158"/>
    <cellStyle name="Обычный 6 22 2 5" xfId="22159"/>
    <cellStyle name="Процентный 6 22 2 5" xfId="22160"/>
    <cellStyle name="Обычный 4 39 2 5" xfId="22161"/>
    <cellStyle name="Процентный 4 39 2 5" xfId="22162"/>
    <cellStyle name="Обычный 5 32 2 5" xfId="22163"/>
    <cellStyle name="Процентный 5 32 2 5" xfId="22164"/>
    <cellStyle name="Обычный 4 2 26 2 5" xfId="22165"/>
    <cellStyle name="Процентный 4 2 26 2 5" xfId="22166"/>
    <cellStyle name="Обычный 5 2 26 2 5" xfId="22167"/>
    <cellStyle name="Процентный 5 2 26 2 5" xfId="22168"/>
    <cellStyle name="Обычный 6 23 2 5" xfId="22169"/>
    <cellStyle name="Процентный 6 23 2 5" xfId="22170"/>
    <cellStyle name="Обычный 4 40 2 5" xfId="22171"/>
    <cellStyle name="Процентный 4 40 2 5" xfId="22172"/>
    <cellStyle name="Обычный 5 33 2 5" xfId="22173"/>
    <cellStyle name="Процентный 5 33 2 5" xfId="22174"/>
    <cellStyle name="Обычный 4 2 27 2 5" xfId="22175"/>
    <cellStyle name="Процентный 4 2 27 2 5" xfId="22176"/>
    <cellStyle name="Обычный 5 2 27 2 5" xfId="22177"/>
    <cellStyle name="Процентный 5 2 27 2 5" xfId="22178"/>
    <cellStyle name="Обычный 6 24 2 5" xfId="22179"/>
    <cellStyle name="Процентный 6 24 2 5" xfId="22180"/>
    <cellStyle name="Обычный 4 41 2 5" xfId="22181"/>
    <cellStyle name="Процентный 4 41 2 5" xfId="22182"/>
    <cellStyle name="Обычный 5 34 2 5" xfId="22183"/>
    <cellStyle name="Процентный 5 34 2 5" xfId="22184"/>
    <cellStyle name="Обычный 4 2 28 2 5" xfId="22185"/>
    <cellStyle name="Процентный 4 2 28 2 5" xfId="22186"/>
    <cellStyle name="Обычный 5 2 28 2 5" xfId="22187"/>
    <cellStyle name="Процентный 5 2 28 2 5" xfId="22188"/>
    <cellStyle name="Обычный 6 25 2 5" xfId="22189"/>
    <cellStyle name="Процентный 6 25 2 5" xfId="22190"/>
    <cellStyle name="Обычный 4 42 2 5" xfId="22191"/>
    <cellStyle name="Процентный 4 42 2 5" xfId="22192"/>
    <cellStyle name="Обычный 5 35 2 5" xfId="22193"/>
    <cellStyle name="Процентный 5 35 2 5" xfId="22194"/>
    <cellStyle name="Обычный 4 2 29 2 5" xfId="22195"/>
    <cellStyle name="Процентный 4 2 29 2 5" xfId="22196"/>
    <cellStyle name="Обычный 5 2 29 2 5" xfId="22197"/>
    <cellStyle name="Процентный 5 2 29 2 5" xfId="22198"/>
    <cellStyle name="Обычный 6 26 2 5" xfId="22199"/>
    <cellStyle name="Процентный 6 26 2 5" xfId="22200"/>
    <cellStyle name="Обычный 4 43 2 5" xfId="22201"/>
    <cellStyle name="Процентный 4 43 2 5" xfId="22202"/>
    <cellStyle name="Обычный 5 36 2 5" xfId="22203"/>
    <cellStyle name="Процентный 5 36 2 5" xfId="22204"/>
    <cellStyle name="Обычный 4 2 30 2 5" xfId="22205"/>
    <cellStyle name="Процентный 4 2 30 2 5" xfId="22206"/>
    <cellStyle name="Обычный 5 2 30 2 5" xfId="22207"/>
    <cellStyle name="Процентный 5 2 30 2 5" xfId="22208"/>
    <cellStyle name="Обычный 6 27 2 5" xfId="22209"/>
    <cellStyle name="Процентный 6 27 2 5" xfId="22210"/>
    <cellStyle name="Обычный 4 44 2 5" xfId="22211"/>
    <cellStyle name="Процентный 4 44 2 5" xfId="22212"/>
    <cellStyle name="Обычный 5 37 2 5" xfId="22213"/>
    <cellStyle name="Процентный 5 37 2 5" xfId="22214"/>
    <cellStyle name="Обычный 4 2 31 2 5" xfId="22215"/>
    <cellStyle name="Процентный 4 2 31 2 5" xfId="22216"/>
    <cellStyle name="Обычный 5 2 31 2 5" xfId="22217"/>
    <cellStyle name="Процентный 5 2 31 2 5" xfId="22218"/>
    <cellStyle name="Обычный 6 28 2 5" xfId="22219"/>
    <cellStyle name="Процентный 6 28 2 5" xfId="22220"/>
    <cellStyle name="Обычный 4 45 2 5" xfId="22221"/>
    <cellStyle name="Процентный 4 45 2 5" xfId="22222"/>
    <cellStyle name="Обычный 5 38 2 5" xfId="22223"/>
    <cellStyle name="Процентный 5 38 2 5" xfId="22224"/>
    <cellStyle name="Обычный 4 2 32 2 5" xfId="22225"/>
    <cellStyle name="Процентный 4 2 32 2 5" xfId="22226"/>
    <cellStyle name="Обычный 5 2 32 2 5" xfId="22227"/>
    <cellStyle name="Процентный 5 2 32 2 5" xfId="22228"/>
    <cellStyle name="Обычный 6 29 2 5" xfId="22229"/>
    <cellStyle name="Процентный 6 29 2 5" xfId="22230"/>
    <cellStyle name="Обычный 4 46 2 5" xfId="22231"/>
    <cellStyle name="Процентный 4 46 2 5" xfId="22232"/>
    <cellStyle name="Обычный 5 39 2 5" xfId="22233"/>
    <cellStyle name="Процентный 5 39 2 5" xfId="22234"/>
    <cellStyle name="Обычный 4 2 33 2 5" xfId="22235"/>
    <cellStyle name="Процентный 4 2 33 2 5" xfId="22236"/>
    <cellStyle name="Обычный 5 2 33 2 5" xfId="22237"/>
    <cellStyle name="Процентный 5 2 33 2 5" xfId="22238"/>
    <cellStyle name="Обычный 6 30 2 5" xfId="22239"/>
    <cellStyle name="Процентный 6 30 2 5" xfId="22240"/>
    <cellStyle name="Обычный 4 47 2 5" xfId="22241"/>
    <cellStyle name="Процентный 4 47 2 5" xfId="22242"/>
    <cellStyle name="Обычный 5 40 2 5" xfId="22243"/>
    <cellStyle name="Процентный 5 40 2 5" xfId="22244"/>
    <cellStyle name="Обычный 4 2 34 2 5" xfId="22245"/>
    <cellStyle name="Процентный 4 2 34 2 5" xfId="22246"/>
    <cellStyle name="Обычный 5 2 34 2 5" xfId="22247"/>
    <cellStyle name="Процентный 5 2 34 2 5" xfId="22248"/>
    <cellStyle name="Обычный 6 31 2 5" xfId="22249"/>
    <cellStyle name="Процентный 6 31 2 5" xfId="22250"/>
    <cellStyle name="Обычный 7 10 5" xfId="22251"/>
    <cellStyle name="Процентный 7 10 5" xfId="22252"/>
    <cellStyle name="Обычный 4 48 2 5" xfId="22253"/>
    <cellStyle name="Процентный 4 48 2 5" xfId="22254"/>
    <cellStyle name="Обычный 5 41 2 5" xfId="22255"/>
    <cellStyle name="Процентный 5 41 2 5" xfId="22256"/>
    <cellStyle name="Обычный 4 2 35 2 5" xfId="22257"/>
    <cellStyle name="Процентный 4 2 35 2 5" xfId="22258"/>
    <cellStyle name="Обычный 5 2 35 2 5" xfId="22259"/>
    <cellStyle name="Процентный 5 2 35 2 5" xfId="22260"/>
    <cellStyle name="Обычный 6 32 2 5" xfId="22261"/>
    <cellStyle name="Процентный 6 32 2 5" xfId="22262"/>
    <cellStyle name="Обычный 7 2 2 5" xfId="22263"/>
    <cellStyle name="Процентный 7 2 2 5" xfId="22264"/>
    <cellStyle name="Обычный 4 49 2 5" xfId="22265"/>
    <cellStyle name="Процентный 4 49 2 5" xfId="22266"/>
    <cellStyle name="Обычный 5 42 2 5" xfId="22267"/>
    <cellStyle name="Процентный 5 42 2 5" xfId="22268"/>
    <cellStyle name="Обычный 4 2 36 2 5" xfId="22269"/>
    <cellStyle name="Процентный 4 2 36 2 5" xfId="22270"/>
    <cellStyle name="Обычный 5 2 36 2 5" xfId="22271"/>
    <cellStyle name="Процентный 5 2 36 2 5" xfId="22272"/>
    <cellStyle name="Обычный 6 33 2 5" xfId="22273"/>
    <cellStyle name="Процентный 6 33 2 5" xfId="22274"/>
    <cellStyle name="Обычный 7 3 2 5" xfId="22275"/>
    <cellStyle name="Процентный 7 3 2 5" xfId="22276"/>
    <cellStyle name="Обычный 4 50 2 5" xfId="22277"/>
    <cellStyle name="Процентный 4 50 2 5" xfId="22278"/>
    <cellStyle name="Обычный 5 43 2 5" xfId="22279"/>
    <cellStyle name="Процентный 5 43 2 5" xfId="22280"/>
    <cellStyle name="Обычный 4 2 37 2 5" xfId="22281"/>
    <cellStyle name="Процентный 4 2 37 2 5" xfId="22282"/>
    <cellStyle name="Обычный 5 2 37 2 5" xfId="22283"/>
    <cellStyle name="Процентный 5 2 37 2 5" xfId="22284"/>
    <cellStyle name="Обычный 6 34 2 5" xfId="22285"/>
    <cellStyle name="Процентный 6 34 2 5" xfId="22286"/>
    <cellStyle name="Обычный 7 4 2 5" xfId="22287"/>
    <cellStyle name="Процентный 7 4 2 5" xfId="22288"/>
    <cellStyle name="Обычный 4 51 2 5" xfId="22289"/>
    <cellStyle name="Процентный 4 51 2 5" xfId="22290"/>
    <cellStyle name="Обычный 5 44 2 5" xfId="22291"/>
    <cellStyle name="Процентный 5 44 2 5" xfId="22292"/>
    <cellStyle name="Обычный 4 2 38 2 5" xfId="22293"/>
    <cellStyle name="Процентный 4 2 38 2 5" xfId="22294"/>
    <cellStyle name="Обычный 5 2 38 2 5" xfId="22295"/>
    <cellStyle name="Процентный 5 2 38 2 5" xfId="22296"/>
    <cellStyle name="Обычный 6 35 2 5" xfId="22297"/>
    <cellStyle name="Процентный 6 35 2 5" xfId="22298"/>
    <cellStyle name="Обычный 7 5 2 5" xfId="22299"/>
    <cellStyle name="Процентный 7 5 2 5" xfId="22300"/>
    <cellStyle name="Обычный 4 52 2 5" xfId="22301"/>
    <cellStyle name="Процентный 4 52 2 5" xfId="22302"/>
    <cellStyle name="Обычный 5 45 2 5" xfId="22303"/>
    <cellStyle name="Процентный 5 45 2 5" xfId="22304"/>
    <cellStyle name="Обычный 4 2 39 2 5" xfId="22305"/>
    <cellStyle name="Процентный 4 2 39 2 5" xfId="22306"/>
    <cellStyle name="Обычный 5 2 39 2 5" xfId="22307"/>
    <cellStyle name="Процентный 5 2 39 2 5" xfId="22308"/>
    <cellStyle name="Обычный 6 36 2 5" xfId="22309"/>
    <cellStyle name="Процентный 6 36 2 5" xfId="22310"/>
    <cellStyle name="Обычный 7 6 2 5" xfId="22311"/>
    <cellStyle name="Процентный 7 6 2 5" xfId="22312"/>
    <cellStyle name="Обычный 4 53 2 5" xfId="22313"/>
    <cellStyle name="Процентный 4 53 2 5" xfId="22314"/>
    <cellStyle name="Обычный 5 46 2 5" xfId="22315"/>
    <cellStyle name="Процентный 5 46 2 5" xfId="22316"/>
    <cellStyle name="Обычный 4 2 40 2 5" xfId="22317"/>
    <cellStyle name="Процентный 4 2 40 2 5" xfId="22318"/>
    <cellStyle name="Обычный 5 2 40 2 5" xfId="22319"/>
    <cellStyle name="Процентный 5 2 40 2 5" xfId="22320"/>
    <cellStyle name="Обычный 6 37 2 5" xfId="22321"/>
    <cellStyle name="Процентный 6 37 2 5" xfId="22322"/>
    <cellStyle name="Обычный 7 7 2 5" xfId="22323"/>
    <cellStyle name="Процентный 7 7 2 5" xfId="22324"/>
    <cellStyle name="Обычный 4 54 2 5" xfId="22325"/>
    <cellStyle name="Процентный 4 54 2 5" xfId="22326"/>
    <cellStyle name="Обычный 5 47 2 5" xfId="22327"/>
    <cellStyle name="Процентный 5 47 2 5" xfId="22328"/>
    <cellStyle name="Обычный 4 2 41 2 5" xfId="22329"/>
    <cellStyle name="Процентный 4 2 41 2 5" xfId="22330"/>
    <cellStyle name="Обычный 5 2 41 2 5" xfId="22331"/>
    <cellStyle name="Процентный 5 2 41 2 5" xfId="22332"/>
    <cellStyle name="Обычный 6 38 2 5" xfId="22333"/>
    <cellStyle name="Процентный 6 38 2 5" xfId="22334"/>
    <cellStyle name="Обычный 7 8 2 5" xfId="22335"/>
    <cellStyle name="Процентный 7 8 2 5" xfId="22336"/>
    <cellStyle name="Обычный 4 55 2 5" xfId="22337"/>
    <cellStyle name="Процентный 4 55 2 5" xfId="22338"/>
    <cellStyle name="Обычный 5 48 2 5" xfId="22339"/>
    <cellStyle name="Процентный 5 48 2 5" xfId="22340"/>
    <cellStyle name="Обычный 4 2 42 2 5" xfId="22341"/>
    <cellStyle name="Процентный 4 2 42 2 5" xfId="22342"/>
    <cellStyle name="Обычный 5 2 42 2 5" xfId="22343"/>
    <cellStyle name="Процентный 5 2 42 2 5" xfId="22344"/>
    <cellStyle name="Обычный 6 39 2 5" xfId="22345"/>
    <cellStyle name="Процентный 6 39 2 5" xfId="22346"/>
    <cellStyle name="Обычный 7 9 2 5" xfId="22347"/>
    <cellStyle name="Процентный 7 9 2 5" xfId="22348"/>
    <cellStyle name="Обычный 4 57 5" xfId="22349"/>
    <cellStyle name="Процентный 4 57 5" xfId="22350"/>
    <cellStyle name="Обычный 5 50 5" xfId="22351"/>
    <cellStyle name="Процентный 5 50 5" xfId="22352"/>
    <cellStyle name="Обычный 4 2 44 5" xfId="22353"/>
    <cellStyle name="Процентный 4 2 44 5" xfId="22354"/>
    <cellStyle name="Обычный 5 2 44 5" xfId="22355"/>
    <cellStyle name="Процентный 5 2 44 5" xfId="22356"/>
    <cellStyle name="Обычный 6 41 5" xfId="22357"/>
    <cellStyle name="Процентный 6 41 5" xfId="22358"/>
    <cellStyle name="Обычный 7 11 5" xfId="22359"/>
    <cellStyle name="Процентный 7 11 5" xfId="22360"/>
    <cellStyle name="Обычный 4 3 3 5" xfId="22361"/>
    <cellStyle name="Процентный 4 3 3 5" xfId="22362"/>
    <cellStyle name="Обычный 5 3 3 5" xfId="22363"/>
    <cellStyle name="Процентный 5 3 3 5" xfId="22364"/>
    <cellStyle name="Обычный 4 2 2 3 5" xfId="22365"/>
    <cellStyle name="Процентный 4 2 2 3 5" xfId="22366"/>
    <cellStyle name="Обычный 5 2 2 3 5" xfId="22367"/>
    <cellStyle name="Процентный 5 2 2 3 5" xfId="22368"/>
    <cellStyle name="Обычный 6 2 3 5" xfId="22369"/>
    <cellStyle name="Процентный 6 2 3 5" xfId="22370"/>
    <cellStyle name="Обычный 7 2 3 5" xfId="22371"/>
    <cellStyle name="Процентный 7 2 3 5" xfId="22372"/>
    <cellStyle name="Обычный 4 58 5" xfId="22373"/>
    <cellStyle name="Процентный 4 58 5" xfId="22374"/>
    <cellStyle name="Обычный 5 51 5" xfId="22375"/>
    <cellStyle name="Процентный 5 51 5" xfId="22376"/>
    <cellStyle name="Обычный 4 2 45 5" xfId="22377"/>
    <cellStyle name="Процентный 4 2 45 5" xfId="22378"/>
    <cellStyle name="Обычный 5 2 45 5" xfId="22379"/>
    <cellStyle name="Процентный 5 2 45 5" xfId="22380"/>
    <cellStyle name="Обычный 6 42 5" xfId="22381"/>
    <cellStyle name="Процентный 6 42 5" xfId="22382"/>
    <cellStyle name="Обычный 7 12 5" xfId="22383"/>
    <cellStyle name="Процентный 7 12 5" xfId="22384"/>
    <cellStyle name="Обычный 4 3 4 5" xfId="22385"/>
    <cellStyle name="Процентный 4 3 4 5" xfId="22386"/>
    <cellStyle name="Обычный 5 3 4 5" xfId="22387"/>
    <cellStyle name="Процентный 5 3 4 5" xfId="22388"/>
    <cellStyle name="Обычный 4 2 2 4 5" xfId="22389"/>
    <cellStyle name="Процентный 4 2 2 4 5" xfId="22390"/>
    <cellStyle name="Обычный 5 2 2 4 5" xfId="22391"/>
    <cellStyle name="Процентный 5 2 2 4 5" xfId="22392"/>
    <cellStyle name="Обычный 6 2 4 5" xfId="22393"/>
    <cellStyle name="Процентный 6 2 4 5" xfId="22394"/>
    <cellStyle name="Обычный 7 2 4 5" xfId="22395"/>
    <cellStyle name="Процентный 7 2 4 5" xfId="22396"/>
    <cellStyle name="Обычный 4 59 5" xfId="22397"/>
    <cellStyle name="Процентный 4 59 5" xfId="22398"/>
    <cellStyle name="Обычный 5 52 5" xfId="22399"/>
    <cellStyle name="Процентный 5 52 5" xfId="22400"/>
    <cellStyle name="Обычный 4 2 46 5" xfId="22401"/>
    <cellStyle name="Процентный 4 2 46 5" xfId="22402"/>
    <cellStyle name="Обычный 5 2 46 5" xfId="22403"/>
    <cellStyle name="Процентный 5 2 46 5" xfId="22404"/>
    <cellStyle name="Обычный 6 43 5" xfId="22405"/>
    <cellStyle name="Процентный 6 43 5" xfId="22406"/>
    <cellStyle name="Обычный 7 13 5" xfId="22407"/>
    <cellStyle name="Процентный 7 13 5" xfId="22408"/>
    <cellStyle name="Обычный 4 3 5 5" xfId="22409"/>
    <cellStyle name="Процентный 4 3 5 5" xfId="22410"/>
    <cellStyle name="Обычный 5 3 5 5" xfId="22411"/>
    <cellStyle name="Процентный 5 3 5 5" xfId="22412"/>
    <cellStyle name="Обычный 4 2 2 5 5" xfId="22413"/>
    <cellStyle name="Процентный 4 2 2 5 5" xfId="22414"/>
    <cellStyle name="Обычный 5 2 2 5 5" xfId="22415"/>
    <cellStyle name="Процентный 5 2 2 5 5" xfId="22416"/>
    <cellStyle name="Обычный 6 2 5 5" xfId="22417"/>
    <cellStyle name="Процентный 6 2 5 5" xfId="22418"/>
    <cellStyle name="Обычный 7 2 5 5" xfId="22419"/>
    <cellStyle name="Процентный 7 2 5 5" xfId="22420"/>
    <cellStyle name="Обычный 8 148" xfId="22421"/>
    <cellStyle name="Процентный 8 148" xfId="22422"/>
    <cellStyle name="Обычный 4 60 5" xfId="22423"/>
    <cellStyle name="Процентный 4 60 5" xfId="22424"/>
    <cellStyle name="Обычный 5 53 5" xfId="22425"/>
    <cellStyle name="Процентный 5 53 5" xfId="22426"/>
    <cellStyle name="Обычный 4 2 47 5" xfId="22427"/>
    <cellStyle name="Процентный 4 2 47 5" xfId="22428"/>
    <cellStyle name="Обычный 5 2 47 5" xfId="22429"/>
    <cellStyle name="Процентный 5 2 47 5" xfId="22430"/>
    <cellStyle name="Обычный 6 44 5" xfId="22431"/>
    <cellStyle name="Процентный 6 44 5" xfId="22432"/>
    <cellStyle name="Обычный 7 14 5" xfId="22433"/>
    <cellStyle name="Процентный 7 14 5" xfId="22434"/>
    <cellStyle name="Обычный 4 3 6 5" xfId="22435"/>
    <cellStyle name="Процентный 4 3 6 5" xfId="22436"/>
    <cellStyle name="Обычный 5 3 6 5" xfId="22437"/>
    <cellStyle name="Процентный 5 3 6 5" xfId="22438"/>
    <cellStyle name="Обычный 4 2 2 6 5" xfId="22439"/>
    <cellStyle name="Процентный 4 2 2 6 5" xfId="22440"/>
    <cellStyle name="Обычный 5 2 2 6 5" xfId="22441"/>
    <cellStyle name="Процентный 5 2 2 6 5" xfId="22442"/>
    <cellStyle name="Обычный 6 2 6 5" xfId="22443"/>
    <cellStyle name="Процентный 6 2 6 5" xfId="22444"/>
    <cellStyle name="Обычный 7 2 6 5" xfId="22445"/>
    <cellStyle name="Процентный 7 2 6 5" xfId="22446"/>
    <cellStyle name="Обычный 8 2 5" xfId="22447"/>
    <cellStyle name="Процентный 8 2 5" xfId="22448"/>
    <cellStyle name="Обычный 4 61 5" xfId="22449"/>
    <cellStyle name="Процентный 4 61 5" xfId="22450"/>
    <cellStyle name="Обычный 5 54 5" xfId="22451"/>
    <cellStyle name="Процентный 5 54 5" xfId="22452"/>
    <cellStyle name="Обычный 4 2 48 5" xfId="22453"/>
    <cellStyle name="Процентный 4 2 48 5" xfId="22454"/>
    <cellStyle name="Обычный 5 2 48 5" xfId="22455"/>
    <cellStyle name="Процентный 5 2 48 5" xfId="22456"/>
    <cellStyle name="Обычный 6 45 5" xfId="22457"/>
    <cellStyle name="Процентный 6 45 5" xfId="22458"/>
    <cellStyle name="Обычный 7 15 5" xfId="22459"/>
    <cellStyle name="Процентный 7 15 5" xfId="22460"/>
    <cellStyle name="Обычный 4 3 7 5" xfId="22461"/>
    <cellStyle name="Процентный 4 3 7 5" xfId="22462"/>
    <cellStyle name="Обычный 5 3 7 5" xfId="22463"/>
    <cellStyle name="Процентный 5 3 7 5" xfId="22464"/>
    <cellStyle name="Обычный 4 2 2 7 5" xfId="22465"/>
    <cellStyle name="Процентный 4 2 2 7 5" xfId="22466"/>
    <cellStyle name="Обычный 5 2 2 7 5" xfId="22467"/>
    <cellStyle name="Процентный 5 2 2 7 5" xfId="22468"/>
    <cellStyle name="Обычный 6 2 7 5" xfId="22469"/>
    <cellStyle name="Процентный 6 2 7 5" xfId="22470"/>
    <cellStyle name="Обычный 7 2 7 5" xfId="22471"/>
    <cellStyle name="Процентный 7 2 7 5" xfId="22472"/>
    <cellStyle name="Обычный 8 3 5" xfId="22473"/>
    <cellStyle name="Процентный 8 3 5" xfId="22474"/>
    <cellStyle name="Обычный 4 62 5" xfId="22475"/>
    <cellStyle name="Процентный 4 62 5" xfId="22476"/>
    <cellStyle name="Обычный 5 55 5" xfId="22477"/>
    <cellStyle name="Процентный 5 55 5" xfId="22478"/>
    <cellStyle name="Обычный 4 2 49 5" xfId="22479"/>
    <cellStyle name="Процентный 4 2 49 5" xfId="22480"/>
    <cellStyle name="Обычный 5 2 49 5" xfId="22481"/>
    <cellStyle name="Процентный 5 2 49 5" xfId="22482"/>
    <cellStyle name="Обычный 6 46 5" xfId="22483"/>
    <cellStyle name="Процентный 6 46 5" xfId="22484"/>
    <cellStyle name="Обычный 7 16 5" xfId="22485"/>
    <cellStyle name="Процентный 7 16 5" xfId="22486"/>
    <cellStyle name="Обычный 4 3 8 5" xfId="22487"/>
    <cellStyle name="Процентный 4 3 8 5" xfId="22488"/>
    <cellStyle name="Обычный 5 3 8 5" xfId="22489"/>
    <cellStyle name="Процентный 5 3 8 5" xfId="22490"/>
    <cellStyle name="Обычный 4 2 2 8 5" xfId="22491"/>
    <cellStyle name="Процентный 4 2 2 8 5" xfId="22492"/>
    <cellStyle name="Обычный 5 2 2 8 5" xfId="22493"/>
    <cellStyle name="Процентный 5 2 2 8 5" xfId="22494"/>
    <cellStyle name="Обычный 6 2 8 5" xfId="22495"/>
    <cellStyle name="Процентный 6 2 8 5" xfId="22496"/>
    <cellStyle name="Обычный 7 2 8 5" xfId="22497"/>
    <cellStyle name="Процентный 7 2 8 5" xfId="22498"/>
    <cellStyle name="Обычный 8 4 5" xfId="22499"/>
    <cellStyle name="Процентный 8 4 5" xfId="22500"/>
    <cellStyle name="Обычный 4 63 5" xfId="22501"/>
    <cellStyle name="Процентный 4 63 5" xfId="22502"/>
    <cellStyle name="Обычный 5 56 5" xfId="22503"/>
    <cellStyle name="Процентный 5 56 5" xfId="22504"/>
    <cellStyle name="Обычный 4 2 50 5" xfId="22505"/>
    <cellStyle name="Процентный 4 2 50 5" xfId="22506"/>
    <cellStyle name="Обычный 5 2 50 5" xfId="22507"/>
    <cellStyle name="Процентный 5 2 50 5" xfId="22508"/>
    <cellStyle name="Обычный 6 47 5" xfId="22509"/>
    <cellStyle name="Процентный 6 47 5" xfId="22510"/>
    <cellStyle name="Обычный 7 17 5" xfId="22511"/>
    <cellStyle name="Процентный 7 17 5" xfId="22512"/>
    <cellStyle name="Обычный 4 3 9 5" xfId="22513"/>
    <cellStyle name="Процентный 4 3 9 5" xfId="22514"/>
    <cellStyle name="Обычный 5 3 9 5" xfId="22515"/>
    <cellStyle name="Процентный 5 3 9 5" xfId="22516"/>
    <cellStyle name="Обычный 4 2 2 9 5" xfId="22517"/>
    <cellStyle name="Процентный 4 2 2 9 5" xfId="22518"/>
    <cellStyle name="Обычный 5 2 2 9 5" xfId="22519"/>
    <cellStyle name="Процентный 5 2 2 9 5" xfId="22520"/>
    <cellStyle name="Обычный 6 2 9 5" xfId="22521"/>
    <cellStyle name="Процентный 6 2 9 5" xfId="22522"/>
    <cellStyle name="Обычный 7 2 9 5" xfId="22523"/>
    <cellStyle name="Процентный 7 2 9 5" xfId="22524"/>
    <cellStyle name="Обычный 8 5 5" xfId="22525"/>
    <cellStyle name="Процентный 8 5 5" xfId="22526"/>
    <cellStyle name="Обычный 4 64 5" xfId="22527"/>
    <cellStyle name="Процентный 4 64 5" xfId="22528"/>
    <cellStyle name="Обычный 5 57 5" xfId="22529"/>
    <cellStyle name="Процентный 5 57 5" xfId="22530"/>
    <cellStyle name="Обычный 4 2 51 5" xfId="22531"/>
    <cellStyle name="Процентный 4 2 51 5" xfId="22532"/>
    <cellStyle name="Обычный 5 2 51 5" xfId="22533"/>
    <cellStyle name="Процентный 5 2 51 5" xfId="22534"/>
    <cellStyle name="Обычный 6 48 5" xfId="22535"/>
    <cellStyle name="Процентный 6 48 5" xfId="22536"/>
    <cellStyle name="Обычный 7 18 5" xfId="22537"/>
    <cellStyle name="Процентный 7 18 5" xfId="22538"/>
    <cellStyle name="Обычный 4 3 10 5" xfId="22539"/>
    <cellStyle name="Процентный 4 3 10 5" xfId="22540"/>
    <cellStyle name="Обычный 5 3 10 5" xfId="22541"/>
    <cellStyle name="Процентный 5 3 10 5" xfId="22542"/>
    <cellStyle name="Обычный 4 2 2 10 5" xfId="22543"/>
    <cellStyle name="Процентный 4 2 2 10 5" xfId="22544"/>
    <cellStyle name="Обычный 5 2 2 10 5" xfId="22545"/>
    <cellStyle name="Процентный 5 2 2 10 5" xfId="22546"/>
    <cellStyle name="Обычный 6 2 10 5" xfId="22547"/>
    <cellStyle name="Процентный 6 2 10 5" xfId="22548"/>
    <cellStyle name="Обычный 7 2 10 5" xfId="22549"/>
    <cellStyle name="Процентный 7 2 10 5" xfId="22550"/>
    <cellStyle name="Обычный 8 6 5" xfId="22551"/>
    <cellStyle name="Процентный 8 6 5" xfId="22552"/>
    <cellStyle name="Обычный 4 65 5" xfId="22553"/>
    <cellStyle name="Процентный 4 65 5" xfId="22554"/>
    <cellStyle name="Обычный 5 58 5" xfId="22555"/>
    <cellStyle name="Процентный 5 58 5" xfId="22556"/>
    <cellStyle name="Обычный 4 2 52 5" xfId="22557"/>
    <cellStyle name="Процентный 4 2 52 5" xfId="22558"/>
    <cellStyle name="Обычный 5 2 52 5" xfId="22559"/>
    <cellStyle name="Процентный 5 2 52 5" xfId="22560"/>
    <cellStyle name="Обычный 6 49 5" xfId="22561"/>
    <cellStyle name="Процентный 6 49 5" xfId="22562"/>
    <cellStyle name="Обычный 7 19 5" xfId="22563"/>
    <cellStyle name="Процентный 7 19 5" xfId="22564"/>
    <cellStyle name="Обычный 4 3 11 5" xfId="22565"/>
    <cellStyle name="Процентный 4 3 11 5" xfId="22566"/>
    <cellStyle name="Обычный 5 3 11 5" xfId="22567"/>
    <cellStyle name="Процентный 5 3 11 5" xfId="22568"/>
    <cellStyle name="Обычный 4 2 2 11 5" xfId="22569"/>
    <cellStyle name="Процентный 4 2 2 11 5" xfId="22570"/>
    <cellStyle name="Обычный 5 2 2 11 5" xfId="22571"/>
    <cellStyle name="Процентный 5 2 2 11 5" xfId="22572"/>
    <cellStyle name="Обычный 6 2 11 5" xfId="22573"/>
    <cellStyle name="Процентный 6 2 11 5" xfId="22574"/>
    <cellStyle name="Обычный 7 2 11 5" xfId="22575"/>
    <cellStyle name="Процентный 7 2 11 5" xfId="22576"/>
    <cellStyle name="Обычный 8 7 5" xfId="22577"/>
    <cellStyle name="Процентный 8 7 5" xfId="22578"/>
    <cellStyle name="Обычный 4 66 5" xfId="22579"/>
    <cellStyle name="Процентный 4 66 5" xfId="22580"/>
    <cellStyle name="Обычный 5 59 5" xfId="22581"/>
    <cellStyle name="Процентный 5 59 5" xfId="22582"/>
    <cellStyle name="Обычный 4 2 53 5" xfId="22583"/>
    <cellStyle name="Процентный 4 2 53 5" xfId="22584"/>
    <cellStyle name="Обычный 5 2 53 5" xfId="22585"/>
    <cellStyle name="Процентный 5 2 53 5" xfId="22586"/>
    <cellStyle name="Обычный 6 50 5" xfId="22587"/>
    <cellStyle name="Процентный 6 50 5" xfId="22588"/>
    <cellStyle name="Обычный 7 20 5" xfId="22589"/>
    <cellStyle name="Процентный 7 20 5" xfId="22590"/>
    <cellStyle name="Обычный 4 3 12 5" xfId="22591"/>
    <cellStyle name="Процентный 4 3 12 5" xfId="22592"/>
    <cellStyle name="Обычный 5 3 12 5" xfId="22593"/>
    <cellStyle name="Процентный 5 3 12 5" xfId="22594"/>
    <cellStyle name="Обычный 4 2 2 12 5" xfId="22595"/>
    <cellStyle name="Процентный 4 2 2 12 5" xfId="22596"/>
    <cellStyle name="Обычный 5 2 2 12 5" xfId="22597"/>
    <cellStyle name="Процентный 5 2 2 12 5" xfId="22598"/>
    <cellStyle name="Обычный 6 2 12 5" xfId="22599"/>
    <cellStyle name="Процентный 6 2 12 5" xfId="22600"/>
    <cellStyle name="Обычный 7 2 12 5" xfId="22601"/>
    <cellStyle name="Процентный 7 2 12 5" xfId="22602"/>
    <cellStyle name="Обычный 8 8 5" xfId="22603"/>
    <cellStyle name="Процентный 8 8 5" xfId="22604"/>
    <cellStyle name="Обычный 4 67 5" xfId="22605"/>
    <cellStyle name="Процентный 4 67 5" xfId="22606"/>
    <cellStyle name="Обычный 5 60 5" xfId="22607"/>
    <cellStyle name="Процентный 5 60 5" xfId="22608"/>
    <cellStyle name="Обычный 4 2 54 5" xfId="22609"/>
    <cellStyle name="Процентный 4 2 54 5" xfId="22610"/>
    <cellStyle name="Обычный 5 2 54 5" xfId="22611"/>
    <cellStyle name="Процентный 5 2 54 5" xfId="22612"/>
    <cellStyle name="Обычный 6 51 5" xfId="22613"/>
    <cellStyle name="Процентный 6 51 5" xfId="22614"/>
    <cellStyle name="Обычный 7 21 5" xfId="22615"/>
    <cellStyle name="Процентный 7 21 5" xfId="22616"/>
    <cellStyle name="Обычный 4 3 13 5" xfId="22617"/>
    <cellStyle name="Процентный 4 3 13 5" xfId="22618"/>
    <cellStyle name="Обычный 5 3 13 5" xfId="22619"/>
    <cellStyle name="Процентный 5 3 13 5" xfId="22620"/>
    <cellStyle name="Обычный 4 2 2 13 5" xfId="22621"/>
    <cellStyle name="Процентный 4 2 2 13 5" xfId="22622"/>
    <cellStyle name="Обычный 5 2 2 13 5" xfId="22623"/>
    <cellStyle name="Процентный 5 2 2 13 5" xfId="22624"/>
    <cellStyle name="Обычный 6 2 13 5" xfId="22625"/>
    <cellStyle name="Процентный 6 2 13 5" xfId="22626"/>
    <cellStyle name="Обычный 7 2 13 5" xfId="22627"/>
    <cellStyle name="Процентный 7 2 13 5" xfId="22628"/>
    <cellStyle name="Обычный 8 9 5" xfId="22629"/>
    <cellStyle name="Процентный 8 9 5" xfId="22630"/>
    <cellStyle name="Обычный 4 68 5" xfId="22631"/>
    <cellStyle name="Процентный 4 68 5" xfId="22632"/>
    <cellStyle name="Обычный 5 61 5" xfId="22633"/>
    <cellStyle name="Процентный 5 61 5" xfId="22634"/>
    <cellStyle name="Обычный 4 2 55 5" xfId="22635"/>
    <cellStyle name="Процентный 4 2 55 5" xfId="22636"/>
    <cellStyle name="Обычный 5 2 55 5" xfId="22637"/>
    <cellStyle name="Процентный 5 2 55 5" xfId="22638"/>
    <cellStyle name="Обычный 6 52 5" xfId="22639"/>
    <cellStyle name="Процентный 6 52 5" xfId="22640"/>
    <cellStyle name="Обычный 7 22 5" xfId="22641"/>
    <cellStyle name="Процентный 7 22 5" xfId="22642"/>
    <cellStyle name="Обычный 4 3 14 5" xfId="22643"/>
    <cellStyle name="Процентный 4 3 14 5" xfId="22644"/>
    <cellStyle name="Обычный 5 3 14 5" xfId="22645"/>
    <cellStyle name="Процентный 5 3 14 5" xfId="22646"/>
    <cellStyle name="Обычный 4 2 2 14 5" xfId="22647"/>
    <cellStyle name="Процентный 4 2 2 14 5" xfId="22648"/>
    <cellStyle name="Обычный 5 2 2 14 5" xfId="22649"/>
    <cellStyle name="Процентный 5 2 2 14 5" xfId="22650"/>
    <cellStyle name="Обычный 6 2 14 5" xfId="22651"/>
    <cellStyle name="Процентный 6 2 14 5" xfId="22652"/>
    <cellStyle name="Обычный 7 2 14 5" xfId="22653"/>
    <cellStyle name="Процентный 7 2 14 5" xfId="22654"/>
    <cellStyle name="Обычный 8 10 5" xfId="22655"/>
    <cellStyle name="Процентный 8 10 5" xfId="22656"/>
    <cellStyle name="Обычный 4 69 5" xfId="22657"/>
    <cellStyle name="Процентный 4 69 5" xfId="22658"/>
    <cellStyle name="Обычный 5 62 5" xfId="22659"/>
    <cellStyle name="Процентный 5 62 5" xfId="22660"/>
    <cellStyle name="Обычный 4 2 56 5" xfId="22661"/>
    <cellStyle name="Процентный 4 2 56 5" xfId="22662"/>
    <cellStyle name="Обычный 5 2 56 5" xfId="22663"/>
    <cellStyle name="Процентный 5 2 56 5" xfId="22664"/>
    <cellStyle name="Обычный 6 53 5" xfId="22665"/>
    <cellStyle name="Процентный 6 53 5" xfId="22666"/>
    <cellStyle name="Обычный 7 23 5" xfId="22667"/>
    <cellStyle name="Процентный 7 23 5" xfId="22668"/>
    <cellStyle name="Обычный 4 3 15 5" xfId="22669"/>
    <cellStyle name="Процентный 4 3 15 5" xfId="22670"/>
    <cellStyle name="Обычный 5 3 15 5" xfId="22671"/>
    <cellStyle name="Процентный 5 3 15 5" xfId="22672"/>
    <cellStyle name="Обычный 4 2 2 15 5" xfId="22673"/>
    <cellStyle name="Процентный 4 2 2 15 5" xfId="22674"/>
    <cellStyle name="Обычный 5 2 2 15 5" xfId="22675"/>
    <cellStyle name="Процентный 5 2 2 15 5" xfId="22676"/>
    <cellStyle name="Обычный 6 2 15 5" xfId="22677"/>
    <cellStyle name="Процентный 6 2 15 5" xfId="22678"/>
    <cellStyle name="Обычный 7 2 15 5" xfId="22679"/>
    <cellStyle name="Процентный 7 2 15 5" xfId="22680"/>
    <cellStyle name="Обычный 8 11 5" xfId="22681"/>
    <cellStyle name="Процентный 8 11 5" xfId="22682"/>
    <cellStyle name="Обычный 4 70 5" xfId="22683"/>
    <cellStyle name="Процентный 4 70 5" xfId="22684"/>
    <cellStyle name="Обычный 5 63 5" xfId="22685"/>
    <cellStyle name="Процентный 5 63 5" xfId="22686"/>
    <cellStyle name="Обычный 4 2 57 5" xfId="22687"/>
    <cellStyle name="Процентный 4 2 57 5" xfId="22688"/>
    <cellStyle name="Обычный 5 2 57 5" xfId="22689"/>
    <cellStyle name="Процентный 5 2 57 5" xfId="22690"/>
    <cellStyle name="Обычный 6 54 5" xfId="22691"/>
    <cellStyle name="Процентный 6 54 5" xfId="22692"/>
    <cellStyle name="Обычный 7 24 5" xfId="22693"/>
    <cellStyle name="Процентный 7 24 5" xfId="22694"/>
    <cellStyle name="Обычный 4 3 16 5" xfId="22695"/>
    <cellStyle name="Процентный 4 3 16 5" xfId="22696"/>
    <cellStyle name="Обычный 5 3 16 5" xfId="22697"/>
    <cellStyle name="Процентный 5 3 16 5" xfId="22698"/>
    <cellStyle name="Обычный 4 2 2 16 5" xfId="22699"/>
    <cellStyle name="Процентный 4 2 2 16 5" xfId="22700"/>
    <cellStyle name="Обычный 5 2 2 16 5" xfId="22701"/>
    <cellStyle name="Процентный 5 2 2 16 5" xfId="22702"/>
    <cellStyle name="Обычный 6 2 16 5" xfId="22703"/>
    <cellStyle name="Процентный 6 2 16 5" xfId="22704"/>
    <cellStyle name="Обычный 7 2 16 5" xfId="22705"/>
    <cellStyle name="Процентный 7 2 16 5" xfId="22706"/>
    <cellStyle name="Обычный 8 12 5" xfId="22707"/>
    <cellStyle name="Процентный 8 12 5" xfId="22708"/>
    <cellStyle name="Обычный 4 71 5" xfId="22709"/>
    <cellStyle name="Процентный 4 71 5" xfId="22710"/>
    <cellStyle name="Обычный 5 64 5" xfId="22711"/>
    <cellStyle name="Процентный 5 64 5" xfId="22712"/>
    <cellStyle name="Обычный 4 2 58 5" xfId="22713"/>
    <cellStyle name="Процентный 4 2 58 5" xfId="22714"/>
    <cellStyle name="Обычный 5 2 58 5" xfId="22715"/>
    <cellStyle name="Процентный 5 2 58 5" xfId="22716"/>
    <cellStyle name="Обычный 6 55 5" xfId="22717"/>
    <cellStyle name="Процентный 6 55 5" xfId="22718"/>
    <cellStyle name="Обычный 7 25 5" xfId="22719"/>
    <cellStyle name="Процентный 7 25 5" xfId="22720"/>
    <cellStyle name="Обычный 4 3 17 5" xfId="22721"/>
    <cellStyle name="Процентный 4 3 17 5" xfId="22722"/>
    <cellStyle name="Обычный 5 3 17 5" xfId="22723"/>
    <cellStyle name="Процентный 5 3 17 5" xfId="22724"/>
    <cellStyle name="Обычный 4 2 2 17 5" xfId="22725"/>
    <cellStyle name="Процентный 4 2 2 17 5" xfId="22726"/>
    <cellStyle name="Обычный 5 2 2 17 5" xfId="22727"/>
    <cellStyle name="Процентный 5 2 2 17 5" xfId="22728"/>
    <cellStyle name="Обычный 6 2 17 5" xfId="22729"/>
    <cellStyle name="Процентный 6 2 17 5" xfId="22730"/>
    <cellStyle name="Обычный 7 2 17 5" xfId="22731"/>
    <cellStyle name="Процентный 7 2 17 5" xfId="22732"/>
    <cellStyle name="Обычный 8 13 5" xfId="22733"/>
    <cellStyle name="Процентный 8 13 5" xfId="22734"/>
    <cellStyle name="Обычный 4 72 5" xfId="22735"/>
    <cellStyle name="Процентный 4 72 5" xfId="22736"/>
    <cellStyle name="Обычный 5 65 5" xfId="22737"/>
    <cellStyle name="Процентный 5 65 5" xfId="22738"/>
    <cellStyle name="Обычный 4 2 59 5" xfId="22739"/>
    <cellStyle name="Процентный 4 2 59 5" xfId="22740"/>
    <cellStyle name="Обычный 5 2 59 5" xfId="22741"/>
    <cellStyle name="Процентный 5 2 59 5" xfId="22742"/>
    <cellStyle name="Обычный 6 56 5" xfId="22743"/>
    <cellStyle name="Процентный 6 56 5" xfId="22744"/>
    <cellStyle name="Обычный 7 26 5" xfId="22745"/>
    <cellStyle name="Процентный 7 26 5" xfId="22746"/>
    <cellStyle name="Обычный 4 3 18 5" xfId="22747"/>
    <cellStyle name="Процентный 4 3 18 5" xfId="22748"/>
    <cellStyle name="Обычный 5 3 18 5" xfId="22749"/>
    <cellStyle name="Процентный 5 3 18 5" xfId="22750"/>
    <cellStyle name="Обычный 4 2 2 18 5" xfId="22751"/>
    <cellStyle name="Процентный 4 2 2 18 5" xfId="22752"/>
    <cellStyle name="Обычный 5 2 2 18 5" xfId="22753"/>
    <cellStyle name="Процентный 5 2 2 18 5" xfId="22754"/>
    <cellStyle name="Обычный 6 2 18 5" xfId="22755"/>
    <cellStyle name="Процентный 6 2 18 5" xfId="22756"/>
    <cellStyle name="Обычный 7 2 18 5" xfId="22757"/>
    <cellStyle name="Процентный 7 2 18 5" xfId="22758"/>
    <cellStyle name="Обычный 8 14 5" xfId="22759"/>
    <cellStyle name="Процентный 8 14 5" xfId="22760"/>
    <cellStyle name="Обычный 4 73 5" xfId="22761"/>
    <cellStyle name="Процентный 4 73 5" xfId="22762"/>
    <cellStyle name="Обычный 5 66 5" xfId="22763"/>
    <cellStyle name="Процентный 5 66 5" xfId="22764"/>
    <cellStyle name="Обычный 4 2 60 5" xfId="22765"/>
    <cellStyle name="Процентный 4 2 60 5" xfId="22766"/>
    <cellStyle name="Обычный 5 2 60 5" xfId="22767"/>
    <cellStyle name="Процентный 5 2 60 5" xfId="22768"/>
    <cellStyle name="Обычный 6 57 5" xfId="22769"/>
    <cellStyle name="Процентный 6 57 5" xfId="22770"/>
    <cellStyle name="Обычный 7 27 5" xfId="22771"/>
    <cellStyle name="Процентный 7 27 5" xfId="22772"/>
    <cellStyle name="Обычный 4 3 19 5" xfId="22773"/>
    <cellStyle name="Процентный 4 3 19 5" xfId="22774"/>
    <cellStyle name="Обычный 5 3 19 5" xfId="22775"/>
    <cellStyle name="Процентный 5 3 19 5" xfId="22776"/>
    <cellStyle name="Обычный 4 2 2 19 5" xfId="22777"/>
    <cellStyle name="Процентный 4 2 2 19 5" xfId="22778"/>
    <cellStyle name="Обычный 5 2 2 19 5" xfId="22779"/>
    <cellStyle name="Процентный 5 2 2 19 5" xfId="22780"/>
    <cellStyle name="Обычный 6 2 19 5" xfId="22781"/>
    <cellStyle name="Процентный 6 2 19 5" xfId="22782"/>
    <cellStyle name="Обычный 7 2 19 5" xfId="22783"/>
    <cellStyle name="Процентный 7 2 19 5" xfId="22784"/>
    <cellStyle name="Обычный 8 15 5" xfId="22785"/>
    <cellStyle name="Процентный 8 15 5" xfId="22786"/>
    <cellStyle name="Обычный 4 74 5" xfId="22787"/>
    <cellStyle name="Процентный 4 74 5" xfId="22788"/>
    <cellStyle name="Обычный 5 67 5" xfId="22789"/>
    <cellStyle name="Процентный 5 67 5" xfId="22790"/>
    <cellStyle name="Обычный 4 2 61 5" xfId="22791"/>
    <cellStyle name="Процентный 4 2 61 5" xfId="22792"/>
    <cellStyle name="Обычный 5 2 61 5" xfId="22793"/>
    <cellStyle name="Процентный 5 2 61 5" xfId="22794"/>
    <cellStyle name="Обычный 6 58 5" xfId="22795"/>
    <cellStyle name="Процентный 6 58 5" xfId="22796"/>
    <cellStyle name="Обычный 7 28 5" xfId="22797"/>
    <cellStyle name="Процентный 7 28 5" xfId="22798"/>
    <cellStyle name="Обычный 4 3 20 5" xfId="22799"/>
    <cellStyle name="Процентный 4 3 20 5" xfId="22800"/>
    <cellStyle name="Обычный 5 3 20 5" xfId="22801"/>
    <cellStyle name="Процентный 5 3 20 5" xfId="22802"/>
    <cellStyle name="Обычный 4 2 2 20 5" xfId="22803"/>
    <cellStyle name="Процентный 4 2 2 20 5" xfId="22804"/>
    <cellStyle name="Обычный 5 2 2 20 5" xfId="22805"/>
    <cellStyle name="Процентный 5 2 2 20 5" xfId="22806"/>
    <cellStyle name="Обычный 6 2 20 5" xfId="22807"/>
    <cellStyle name="Процентный 6 2 20 5" xfId="22808"/>
    <cellStyle name="Обычный 7 2 20 5" xfId="22809"/>
    <cellStyle name="Процентный 7 2 20 5" xfId="22810"/>
    <cellStyle name="Обычный 8 16 5" xfId="22811"/>
    <cellStyle name="Процентный 8 16 5" xfId="22812"/>
    <cellStyle name="Обычный 4 75 5" xfId="22813"/>
    <cellStyle name="Процентный 4 75 5" xfId="22814"/>
    <cellStyle name="Обычный 5 68 5" xfId="22815"/>
    <cellStyle name="Процентный 5 68 5" xfId="22816"/>
    <cellStyle name="Обычный 4 2 62 5" xfId="22817"/>
    <cellStyle name="Процентный 4 2 62 5" xfId="22818"/>
    <cellStyle name="Обычный 5 2 62 5" xfId="22819"/>
    <cellStyle name="Процентный 5 2 62 5" xfId="22820"/>
    <cellStyle name="Обычный 6 59 5" xfId="22821"/>
    <cellStyle name="Процентный 6 59 5" xfId="22822"/>
    <cellStyle name="Обычный 7 29 5" xfId="22823"/>
    <cellStyle name="Процентный 7 29 5" xfId="22824"/>
    <cellStyle name="Обычный 4 3 21 5" xfId="22825"/>
    <cellStyle name="Процентный 4 3 21 5" xfId="22826"/>
    <cellStyle name="Обычный 5 3 21 5" xfId="22827"/>
    <cellStyle name="Процентный 5 3 21 5" xfId="22828"/>
    <cellStyle name="Обычный 4 2 2 21 5" xfId="22829"/>
    <cellStyle name="Процентный 4 2 2 21 5" xfId="22830"/>
    <cellStyle name="Обычный 5 2 2 21 5" xfId="22831"/>
    <cellStyle name="Процентный 5 2 2 21 5" xfId="22832"/>
    <cellStyle name="Обычный 6 2 21 5" xfId="22833"/>
    <cellStyle name="Процентный 6 2 21 5" xfId="22834"/>
    <cellStyle name="Обычный 7 2 21 5" xfId="22835"/>
    <cellStyle name="Процентный 7 2 21 5" xfId="22836"/>
    <cellStyle name="Обычный 8 17 5" xfId="22837"/>
    <cellStyle name="Процентный 8 17 5" xfId="22838"/>
    <cellStyle name="Обычный 4 76 5" xfId="22839"/>
    <cellStyle name="Процентный 4 76 5" xfId="22840"/>
    <cellStyle name="Обычный 5 69 5" xfId="22841"/>
    <cellStyle name="Процентный 5 69 5" xfId="22842"/>
    <cellStyle name="Обычный 4 2 63 5" xfId="22843"/>
    <cellStyle name="Процентный 4 2 63 5" xfId="22844"/>
    <cellStyle name="Обычный 5 2 63 5" xfId="22845"/>
    <cellStyle name="Процентный 5 2 63 5" xfId="22846"/>
    <cellStyle name="Обычный 6 60 5" xfId="22847"/>
    <cellStyle name="Процентный 6 60 5" xfId="22848"/>
    <cellStyle name="Обычный 7 30 5" xfId="22849"/>
    <cellStyle name="Процентный 7 30 5" xfId="22850"/>
    <cellStyle name="Обычный 4 3 22 5" xfId="22851"/>
    <cellStyle name="Процентный 4 3 22 5" xfId="22852"/>
    <cellStyle name="Обычный 5 3 22 5" xfId="22853"/>
    <cellStyle name="Процентный 5 3 22 5" xfId="22854"/>
    <cellStyle name="Обычный 4 2 2 22 5" xfId="22855"/>
    <cellStyle name="Процентный 4 2 2 22 5" xfId="22856"/>
    <cellStyle name="Обычный 5 2 2 22 5" xfId="22857"/>
    <cellStyle name="Процентный 5 2 2 22 5" xfId="22858"/>
    <cellStyle name="Обычный 6 2 22 5" xfId="22859"/>
    <cellStyle name="Процентный 6 2 22 5" xfId="22860"/>
    <cellStyle name="Обычный 7 2 22 5" xfId="22861"/>
    <cellStyle name="Процентный 7 2 22 5" xfId="22862"/>
    <cellStyle name="Обычный 8 18 5" xfId="22863"/>
    <cellStyle name="Процентный 8 18 5" xfId="22864"/>
    <cellStyle name="Обычный 4 77 5" xfId="22865"/>
    <cellStyle name="Процентный 4 77 5" xfId="22866"/>
    <cellStyle name="Обычный 5 70 5" xfId="22867"/>
    <cellStyle name="Процентный 5 70 5" xfId="22868"/>
    <cellStyle name="Обычный 4 2 64 5" xfId="22869"/>
    <cellStyle name="Процентный 4 2 64 5" xfId="22870"/>
    <cellStyle name="Обычный 5 2 64 5" xfId="22871"/>
    <cellStyle name="Процентный 5 2 64 5" xfId="22872"/>
    <cellStyle name="Обычный 6 61 5" xfId="22873"/>
    <cellStyle name="Процентный 6 61 5" xfId="22874"/>
    <cellStyle name="Обычный 7 31 5" xfId="22875"/>
    <cellStyle name="Процентный 7 31 5" xfId="22876"/>
    <cellStyle name="Обычный 4 3 23 5" xfId="22877"/>
    <cellStyle name="Процентный 4 3 23 5" xfId="22878"/>
    <cellStyle name="Обычный 5 3 23 5" xfId="22879"/>
    <cellStyle name="Процентный 5 3 23 5" xfId="22880"/>
    <cellStyle name="Обычный 4 2 2 23 5" xfId="22881"/>
    <cellStyle name="Процентный 4 2 2 23 5" xfId="22882"/>
    <cellStyle name="Обычный 5 2 2 23 5" xfId="22883"/>
    <cellStyle name="Процентный 5 2 2 23 5" xfId="22884"/>
    <cellStyle name="Обычный 6 2 23 5" xfId="22885"/>
    <cellStyle name="Процентный 6 2 23 5" xfId="22886"/>
    <cellStyle name="Обычный 7 2 23 5" xfId="22887"/>
    <cellStyle name="Процентный 7 2 23 5" xfId="22888"/>
    <cellStyle name="Обычный 8 19 5" xfId="22889"/>
    <cellStyle name="Процентный 8 19 5" xfId="22890"/>
    <cellStyle name="Обычный 4 78 5" xfId="22891"/>
    <cellStyle name="Процентный 4 78 5" xfId="22892"/>
    <cellStyle name="Обычный 5 71 5" xfId="22893"/>
    <cellStyle name="Процентный 5 71 5" xfId="22894"/>
    <cellStyle name="Обычный 4 2 65 5" xfId="22895"/>
    <cellStyle name="Процентный 4 2 65 5" xfId="22896"/>
    <cellStyle name="Обычный 5 2 65 5" xfId="22897"/>
    <cellStyle name="Процентный 5 2 65 5" xfId="22898"/>
    <cellStyle name="Обычный 6 62 5" xfId="22899"/>
    <cellStyle name="Процентный 6 62 5" xfId="22900"/>
    <cellStyle name="Обычный 7 32 5" xfId="22901"/>
    <cellStyle name="Процентный 7 32 5" xfId="22902"/>
    <cellStyle name="Обычный 4 3 24 5" xfId="22903"/>
    <cellStyle name="Процентный 4 3 24 5" xfId="22904"/>
    <cellStyle name="Обычный 5 3 24 5" xfId="22905"/>
    <cellStyle name="Процентный 5 3 24 5" xfId="22906"/>
    <cellStyle name="Обычный 4 2 2 24 5" xfId="22907"/>
    <cellStyle name="Процентный 4 2 2 24 5" xfId="22908"/>
    <cellStyle name="Обычный 5 2 2 24 5" xfId="22909"/>
    <cellStyle name="Процентный 5 2 2 24 5" xfId="22910"/>
    <cellStyle name="Обычный 6 2 24 5" xfId="22911"/>
    <cellStyle name="Процентный 6 2 24 5" xfId="22912"/>
    <cellStyle name="Обычный 7 2 24 5" xfId="22913"/>
    <cellStyle name="Процентный 7 2 24 5" xfId="22914"/>
    <cellStyle name="Обычный 8 20 5" xfId="22915"/>
    <cellStyle name="Процентный 8 20 5" xfId="22916"/>
    <cellStyle name="Обычный 4 79 5" xfId="22917"/>
    <cellStyle name="Процентный 4 79 5" xfId="22918"/>
    <cellStyle name="Обычный 5 72 5" xfId="22919"/>
    <cellStyle name="Процентный 5 72 5" xfId="22920"/>
    <cellStyle name="Обычный 4 2 66 5" xfId="22921"/>
    <cellStyle name="Процентный 4 2 66 5" xfId="22922"/>
    <cellStyle name="Обычный 5 2 66 5" xfId="22923"/>
    <cellStyle name="Процентный 5 2 66 5" xfId="22924"/>
    <cellStyle name="Обычный 6 63 5" xfId="22925"/>
    <cellStyle name="Процентный 6 63 5" xfId="22926"/>
    <cellStyle name="Обычный 7 33 5" xfId="22927"/>
    <cellStyle name="Процентный 7 33 5" xfId="22928"/>
    <cellStyle name="Обычный 4 3 25 5" xfId="22929"/>
    <cellStyle name="Процентный 4 3 25 5" xfId="22930"/>
    <cellStyle name="Обычный 5 3 25 5" xfId="22931"/>
    <cellStyle name="Процентный 5 3 25 5" xfId="22932"/>
    <cellStyle name="Обычный 4 2 2 25 5" xfId="22933"/>
    <cellStyle name="Процентный 4 2 2 25 5" xfId="22934"/>
    <cellStyle name="Обычный 5 2 2 25 5" xfId="22935"/>
    <cellStyle name="Процентный 5 2 2 25 5" xfId="22936"/>
    <cellStyle name="Обычный 6 2 25 5" xfId="22937"/>
    <cellStyle name="Процентный 6 2 25 5" xfId="22938"/>
    <cellStyle name="Обычный 7 2 25 5" xfId="22939"/>
    <cellStyle name="Процентный 7 2 25 5" xfId="22940"/>
    <cellStyle name="Обычный 8 21 5" xfId="22941"/>
    <cellStyle name="Процентный 8 21 5" xfId="22942"/>
    <cellStyle name="Обычный 4 80 5" xfId="22943"/>
    <cellStyle name="Процентный 4 80 5" xfId="22944"/>
    <cellStyle name="Обычный 5 73 5" xfId="22945"/>
    <cellStyle name="Процентный 5 73 5" xfId="22946"/>
    <cellStyle name="Обычный 4 2 67 5" xfId="22947"/>
    <cellStyle name="Процентный 4 2 67 5" xfId="22948"/>
    <cellStyle name="Обычный 5 2 67 5" xfId="22949"/>
    <cellStyle name="Процентный 5 2 67 5" xfId="22950"/>
    <cellStyle name="Обычный 6 64 5" xfId="22951"/>
    <cellStyle name="Процентный 6 64 5" xfId="22952"/>
    <cellStyle name="Обычный 7 34 5" xfId="22953"/>
    <cellStyle name="Процентный 7 34 5" xfId="22954"/>
    <cellStyle name="Обычный 4 3 26 5" xfId="22955"/>
    <cellStyle name="Процентный 4 3 26 5" xfId="22956"/>
    <cellStyle name="Обычный 5 3 26 5" xfId="22957"/>
    <cellStyle name="Процентный 5 3 26 5" xfId="22958"/>
    <cellStyle name="Обычный 4 2 2 26 5" xfId="22959"/>
    <cellStyle name="Процентный 4 2 2 26 5" xfId="22960"/>
    <cellStyle name="Обычный 5 2 2 26 5" xfId="22961"/>
    <cellStyle name="Процентный 5 2 2 26 5" xfId="22962"/>
    <cellStyle name="Обычный 6 2 26 5" xfId="22963"/>
    <cellStyle name="Процентный 6 2 26 5" xfId="22964"/>
    <cellStyle name="Обычный 7 2 26 5" xfId="22965"/>
    <cellStyle name="Процентный 7 2 26 5" xfId="22966"/>
    <cellStyle name="Обычный 8 22 5" xfId="22967"/>
    <cellStyle name="Процентный 8 22 5" xfId="22968"/>
    <cellStyle name="Обычный 4 81 5" xfId="22969"/>
    <cellStyle name="Процентный 4 81 5" xfId="22970"/>
    <cellStyle name="Обычный 5 74 5" xfId="22971"/>
    <cellStyle name="Процентный 5 74 5" xfId="22972"/>
    <cellStyle name="Обычный 4 2 68 5" xfId="22973"/>
    <cellStyle name="Процентный 4 2 68 5" xfId="22974"/>
    <cellStyle name="Обычный 5 2 68 5" xfId="22975"/>
    <cellStyle name="Процентный 5 2 68 5" xfId="22976"/>
    <cellStyle name="Обычный 6 65 5" xfId="22977"/>
    <cellStyle name="Процентный 6 65 5" xfId="22978"/>
    <cellStyle name="Обычный 7 35 5" xfId="22979"/>
    <cellStyle name="Процентный 7 35 5" xfId="22980"/>
    <cellStyle name="Обычный 4 3 27 5" xfId="22981"/>
    <cellStyle name="Процентный 4 3 27 5" xfId="22982"/>
    <cellStyle name="Обычный 5 3 27 5" xfId="22983"/>
    <cellStyle name="Процентный 5 3 27 5" xfId="22984"/>
    <cellStyle name="Обычный 4 2 2 27 5" xfId="22985"/>
    <cellStyle name="Процентный 4 2 2 27 5" xfId="22986"/>
    <cellStyle name="Обычный 5 2 2 27 5" xfId="22987"/>
    <cellStyle name="Процентный 5 2 2 27 5" xfId="22988"/>
    <cellStyle name="Обычный 6 2 27 5" xfId="22989"/>
    <cellStyle name="Процентный 6 2 27 5" xfId="22990"/>
    <cellStyle name="Обычный 7 2 27 5" xfId="22991"/>
    <cellStyle name="Процентный 7 2 27 5" xfId="22992"/>
    <cellStyle name="Обычный 8 23 5" xfId="22993"/>
    <cellStyle name="Процентный 8 23 5" xfId="22994"/>
    <cellStyle name="Обычный 4 82 5" xfId="22995"/>
    <cellStyle name="Процентный 4 82 5" xfId="22996"/>
    <cellStyle name="Обычный 5 75 5" xfId="22997"/>
    <cellStyle name="Процентный 5 75 5" xfId="22998"/>
    <cellStyle name="Обычный 4 2 69 5" xfId="22999"/>
    <cellStyle name="Процентный 4 2 69 5" xfId="23000"/>
    <cellStyle name="Обычный 5 2 69 5" xfId="23001"/>
    <cellStyle name="Процентный 5 2 69 5" xfId="23002"/>
    <cellStyle name="Обычный 6 66 5" xfId="23003"/>
    <cellStyle name="Процентный 6 66 5" xfId="23004"/>
    <cellStyle name="Обычный 7 36 5" xfId="23005"/>
    <cellStyle name="Процентный 7 36 5" xfId="23006"/>
    <cellStyle name="Обычный 4 3 28 5" xfId="23007"/>
    <cellStyle name="Процентный 4 3 28 5" xfId="23008"/>
    <cellStyle name="Обычный 5 3 28 5" xfId="23009"/>
    <cellStyle name="Процентный 5 3 28 5" xfId="23010"/>
    <cellStyle name="Обычный 4 2 2 28 5" xfId="23011"/>
    <cellStyle name="Процентный 4 2 2 28 5" xfId="23012"/>
    <cellStyle name="Обычный 5 2 2 28 5" xfId="23013"/>
    <cellStyle name="Процентный 5 2 2 28 5" xfId="23014"/>
    <cellStyle name="Обычный 6 2 28 5" xfId="23015"/>
    <cellStyle name="Процентный 6 2 28 5" xfId="23016"/>
    <cellStyle name="Обычный 7 2 28 5" xfId="23017"/>
    <cellStyle name="Процентный 7 2 28 5" xfId="23018"/>
    <cellStyle name="Обычный 8 24 5" xfId="23019"/>
    <cellStyle name="Процентный 8 24 5" xfId="23020"/>
    <cellStyle name="Обычный 4 83 5" xfId="23021"/>
    <cellStyle name="Процентный 4 83 5" xfId="23022"/>
    <cellStyle name="Обычный 5 76 5" xfId="23023"/>
    <cellStyle name="Процентный 5 76 5" xfId="23024"/>
    <cellStyle name="Обычный 4 2 70 5" xfId="23025"/>
    <cellStyle name="Процентный 4 2 70 5" xfId="23026"/>
    <cellStyle name="Обычный 5 2 70 5" xfId="23027"/>
    <cellStyle name="Процентный 5 2 70 5" xfId="23028"/>
    <cellStyle name="Обычный 6 67 5" xfId="23029"/>
    <cellStyle name="Процентный 6 67 5" xfId="23030"/>
    <cellStyle name="Обычный 7 37 5" xfId="23031"/>
    <cellStyle name="Процентный 7 37 5" xfId="23032"/>
    <cellStyle name="Обычный 4 3 29 5" xfId="23033"/>
    <cellStyle name="Процентный 4 3 29 5" xfId="23034"/>
    <cellStyle name="Обычный 5 3 29 5" xfId="23035"/>
    <cellStyle name="Процентный 5 3 29 5" xfId="23036"/>
    <cellStyle name="Обычный 4 2 2 29 5" xfId="23037"/>
    <cellStyle name="Процентный 4 2 2 29 5" xfId="23038"/>
    <cellStyle name="Обычный 5 2 2 29 5" xfId="23039"/>
    <cellStyle name="Процентный 5 2 2 29 5" xfId="23040"/>
    <cellStyle name="Обычный 6 2 29 5" xfId="23041"/>
    <cellStyle name="Процентный 6 2 29 5" xfId="23042"/>
    <cellStyle name="Обычный 7 2 29 5" xfId="23043"/>
    <cellStyle name="Процентный 7 2 29 5" xfId="23044"/>
    <cellStyle name="Обычный 8 25 5" xfId="23045"/>
    <cellStyle name="Процентный 8 25 5" xfId="23046"/>
    <cellStyle name="Обычный 4 84 5" xfId="23047"/>
    <cellStyle name="Процентный 4 84 5" xfId="23048"/>
    <cellStyle name="Обычный 5 77 5" xfId="23049"/>
    <cellStyle name="Процентный 5 77 5" xfId="23050"/>
    <cellStyle name="Обычный 4 2 71 5" xfId="23051"/>
    <cellStyle name="Процентный 4 2 71 5" xfId="23052"/>
    <cellStyle name="Обычный 5 2 71 5" xfId="23053"/>
    <cellStyle name="Процентный 5 2 71 5" xfId="23054"/>
    <cellStyle name="Обычный 6 68 5" xfId="23055"/>
    <cellStyle name="Процентный 6 68 5" xfId="23056"/>
    <cellStyle name="Обычный 7 38 5" xfId="23057"/>
    <cellStyle name="Процентный 7 38 5" xfId="23058"/>
    <cellStyle name="Обычный 4 3 30 5" xfId="23059"/>
    <cellStyle name="Процентный 4 3 30 5" xfId="23060"/>
    <cellStyle name="Обычный 5 3 30 5" xfId="23061"/>
    <cellStyle name="Процентный 5 3 30 5" xfId="23062"/>
    <cellStyle name="Обычный 4 2 2 30 5" xfId="23063"/>
    <cellStyle name="Процентный 4 2 2 30 5" xfId="23064"/>
    <cellStyle name="Обычный 5 2 2 30 5" xfId="23065"/>
    <cellStyle name="Процентный 5 2 2 30 5" xfId="23066"/>
    <cellStyle name="Обычный 6 2 30 5" xfId="23067"/>
    <cellStyle name="Процентный 6 2 30 5" xfId="23068"/>
    <cellStyle name="Обычный 7 2 30 5" xfId="23069"/>
    <cellStyle name="Процентный 7 2 30 5" xfId="23070"/>
    <cellStyle name="Обычный 8 26 5" xfId="23071"/>
    <cellStyle name="Процентный 8 26 5" xfId="23072"/>
    <cellStyle name="Обычный 4 85 5" xfId="23073"/>
    <cellStyle name="Процентный 4 85 5" xfId="23074"/>
    <cellStyle name="Обычный 5 78 5" xfId="23075"/>
    <cellStyle name="Процентный 5 78 5" xfId="23076"/>
    <cellStyle name="Обычный 4 2 72 5" xfId="23077"/>
    <cellStyle name="Процентный 4 2 72 5" xfId="23078"/>
    <cellStyle name="Обычный 5 2 72 5" xfId="23079"/>
    <cellStyle name="Процентный 5 2 72 5" xfId="23080"/>
    <cellStyle name="Обычный 6 69 5" xfId="23081"/>
    <cellStyle name="Процентный 6 69 5" xfId="23082"/>
    <cellStyle name="Обычный 7 39 5" xfId="23083"/>
    <cellStyle name="Процентный 7 39 5" xfId="23084"/>
    <cellStyle name="Обычный 4 3 31 5" xfId="23085"/>
    <cellStyle name="Процентный 4 3 31 5" xfId="23086"/>
    <cellStyle name="Обычный 5 3 31 5" xfId="23087"/>
    <cellStyle name="Процентный 5 3 31 5" xfId="23088"/>
    <cellStyle name="Обычный 4 2 2 31 5" xfId="23089"/>
    <cellStyle name="Процентный 4 2 2 31 5" xfId="23090"/>
    <cellStyle name="Обычный 5 2 2 31 5" xfId="23091"/>
    <cellStyle name="Процентный 5 2 2 31 5" xfId="23092"/>
    <cellStyle name="Обычный 6 2 31 5" xfId="23093"/>
    <cellStyle name="Процентный 6 2 31 5" xfId="23094"/>
    <cellStyle name="Обычный 7 2 31 5" xfId="23095"/>
    <cellStyle name="Процентный 7 2 31 5" xfId="23096"/>
    <cellStyle name="Обычный 8 27 5" xfId="23097"/>
    <cellStyle name="Процентный 8 27 5" xfId="23098"/>
    <cellStyle name="Обычный 4 86 5" xfId="23099"/>
    <cellStyle name="Процентный 4 86 5" xfId="23100"/>
    <cellStyle name="Обычный 5 79 5" xfId="23101"/>
    <cellStyle name="Процентный 5 79 5" xfId="23102"/>
    <cellStyle name="Обычный 4 2 73 5" xfId="23103"/>
    <cellStyle name="Процентный 4 2 73 5" xfId="23104"/>
    <cellStyle name="Обычный 5 2 73 5" xfId="23105"/>
    <cellStyle name="Процентный 5 2 73 5" xfId="23106"/>
    <cellStyle name="Обычный 6 70 5" xfId="23107"/>
    <cellStyle name="Процентный 6 70 5" xfId="23108"/>
    <cellStyle name="Обычный 7 40 5" xfId="23109"/>
    <cellStyle name="Процентный 7 40 5" xfId="23110"/>
    <cellStyle name="Обычный 4 3 32 5" xfId="23111"/>
    <cellStyle name="Процентный 4 3 32 5" xfId="23112"/>
    <cellStyle name="Обычный 5 3 32 5" xfId="23113"/>
    <cellStyle name="Процентный 5 3 32 5" xfId="23114"/>
    <cellStyle name="Обычный 4 2 2 32 5" xfId="23115"/>
    <cellStyle name="Процентный 4 2 2 32 5" xfId="23116"/>
    <cellStyle name="Обычный 5 2 2 32 5" xfId="23117"/>
    <cellStyle name="Процентный 5 2 2 32 5" xfId="23118"/>
    <cellStyle name="Обычный 6 2 32 5" xfId="23119"/>
    <cellStyle name="Процентный 6 2 32 5" xfId="23120"/>
    <cellStyle name="Обычный 7 2 32 5" xfId="23121"/>
    <cellStyle name="Процентный 7 2 32 5" xfId="23122"/>
    <cellStyle name="Обычный 8 28 5" xfId="23123"/>
    <cellStyle name="Процентный 8 28 5" xfId="23124"/>
    <cellStyle name="Обычный 4 87 5" xfId="23125"/>
    <cellStyle name="Процентный 4 87 5" xfId="23126"/>
    <cellStyle name="Обычный 5 80 5" xfId="23127"/>
    <cellStyle name="Процентный 5 80 5" xfId="23128"/>
    <cellStyle name="Обычный 4 2 74 5" xfId="23129"/>
    <cellStyle name="Процентный 4 2 74 5" xfId="23130"/>
    <cellStyle name="Обычный 5 2 74 5" xfId="23131"/>
    <cellStyle name="Процентный 5 2 74 5" xfId="23132"/>
    <cellStyle name="Обычный 6 71 5" xfId="23133"/>
    <cellStyle name="Процентный 6 71 5" xfId="23134"/>
    <cellStyle name="Обычный 7 41 5" xfId="23135"/>
    <cellStyle name="Процентный 7 41 5" xfId="23136"/>
    <cellStyle name="Обычный 4 3 33 5" xfId="23137"/>
    <cellStyle name="Процентный 4 3 33 5" xfId="23138"/>
    <cellStyle name="Обычный 5 3 33 5" xfId="23139"/>
    <cellStyle name="Процентный 5 3 33 5" xfId="23140"/>
    <cellStyle name="Обычный 4 2 2 33 5" xfId="23141"/>
    <cellStyle name="Процентный 4 2 2 33 5" xfId="23142"/>
    <cellStyle name="Обычный 5 2 2 33 5" xfId="23143"/>
    <cellStyle name="Процентный 5 2 2 33 5" xfId="23144"/>
    <cellStyle name="Обычный 6 2 33 5" xfId="23145"/>
    <cellStyle name="Процентный 6 2 33 5" xfId="23146"/>
    <cellStyle name="Обычный 7 2 33 5" xfId="23147"/>
    <cellStyle name="Процентный 7 2 33 5" xfId="23148"/>
    <cellStyle name="Обычный 8 29 5" xfId="23149"/>
    <cellStyle name="Процентный 8 29 5" xfId="23150"/>
    <cellStyle name="Обычный 4 88 5" xfId="23151"/>
    <cellStyle name="Процентный 4 88 5" xfId="23152"/>
    <cellStyle name="Обычный 5 81 5" xfId="23153"/>
    <cellStyle name="Процентный 5 81 5" xfId="23154"/>
    <cellStyle name="Обычный 4 2 75 5" xfId="23155"/>
    <cellStyle name="Процентный 4 2 75 5" xfId="23156"/>
    <cellStyle name="Обычный 5 2 75 5" xfId="23157"/>
    <cellStyle name="Процентный 5 2 75 5" xfId="23158"/>
    <cellStyle name="Обычный 6 72 5" xfId="23159"/>
    <cellStyle name="Процентный 6 72 5" xfId="23160"/>
    <cellStyle name="Обычный 7 42 5" xfId="23161"/>
    <cellStyle name="Процентный 7 42 5" xfId="23162"/>
    <cellStyle name="Обычный 4 3 34 5" xfId="23163"/>
    <cellStyle name="Процентный 4 3 34 5" xfId="23164"/>
    <cellStyle name="Обычный 5 3 34 5" xfId="23165"/>
    <cellStyle name="Процентный 5 3 34 5" xfId="23166"/>
    <cellStyle name="Обычный 4 2 2 34 5" xfId="23167"/>
    <cellStyle name="Процентный 4 2 2 34 5" xfId="23168"/>
    <cellStyle name="Обычный 5 2 2 34 5" xfId="23169"/>
    <cellStyle name="Процентный 5 2 2 34 5" xfId="23170"/>
    <cellStyle name="Обычный 6 2 34 5" xfId="23171"/>
    <cellStyle name="Процентный 6 2 34 5" xfId="23172"/>
    <cellStyle name="Обычный 7 2 34 5" xfId="23173"/>
    <cellStyle name="Процентный 7 2 34 5" xfId="23174"/>
    <cellStyle name="Обычный 8 30 5" xfId="23175"/>
    <cellStyle name="Процентный 8 30 5" xfId="23176"/>
    <cellStyle name="Обычный 4 89 5" xfId="23177"/>
    <cellStyle name="Процентный 4 89 5" xfId="23178"/>
    <cellStyle name="Обычный 5 82 5" xfId="23179"/>
    <cellStyle name="Процентный 5 82 5" xfId="23180"/>
    <cellStyle name="Обычный 4 2 76 5" xfId="23181"/>
    <cellStyle name="Процентный 4 2 76 5" xfId="23182"/>
    <cellStyle name="Обычный 5 2 76 5" xfId="23183"/>
    <cellStyle name="Процентный 5 2 76 5" xfId="23184"/>
    <cellStyle name="Обычный 6 73 5" xfId="23185"/>
    <cellStyle name="Процентный 6 73 5" xfId="23186"/>
    <cellStyle name="Обычный 7 43 5" xfId="23187"/>
    <cellStyle name="Процентный 7 43 5" xfId="23188"/>
    <cellStyle name="Обычный 4 3 35 5" xfId="23189"/>
    <cellStyle name="Процентный 4 3 35 5" xfId="23190"/>
    <cellStyle name="Обычный 5 3 35 5" xfId="23191"/>
    <cellStyle name="Процентный 5 3 35 5" xfId="23192"/>
    <cellStyle name="Обычный 4 2 2 35 5" xfId="23193"/>
    <cellStyle name="Процентный 4 2 2 35 5" xfId="23194"/>
    <cellStyle name="Обычный 5 2 2 35 5" xfId="23195"/>
    <cellStyle name="Процентный 5 2 2 35 5" xfId="23196"/>
    <cellStyle name="Обычный 6 2 35 5" xfId="23197"/>
    <cellStyle name="Процентный 6 2 35 5" xfId="23198"/>
    <cellStyle name="Обычный 7 2 35 5" xfId="23199"/>
    <cellStyle name="Процентный 7 2 35 5" xfId="23200"/>
    <cellStyle name="Обычный 8 31 5" xfId="23201"/>
    <cellStyle name="Процентный 8 31 5" xfId="23202"/>
    <cellStyle name="Обычный 4 90 5" xfId="23203"/>
    <cellStyle name="Процентный 4 90 5" xfId="23204"/>
    <cellStyle name="Обычный 5 83 5" xfId="23205"/>
    <cellStyle name="Процентный 5 83 5" xfId="23206"/>
    <cellStyle name="Обычный 4 2 77 5" xfId="23207"/>
    <cellStyle name="Процентный 4 2 77 5" xfId="23208"/>
    <cellStyle name="Обычный 5 2 77 5" xfId="23209"/>
    <cellStyle name="Процентный 5 2 77 5" xfId="23210"/>
    <cellStyle name="Обычный 6 74 5" xfId="23211"/>
    <cellStyle name="Процентный 6 74 5" xfId="23212"/>
    <cellStyle name="Обычный 7 44 5" xfId="23213"/>
    <cellStyle name="Процентный 7 44 5" xfId="23214"/>
    <cellStyle name="Обычный 4 3 36 5" xfId="23215"/>
    <cellStyle name="Процентный 4 3 36 5" xfId="23216"/>
    <cellStyle name="Обычный 5 3 36 5" xfId="23217"/>
    <cellStyle name="Процентный 5 3 36 5" xfId="23218"/>
    <cellStyle name="Обычный 4 2 2 36 5" xfId="23219"/>
    <cellStyle name="Процентный 4 2 2 36 5" xfId="23220"/>
    <cellStyle name="Обычный 5 2 2 36 5" xfId="23221"/>
    <cellStyle name="Процентный 5 2 2 36 5" xfId="23222"/>
    <cellStyle name="Обычный 6 2 36 5" xfId="23223"/>
    <cellStyle name="Процентный 6 2 36 5" xfId="23224"/>
    <cellStyle name="Обычный 7 2 36 5" xfId="23225"/>
    <cellStyle name="Процентный 7 2 36 5" xfId="23226"/>
    <cellStyle name="Обычный 8 32 5" xfId="23227"/>
    <cellStyle name="Процентный 8 32 5" xfId="23228"/>
    <cellStyle name="Обычный 4 91 5" xfId="23229"/>
    <cellStyle name="Процентный 4 91 5" xfId="23230"/>
    <cellStyle name="Обычный 5 84 5" xfId="23231"/>
    <cellStyle name="Процентный 5 84 5" xfId="23232"/>
    <cellStyle name="Обычный 4 2 78 5" xfId="23233"/>
    <cellStyle name="Процентный 4 2 78 5" xfId="23234"/>
    <cellStyle name="Обычный 5 2 78 5" xfId="23235"/>
    <cellStyle name="Процентный 5 2 78 5" xfId="23236"/>
    <cellStyle name="Обычный 6 75 5" xfId="23237"/>
    <cellStyle name="Процентный 6 75 5" xfId="23238"/>
    <cellStyle name="Обычный 7 45 5" xfId="23239"/>
    <cellStyle name="Процентный 7 45 5" xfId="23240"/>
    <cellStyle name="Обычный 4 3 37 5" xfId="23241"/>
    <cellStyle name="Процентный 4 3 37 5" xfId="23242"/>
    <cellStyle name="Обычный 5 3 37 5" xfId="23243"/>
    <cellStyle name="Процентный 5 3 37 5" xfId="23244"/>
    <cellStyle name="Обычный 4 2 2 37 5" xfId="23245"/>
    <cellStyle name="Процентный 4 2 2 37 5" xfId="23246"/>
    <cellStyle name="Обычный 5 2 2 37 5" xfId="23247"/>
    <cellStyle name="Процентный 5 2 2 37 5" xfId="23248"/>
    <cellStyle name="Обычный 6 2 37 5" xfId="23249"/>
    <cellStyle name="Процентный 6 2 37 5" xfId="23250"/>
    <cellStyle name="Обычный 7 2 37 5" xfId="23251"/>
    <cellStyle name="Процентный 7 2 37 5" xfId="23252"/>
    <cellStyle name="Обычный 8 33 5" xfId="23253"/>
    <cellStyle name="Процентный 8 33 5" xfId="23254"/>
    <cellStyle name="Обычный 4 92 5" xfId="23255"/>
    <cellStyle name="Процентный 4 92 5" xfId="23256"/>
    <cellStyle name="Обычный 5 85 5" xfId="23257"/>
    <cellStyle name="Процентный 5 85 5" xfId="23258"/>
    <cellStyle name="Обычный 4 2 79 5" xfId="23259"/>
    <cellStyle name="Процентный 4 2 79 5" xfId="23260"/>
    <cellStyle name="Обычный 5 2 79 5" xfId="23261"/>
    <cellStyle name="Процентный 5 2 79 5" xfId="23262"/>
    <cellStyle name="Обычный 6 76 5" xfId="23263"/>
    <cellStyle name="Процентный 6 76 5" xfId="23264"/>
    <cellStyle name="Обычный 7 46 5" xfId="23265"/>
    <cellStyle name="Процентный 7 46 5" xfId="23266"/>
    <cellStyle name="Обычный 4 3 38 5" xfId="23267"/>
    <cellStyle name="Процентный 4 3 38 5" xfId="23268"/>
    <cellStyle name="Обычный 5 3 38 5" xfId="23269"/>
    <cellStyle name="Процентный 5 3 38 5" xfId="23270"/>
    <cellStyle name="Обычный 4 2 2 38 5" xfId="23271"/>
    <cellStyle name="Процентный 4 2 2 38 5" xfId="23272"/>
    <cellStyle name="Обычный 5 2 2 38 5" xfId="23273"/>
    <cellStyle name="Процентный 5 2 2 38 5" xfId="23274"/>
    <cellStyle name="Обычный 6 2 38 5" xfId="23275"/>
    <cellStyle name="Процентный 6 2 38 5" xfId="23276"/>
    <cellStyle name="Обычный 7 2 38 5" xfId="23277"/>
    <cellStyle name="Процентный 7 2 38 5" xfId="23278"/>
    <cellStyle name="Обычный 8 34 5" xfId="23279"/>
    <cellStyle name="Процентный 8 34 5" xfId="23280"/>
    <cellStyle name="Обычный 4 93 5" xfId="23281"/>
    <cellStyle name="Процентный 4 93 5" xfId="23282"/>
    <cellStyle name="Обычный 5 86 5" xfId="23283"/>
    <cellStyle name="Процентный 5 86 5" xfId="23284"/>
    <cellStyle name="Обычный 4 2 80 5" xfId="23285"/>
    <cellStyle name="Процентный 4 2 80 5" xfId="23286"/>
    <cellStyle name="Обычный 5 2 80 5" xfId="23287"/>
    <cellStyle name="Процентный 5 2 80 5" xfId="23288"/>
    <cellStyle name="Обычный 6 77 5" xfId="23289"/>
    <cellStyle name="Процентный 6 77 5" xfId="23290"/>
    <cellStyle name="Обычный 7 47 5" xfId="23291"/>
    <cellStyle name="Процентный 7 47 5" xfId="23292"/>
    <cellStyle name="Обычный 4 3 39 5" xfId="23293"/>
    <cellStyle name="Процентный 4 3 39 5" xfId="23294"/>
    <cellStyle name="Обычный 5 3 39 5" xfId="23295"/>
    <cellStyle name="Процентный 5 3 39 5" xfId="23296"/>
    <cellStyle name="Обычный 4 2 2 39 5" xfId="23297"/>
    <cellStyle name="Процентный 4 2 2 39 5" xfId="23298"/>
    <cellStyle name="Обычный 5 2 2 39 5" xfId="23299"/>
    <cellStyle name="Процентный 5 2 2 39 5" xfId="23300"/>
    <cellStyle name="Обычный 6 2 39 5" xfId="23301"/>
    <cellStyle name="Процентный 6 2 39 5" xfId="23302"/>
    <cellStyle name="Обычный 7 2 39 5" xfId="23303"/>
    <cellStyle name="Процентный 7 2 39 5" xfId="23304"/>
    <cellStyle name="Обычный 8 35 5" xfId="23305"/>
    <cellStyle name="Процентный 8 35 5" xfId="23306"/>
    <cellStyle name="Обычный 9 114" xfId="23307"/>
    <cellStyle name="Процентный 9 2 5" xfId="23308"/>
    <cellStyle name="Обычный 4 94 5" xfId="23309"/>
    <cellStyle name="Процентный 4 94 5" xfId="23310"/>
    <cellStyle name="Обычный 5 87 5" xfId="23311"/>
    <cellStyle name="Процентный 5 87 5" xfId="23312"/>
    <cellStyle name="Обычный 4 2 81 5" xfId="23313"/>
    <cellStyle name="Процентный 4 2 81 5" xfId="23314"/>
    <cellStyle name="Обычный 5 2 81 5" xfId="23315"/>
    <cellStyle name="Процентный 5 2 81 5" xfId="23316"/>
    <cellStyle name="Обычный 6 78 5" xfId="23317"/>
    <cellStyle name="Процентный 6 78 5" xfId="23318"/>
    <cellStyle name="Обычный 7 48 5" xfId="23319"/>
    <cellStyle name="Процентный 7 48 5" xfId="23320"/>
    <cellStyle name="Обычный 4 3 40 5" xfId="23321"/>
    <cellStyle name="Процентный 4 3 40 5" xfId="23322"/>
    <cellStyle name="Обычный 5 3 40 5" xfId="23323"/>
    <cellStyle name="Процентный 5 3 40 5" xfId="23324"/>
    <cellStyle name="Обычный 4 2 2 40 5" xfId="23325"/>
    <cellStyle name="Процентный 4 2 2 40 5" xfId="23326"/>
    <cellStyle name="Обычный 5 2 2 40 5" xfId="23327"/>
    <cellStyle name="Процентный 5 2 2 40 5" xfId="23328"/>
    <cellStyle name="Обычный 6 2 40 5" xfId="23329"/>
    <cellStyle name="Процентный 6 2 40 5" xfId="23330"/>
    <cellStyle name="Обычный 7 2 40 5" xfId="23331"/>
    <cellStyle name="Процентный 7 2 40 5" xfId="23332"/>
    <cellStyle name="Обычный 8 36 5" xfId="23333"/>
    <cellStyle name="Процентный 8 36 5" xfId="23334"/>
    <cellStyle name="Обычный 9 2 5" xfId="23335"/>
    <cellStyle name="Процентный 9 3 5" xfId="23336"/>
    <cellStyle name="Обычный 4 95 5" xfId="23337"/>
    <cellStyle name="Процентный 4 95 5" xfId="23338"/>
    <cellStyle name="Обычный 5 88 5" xfId="23339"/>
    <cellStyle name="Процентный 5 88 5" xfId="23340"/>
    <cellStyle name="Обычный 4 2 82 5" xfId="23341"/>
    <cellStyle name="Процентный 4 2 82 5" xfId="23342"/>
    <cellStyle name="Обычный 5 2 82 5" xfId="23343"/>
    <cellStyle name="Процентный 5 2 82 5" xfId="23344"/>
    <cellStyle name="Обычный 6 79 5" xfId="23345"/>
    <cellStyle name="Процентный 6 79 5" xfId="23346"/>
    <cellStyle name="Обычный 7 49 5" xfId="23347"/>
    <cellStyle name="Процентный 7 49 5" xfId="23348"/>
    <cellStyle name="Обычный 4 3 41 5" xfId="23349"/>
    <cellStyle name="Процентный 4 3 41 5" xfId="23350"/>
    <cellStyle name="Обычный 5 3 41 5" xfId="23351"/>
    <cellStyle name="Процентный 5 3 41 5" xfId="23352"/>
    <cellStyle name="Обычный 4 2 2 41 5" xfId="23353"/>
    <cellStyle name="Процентный 4 2 2 41 5" xfId="23354"/>
    <cellStyle name="Обычный 5 2 2 41 5" xfId="23355"/>
    <cellStyle name="Процентный 5 2 2 41 5" xfId="23356"/>
    <cellStyle name="Обычный 6 2 41 5" xfId="23357"/>
    <cellStyle name="Процентный 6 2 41 5" xfId="23358"/>
    <cellStyle name="Обычный 7 2 41 5" xfId="23359"/>
    <cellStyle name="Процентный 7 2 41 5" xfId="23360"/>
    <cellStyle name="Обычный 8 37 5" xfId="23361"/>
    <cellStyle name="Процентный 8 37 5" xfId="23362"/>
    <cellStyle name="Обычный 9 3 5" xfId="23363"/>
    <cellStyle name="Процентный 9 4 5" xfId="23364"/>
    <cellStyle name="Обычный 4 96 5" xfId="23365"/>
    <cellStyle name="Процентный 4 96 5" xfId="23366"/>
    <cellStyle name="Обычный 5 89 5" xfId="23367"/>
    <cellStyle name="Процентный 5 89 5" xfId="23368"/>
    <cellStyle name="Обычный 4 2 83 5" xfId="23369"/>
    <cellStyle name="Процентный 4 2 83 5" xfId="23370"/>
    <cellStyle name="Обычный 5 2 83 5" xfId="23371"/>
    <cellStyle name="Процентный 5 2 83 5" xfId="23372"/>
    <cellStyle name="Обычный 6 80 5" xfId="23373"/>
    <cellStyle name="Процентный 6 80 5" xfId="23374"/>
    <cellStyle name="Обычный 7 50 5" xfId="23375"/>
    <cellStyle name="Процентный 7 50 5" xfId="23376"/>
    <cellStyle name="Обычный 4 3 42 5" xfId="23377"/>
    <cellStyle name="Процентный 4 3 42 5" xfId="23378"/>
    <cellStyle name="Обычный 5 3 42 5" xfId="23379"/>
    <cellStyle name="Процентный 5 3 42 5" xfId="23380"/>
    <cellStyle name="Обычный 4 2 2 42 5" xfId="23381"/>
    <cellStyle name="Процентный 4 2 2 42 5" xfId="23382"/>
    <cellStyle name="Обычный 5 2 2 42 5" xfId="23383"/>
    <cellStyle name="Процентный 5 2 2 42 5" xfId="23384"/>
    <cellStyle name="Обычный 6 2 42 5" xfId="23385"/>
    <cellStyle name="Процентный 6 2 42 5" xfId="23386"/>
    <cellStyle name="Обычный 7 2 42 5" xfId="23387"/>
    <cellStyle name="Процентный 7 2 42 5" xfId="23388"/>
    <cellStyle name="Обычный 8 38 5" xfId="23389"/>
    <cellStyle name="Процентный 8 38 5" xfId="23390"/>
    <cellStyle name="Обычный 9 4 5" xfId="23391"/>
    <cellStyle name="Процентный 9 5 5" xfId="23392"/>
    <cellStyle name="Обычный 4 97 5" xfId="23393"/>
    <cellStyle name="Процентный 4 97 5" xfId="23394"/>
    <cellStyle name="Обычный 5 90 5" xfId="23395"/>
    <cellStyle name="Процентный 5 90 5" xfId="23396"/>
    <cellStyle name="Обычный 4 2 84 5" xfId="23397"/>
    <cellStyle name="Процентный 4 2 84 5" xfId="23398"/>
    <cellStyle name="Обычный 5 2 84 5" xfId="23399"/>
    <cellStyle name="Процентный 5 2 84 5" xfId="23400"/>
    <cellStyle name="Обычный 6 81 5" xfId="23401"/>
    <cellStyle name="Процентный 6 81 5" xfId="23402"/>
    <cellStyle name="Обычный 7 51 5" xfId="23403"/>
    <cellStyle name="Процентный 7 51 5" xfId="23404"/>
    <cellStyle name="Обычный 4 3 43 5" xfId="23405"/>
    <cellStyle name="Процентный 4 3 43 5" xfId="23406"/>
    <cellStyle name="Обычный 5 3 43 5" xfId="23407"/>
    <cellStyle name="Процентный 5 3 43 5" xfId="23408"/>
    <cellStyle name="Обычный 4 2 2 43 5" xfId="23409"/>
    <cellStyle name="Процентный 4 2 2 43 5" xfId="23410"/>
    <cellStyle name="Обычный 5 2 2 43 5" xfId="23411"/>
    <cellStyle name="Процентный 5 2 2 43 5" xfId="23412"/>
    <cellStyle name="Обычный 6 2 43 5" xfId="23413"/>
    <cellStyle name="Процентный 6 2 43 5" xfId="23414"/>
    <cellStyle name="Обычный 7 2 43 5" xfId="23415"/>
    <cellStyle name="Процентный 7 2 43 5" xfId="23416"/>
    <cellStyle name="Обычный 8 39 5" xfId="23417"/>
    <cellStyle name="Процентный 8 39 5" xfId="23418"/>
    <cellStyle name="Обычный 9 5 5" xfId="23419"/>
    <cellStyle name="Процентный 9 6 5" xfId="23420"/>
    <cellStyle name="Обычный 4 98 5" xfId="23421"/>
    <cellStyle name="Процентный 4 98 5" xfId="23422"/>
    <cellStyle name="Обычный 5 91 5" xfId="23423"/>
    <cellStyle name="Процентный 5 91 5" xfId="23424"/>
    <cellStyle name="Обычный 4 2 85 5" xfId="23425"/>
    <cellStyle name="Процентный 4 2 85 5" xfId="23426"/>
    <cellStyle name="Обычный 5 2 85 5" xfId="23427"/>
    <cellStyle name="Процентный 5 2 85 5" xfId="23428"/>
    <cellStyle name="Обычный 6 82 5" xfId="23429"/>
    <cellStyle name="Процентный 6 82 5" xfId="23430"/>
    <cellStyle name="Обычный 7 52 5" xfId="23431"/>
    <cellStyle name="Процентный 7 52 5" xfId="23432"/>
    <cellStyle name="Обычный 4 3 44 5" xfId="23433"/>
    <cellStyle name="Процентный 4 3 44 5" xfId="23434"/>
    <cellStyle name="Обычный 5 3 44 5" xfId="23435"/>
    <cellStyle name="Процентный 5 3 44 5" xfId="23436"/>
    <cellStyle name="Обычный 4 2 2 44 5" xfId="23437"/>
    <cellStyle name="Процентный 4 2 2 44 5" xfId="23438"/>
    <cellStyle name="Обычный 5 2 2 44 5" xfId="23439"/>
    <cellStyle name="Процентный 5 2 2 44 5" xfId="23440"/>
    <cellStyle name="Обычный 6 2 44 5" xfId="23441"/>
    <cellStyle name="Процентный 6 2 44 5" xfId="23442"/>
    <cellStyle name="Обычный 7 2 44 5" xfId="23443"/>
    <cellStyle name="Процентный 7 2 44 5" xfId="23444"/>
    <cellStyle name="Обычный 8 40 5" xfId="23445"/>
    <cellStyle name="Процентный 8 40 5" xfId="23446"/>
    <cellStyle name="Обычный 9 6 5" xfId="23447"/>
    <cellStyle name="Процентный 9 7 5" xfId="23448"/>
    <cellStyle name="Обычный 4 99 5" xfId="23449"/>
    <cellStyle name="Процентный 4 99 5" xfId="23450"/>
    <cellStyle name="Обычный 5 92 5" xfId="23451"/>
    <cellStyle name="Процентный 5 92 5" xfId="23452"/>
    <cellStyle name="Обычный 4 2 86 5" xfId="23453"/>
    <cellStyle name="Процентный 4 2 86 5" xfId="23454"/>
    <cellStyle name="Обычный 5 2 86 5" xfId="23455"/>
    <cellStyle name="Процентный 5 2 86 5" xfId="23456"/>
    <cellStyle name="Обычный 6 83 5" xfId="23457"/>
    <cellStyle name="Процентный 6 83 5" xfId="23458"/>
    <cellStyle name="Обычный 7 53 5" xfId="23459"/>
    <cellStyle name="Процентный 7 53 5" xfId="23460"/>
    <cellStyle name="Обычный 4 3 45 5" xfId="23461"/>
    <cellStyle name="Процентный 4 3 45 5" xfId="23462"/>
    <cellStyle name="Обычный 5 3 45 5" xfId="23463"/>
    <cellStyle name="Процентный 5 3 45 5" xfId="23464"/>
    <cellStyle name="Обычный 4 2 2 45 5" xfId="23465"/>
    <cellStyle name="Процентный 4 2 2 45 5" xfId="23466"/>
    <cellStyle name="Обычный 5 2 2 45 5" xfId="23467"/>
    <cellStyle name="Процентный 5 2 2 45 5" xfId="23468"/>
    <cellStyle name="Обычный 6 2 45 5" xfId="23469"/>
    <cellStyle name="Процентный 6 2 45 5" xfId="23470"/>
    <cellStyle name="Обычный 7 2 45 5" xfId="23471"/>
    <cellStyle name="Процентный 7 2 45 5" xfId="23472"/>
    <cellStyle name="Обычный 8 41 5" xfId="23473"/>
    <cellStyle name="Процентный 8 41 5" xfId="23474"/>
    <cellStyle name="Обычный 9 7 5" xfId="23475"/>
    <cellStyle name="Процентный 9 8 5" xfId="23476"/>
    <cellStyle name="Обычный 4 100 5" xfId="23477"/>
    <cellStyle name="Процентный 4 100 5" xfId="23478"/>
    <cellStyle name="Обычный 5 93 5" xfId="23479"/>
    <cellStyle name="Процентный 5 93 5" xfId="23480"/>
    <cellStyle name="Обычный 4 2 87 5" xfId="23481"/>
    <cellStyle name="Процентный 4 2 87 5" xfId="23482"/>
    <cellStyle name="Обычный 5 2 87 5" xfId="23483"/>
    <cellStyle name="Процентный 5 2 87 5" xfId="23484"/>
    <cellStyle name="Обычный 6 84 5" xfId="23485"/>
    <cellStyle name="Процентный 6 84 5" xfId="23486"/>
    <cellStyle name="Обычный 7 54 5" xfId="23487"/>
    <cellStyle name="Процентный 7 54 5" xfId="23488"/>
    <cellStyle name="Обычный 4 3 46 5" xfId="23489"/>
    <cellStyle name="Процентный 4 3 46 5" xfId="23490"/>
    <cellStyle name="Обычный 5 3 46 5" xfId="23491"/>
    <cellStyle name="Процентный 5 3 46 5" xfId="23492"/>
    <cellStyle name="Обычный 4 2 2 46 5" xfId="23493"/>
    <cellStyle name="Процентный 4 2 2 46 5" xfId="23494"/>
    <cellStyle name="Обычный 5 2 2 46 5" xfId="23495"/>
    <cellStyle name="Процентный 5 2 2 46 5" xfId="23496"/>
    <cellStyle name="Обычный 6 2 46 5" xfId="23497"/>
    <cellStyle name="Процентный 6 2 46 5" xfId="23498"/>
    <cellStyle name="Обычный 7 2 46 5" xfId="23499"/>
    <cellStyle name="Процентный 7 2 46 5" xfId="23500"/>
    <cellStyle name="Обычный 8 42 5" xfId="23501"/>
    <cellStyle name="Процентный 8 42 5" xfId="23502"/>
    <cellStyle name="Обычный 9 8 5" xfId="23503"/>
    <cellStyle name="Процентный 9 9 5" xfId="23504"/>
    <cellStyle name="Обычный 10 107" xfId="23505"/>
    <cellStyle name="Процентный 10 107" xfId="23506"/>
    <cellStyle name="Обычный 4 101 5" xfId="23507"/>
    <cellStyle name="Процентный 4 101 5" xfId="23508"/>
    <cellStyle name="Обычный 5 94 5" xfId="23509"/>
    <cellStyle name="Процентный 5 94 5" xfId="23510"/>
    <cellStyle name="Обычный 4 2 88 5" xfId="23511"/>
    <cellStyle name="Процентный 4 2 88 5" xfId="23512"/>
    <cellStyle name="Обычный 5 2 88 5" xfId="23513"/>
    <cellStyle name="Процентный 5 2 88 5" xfId="23514"/>
    <cellStyle name="Обычный 6 85 5" xfId="23515"/>
    <cellStyle name="Процентный 6 85 5" xfId="23516"/>
    <cellStyle name="Обычный 7 55 5" xfId="23517"/>
    <cellStyle name="Процентный 7 55 5" xfId="23518"/>
    <cellStyle name="Обычный 4 3 47 5" xfId="23519"/>
    <cellStyle name="Процентный 4 3 47 5" xfId="23520"/>
    <cellStyle name="Обычный 5 3 47 5" xfId="23521"/>
    <cellStyle name="Процентный 5 3 47 5" xfId="23522"/>
    <cellStyle name="Обычный 4 2 2 47 5" xfId="23523"/>
    <cellStyle name="Процентный 4 2 2 47 5" xfId="23524"/>
    <cellStyle name="Обычный 5 2 2 47 5" xfId="23525"/>
    <cellStyle name="Процентный 5 2 2 47 5" xfId="23526"/>
    <cellStyle name="Обычный 6 2 47 5" xfId="23527"/>
    <cellStyle name="Процентный 6 2 47 5" xfId="23528"/>
    <cellStyle name="Обычный 7 2 47 5" xfId="23529"/>
    <cellStyle name="Процентный 7 2 47 5" xfId="23530"/>
    <cellStyle name="Обычный 8 43 5" xfId="23531"/>
    <cellStyle name="Процентный 8 43 5" xfId="23532"/>
    <cellStyle name="Обычный 9 9 5" xfId="23533"/>
    <cellStyle name="Процентный 9 10 5" xfId="23534"/>
    <cellStyle name="Обычный 10 2 5" xfId="23535"/>
    <cellStyle name="Процентный 10 2 5" xfId="23536"/>
    <cellStyle name="Обычный 4 102 5" xfId="23537"/>
    <cellStyle name="Процентный 4 102 5" xfId="23538"/>
    <cellStyle name="Обычный 5 95 5" xfId="23539"/>
    <cellStyle name="Процентный 5 95 5" xfId="23540"/>
    <cellStyle name="Обычный 4 2 89 5" xfId="23541"/>
    <cellStyle name="Процентный 4 2 89 5" xfId="23542"/>
    <cellStyle name="Обычный 5 2 89 5" xfId="23543"/>
    <cellStyle name="Процентный 5 2 89 5" xfId="23544"/>
    <cellStyle name="Обычный 6 86 5" xfId="23545"/>
    <cellStyle name="Процентный 6 86 5" xfId="23546"/>
    <cellStyle name="Обычный 7 56 5" xfId="23547"/>
    <cellStyle name="Процентный 7 56 5" xfId="23548"/>
    <cellStyle name="Обычный 4 3 48 5" xfId="23549"/>
    <cellStyle name="Процентный 4 3 48 5" xfId="23550"/>
    <cellStyle name="Обычный 5 3 48 5" xfId="23551"/>
    <cellStyle name="Процентный 5 3 48 5" xfId="23552"/>
    <cellStyle name="Обычный 4 2 2 48 5" xfId="23553"/>
    <cellStyle name="Процентный 4 2 2 48 5" xfId="23554"/>
    <cellStyle name="Обычный 5 2 2 48 5" xfId="23555"/>
    <cellStyle name="Процентный 5 2 2 48 5" xfId="23556"/>
    <cellStyle name="Обычный 6 2 48 5" xfId="23557"/>
    <cellStyle name="Процентный 6 2 48 5" xfId="23558"/>
    <cellStyle name="Обычный 7 2 48 5" xfId="23559"/>
    <cellStyle name="Процентный 7 2 48 5" xfId="23560"/>
    <cellStyle name="Обычный 8 44 5" xfId="23561"/>
    <cellStyle name="Процентный 8 44 5" xfId="23562"/>
    <cellStyle name="Обычный 9 10 5" xfId="23563"/>
    <cellStyle name="Процентный 9 11 5" xfId="23564"/>
    <cellStyle name="Обычный 10 3 5" xfId="23565"/>
    <cellStyle name="Процентный 10 3 5" xfId="23566"/>
    <cellStyle name="Обычный 4 103 5" xfId="23567"/>
    <cellStyle name="Процентный 4 103 5" xfId="23568"/>
    <cellStyle name="Обычный 5 96 5" xfId="23569"/>
    <cellStyle name="Процентный 5 96 5" xfId="23570"/>
    <cellStyle name="Обычный 4 2 90 5" xfId="23571"/>
    <cellStyle name="Процентный 4 2 90 5" xfId="23572"/>
    <cellStyle name="Обычный 5 2 90 5" xfId="23573"/>
    <cellStyle name="Процентный 5 2 90 5" xfId="23574"/>
    <cellStyle name="Обычный 6 87 5" xfId="23575"/>
    <cellStyle name="Процентный 6 87 5" xfId="23576"/>
    <cellStyle name="Обычный 7 57 5" xfId="23577"/>
    <cellStyle name="Процентный 7 57 5" xfId="23578"/>
    <cellStyle name="Обычный 4 3 49 5" xfId="23579"/>
    <cellStyle name="Процентный 4 3 49 5" xfId="23580"/>
    <cellStyle name="Обычный 5 3 49 5" xfId="23581"/>
    <cellStyle name="Процентный 5 3 49 5" xfId="23582"/>
    <cellStyle name="Обычный 4 2 2 49 5" xfId="23583"/>
    <cellStyle name="Процентный 4 2 2 49 5" xfId="23584"/>
    <cellStyle name="Обычный 5 2 2 49 5" xfId="23585"/>
    <cellStyle name="Процентный 5 2 2 49 5" xfId="23586"/>
    <cellStyle name="Обычный 6 2 49 5" xfId="23587"/>
    <cellStyle name="Процентный 6 2 49 5" xfId="23588"/>
    <cellStyle name="Обычный 7 2 49 5" xfId="23589"/>
    <cellStyle name="Процентный 7 2 49 5" xfId="23590"/>
    <cellStyle name="Обычный 8 45 5" xfId="23591"/>
    <cellStyle name="Процентный 8 45 5" xfId="23592"/>
    <cellStyle name="Обычный 9 11 5" xfId="23593"/>
    <cellStyle name="Процентный 9 12 5" xfId="23594"/>
    <cellStyle name="Обычный 10 4 5" xfId="23595"/>
    <cellStyle name="Процентный 10 4 5" xfId="23596"/>
    <cellStyle name="Обычный 4 104 5" xfId="23597"/>
    <cellStyle name="Процентный 4 104 5" xfId="23598"/>
    <cellStyle name="Обычный 5 97 5" xfId="23599"/>
    <cellStyle name="Процентный 5 97 5" xfId="23600"/>
    <cellStyle name="Обычный 4 2 91 5" xfId="23601"/>
    <cellStyle name="Процентный 4 2 91 5" xfId="23602"/>
    <cellStyle name="Обычный 5 2 91 5" xfId="23603"/>
    <cellStyle name="Процентный 5 2 91 5" xfId="23604"/>
    <cellStyle name="Обычный 6 88 5" xfId="23605"/>
    <cellStyle name="Процентный 6 88 5" xfId="23606"/>
    <cellStyle name="Обычный 7 58 5" xfId="23607"/>
    <cellStyle name="Процентный 7 58 5" xfId="23608"/>
    <cellStyle name="Обычный 4 3 50 5" xfId="23609"/>
    <cellStyle name="Процентный 4 3 50 5" xfId="23610"/>
    <cellStyle name="Обычный 5 3 50 5" xfId="23611"/>
    <cellStyle name="Процентный 5 3 50 5" xfId="23612"/>
    <cellStyle name="Обычный 4 2 2 50 5" xfId="23613"/>
    <cellStyle name="Процентный 4 2 2 50 5" xfId="23614"/>
    <cellStyle name="Обычный 5 2 2 50 5" xfId="23615"/>
    <cellStyle name="Процентный 5 2 2 50 5" xfId="23616"/>
    <cellStyle name="Обычный 6 2 50 5" xfId="23617"/>
    <cellStyle name="Процентный 6 2 50 5" xfId="23618"/>
    <cellStyle name="Обычный 7 2 50 5" xfId="23619"/>
    <cellStyle name="Процентный 7 2 50 5" xfId="23620"/>
    <cellStyle name="Обычный 8 46 5" xfId="23621"/>
    <cellStyle name="Процентный 8 46 5" xfId="23622"/>
    <cellStyle name="Обычный 9 12 5" xfId="23623"/>
    <cellStyle name="Процентный 9 13 5" xfId="23624"/>
    <cellStyle name="Обычный 10 5 5" xfId="23625"/>
    <cellStyle name="Процентный 10 5 5" xfId="23626"/>
    <cellStyle name="Обычный 4 105 5" xfId="23627"/>
    <cellStyle name="Процентный 4 105 5" xfId="23628"/>
    <cellStyle name="Обычный 5 98 5" xfId="23629"/>
    <cellStyle name="Процентный 5 98 5" xfId="23630"/>
    <cellStyle name="Обычный 4 2 92 5" xfId="23631"/>
    <cellStyle name="Процентный 4 2 92 5" xfId="23632"/>
    <cellStyle name="Обычный 5 2 92 5" xfId="23633"/>
    <cellStyle name="Процентный 5 2 92 5" xfId="23634"/>
    <cellStyle name="Обычный 6 89 5" xfId="23635"/>
    <cellStyle name="Процентный 6 89 5" xfId="23636"/>
    <cellStyle name="Обычный 7 59 5" xfId="23637"/>
    <cellStyle name="Процентный 7 59 5" xfId="23638"/>
    <cellStyle name="Обычный 4 3 51 5" xfId="23639"/>
    <cellStyle name="Процентный 4 3 51 5" xfId="23640"/>
    <cellStyle name="Обычный 5 3 51 5" xfId="23641"/>
    <cellStyle name="Процентный 5 3 51 5" xfId="23642"/>
    <cellStyle name="Обычный 4 2 2 51 5" xfId="23643"/>
    <cellStyle name="Процентный 4 2 2 51 5" xfId="23644"/>
    <cellStyle name="Обычный 5 2 2 51 5" xfId="23645"/>
    <cellStyle name="Процентный 5 2 2 51 5" xfId="23646"/>
    <cellStyle name="Обычный 6 2 51 5" xfId="23647"/>
    <cellStyle name="Процентный 6 2 51 5" xfId="23648"/>
    <cellStyle name="Обычный 7 2 51 5" xfId="23649"/>
    <cellStyle name="Процентный 7 2 51 5" xfId="23650"/>
    <cellStyle name="Обычный 8 47 5" xfId="23651"/>
    <cellStyle name="Процентный 8 47 5" xfId="23652"/>
    <cellStyle name="Обычный 9 13 5" xfId="23653"/>
    <cellStyle name="Процентный 9 14 5" xfId="23654"/>
    <cellStyle name="Обычный 10 6 5" xfId="23655"/>
    <cellStyle name="Процентный 10 6 5" xfId="23656"/>
    <cellStyle name="Обычный 4 106 5" xfId="23657"/>
    <cellStyle name="Процентный 4 106 5" xfId="23658"/>
    <cellStyle name="Обычный 5 99 5" xfId="23659"/>
    <cellStyle name="Процентный 5 99 5" xfId="23660"/>
    <cellStyle name="Обычный 4 2 93 5" xfId="23661"/>
    <cellStyle name="Процентный 4 2 93 5" xfId="23662"/>
    <cellStyle name="Обычный 5 2 93 5" xfId="23663"/>
    <cellStyle name="Процентный 5 2 93 5" xfId="23664"/>
    <cellStyle name="Обычный 6 90 5" xfId="23665"/>
    <cellStyle name="Процентный 6 90 5" xfId="23666"/>
    <cellStyle name="Обычный 7 60 5" xfId="23667"/>
    <cellStyle name="Процентный 7 60 5" xfId="23668"/>
    <cellStyle name="Обычный 4 3 52 5" xfId="23669"/>
    <cellStyle name="Процентный 4 3 52 5" xfId="23670"/>
    <cellStyle name="Обычный 5 3 52 5" xfId="23671"/>
    <cellStyle name="Процентный 5 3 52 5" xfId="23672"/>
    <cellStyle name="Обычный 4 2 2 52 5" xfId="23673"/>
    <cellStyle name="Процентный 4 2 2 52 5" xfId="23674"/>
    <cellStyle name="Обычный 5 2 2 52 5" xfId="23675"/>
    <cellStyle name="Процентный 5 2 2 52 5" xfId="23676"/>
    <cellStyle name="Обычный 6 2 52 5" xfId="23677"/>
    <cellStyle name="Процентный 6 2 52 5" xfId="23678"/>
    <cellStyle name="Обычный 7 2 52 5" xfId="23679"/>
    <cellStyle name="Процентный 7 2 52 5" xfId="23680"/>
    <cellStyle name="Обычный 8 48 5" xfId="23681"/>
    <cellStyle name="Процентный 8 48 5" xfId="23682"/>
    <cellStyle name="Обычный 9 14 5" xfId="23683"/>
    <cellStyle name="Процентный 9 15 5" xfId="23684"/>
    <cellStyle name="Обычный 10 7 5" xfId="23685"/>
    <cellStyle name="Процентный 10 7 5" xfId="23686"/>
    <cellStyle name="Обычный 4 107 5" xfId="23687"/>
    <cellStyle name="Процентный 4 107 5" xfId="23688"/>
    <cellStyle name="Обычный 5 100 5" xfId="23689"/>
    <cellStyle name="Процентный 5 100 5" xfId="23690"/>
    <cellStyle name="Обычный 4 2 94 5" xfId="23691"/>
    <cellStyle name="Процентный 4 2 94 5" xfId="23692"/>
    <cellStyle name="Обычный 5 2 94 5" xfId="23693"/>
    <cellStyle name="Процентный 5 2 94 5" xfId="23694"/>
    <cellStyle name="Обычный 6 91 5" xfId="23695"/>
    <cellStyle name="Процентный 6 91 5" xfId="23696"/>
    <cellStyle name="Обычный 7 61 5" xfId="23697"/>
    <cellStyle name="Процентный 7 61 5" xfId="23698"/>
    <cellStyle name="Обычный 4 3 53 5" xfId="23699"/>
    <cellStyle name="Процентный 4 3 53 5" xfId="23700"/>
    <cellStyle name="Обычный 5 3 53 5" xfId="23701"/>
    <cellStyle name="Процентный 5 3 53 5" xfId="23702"/>
    <cellStyle name="Обычный 4 2 2 53 5" xfId="23703"/>
    <cellStyle name="Процентный 4 2 2 53 5" xfId="23704"/>
    <cellStyle name="Обычный 5 2 2 53 5" xfId="23705"/>
    <cellStyle name="Процентный 5 2 2 53 5" xfId="23706"/>
    <cellStyle name="Обычный 6 2 53 5" xfId="23707"/>
    <cellStyle name="Процентный 6 2 53 5" xfId="23708"/>
    <cellStyle name="Обычный 7 2 53 5" xfId="23709"/>
    <cellStyle name="Процентный 7 2 53 5" xfId="23710"/>
    <cellStyle name="Обычный 8 49 5" xfId="23711"/>
    <cellStyle name="Процентный 8 49 5" xfId="23712"/>
    <cellStyle name="Обычный 9 15 5" xfId="23713"/>
    <cellStyle name="Процентный 9 16 5" xfId="23714"/>
    <cellStyle name="Обычный 10 8 5" xfId="23715"/>
    <cellStyle name="Процентный 10 8 5" xfId="23716"/>
    <cellStyle name="Обычный 4 108 5" xfId="23717"/>
    <cellStyle name="Процентный 4 108 5" xfId="23718"/>
    <cellStyle name="Обычный 5 101 5" xfId="23719"/>
    <cellStyle name="Процентный 5 101 5" xfId="23720"/>
    <cellStyle name="Обычный 4 2 95 5" xfId="23721"/>
    <cellStyle name="Процентный 4 2 95 5" xfId="23722"/>
    <cellStyle name="Обычный 5 2 95 5" xfId="23723"/>
    <cellStyle name="Процентный 5 2 95 5" xfId="23724"/>
    <cellStyle name="Обычный 6 92 5" xfId="23725"/>
    <cellStyle name="Процентный 6 92 5" xfId="23726"/>
    <cellStyle name="Обычный 7 62 5" xfId="23727"/>
    <cellStyle name="Процентный 7 62 5" xfId="23728"/>
    <cellStyle name="Обычный 4 3 54 5" xfId="23729"/>
    <cellStyle name="Процентный 4 3 54 5" xfId="23730"/>
    <cellStyle name="Обычный 5 3 54 5" xfId="23731"/>
    <cellStyle name="Процентный 5 3 54 5" xfId="23732"/>
    <cellStyle name="Обычный 4 2 2 54 5" xfId="23733"/>
    <cellStyle name="Процентный 4 2 2 54 5" xfId="23734"/>
    <cellStyle name="Обычный 5 2 2 54 5" xfId="23735"/>
    <cellStyle name="Процентный 5 2 2 54 5" xfId="23736"/>
    <cellStyle name="Обычный 6 2 54 5" xfId="23737"/>
    <cellStyle name="Процентный 6 2 54 5" xfId="23738"/>
    <cellStyle name="Обычный 7 2 54 5" xfId="23739"/>
    <cellStyle name="Процентный 7 2 54 5" xfId="23740"/>
    <cellStyle name="Обычный 8 50 5" xfId="23741"/>
    <cellStyle name="Процентный 8 50 5" xfId="23742"/>
    <cellStyle name="Обычный 9 16 5" xfId="23743"/>
    <cellStyle name="Процентный 9 17 5" xfId="23744"/>
    <cellStyle name="Обычный 10 9 5" xfId="23745"/>
    <cellStyle name="Процентный 10 9 5" xfId="23746"/>
    <cellStyle name="Обычный 4 109 5" xfId="23747"/>
    <cellStyle name="Процентный 4 109 5" xfId="23748"/>
    <cellStyle name="Обычный 5 102 5" xfId="23749"/>
    <cellStyle name="Процентный 5 102 5" xfId="23750"/>
    <cellStyle name="Обычный 4 2 96 5" xfId="23751"/>
    <cellStyle name="Процентный 4 2 96 5" xfId="23752"/>
    <cellStyle name="Обычный 5 2 96 5" xfId="23753"/>
    <cellStyle name="Процентный 5 2 96 5" xfId="23754"/>
    <cellStyle name="Обычный 6 93 5" xfId="23755"/>
    <cellStyle name="Процентный 6 93 5" xfId="23756"/>
    <cellStyle name="Обычный 7 63 5" xfId="23757"/>
    <cellStyle name="Процентный 7 63 5" xfId="23758"/>
    <cellStyle name="Обычный 4 3 55 5" xfId="23759"/>
    <cellStyle name="Процентный 4 3 55 5" xfId="23760"/>
    <cellStyle name="Обычный 5 3 55 5" xfId="23761"/>
    <cellStyle name="Процентный 5 3 55 5" xfId="23762"/>
    <cellStyle name="Обычный 4 2 2 55 5" xfId="23763"/>
    <cellStyle name="Процентный 4 2 2 55 5" xfId="23764"/>
    <cellStyle name="Обычный 5 2 2 55 5" xfId="23765"/>
    <cellStyle name="Процентный 5 2 2 55 5" xfId="23766"/>
    <cellStyle name="Обычный 6 2 55 5" xfId="23767"/>
    <cellStyle name="Процентный 6 2 55 5" xfId="23768"/>
    <cellStyle name="Обычный 7 2 55 5" xfId="23769"/>
    <cellStyle name="Процентный 7 2 55 5" xfId="23770"/>
    <cellStyle name="Обычный 8 51 5" xfId="23771"/>
    <cellStyle name="Процентный 8 51 5" xfId="23772"/>
    <cellStyle name="Обычный 9 17 5" xfId="23773"/>
    <cellStyle name="Процентный 9 18 5" xfId="23774"/>
    <cellStyle name="Обычный 10 10 5" xfId="23775"/>
    <cellStyle name="Процентный 10 10 5" xfId="23776"/>
    <cellStyle name="Обычный 4 110 5" xfId="23777"/>
    <cellStyle name="Процентный 4 110 5" xfId="23778"/>
    <cellStyle name="Обычный 5 103 5" xfId="23779"/>
    <cellStyle name="Процентный 5 103 5" xfId="23780"/>
    <cellStyle name="Обычный 4 2 97 5" xfId="23781"/>
    <cellStyle name="Процентный 4 2 97 5" xfId="23782"/>
    <cellStyle name="Обычный 5 2 97 5" xfId="23783"/>
    <cellStyle name="Процентный 5 2 97 5" xfId="23784"/>
    <cellStyle name="Обычный 6 94 5" xfId="23785"/>
    <cellStyle name="Процентный 6 94 5" xfId="23786"/>
    <cellStyle name="Обычный 7 64 5" xfId="23787"/>
    <cellStyle name="Процентный 7 64 5" xfId="23788"/>
    <cellStyle name="Обычный 4 3 56 5" xfId="23789"/>
    <cellStyle name="Процентный 4 3 56 5" xfId="23790"/>
    <cellStyle name="Обычный 5 3 56 5" xfId="23791"/>
    <cellStyle name="Процентный 5 3 56 5" xfId="23792"/>
    <cellStyle name="Обычный 4 2 2 56 5" xfId="23793"/>
    <cellStyle name="Процентный 4 2 2 56 5" xfId="23794"/>
    <cellStyle name="Обычный 5 2 2 56 5" xfId="23795"/>
    <cellStyle name="Процентный 5 2 2 56 5" xfId="23796"/>
    <cellStyle name="Обычный 6 2 56 5" xfId="23797"/>
    <cellStyle name="Процентный 6 2 56 5" xfId="23798"/>
    <cellStyle name="Обычный 7 2 56 5" xfId="23799"/>
    <cellStyle name="Процентный 7 2 56 5" xfId="23800"/>
    <cellStyle name="Обычный 8 52 5" xfId="23801"/>
    <cellStyle name="Процентный 8 52 5" xfId="23802"/>
    <cellStyle name="Обычный 9 18 5" xfId="23803"/>
    <cellStyle name="Процентный 9 19 5" xfId="23804"/>
    <cellStyle name="Обычный 10 11 5" xfId="23805"/>
    <cellStyle name="Процентный 10 11 5" xfId="23806"/>
    <cellStyle name="Обычный 4 111 5" xfId="23807"/>
    <cellStyle name="Процентный 4 111 5" xfId="23808"/>
    <cellStyle name="Обычный 5 104 5" xfId="23809"/>
    <cellStyle name="Процентный 5 104 5" xfId="23810"/>
    <cellStyle name="Обычный 4 2 98 5" xfId="23811"/>
    <cellStyle name="Процентный 4 2 98 5" xfId="23812"/>
    <cellStyle name="Обычный 5 2 98 5" xfId="23813"/>
    <cellStyle name="Процентный 5 2 98 5" xfId="23814"/>
    <cellStyle name="Обычный 6 95 5" xfId="23815"/>
    <cellStyle name="Процентный 6 95 5" xfId="23816"/>
    <cellStyle name="Обычный 7 65 5" xfId="23817"/>
    <cellStyle name="Процентный 7 65 5" xfId="23818"/>
    <cellStyle name="Обычный 4 3 57 5" xfId="23819"/>
    <cellStyle name="Процентный 4 3 57 5" xfId="23820"/>
    <cellStyle name="Обычный 5 3 57 5" xfId="23821"/>
    <cellStyle name="Процентный 5 3 57 5" xfId="23822"/>
    <cellStyle name="Обычный 4 2 2 57 5" xfId="23823"/>
    <cellStyle name="Процентный 4 2 2 57 5" xfId="23824"/>
    <cellStyle name="Обычный 5 2 2 57 5" xfId="23825"/>
    <cellStyle name="Процентный 5 2 2 57 5" xfId="23826"/>
    <cellStyle name="Обычный 6 2 57 5" xfId="23827"/>
    <cellStyle name="Процентный 6 2 57 5" xfId="23828"/>
    <cellStyle name="Обычный 7 2 57 5" xfId="23829"/>
    <cellStyle name="Процентный 7 2 57 5" xfId="23830"/>
    <cellStyle name="Обычный 8 53 5" xfId="23831"/>
    <cellStyle name="Процентный 8 53 5" xfId="23832"/>
    <cellStyle name="Обычный 9 19 5" xfId="23833"/>
    <cellStyle name="Процентный 9 20 5" xfId="23834"/>
    <cellStyle name="Обычный 10 12 5" xfId="23835"/>
    <cellStyle name="Процентный 10 12 5" xfId="23836"/>
    <cellStyle name="Обычный 4 112 5" xfId="23837"/>
    <cellStyle name="Процентный 4 112 5" xfId="23838"/>
    <cellStyle name="Обычный 5 105 5" xfId="23839"/>
    <cellStyle name="Процентный 5 105 5" xfId="23840"/>
    <cellStyle name="Обычный 4 2 99 5" xfId="23841"/>
    <cellStyle name="Процентный 4 2 99 5" xfId="23842"/>
    <cellStyle name="Обычный 5 2 99 5" xfId="23843"/>
    <cellStyle name="Процентный 5 2 99 5" xfId="23844"/>
    <cellStyle name="Обычный 6 96 5" xfId="23845"/>
    <cellStyle name="Процентный 6 96 5" xfId="23846"/>
    <cellStyle name="Обычный 7 66 5" xfId="23847"/>
    <cellStyle name="Процентный 7 66 5" xfId="23848"/>
    <cellStyle name="Обычный 4 3 58 5" xfId="23849"/>
    <cellStyle name="Процентный 4 3 58 5" xfId="23850"/>
    <cellStyle name="Обычный 5 3 58 5" xfId="23851"/>
    <cellStyle name="Процентный 5 3 58 5" xfId="23852"/>
    <cellStyle name="Обычный 4 2 2 58 5" xfId="23853"/>
    <cellStyle name="Процентный 4 2 2 58 5" xfId="23854"/>
    <cellStyle name="Обычный 5 2 2 58 5" xfId="23855"/>
    <cellStyle name="Процентный 5 2 2 58 5" xfId="23856"/>
    <cellStyle name="Обычный 6 2 58 5" xfId="23857"/>
    <cellStyle name="Процентный 6 2 58 5" xfId="23858"/>
    <cellStyle name="Обычный 7 2 58 5" xfId="23859"/>
    <cellStyle name="Процентный 7 2 58 5" xfId="23860"/>
    <cellStyle name="Обычный 8 54 5" xfId="23861"/>
    <cellStyle name="Процентный 8 54 5" xfId="23862"/>
    <cellStyle name="Обычный 9 20 5" xfId="23863"/>
    <cellStyle name="Процентный 9 21 5" xfId="23864"/>
    <cellStyle name="Обычный 10 13 5" xfId="23865"/>
    <cellStyle name="Процентный 10 13 5" xfId="23866"/>
    <cellStyle name="Обычный 11 95" xfId="23867"/>
    <cellStyle name="Процентный 11 95" xfId="23868"/>
    <cellStyle name="Обычный 4 113 5" xfId="23869"/>
    <cellStyle name="Процентный 4 113 5" xfId="23870"/>
    <cellStyle name="Обычный 5 106 5" xfId="23871"/>
    <cellStyle name="Процентный 5 106 5" xfId="23872"/>
    <cellStyle name="Обычный 4 2 100 5" xfId="23873"/>
    <cellStyle name="Процентный 4 2 100 5" xfId="23874"/>
    <cellStyle name="Обычный 5 2 100 5" xfId="23875"/>
    <cellStyle name="Процентный 5 2 100 5" xfId="23876"/>
    <cellStyle name="Обычный 6 97 5" xfId="23877"/>
    <cellStyle name="Процентный 6 97 5" xfId="23878"/>
    <cellStyle name="Обычный 7 67 5" xfId="23879"/>
    <cellStyle name="Процентный 7 67 5" xfId="23880"/>
    <cellStyle name="Обычный 4 3 59 5" xfId="23881"/>
    <cellStyle name="Процентный 4 3 59 5" xfId="23882"/>
    <cellStyle name="Обычный 5 3 59 5" xfId="23883"/>
    <cellStyle name="Процентный 5 3 59 5" xfId="23884"/>
    <cellStyle name="Обычный 4 2 2 59 5" xfId="23885"/>
    <cellStyle name="Процентный 4 2 2 59 5" xfId="23886"/>
    <cellStyle name="Обычный 5 2 2 59 5" xfId="23887"/>
    <cellStyle name="Процентный 5 2 2 59 5" xfId="23888"/>
    <cellStyle name="Обычный 6 2 59 5" xfId="23889"/>
    <cellStyle name="Процентный 6 2 59 5" xfId="23890"/>
    <cellStyle name="Обычный 7 2 59 5" xfId="23891"/>
    <cellStyle name="Процентный 7 2 59 5" xfId="23892"/>
    <cellStyle name="Обычный 8 55 5" xfId="23893"/>
    <cellStyle name="Процентный 8 55 5" xfId="23894"/>
    <cellStyle name="Обычный 9 21 5" xfId="23895"/>
    <cellStyle name="Процентный 9 22 5" xfId="23896"/>
    <cellStyle name="Обычный 10 14 5" xfId="23897"/>
    <cellStyle name="Процентный 10 14 5" xfId="23898"/>
    <cellStyle name="Обычный 11 2 5" xfId="23899"/>
    <cellStyle name="Процентный 11 2 5" xfId="23900"/>
    <cellStyle name="Обычный 12 5" xfId="23901"/>
    <cellStyle name="Процентный 12 5" xfId="23902"/>
    <cellStyle name="Обычный 4 114 5" xfId="23903"/>
    <cellStyle name="Процентный 4 114 5" xfId="23904"/>
    <cellStyle name="Обычный 5 107 5" xfId="23905"/>
    <cellStyle name="Процентный 5 107 5" xfId="23906"/>
    <cellStyle name="Обычный 4 2 101 5" xfId="23907"/>
    <cellStyle name="Процентный 4 2 101 5" xfId="23908"/>
    <cellStyle name="Обычный 5 2 101 5" xfId="23909"/>
    <cellStyle name="Процентный 5 2 101 5" xfId="23910"/>
    <cellStyle name="Обычный 6 98 5" xfId="23911"/>
    <cellStyle name="Процентный 6 98 5" xfId="23912"/>
    <cellStyle name="Обычный 7 68 5" xfId="23913"/>
    <cellStyle name="Процентный 7 68 5" xfId="23914"/>
    <cellStyle name="Обычный 4 3 60 5" xfId="23915"/>
    <cellStyle name="Процентный 4 3 60 5" xfId="23916"/>
    <cellStyle name="Обычный 5 3 60 5" xfId="23917"/>
    <cellStyle name="Процентный 5 3 60 5" xfId="23918"/>
    <cellStyle name="Обычный 4 2 2 60 5" xfId="23919"/>
    <cellStyle name="Процентный 4 2 2 60 5" xfId="23920"/>
    <cellStyle name="Обычный 5 2 2 60 5" xfId="23921"/>
    <cellStyle name="Процентный 5 2 2 60 5" xfId="23922"/>
    <cellStyle name="Обычный 6 2 60 5" xfId="23923"/>
    <cellStyle name="Процентный 6 2 60 5" xfId="23924"/>
    <cellStyle name="Обычный 7 2 60 5" xfId="23925"/>
    <cellStyle name="Процентный 7 2 60 5" xfId="23926"/>
    <cellStyle name="Обычный 8 56 5" xfId="23927"/>
    <cellStyle name="Процентный 8 56 5" xfId="23928"/>
    <cellStyle name="Обычный 9 22 5" xfId="23929"/>
    <cellStyle name="Процентный 9 23 5" xfId="23930"/>
    <cellStyle name="Обычный 10 15 5" xfId="23931"/>
    <cellStyle name="Процентный 10 15 5" xfId="23932"/>
    <cellStyle name="Обычный 11 3 5" xfId="23933"/>
    <cellStyle name="Процентный 11 3 5" xfId="23934"/>
    <cellStyle name="Обычный 4 115 5" xfId="23935"/>
    <cellStyle name="Процентный 4 115 5" xfId="23936"/>
    <cellStyle name="Обычный 5 108 5" xfId="23937"/>
    <cellStyle name="Процентный 5 108 5" xfId="23938"/>
    <cellStyle name="Обычный 4 2 102 5" xfId="23939"/>
    <cellStyle name="Процентный 4 2 102 5" xfId="23940"/>
    <cellStyle name="Обычный 5 2 102 5" xfId="23941"/>
    <cellStyle name="Процентный 5 2 102 5" xfId="23942"/>
    <cellStyle name="Обычный 6 99 5" xfId="23943"/>
    <cellStyle name="Процентный 6 99 5" xfId="23944"/>
    <cellStyle name="Обычный 7 69 5" xfId="23945"/>
    <cellStyle name="Процентный 7 69 5" xfId="23946"/>
    <cellStyle name="Обычный 4 3 61 5" xfId="23947"/>
    <cellStyle name="Процентный 4 3 61 5" xfId="23948"/>
    <cellStyle name="Обычный 5 3 61 5" xfId="23949"/>
    <cellStyle name="Процентный 5 3 61 5" xfId="23950"/>
    <cellStyle name="Обычный 4 2 2 61 5" xfId="23951"/>
    <cellStyle name="Процентный 4 2 2 61 5" xfId="23952"/>
    <cellStyle name="Обычный 5 2 2 61 5" xfId="23953"/>
    <cellStyle name="Процентный 5 2 2 61 5" xfId="23954"/>
    <cellStyle name="Обычный 6 2 61 5" xfId="23955"/>
    <cellStyle name="Процентный 6 2 61 5" xfId="23956"/>
    <cellStyle name="Обычный 7 2 61 5" xfId="23957"/>
    <cellStyle name="Процентный 7 2 61 5" xfId="23958"/>
    <cellStyle name="Обычный 8 57 5" xfId="23959"/>
    <cellStyle name="Процентный 8 57 5" xfId="23960"/>
    <cellStyle name="Обычный 9 23 5" xfId="23961"/>
    <cellStyle name="Процентный 9 24 5" xfId="23962"/>
    <cellStyle name="Обычный 10 16 5" xfId="23963"/>
    <cellStyle name="Процентный 10 16 5" xfId="23964"/>
    <cellStyle name="Обычный 11 4 5" xfId="23965"/>
    <cellStyle name="Процентный 11 4 5" xfId="23966"/>
    <cellStyle name="Обычный 4 116 5" xfId="23967"/>
    <cellStyle name="Процентный 4 116 5" xfId="23968"/>
    <cellStyle name="Обычный 5 109 5" xfId="23969"/>
    <cellStyle name="Процентный 5 109 5" xfId="23970"/>
    <cellStyle name="Обычный 4 2 103 5" xfId="23971"/>
    <cellStyle name="Процентный 4 2 103 5" xfId="23972"/>
    <cellStyle name="Обычный 5 2 103 5" xfId="23973"/>
    <cellStyle name="Процентный 5 2 103 5" xfId="23974"/>
    <cellStyle name="Обычный 6 100 5" xfId="23975"/>
    <cellStyle name="Процентный 6 100 5" xfId="23976"/>
    <cellStyle name="Обычный 7 70 5" xfId="23977"/>
    <cellStyle name="Процентный 7 70 5" xfId="23978"/>
    <cellStyle name="Обычный 4 3 62 5" xfId="23979"/>
    <cellStyle name="Процентный 4 3 62 5" xfId="23980"/>
    <cellStyle name="Обычный 5 3 62 5" xfId="23981"/>
    <cellStyle name="Процентный 5 3 62 5" xfId="23982"/>
    <cellStyle name="Обычный 4 2 2 62 5" xfId="23983"/>
    <cellStyle name="Процентный 4 2 2 62 5" xfId="23984"/>
    <cellStyle name="Обычный 5 2 2 62 5" xfId="23985"/>
    <cellStyle name="Процентный 5 2 2 62 5" xfId="23986"/>
    <cellStyle name="Обычный 6 2 62 5" xfId="23987"/>
    <cellStyle name="Процентный 6 2 62 5" xfId="23988"/>
    <cellStyle name="Обычный 7 2 62 5" xfId="23989"/>
    <cellStyle name="Процентный 7 2 62 5" xfId="23990"/>
    <cellStyle name="Обычный 8 58 5" xfId="23991"/>
    <cellStyle name="Процентный 8 58 5" xfId="23992"/>
    <cellStyle name="Обычный 9 24 5" xfId="23993"/>
    <cellStyle name="Процентный 9 25 5" xfId="23994"/>
    <cellStyle name="Обычный 10 17 5" xfId="23995"/>
    <cellStyle name="Процентный 10 17 5" xfId="23996"/>
    <cellStyle name="Обычный 11 5 5" xfId="23997"/>
    <cellStyle name="Процентный 11 5 5" xfId="23998"/>
    <cellStyle name="Обычный 4 117 5" xfId="23999"/>
    <cellStyle name="Процентный 4 117 5" xfId="24000"/>
    <cellStyle name="Обычный 5 110 5" xfId="24001"/>
    <cellStyle name="Процентный 5 110 5" xfId="24002"/>
    <cellStyle name="Обычный 4 2 104 5" xfId="24003"/>
    <cellStyle name="Процентный 4 2 104 5" xfId="24004"/>
    <cellStyle name="Обычный 5 2 104 5" xfId="24005"/>
    <cellStyle name="Процентный 5 2 104 5" xfId="24006"/>
    <cellStyle name="Обычный 6 101 5" xfId="24007"/>
    <cellStyle name="Процентный 6 101 5" xfId="24008"/>
    <cellStyle name="Обычный 7 71 5" xfId="24009"/>
    <cellStyle name="Процентный 7 71 5" xfId="24010"/>
    <cellStyle name="Обычный 4 3 63 5" xfId="24011"/>
    <cellStyle name="Процентный 4 3 63 5" xfId="24012"/>
    <cellStyle name="Обычный 5 3 63 5" xfId="24013"/>
    <cellStyle name="Процентный 5 3 63 5" xfId="24014"/>
    <cellStyle name="Обычный 4 2 2 63 5" xfId="24015"/>
    <cellStyle name="Процентный 4 2 2 63 5" xfId="24016"/>
    <cellStyle name="Обычный 5 2 2 63 5" xfId="24017"/>
    <cellStyle name="Процентный 5 2 2 63 5" xfId="24018"/>
    <cellStyle name="Обычный 6 2 63 5" xfId="24019"/>
    <cellStyle name="Процентный 6 2 63 5" xfId="24020"/>
    <cellStyle name="Обычный 7 2 63 5" xfId="24021"/>
    <cellStyle name="Процентный 7 2 63 5" xfId="24022"/>
    <cellStyle name="Обычный 8 59 5" xfId="24023"/>
    <cellStyle name="Процентный 8 59 5" xfId="24024"/>
    <cellStyle name="Обычный 9 25 5" xfId="24025"/>
    <cellStyle name="Процентный 9 26 5" xfId="24026"/>
    <cellStyle name="Обычный 10 18 5" xfId="24027"/>
    <cellStyle name="Процентный 10 18 5" xfId="24028"/>
    <cellStyle name="Обычный 11 6 5" xfId="24029"/>
    <cellStyle name="Процентный 11 6 5" xfId="24030"/>
    <cellStyle name="Обычный 4 118 5" xfId="24031"/>
    <cellStyle name="Процентный 4 118 5" xfId="24032"/>
    <cellStyle name="Обычный 5 111 5" xfId="24033"/>
    <cellStyle name="Процентный 5 111 5" xfId="24034"/>
    <cellStyle name="Обычный 4 2 105 5" xfId="24035"/>
    <cellStyle name="Процентный 4 2 105 5" xfId="24036"/>
    <cellStyle name="Обычный 5 2 105 5" xfId="24037"/>
    <cellStyle name="Процентный 5 2 105 5" xfId="24038"/>
    <cellStyle name="Обычный 6 102 5" xfId="24039"/>
    <cellStyle name="Процентный 6 102 5" xfId="24040"/>
    <cellStyle name="Обычный 7 72 5" xfId="24041"/>
    <cellStyle name="Процентный 7 72 5" xfId="24042"/>
    <cellStyle name="Обычный 4 3 64 5" xfId="24043"/>
    <cellStyle name="Процентный 4 3 64 5" xfId="24044"/>
    <cellStyle name="Обычный 5 3 64 5" xfId="24045"/>
    <cellStyle name="Процентный 5 3 64 5" xfId="24046"/>
    <cellStyle name="Обычный 4 2 2 64 5" xfId="24047"/>
    <cellStyle name="Процентный 4 2 2 64 5" xfId="24048"/>
    <cellStyle name="Обычный 5 2 2 64 5" xfId="24049"/>
    <cellStyle name="Процентный 5 2 2 64 5" xfId="24050"/>
    <cellStyle name="Обычный 6 2 64 5" xfId="24051"/>
    <cellStyle name="Процентный 6 2 64 5" xfId="24052"/>
    <cellStyle name="Обычный 7 2 64 5" xfId="24053"/>
    <cellStyle name="Процентный 7 2 64 5" xfId="24054"/>
    <cellStyle name="Обычный 8 60 5" xfId="24055"/>
    <cellStyle name="Процентный 8 60 5" xfId="24056"/>
    <cellStyle name="Обычный 9 26 5" xfId="24057"/>
    <cellStyle name="Процентный 9 27 5" xfId="24058"/>
    <cellStyle name="Обычный 10 19 5" xfId="24059"/>
    <cellStyle name="Процентный 10 19 5" xfId="24060"/>
    <cellStyle name="Обычный 11 7 5" xfId="24061"/>
    <cellStyle name="Процентный 11 7 5" xfId="24062"/>
    <cellStyle name="Обычный 4 119 5" xfId="24063"/>
    <cellStyle name="Процентный 4 119 5" xfId="24064"/>
    <cellStyle name="Обычный 5 112 5" xfId="24065"/>
    <cellStyle name="Процентный 5 112 5" xfId="24066"/>
    <cellStyle name="Обычный 4 2 106 5" xfId="24067"/>
    <cellStyle name="Процентный 4 2 106 5" xfId="24068"/>
    <cellStyle name="Обычный 5 2 106 5" xfId="24069"/>
    <cellStyle name="Процентный 5 2 106 5" xfId="24070"/>
    <cellStyle name="Обычный 6 103 5" xfId="24071"/>
    <cellStyle name="Процентный 6 103 5" xfId="24072"/>
    <cellStyle name="Обычный 7 73 5" xfId="24073"/>
    <cellStyle name="Процентный 7 73 5" xfId="24074"/>
    <cellStyle name="Обычный 4 3 65 5" xfId="24075"/>
    <cellStyle name="Процентный 4 3 65 5" xfId="24076"/>
    <cellStyle name="Обычный 5 3 65 5" xfId="24077"/>
    <cellStyle name="Процентный 5 3 65 5" xfId="24078"/>
    <cellStyle name="Обычный 4 2 2 65 5" xfId="24079"/>
    <cellStyle name="Процентный 4 2 2 65 5" xfId="24080"/>
    <cellStyle name="Обычный 5 2 2 65 5" xfId="24081"/>
    <cellStyle name="Процентный 5 2 2 65 5" xfId="24082"/>
    <cellStyle name="Обычный 6 2 65 5" xfId="24083"/>
    <cellStyle name="Процентный 6 2 65 5" xfId="24084"/>
    <cellStyle name="Обычный 7 2 65 5" xfId="24085"/>
    <cellStyle name="Процентный 7 2 65 5" xfId="24086"/>
    <cellStyle name="Обычный 8 61 5" xfId="24087"/>
    <cellStyle name="Процентный 8 61 5" xfId="24088"/>
    <cellStyle name="Обычный 9 27 5" xfId="24089"/>
    <cellStyle name="Процентный 9 28 5" xfId="24090"/>
    <cellStyle name="Обычный 10 20 5" xfId="24091"/>
    <cellStyle name="Процентный 10 20 5" xfId="24092"/>
    <cellStyle name="Обычный 11 8 5" xfId="24093"/>
    <cellStyle name="Процентный 11 8 5" xfId="24094"/>
    <cellStyle name="Обычный 4 120 5" xfId="24095"/>
    <cellStyle name="Процентный 4 120 5" xfId="24096"/>
    <cellStyle name="Обычный 5 113 5" xfId="24097"/>
    <cellStyle name="Процентный 5 113 5" xfId="24098"/>
    <cellStyle name="Обычный 4 2 107 5" xfId="24099"/>
    <cellStyle name="Процентный 4 2 107 5" xfId="24100"/>
    <cellStyle name="Обычный 5 2 107 5" xfId="24101"/>
    <cellStyle name="Процентный 5 2 107 5" xfId="24102"/>
    <cellStyle name="Обычный 6 104 5" xfId="24103"/>
    <cellStyle name="Процентный 6 104 5" xfId="24104"/>
    <cellStyle name="Обычный 7 74 5" xfId="24105"/>
    <cellStyle name="Процентный 7 74 5" xfId="24106"/>
    <cellStyle name="Обычный 4 3 66 5" xfId="24107"/>
    <cellStyle name="Процентный 4 3 66 5" xfId="24108"/>
    <cellStyle name="Обычный 5 3 66 5" xfId="24109"/>
    <cellStyle name="Процентный 5 3 66 5" xfId="24110"/>
    <cellStyle name="Обычный 4 2 2 66 5" xfId="24111"/>
    <cellStyle name="Процентный 4 2 2 66 5" xfId="24112"/>
    <cellStyle name="Обычный 5 2 2 66 5" xfId="24113"/>
    <cellStyle name="Процентный 5 2 2 66 5" xfId="24114"/>
    <cellStyle name="Обычный 6 2 66 5" xfId="24115"/>
    <cellStyle name="Процентный 6 2 66 5" xfId="24116"/>
    <cellStyle name="Обычный 7 2 66 5" xfId="24117"/>
    <cellStyle name="Процентный 7 2 66 5" xfId="24118"/>
    <cellStyle name="Обычный 8 62 5" xfId="24119"/>
    <cellStyle name="Процентный 8 62 5" xfId="24120"/>
    <cellStyle name="Обычный 9 28 5" xfId="24121"/>
    <cellStyle name="Процентный 9 29 5" xfId="24122"/>
    <cellStyle name="Обычный 10 21 5" xfId="24123"/>
    <cellStyle name="Процентный 10 21 5" xfId="24124"/>
    <cellStyle name="Обычный 11 9 5" xfId="24125"/>
    <cellStyle name="Процентный 11 9 5" xfId="24126"/>
    <cellStyle name="Обычный 13 5" xfId="24127"/>
    <cellStyle name="Процентный 13 5" xfId="24128"/>
    <cellStyle name="Обычный 4 121 5" xfId="24129"/>
    <cellStyle name="Процентный 4 121 5" xfId="24130"/>
    <cellStyle name="Обычный 5 114 5" xfId="24131"/>
    <cellStyle name="Процентный 5 114 5" xfId="24132"/>
    <cellStyle name="Обычный 4 2 108 5" xfId="24133"/>
    <cellStyle name="Процентный 4 2 108 5" xfId="24134"/>
    <cellStyle name="Обычный 5 2 108 5" xfId="24135"/>
    <cellStyle name="Процентный 5 2 108 5" xfId="24136"/>
    <cellStyle name="Обычный 6 105 5" xfId="24137"/>
    <cellStyle name="Процентный 6 105 5" xfId="24138"/>
    <cellStyle name="Обычный 7 75 5" xfId="24139"/>
    <cellStyle name="Процентный 7 75 5" xfId="24140"/>
    <cellStyle name="Обычный 4 3 67 5" xfId="24141"/>
    <cellStyle name="Процентный 4 3 67 5" xfId="24142"/>
    <cellStyle name="Обычный 5 3 67 5" xfId="24143"/>
    <cellStyle name="Процентный 5 3 67 5" xfId="24144"/>
    <cellStyle name="Обычный 4 2 2 67 5" xfId="24145"/>
    <cellStyle name="Процентный 4 2 2 67 5" xfId="24146"/>
    <cellStyle name="Обычный 5 2 2 67 5" xfId="24147"/>
    <cellStyle name="Процентный 5 2 2 67 5" xfId="24148"/>
    <cellStyle name="Обычный 6 2 67 5" xfId="24149"/>
    <cellStyle name="Процентный 6 2 67 5" xfId="24150"/>
    <cellStyle name="Обычный 7 2 67 5" xfId="24151"/>
    <cellStyle name="Процентный 7 2 67 5" xfId="24152"/>
    <cellStyle name="Обычный 8 63 5" xfId="24153"/>
    <cellStyle name="Процентный 8 63 5" xfId="24154"/>
    <cellStyle name="Обычный 9 29 5" xfId="24155"/>
    <cellStyle name="Процентный 9 30 5" xfId="24156"/>
    <cellStyle name="Обычный 10 22 5" xfId="24157"/>
    <cellStyle name="Процентный 10 22 5" xfId="24158"/>
    <cellStyle name="Обычный 11 10 5" xfId="24159"/>
    <cellStyle name="Процентный 11 10 5" xfId="24160"/>
    <cellStyle name="Обычный 4 122 5" xfId="24161"/>
    <cellStyle name="Процентный 4 122 5" xfId="24162"/>
    <cellStyle name="Обычный 5 115 5" xfId="24163"/>
    <cellStyle name="Процентный 5 115 5" xfId="24164"/>
    <cellStyle name="Обычный 4 2 109 5" xfId="24165"/>
    <cellStyle name="Процентный 4 2 109 5" xfId="24166"/>
    <cellStyle name="Обычный 5 2 109 5" xfId="24167"/>
    <cellStyle name="Процентный 5 2 109 5" xfId="24168"/>
    <cellStyle name="Обычный 6 106 5" xfId="24169"/>
    <cellStyle name="Процентный 6 106 5" xfId="24170"/>
    <cellStyle name="Обычный 7 76 5" xfId="24171"/>
    <cellStyle name="Процентный 7 76 5" xfId="24172"/>
    <cellStyle name="Обычный 4 3 68 5" xfId="24173"/>
    <cellStyle name="Процентный 4 3 68 5" xfId="24174"/>
    <cellStyle name="Обычный 5 3 68 5" xfId="24175"/>
    <cellStyle name="Процентный 5 3 68 5" xfId="24176"/>
    <cellStyle name="Обычный 4 2 2 68 5" xfId="24177"/>
    <cellStyle name="Процентный 4 2 2 68 5" xfId="24178"/>
    <cellStyle name="Обычный 5 2 2 68 5" xfId="24179"/>
    <cellStyle name="Процентный 5 2 2 68 5" xfId="24180"/>
    <cellStyle name="Обычный 6 2 68 5" xfId="24181"/>
    <cellStyle name="Процентный 6 2 68 5" xfId="24182"/>
    <cellStyle name="Обычный 7 2 68 5" xfId="24183"/>
    <cellStyle name="Процентный 7 2 68 5" xfId="24184"/>
    <cellStyle name="Обычный 8 64 5" xfId="24185"/>
    <cellStyle name="Процентный 8 64 5" xfId="24186"/>
    <cellStyle name="Обычный 9 30 5" xfId="24187"/>
    <cellStyle name="Процентный 9 31 5" xfId="24188"/>
    <cellStyle name="Обычный 10 23 5" xfId="24189"/>
    <cellStyle name="Процентный 10 23 5" xfId="24190"/>
    <cellStyle name="Обычный 11 11 5" xfId="24191"/>
    <cellStyle name="Процентный 11 11 5" xfId="24192"/>
    <cellStyle name="Обычный 4 123 5" xfId="24193"/>
    <cellStyle name="Процентный 4 123 5" xfId="24194"/>
    <cellStyle name="Обычный 5 116 5" xfId="24195"/>
    <cellStyle name="Процентный 5 116 5" xfId="24196"/>
    <cellStyle name="Обычный 4 2 110 5" xfId="24197"/>
    <cellStyle name="Процентный 4 2 110 5" xfId="24198"/>
    <cellStyle name="Обычный 5 2 110 5" xfId="24199"/>
    <cellStyle name="Процентный 5 2 110 5" xfId="24200"/>
    <cellStyle name="Обычный 6 107 5" xfId="24201"/>
    <cellStyle name="Процентный 6 107 5" xfId="24202"/>
    <cellStyle name="Обычный 7 77 5" xfId="24203"/>
    <cellStyle name="Процентный 7 77 5" xfId="24204"/>
    <cellStyle name="Обычный 4 3 69 5" xfId="24205"/>
    <cellStyle name="Процентный 4 3 69 5" xfId="24206"/>
    <cellStyle name="Обычный 5 3 69 5" xfId="24207"/>
    <cellStyle name="Процентный 5 3 69 5" xfId="24208"/>
    <cellStyle name="Обычный 4 2 2 69 5" xfId="24209"/>
    <cellStyle name="Процентный 4 2 2 69 5" xfId="24210"/>
    <cellStyle name="Обычный 5 2 2 69 5" xfId="24211"/>
    <cellStyle name="Процентный 5 2 2 69 5" xfId="24212"/>
    <cellStyle name="Обычный 6 2 69 5" xfId="24213"/>
    <cellStyle name="Процентный 6 2 69 5" xfId="24214"/>
    <cellStyle name="Обычный 7 2 69 5" xfId="24215"/>
    <cellStyle name="Процентный 7 2 69 5" xfId="24216"/>
    <cellStyle name="Обычный 8 65 5" xfId="24217"/>
    <cellStyle name="Процентный 8 65 5" xfId="24218"/>
    <cellStyle name="Обычный 9 31 5" xfId="24219"/>
    <cellStyle name="Процентный 9 32 5" xfId="24220"/>
    <cellStyle name="Обычный 10 24 5" xfId="24221"/>
    <cellStyle name="Процентный 10 24 5" xfId="24222"/>
    <cellStyle name="Обычный 11 12 5" xfId="24223"/>
    <cellStyle name="Процентный 11 12 5" xfId="24224"/>
    <cellStyle name="Обычный 4 124 5" xfId="24225"/>
    <cellStyle name="Процентный 4 124 5" xfId="24226"/>
    <cellStyle name="Обычный 5 117 5" xfId="24227"/>
    <cellStyle name="Процентный 5 117 5" xfId="24228"/>
    <cellStyle name="Обычный 4 2 111 5" xfId="24229"/>
    <cellStyle name="Процентный 4 2 111 5" xfId="24230"/>
    <cellStyle name="Обычный 5 2 111 5" xfId="24231"/>
    <cellStyle name="Процентный 5 2 111 5" xfId="24232"/>
    <cellStyle name="Обычный 6 108 5" xfId="24233"/>
    <cellStyle name="Процентный 6 108 5" xfId="24234"/>
    <cellStyle name="Обычный 7 78 5" xfId="24235"/>
    <cellStyle name="Процентный 7 78 5" xfId="24236"/>
    <cellStyle name="Обычный 4 3 70 5" xfId="24237"/>
    <cellStyle name="Процентный 4 3 70 5" xfId="24238"/>
    <cellStyle name="Обычный 5 3 70 5" xfId="24239"/>
    <cellStyle name="Процентный 5 3 70 5" xfId="24240"/>
    <cellStyle name="Обычный 4 2 2 70 5" xfId="24241"/>
    <cellStyle name="Процентный 4 2 2 70 5" xfId="24242"/>
    <cellStyle name="Обычный 5 2 2 70 5" xfId="24243"/>
    <cellStyle name="Процентный 5 2 2 70 5" xfId="24244"/>
    <cellStyle name="Обычный 6 2 70 5" xfId="24245"/>
    <cellStyle name="Процентный 6 2 70 5" xfId="24246"/>
    <cellStyle name="Обычный 7 2 70 5" xfId="24247"/>
    <cellStyle name="Процентный 7 2 70 5" xfId="24248"/>
    <cellStyle name="Обычный 8 66 5" xfId="24249"/>
    <cellStyle name="Процентный 8 66 5" xfId="24250"/>
    <cellStyle name="Обычный 9 32 5" xfId="24251"/>
    <cellStyle name="Процентный 9 33 5" xfId="24252"/>
    <cellStyle name="Обычный 10 25 5" xfId="24253"/>
    <cellStyle name="Процентный 10 25 5" xfId="24254"/>
    <cellStyle name="Обычный 11 13 5" xfId="24255"/>
    <cellStyle name="Процентный 11 13 5" xfId="24256"/>
    <cellStyle name="Обычный 4 125 5" xfId="24257"/>
    <cellStyle name="Процентный 4 125 5" xfId="24258"/>
    <cellStyle name="Обычный 5 118 5" xfId="24259"/>
    <cellStyle name="Процентный 5 118 5" xfId="24260"/>
    <cellStyle name="Обычный 4 2 112 5" xfId="24261"/>
    <cellStyle name="Процентный 4 2 112 5" xfId="24262"/>
    <cellStyle name="Обычный 5 2 112 5" xfId="24263"/>
    <cellStyle name="Процентный 5 2 112 5" xfId="24264"/>
    <cellStyle name="Обычный 6 109 5" xfId="24265"/>
    <cellStyle name="Процентный 6 109 5" xfId="24266"/>
    <cellStyle name="Обычный 7 79 5" xfId="24267"/>
    <cellStyle name="Процентный 7 79 5" xfId="24268"/>
    <cellStyle name="Обычный 4 3 71 5" xfId="24269"/>
    <cellStyle name="Процентный 4 3 71 5" xfId="24270"/>
    <cellStyle name="Обычный 5 3 71 5" xfId="24271"/>
    <cellStyle name="Процентный 5 3 71 5" xfId="24272"/>
    <cellStyle name="Обычный 4 2 2 71 5" xfId="24273"/>
    <cellStyle name="Процентный 4 2 2 71 5" xfId="24274"/>
    <cellStyle name="Обычный 5 2 2 71 5" xfId="24275"/>
    <cellStyle name="Процентный 5 2 2 71 5" xfId="24276"/>
    <cellStyle name="Обычный 6 2 71 5" xfId="24277"/>
    <cellStyle name="Процентный 6 2 71 5" xfId="24278"/>
    <cellStyle name="Обычный 7 2 71 5" xfId="24279"/>
    <cellStyle name="Процентный 7 2 71 5" xfId="24280"/>
    <cellStyle name="Обычный 8 67 5" xfId="24281"/>
    <cellStyle name="Процентный 8 67 5" xfId="24282"/>
    <cellStyle name="Обычный 9 33 5" xfId="24283"/>
    <cellStyle name="Процентный 9 34 5" xfId="24284"/>
    <cellStyle name="Обычный 10 26 5" xfId="24285"/>
    <cellStyle name="Процентный 10 26 5" xfId="24286"/>
    <cellStyle name="Обычный 11 14 5" xfId="24287"/>
    <cellStyle name="Процентный 11 14 5" xfId="24288"/>
    <cellStyle name="Обычный 4 126 5" xfId="24289"/>
    <cellStyle name="Процентный 4 126 5" xfId="24290"/>
    <cellStyle name="Обычный 5 119 5" xfId="24291"/>
    <cellStyle name="Процентный 5 119 5" xfId="24292"/>
    <cellStyle name="Обычный 4 2 113 5" xfId="24293"/>
    <cellStyle name="Процентный 4 2 113 5" xfId="24294"/>
    <cellStyle name="Обычный 5 2 113 5" xfId="24295"/>
    <cellStyle name="Процентный 5 2 113 5" xfId="24296"/>
    <cellStyle name="Обычный 6 110 5" xfId="24297"/>
    <cellStyle name="Процентный 6 110 5" xfId="24298"/>
    <cellStyle name="Обычный 7 80 5" xfId="24299"/>
    <cellStyle name="Процентный 7 80 5" xfId="24300"/>
    <cellStyle name="Обычный 4 3 72 5" xfId="24301"/>
    <cellStyle name="Процентный 4 3 72 5" xfId="24302"/>
    <cellStyle name="Обычный 5 3 72 5" xfId="24303"/>
    <cellStyle name="Процентный 5 3 72 5" xfId="24304"/>
    <cellStyle name="Обычный 4 2 2 72 5" xfId="24305"/>
    <cellStyle name="Процентный 4 2 2 72 5" xfId="24306"/>
    <cellStyle name="Обычный 5 2 2 72 5" xfId="24307"/>
    <cellStyle name="Процентный 5 2 2 72 5" xfId="24308"/>
    <cellStyle name="Обычный 6 2 72 5" xfId="24309"/>
    <cellStyle name="Процентный 6 2 72 5" xfId="24310"/>
    <cellStyle name="Обычный 7 2 72 5" xfId="24311"/>
    <cellStyle name="Процентный 7 2 72 5" xfId="24312"/>
    <cellStyle name="Обычный 8 68 5" xfId="24313"/>
    <cellStyle name="Процентный 8 68 5" xfId="24314"/>
    <cellStyle name="Обычный 9 34 5" xfId="24315"/>
    <cellStyle name="Процентный 9 35 5" xfId="24316"/>
    <cellStyle name="Обычный 10 27 5" xfId="24317"/>
    <cellStyle name="Процентный 10 27 5" xfId="24318"/>
    <cellStyle name="Обычный 11 15 5" xfId="24319"/>
    <cellStyle name="Процентный 11 15 5" xfId="24320"/>
    <cellStyle name="Обычный 4 127 5" xfId="24321"/>
    <cellStyle name="Процентный 4 127 5" xfId="24322"/>
    <cellStyle name="Обычный 5 120 5" xfId="24323"/>
    <cellStyle name="Процентный 5 120 5" xfId="24324"/>
    <cellStyle name="Обычный 4 2 114 5" xfId="24325"/>
    <cellStyle name="Процентный 4 2 114 5" xfId="24326"/>
    <cellStyle name="Обычный 5 2 114 5" xfId="24327"/>
    <cellStyle name="Процентный 5 2 114 5" xfId="24328"/>
    <cellStyle name="Обычный 6 111 5" xfId="24329"/>
    <cellStyle name="Процентный 6 111 5" xfId="24330"/>
    <cellStyle name="Обычный 7 81 5" xfId="24331"/>
    <cellStyle name="Процентный 7 81 5" xfId="24332"/>
    <cellStyle name="Обычный 4 3 73 5" xfId="24333"/>
    <cellStyle name="Процентный 4 3 73 5" xfId="24334"/>
    <cellStyle name="Обычный 5 3 73 5" xfId="24335"/>
    <cellStyle name="Процентный 5 3 73 5" xfId="24336"/>
    <cellStyle name="Обычный 4 2 2 73 5" xfId="24337"/>
    <cellStyle name="Процентный 4 2 2 73 5" xfId="24338"/>
    <cellStyle name="Обычный 5 2 2 73 5" xfId="24339"/>
    <cellStyle name="Процентный 5 2 2 73 5" xfId="24340"/>
    <cellStyle name="Обычный 6 2 73 5" xfId="24341"/>
    <cellStyle name="Процентный 6 2 73 5" xfId="24342"/>
    <cellStyle name="Обычный 7 2 73 5" xfId="24343"/>
    <cellStyle name="Процентный 7 2 73 5" xfId="24344"/>
    <cellStyle name="Обычный 8 69 5" xfId="24345"/>
    <cellStyle name="Процентный 8 69 5" xfId="24346"/>
    <cellStyle name="Обычный 9 35 5" xfId="24347"/>
    <cellStyle name="Процентный 9 36 5" xfId="24348"/>
    <cellStyle name="Обычный 10 28 5" xfId="24349"/>
    <cellStyle name="Процентный 10 28 5" xfId="24350"/>
    <cellStyle name="Обычный 11 16 5" xfId="24351"/>
    <cellStyle name="Процентный 11 16 5" xfId="24352"/>
    <cellStyle name="Обычный 4 128 5" xfId="24353"/>
    <cellStyle name="Процентный 4 128 5" xfId="24354"/>
    <cellStyle name="Обычный 5 121 5" xfId="24355"/>
    <cellStyle name="Процентный 5 121 5" xfId="24356"/>
    <cellStyle name="Обычный 4 2 115 5" xfId="24357"/>
    <cellStyle name="Процентный 4 2 115 5" xfId="24358"/>
    <cellStyle name="Обычный 5 2 115 5" xfId="24359"/>
    <cellStyle name="Процентный 5 2 115 5" xfId="24360"/>
    <cellStyle name="Обычный 6 112 5" xfId="24361"/>
    <cellStyle name="Процентный 6 112 5" xfId="24362"/>
    <cellStyle name="Обычный 7 82 5" xfId="24363"/>
    <cellStyle name="Процентный 7 82 5" xfId="24364"/>
    <cellStyle name="Обычный 4 3 74 5" xfId="24365"/>
    <cellStyle name="Процентный 4 3 74 5" xfId="24366"/>
    <cellStyle name="Обычный 5 3 74 5" xfId="24367"/>
    <cellStyle name="Процентный 5 3 74 5" xfId="24368"/>
    <cellStyle name="Обычный 4 2 2 74 5" xfId="24369"/>
    <cellStyle name="Процентный 4 2 2 74 5" xfId="24370"/>
    <cellStyle name="Обычный 5 2 2 74 5" xfId="24371"/>
    <cellStyle name="Процентный 5 2 2 74 5" xfId="24372"/>
    <cellStyle name="Обычный 6 2 74 5" xfId="24373"/>
    <cellStyle name="Процентный 6 2 74 5" xfId="24374"/>
    <cellStyle name="Обычный 7 2 74 5" xfId="24375"/>
    <cellStyle name="Процентный 7 2 74 5" xfId="24376"/>
    <cellStyle name="Обычный 8 70 5" xfId="24377"/>
    <cellStyle name="Процентный 8 70 5" xfId="24378"/>
    <cellStyle name="Обычный 9 36 5" xfId="24379"/>
    <cellStyle name="Процентный 9 37 5" xfId="24380"/>
    <cellStyle name="Обычный 10 29 5" xfId="24381"/>
    <cellStyle name="Процентный 10 29 5" xfId="24382"/>
    <cellStyle name="Обычный 11 17 5" xfId="24383"/>
    <cellStyle name="Процентный 11 17 5" xfId="24384"/>
    <cellStyle name="Обычный 4 129 5" xfId="24385"/>
    <cellStyle name="Процентный 4 129 5" xfId="24386"/>
    <cellStyle name="Обычный 5 122 5" xfId="24387"/>
    <cellStyle name="Процентный 5 122 5" xfId="24388"/>
    <cellStyle name="Обычный 4 2 116 5" xfId="24389"/>
    <cellStyle name="Процентный 4 2 116 5" xfId="24390"/>
    <cellStyle name="Обычный 5 2 116 5" xfId="24391"/>
    <cellStyle name="Процентный 5 2 116 5" xfId="24392"/>
    <cellStyle name="Обычный 6 113 5" xfId="24393"/>
    <cellStyle name="Процентный 6 113 5" xfId="24394"/>
    <cellStyle name="Обычный 7 83 5" xfId="24395"/>
    <cellStyle name="Процентный 7 83 5" xfId="24396"/>
    <cellStyle name="Обычный 4 3 75 5" xfId="24397"/>
    <cellStyle name="Процентный 4 3 75 5" xfId="24398"/>
    <cellStyle name="Обычный 5 3 75 5" xfId="24399"/>
    <cellStyle name="Процентный 5 3 75 5" xfId="24400"/>
    <cellStyle name="Обычный 4 2 2 75 5" xfId="24401"/>
    <cellStyle name="Процентный 4 2 2 75 5" xfId="24402"/>
    <cellStyle name="Обычный 5 2 2 75 5" xfId="24403"/>
    <cellStyle name="Процентный 5 2 2 75 5" xfId="24404"/>
    <cellStyle name="Обычный 6 2 75 5" xfId="24405"/>
    <cellStyle name="Процентный 6 2 75 5" xfId="24406"/>
    <cellStyle name="Обычный 7 2 75 5" xfId="24407"/>
    <cellStyle name="Процентный 7 2 75 5" xfId="24408"/>
    <cellStyle name="Обычный 8 71 5" xfId="24409"/>
    <cellStyle name="Процентный 8 71 5" xfId="24410"/>
    <cellStyle name="Обычный 9 37 5" xfId="24411"/>
    <cellStyle name="Процентный 9 38 5" xfId="24412"/>
    <cellStyle name="Обычный 10 30 5" xfId="24413"/>
    <cellStyle name="Процентный 10 30 5" xfId="24414"/>
    <cellStyle name="Обычный 11 18 5" xfId="24415"/>
    <cellStyle name="Процентный 11 18 5" xfId="24416"/>
    <cellStyle name="Обычный 4 130 5" xfId="24417"/>
    <cellStyle name="Процентный 4 130 5" xfId="24418"/>
    <cellStyle name="Обычный 5 123 5" xfId="24419"/>
    <cellStyle name="Процентный 5 123 5" xfId="24420"/>
    <cellStyle name="Обычный 4 2 117 5" xfId="24421"/>
    <cellStyle name="Процентный 4 2 117 5" xfId="24422"/>
    <cellStyle name="Обычный 5 2 117 5" xfId="24423"/>
    <cellStyle name="Процентный 5 2 117 5" xfId="24424"/>
    <cellStyle name="Обычный 6 114 5" xfId="24425"/>
    <cellStyle name="Процентный 6 114 5" xfId="24426"/>
    <cellStyle name="Обычный 7 84 5" xfId="24427"/>
    <cellStyle name="Процентный 7 84 5" xfId="24428"/>
    <cellStyle name="Обычный 4 3 76 5" xfId="24429"/>
    <cellStyle name="Процентный 4 3 76 5" xfId="24430"/>
    <cellStyle name="Обычный 5 3 76 5" xfId="24431"/>
    <cellStyle name="Процентный 5 3 76 5" xfId="24432"/>
    <cellStyle name="Обычный 4 2 2 76 5" xfId="24433"/>
    <cellStyle name="Процентный 4 2 2 76 5" xfId="24434"/>
    <cellStyle name="Обычный 5 2 2 76 5" xfId="24435"/>
    <cellStyle name="Процентный 5 2 2 76 5" xfId="24436"/>
    <cellStyle name="Обычный 6 2 76 5" xfId="24437"/>
    <cellStyle name="Процентный 6 2 76 5" xfId="24438"/>
    <cellStyle name="Обычный 7 2 76 5" xfId="24439"/>
    <cellStyle name="Процентный 7 2 76 5" xfId="24440"/>
    <cellStyle name="Обычный 8 72 5" xfId="24441"/>
    <cellStyle name="Процентный 8 72 5" xfId="24442"/>
    <cellStyle name="Обычный 9 38 5" xfId="24443"/>
    <cellStyle name="Процентный 9 39 5" xfId="24444"/>
    <cellStyle name="Обычный 10 31 5" xfId="24445"/>
    <cellStyle name="Процентный 10 31 5" xfId="24446"/>
    <cellStyle name="Обычный 11 19 5" xfId="24447"/>
    <cellStyle name="Процентный 11 19 5" xfId="24448"/>
    <cellStyle name="Обычный 4 131 5" xfId="24449"/>
    <cellStyle name="Процентный 4 131 5" xfId="24450"/>
    <cellStyle name="Обычный 5 124 5" xfId="24451"/>
    <cellStyle name="Процентный 5 124 5" xfId="24452"/>
    <cellStyle name="Обычный 4 2 118 5" xfId="24453"/>
    <cellStyle name="Процентный 4 2 118 5" xfId="24454"/>
    <cellStyle name="Обычный 5 2 118 5" xfId="24455"/>
    <cellStyle name="Процентный 5 2 118 5" xfId="24456"/>
    <cellStyle name="Обычный 6 115 5" xfId="24457"/>
    <cellStyle name="Процентный 6 115 5" xfId="24458"/>
    <cellStyle name="Обычный 7 85 5" xfId="24459"/>
    <cellStyle name="Процентный 7 85 5" xfId="24460"/>
    <cellStyle name="Обычный 4 3 77 5" xfId="24461"/>
    <cellStyle name="Процентный 4 3 77 5" xfId="24462"/>
    <cellStyle name="Обычный 5 3 77 5" xfId="24463"/>
    <cellStyle name="Процентный 5 3 77 5" xfId="24464"/>
    <cellStyle name="Обычный 4 2 2 77 5" xfId="24465"/>
    <cellStyle name="Процентный 4 2 2 77 5" xfId="24466"/>
    <cellStyle name="Обычный 5 2 2 77 5" xfId="24467"/>
    <cellStyle name="Процентный 5 2 2 77 5" xfId="24468"/>
    <cellStyle name="Обычный 6 2 77 5" xfId="24469"/>
    <cellStyle name="Процентный 6 2 77 5" xfId="24470"/>
    <cellStyle name="Обычный 7 2 77 5" xfId="24471"/>
    <cellStyle name="Процентный 7 2 77 5" xfId="24472"/>
    <cellStyle name="Обычный 8 73 5" xfId="24473"/>
    <cellStyle name="Процентный 8 73 5" xfId="24474"/>
    <cellStyle name="Обычный 9 39 5" xfId="24475"/>
    <cellStyle name="Процентный 9 40 5" xfId="24476"/>
    <cellStyle name="Обычный 10 32 5" xfId="24477"/>
    <cellStyle name="Процентный 10 32 5" xfId="24478"/>
    <cellStyle name="Обычный 11 20 5" xfId="24479"/>
    <cellStyle name="Процентный 11 20 5" xfId="24480"/>
    <cellStyle name="Обычный 4 132 5" xfId="24481"/>
    <cellStyle name="Процентный 4 132 5" xfId="24482"/>
    <cellStyle name="Обычный 5 125 5" xfId="24483"/>
    <cellStyle name="Процентный 5 125 5" xfId="24484"/>
    <cellStyle name="Обычный 4 2 119 5" xfId="24485"/>
    <cellStyle name="Процентный 4 2 119 5" xfId="24486"/>
    <cellStyle name="Обычный 5 2 119 5" xfId="24487"/>
    <cellStyle name="Процентный 5 2 119 5" xfId="24488"/>
    <cellStyle name="Обычный 6 116 5" xfId="24489"/>
    <cellStyle name="Процентный 6 116 5" xfId="24490"/>
    <cellStyle name="Обычный 7 86 5" xfId="24491"/>
    <cellStyle name="Процентный 7 86 5" xfId="24492"/>
    <cellStyle name="Обычный 4 3 78 5" xfId="24493"/>
    <cellStyle name="Процентный 4 3 78 5" xfId="24494"/>
    <cellStyle name="Обычный 5 3 78 5" xfId="24495"/>
    <cellStyle name="Процентный 5 3 78 5" xfId="24496"/>
    <cellStyle name="Обычный 4 2 2 78 5" xfId="24497"/>
    <cellStyle name="Процентный 4 2 2 78 5" xfId="24498"/>
    <cellStyle name="Обычный 5 2 2 78 5" xfId="24499"/>
    <cellStyle name="Процентный 5 2 2 78 5" xfId="24500"/>
    <cellStyle name="Обычный 6 2 78 5" xfId="24501"/>
    <cellStyle name="Процентный 6 2 78 5" xfId="24502"/>
    <cellStyle name="Обычный 7 2 78 5" xfId="24503"/>
    <cellStyle name="Процентный 7 2 78 5" xfId="24504"/>
    <cellStyle name="Обычный 8 74 5" xfId="24505"/>
    <cellStyle name="Процентный 8 74 5" xfId="24506"/>
    <cellStyle name="Обычный 9 40 5" xfId="24507"/>
    <cellStyle name="Процентный 9 41 5" xfId="24508"/>
    <cellStyle name="Обычный 10 33 5" xfId="24509"/>
    <cellStyle name="Процентный 10 33 5" xfId="24510"/>
    <cellStyle name="Обычный 11 21 5" xfId="24511"/>
    <cellStyle name="Процентный 11 21 5" xfId="24512"/>
    <cellStyle name="Обычный 4 133 5" xfId="24513"/>
    <cellStyle name="Процентный 4 133 5" xfId="24514"/>
    <cellStyle name="Обычный 5 126 5" xfId="24515"/>
    <cellStyle name="Процентный 5 126 5" xfId="24516"/>
    <cellStyle name="Обычный 4 2 120 5" xfId="24517"/>
    <cellStyle name="Процентный 4 2 120 5" xfId="24518"/>
    <cellStyle name="Обычный 5 2 120 5" xfId="24519"/>
    <cellStyle name="Процентный 5 2 120 5" xfId="24520"/>
    <cellStyle name="Обычный 6 117 5" xfId="24521"/>
    <cellStyle name="Процентный 6 117 5" xfId="24522"/>
    <cellStyle name="Обычный 7 87 5" xfId="24523"/>
    <cellStyle name="Процентный 7 87 5" xfId="24524"/>
    <cellStyle name="Обычный 4 3 79 5" xfId="24525"/>
    <cellStyle name="Процентный 4 3 79 5" xfId="24526"/>
    <cellStyle name="Обычный 5 3 79 5" xfId="24527"/>
    <cellStyle name="Процентный 5 3 79 5" xfId="24528"/>
    <cellStyle name="Обычный 4 2 2 79 5" xfId="24529"/>
    <cellStyle name="Процентный 4 2 2 79 5" xfId="24530"/>
    <cellStyle name="Обычный 5 2 2 79 5" xfId="24531"/>
    <cellStyle name="Процентный 5 2 2 79 5" xfId="24532"/>
    <cellStyle name="Обычный 6 2 79 5" xfId="24533"/>
    <cellStyle name="Процентный 6 2 79 5" xfId="24534"/>
    <cellStyle name="Обычный 7 2 79 5" xfId="24535"/>
    <cellStyle name="Процентный 7 2 79 5" xfId="24536"/>
    <cellStyle name="Обычный 8 75 5" xfId="24537"/>
    <cellStyle name="Процентный 8 75 5" xfId="24538"/>
    <cellStyle name="Обычный 9 41 5" xfId="24539"/>
    <cellStyle name="Процентный 9 42 5" xfId="24540"/>
    <cellStyle name="Обычный 10 34 5" xfId="24541"/>
    <cellStyle name="Процентный 10 34 5" xfId="24542"/>
    <cellStyle name="Обычный 11 22 5" xfId="24543"/>
    <cellStyle name="Процентный 11 22 5" xfId="24544"/>
    <cellStyle name="Обычный 4 134 5" xfId="24545"/>
    <cellStyle name="Процентный 4 134 5" xfId="24546"/>
    <cellStyle name="Обычный 5 127 5" xfId="24547"/>
    <cellStyle name="Процентный 5 127 5" xfId="24548"/>
    <cellStyle name="Обычный 4 2 121 5" xfId="24549"/>
    <cellStyle name="Процентный 4 2 121 5" xfId="24550"/>
    <cellStyle name="Обычный 5 2 121 5" xfId="24551"/>
    <cellStyle name="Процентный 5 2 121 5" xfId="24552"/>
    <cellStyle name="Обычный 6 118 5" xfId="24553"/>
    <cellStyle name="Процентный 6 118 5" xfId="24554"/>
    <cellStyle name="Обычный 7 88 5" xfId="24555"/>
    <cellStyle name="Процентный 7 88 5" xfId="24556"/>
    <cellStyle name="Обычный 4 3 80 5" xfId="24557"/>
    <cellStyle name="Процентный 4 3 80 5" xfId="24558"/>
    <cellStyle name="Обычный 5 3 80 5" xfId="24559"/>
    <cellStyle name="Процентный 5 3 80 5" xfId="24560"/>
    <cellStyle name="Обычный 4 2 2 80 5" xfId="24561"/>
    <cellStyle name="Процентный 4 2 2 80 5" xfId="24562"/>
    <cellStyle name="Обычный 5 2 2 80 5" xfId="24563"/>
    <cellStyle name="Процентный 5 2 2 80 5" xfId="24564"/>
    <cellStyle name="Обычный 6 2 80 5" xfId="24565"/>
    <cellStyle name="Процентный 6 2 80 5" xfId="24566"/>
    <cellStyle name="Обычный 7 2 80 5" xfId="24567"/>
    <cellStyle name="Процентный 7 2 80 5" xfId="24568"/>
    <cellStyle name="Обычный 8 76 5" xfId="24569"/>
    <cellStyle name="Процентный 8 76 5" xfId="24570"/>
    <cellStyle name="Обычный 9 42 5" xfId="24571"/>
    <cellStyle name="Процентный 9 43 5" xfId="24572"/>
    <cellStyle name="Обычный 10 35 5" xfId="24573"/>
    <cellStyle name="Процентный 10 35 5" xfId="24574"/>
    <cellStyle name="Обычный 11 23 5" xfId="24575"/>
    <cellStyle name="Процентный 11 23 5" xfId="24576"/>
    <cellStyle name="Обычный 4 135 5" xfId="24577"/>
    <cellStyle name="Процентный 4 135 5" xfId="24578"/>
    <cellStyle name="Обычный 5 128 5" xfId="24579"/>
    <cellStyle name="Процентный 5 128 5" xfId="24580"/>
    <cellStyle name="Обычный 4 2 122 5" xfId="24581"/>
    <cellStyle name="Процентный 4 2 122 5" xfId="24582"/>
    <cellStyle name="Обычный 5 2 122 5" xfId="24583"/>
    <cellStyle name="Процентный 5 2 122 5" xfId="24584"/>
    <cellStyle name="Обычный 6 119 5" xfId="24585"/>
    <cellStyle name="Процентный 6 119 5" xfId="24586"/>
    <cellStyle name="Обычный 7 89 5" xfId="24587"/>
    <cellStyle name="Процентный 7 89 5" xfId="24588"/>
    <cellStyle name="Обычный 4 3 81 5" xfId="24589"/>
    <cellStyle name="Процентный 4 3 81 5" xfId="24590"/>
    <cellStyle name="Обычный 5 3 81 5" xfId="24591"/>
    <cellStyle name="Процентный 5 3 81 5" xfId="24592"/>
    <cellStyle name="Обычный 4 2 2 81 5" xfId="24593"/>
    <cellStyle name="Процентный 4 2 2 81 5" xfId="24594"/>
    <cellStyle name="Обычный 5 2 2 81 5" xfId="24595"/>
    <cellStyle name="Процентный 5 2 2 81 5" xfId="24596"/>
    <cellStyle name="Обычный 6 2 81 5" xfId="24597"/>
    <cellStyle name="Процентный 6 2 81 5" xfId="24598"/>
    <cellStyle name="Обычный 7 2 81 5" xfId="24599"/>
    <cellStyle name="Процентный 7 2 81 5" xfId="24600"/>
    <cellStyle name="Обычный 8 77 5" xfId="24601"/>
    <cellStyle name="Процентный 8 77 5" xfId="24602"/>
    <cellStyle name="Обычный 9 43 5" xfId="24603"/>
    <cellStyle name="Процентный 9 44 5" xfId="24604"/>
    <cellStyle name="Обычный 10 36 5" xfId="24605"/>
    <cellStyle name="Процентный 10 36 5" xfId="24606"/>
    <cellStyle name="Обычный 11 24 5" xfId="24607"/>
    <cellStyle name="Процентный 11 24 5" xfId="24608"/>
    <cellStyle name="Обычный 4 136 5" xfId="24609"/>
    <cellStyle name="Процентный 4 136 5" xfId="24610"/>
    <cellStyle name="Обычный 5 129 5" xfId="24611"/>
    <cellStyle name="Процентный 5 129 5" xfId="24612"/>
    <cellStyle name="Обычный 4 2 123 5" xfId="24613"/>
    <cellStyle name="Процентный 4 2 123 5" xfId="24614"/>
    <cellStyle name="Обычный 5 2 123 5" xfId="24615"/>
    <cellStyle name="Процентный 5 2 123 5" xfId="24616"/>
    <cellStyle name="Обычный 6 120 5" xfId="24617"/>
    <cellStyle name="Процентный 6 120 5" xfId="24618"/>
    <cellStyle name="Обычный 7 90 5" xfId="24619"/>
    <cellStyle name="Процентный 7 90 5" xfId="24620"/>
    <cellStyle name="Обычный 4 3 82 5" xfId="24621"/>
    <cellStyle name="Процентный 4 3 82 5" xfId="24622"/>
    <cellStyle name="Обычный 5 3 82 5" xfId="24623"/>
    <cellStyle name="Процентный 5 3 82 5" xfId="24624"/>
    <cellStyle name="Обычный 4 2 2 82 5" xfId="24625"/>
    <cellStyle name="Процентный 4 2 2 82 5" xfId="24626"/>
    <cellStyle name="Обычный 5 2 2 82 5" xfId="24627"/>
    <cellStyle name="Процентный 5 2 2 82 5" xfId="24628"/>
    <cellStyle name="Обычный 6 2 82 5" xfId="24629"/>
    <cellStyle name="Процентный 6 2 82 5" xfId="24630"/>
    <cellStyle name="Обычный 7 2 82 5" xfId="24631"/>
    <cellStyle name="Процентный 7 2 82 5" xfId="24632"/>
    <cellStyle name="Обычный 8 78 5" xfId="24633"/>
    <cellStyle name="Процентный 8 78 5" xfId="24634"/>
    <cellStyle name="Обычный 9 44 5" xfId="24635"/>
    <cellStyle name="Процентный 9 45 5" xfId="24636"/>
    <cellStyle name="Обычный 10 37 5" xfId="24637"/>
    <cellStyle name="Процентный 10 37 5" xfId="24638"/>
    <cellStyle name="Обычный 11 25 5" xfId="24639"/>
    <cellStyle name="Процентный 11 25 5" xfId="24640"/>
    <cellStyle name="Обычный 4 137 5" xfId="24641"/>
    <cellStyle name="Процентный 4 137 5" xfId="24642"/>
    <cellStyle name="Обычный 5 130 5" xfId="24643"/>
    <cellStyle name="Процентный 5 130 5" xfId="24644"/>
    <cellStyle name="Обычный 4 2 124 5" xfId="24645"/>
    <cellStyle name="Процентный 4 2 124 5" xfId="24646"/>
    <cellStyle name="Обычный 5 2 124 5" xfId="24647"/>
    <cellStyle name="Процентный 5 2 124 5" xfId="24648"/>
    <cellStyle name="Обычный 6 121 5" xfId="24649"/>
    <cellStyle name="Процентный 6 121 5" xfId="24650"/>
    <cellStyle name="Обычный 7 91 5" xfId="24651"/>
    <cellStyle name="Процентный 7 91 5" xfId="24652"/>
    <cellStyle name="Обычный 4 3 83 5" xfId="24653"/>
    <cellStyle name="Процентный 4 3 83 5" xfId="24654"/>
    <cellStyle name="Обычный 5 3 83 5" xfId="24655"/>
    <cellStyle name="Процентный 5 3 83 5" xfId="24656"/>
    <cellStyle name="Обычный 4 2 2 83 5" xfId="24657"/>
    <cellStyle name="Процентный 4 2 2 83 5" xfId="24658"/>
    <cellStyle name="Обычный 5 2 2 83 5" xfId="24659"/>
    <cellStyle name="Процентный 5 2 2 83 5" xfId="24660"/>
    <cellStyle name="Обычный 6 2 83 5" xfId="24661"/>
    <cellStyle name="Процентный 6 2 83 5" xfId="24662"/>
    <cellStyle name="Обычный 7 2 83 5" xfId="24663"/>
    <cellStyle name="Процентный 7 2 83 5" xfId="24664"/>
    <cellStyle name="Обычный 8 79 5" xfId="24665"/>
    <cellStyle name="Процентный 8 79 5" xfId="24666"/>
    <cellStyle name="Обычный 9 45 5" xfId="24667"/>
    <cellStyle name="Процентный 9 46 5" xfId="24668"/>
    <cellStyle name="Обычный 10 38 5" xfId="24669"/>
    <cellStyle name="Процентный 10 38 5" xfId="24670"/>
    <cellStyle name="Обычный 11 26 5" xfId="24671"/>
    <cellStyle name="Процентный 11 26 5" xfId="24672"/>
    <cellStyle name="Обычный 4 138 5" xfId="24673"/>
    <cellStyle name="Процентный 4 138 5" xfId="24674"/>
    <cellStyle name="Обычный 5 131 5" xfId="24675"/>
    <cellStyle name="Процентный 5 131 5" xfId="24676"/>
    <cellStyle name="Обычный 4 2 125 5" xfId="24677"/>
    <cellStyle name="Процентный 4 2 125 5" xfId="24678"/>
    <cellStyle name="Обычный 5 2 125 5" xfId="24679"/>
    <cellStyle name="Процентный 5 2 125 5" xfId="24680"/>
    <cellStyle name="Обычный 6 122 5" xfId="24681"/>
    <cellStyle name="Процентный 6 122 5" xfId="24682"/>
    <cellStyle name="Обычный 7 92 5" xfId="24683"/>
    <cellStyle name="Процентный 7 92 5" xfId="24684"/>
    <cellStyle name="Обычный 4 3 84 5" xfId="24685"/>
    <cellStyle name="Процентный 4 3 84 5" xfId="24686"/>
    <cellStyle name="Обычный 5 3 84 5" xfId="24687"/>
    <cellStyle name="Процентный 5 3 84 5" xfId="24688"/>
    <cellStyle name="Обычный 4 2 2 84 5" xfId="24689"/>
    <cellStyle name="Процентный 4 2 2 84 5" xfId="24690"/>
    <cellStyle name="Обычный 5 2 2 84 5" xfId="24691"/>
    <cellStyle name="Процентный 5 2 2 84 5" xfId="24692"/>
    <cellStyle name="Обычный 6 2 84 5" xfId="24693"/>
    <cellStyle name="Процентный 6 2 84 5" xfId="24694"/>
    <cellStyle name="Обычный 7 2 84 5" xfId="24695"/>
    <cellStyle name="Процентный 7 2 84 5" xfId="24696"/>
    <cellStyle name="Обычный 8 80 5" xfId="24697"/>
    <cellStyle name="Процентный 8 80 5" xfId="24698"/>
    <cellStyle name="Обычный 9 46 5" xfId="24699"/>
    <cellStyle name="Процентный 9 47 5" xfId="24700"/>
    <cellStyle name="Обычный 10 39 5" xfId="24701"/>
    <cellStyle name="Процентный 10 39 5" xfId="24702"/>
    <cellStyle name="Обычный 11 27 5" xfId="24703"/>
    <cellStyle name="Процентный 11 27 5" xfId="24704"/>
    <cellStyle name="Обычный 4 139 5" xfId="24705"/>
    <cellStyle name="Процентный 4 139 5" xfId="24706"/>
    <cellStyle name="Обычный 5 132 5" xfId="24707"/>
    <cellStyle name="Процентный 5 132 5" xfId="24708"/>
    <cellStyle name="Обычный 4 2 126 5" xfId="24709"/>
    <cellStyle name="Процентный 4 2 126 5" xfId="24710"/>
    <cellStyle name="Обычный 5 2 126 5" xfId="24711"/>
    <cellStyle name="Процентный 5 2 126 5" xfId="24712"/>
    <cellStyle name="Обычный 6 123 5" xfId="24713"/>
    <cellStyle name="Процентный 6 123 5" xfId="24714"/>
    <cellStyle name="Обычный 7 93 5" xfId="24715"/>
    <cellStyle name="Процентный 7 93 5" xfId="24716"/>
    <cellStyle name="Обычный 4 3 85 5" xfId="24717"/>
    <cellStyle name="Процентный 4 3 85 5" xfId="24718"/>
    <cellStyle name="Обычный 5 3 85 5" xfId="24719"/>
    <cellStyle name="Процентный 5 3 85 5" xfId="24720"/>
    <cellStyle name="Обычный 4 2 2 85 5" xfId="24721"/>
    <cellStyle name="Процентный 4 2 2 85 5" xfId="24722"/>
    <cellStyle name="Обычный 5 2 2 85 5" xfId="24723"/>
    <cellStyle name="Процентный 5 2 2 85 5" xfId="24724"/>
    <cellStyle name="Обычный 6 2 85 5" xfId="24725"/>
    <cellStyle name="Процентный 6 2 85 5" xfId="24726"/>
    <cellStyle name="Обычный 7 2 85 5" xfId="24727"/>
    <cellStyle name="Процентный 7 2 85 5" xfId="24728"/>
    <cellStyle name="Обычный 8 81 5" xfId="24729"/>
    <cellStyle name="Процентный 8 81 5" xfId="24730"/>
    <cellStyle name="Обычный 9 47 5" xfId="24731"/>
    <cellStyle name="Процентный 9 48 5" xfId="24732"/>
    <cellStyle name="Обычный 10 40 5" xfId="24733"/>
    <cellStyle name="Процентный 10 40 5" xfId="24734"/>
    <cellStyle name="Обычный 11 28 5" xfId="24735"/>
    <cellStyle name="Процентный 11 28 5" xfId="24736"/>
    <cellStyle name="Обычный 4 140 5" xfId="24737"/>
    <cellStyle name="Процентный 4 140 5" xfId="24738"/>
    <cellStyle name="Обычный 5 133 5" xfId="24739"/>
    <cellStyle name="Процентный 5 133 5" xfId="24740"/>
    <cellStyle name="Обычный 4 2 127 5" xfId="24741"/>
    <cellStyle name="Процентный 4 2 127 5" xfId="24742"/>
    <cellStyle name="Обычный 5 2 127 5" xfId="24743"/>
    <cellStyle name="Процентный 5 2 127 5" xfId="24744"/>
    <cellStyle name="Обычный 6 124 5" xfId="24745"/>
    <cellStyle name="Процентный 6 124 5" xfId="24746"/>
    <cellStyle name="Обычный 7 94 5" xfId="24747"/>
    <cellStyle name="Процентный 7 94 5" xfId="24748"/>
    <cellStyle name="Обычный 4 3 86 5" xfId="24749"/>
    <cellStyle name="Процентный 4 3 86 5" xfId="24750"/>
    <cellStyle name="Обычный 5 3 86 5" xfId="24751"/>
    <cellStyle name="Процентный 5 3 86 5" xfId="24752"/>
    <cellStyle name="Обычный 4 2 2 86 5" xfId="24753"/>
    <cellStyle name="Процентный 4 2 2 86 5" xfId="24754"/>
    <cellStyle name="Обычный 5 2 2 86 5" xfId="24755"/>
    <cellStyle name="Процентный 5 2 2 86 5" xfId="24756"/>
    <cellStyle name="Обычный 6 2 86 5" xfId="24757"/>
    <cellStyle name="Процентный 6 2 86 5" xfId="24758"/>
    <cellStyle name="Обычный 7 2 86 5" xfId="24759"/>
    <cellStyle name="Процентный 7 2 86 5" xfId="24760"/>
    <cellStyle name="Обычный 8 82 5" xfId="24761"/>
    <cellStyle name="Процентный 8 82 5" xfId="24762"/>
    <cellStyle name="Обычный 9 48 5" xfId="24763"/>
    <cellStyle name="Процентный 9 49 5" xfId="24764"/>
    <cellStyle name="Обычный 10 41 5" xfId="24765"/>
    <cellStyle name="Процентный 10 41 5" xfId="24766"/>
    <cellStyle name="Обычный 11 29 5" xfId="24767"/>
    <cellStyle name="Процентный 11 29 5" xfId="24768"/>
    <cellStyle name="Обычный 4 141 5" xfId="24769"/>
    <cellStyle name="Процентный 4 141 5" xfId="24770"/>
    <cellStyle name="Обычный 5 134 5" xfId="24771"/>
    <cellStyle name="Процентный 5 134 5" xfId="24772"/>
    <cellStyle name="Обычный 4 2 128 5" xfId="24773"/>
    <cellStyle name="Процентный 4 2 128 5" xfId="24774"/>
    <cellStyle name="Обычный 5 2 128 5" xfId="24775"/>
    <cellStyle name="Процентный 5 2 128 5" xfId="24776"/>
    <cellStyle name="Обычный 6 125 5" xfId="24777"/>
    <cellStyle name="Процентный 6 125 5" xfId="24778"/>
    <cellStyle name="Обычный 7 95 5" xfId="24779"/>
    <cellStyle name="Процентный 7 95 5" xfId="24780"/>
    <cellStyle name="Обычный 4 3 87 5" xfId="24781"/>
    <cellStyle name="Процентный 4 3 87 5" xfId="24782"/>
    <cellStyle name="Обычный 5 3 87 5" xfId="24783"/>
    <cellStyle name="Процентный 5 3 87 5" xfId="24784"/>
    <cellStyle name="Обычный 4 2 2 87 5" xfId="24785"/>
    <cellStyle name="Процентный 4 2 2 87 5" xfId="24786"/>
    <cellStyle name="Обычный 5 2 2 87 5" xfId="24787"/>
    <cellStyle name="Процентный 5 2 2 87 5" xfId="24788"/>
    <cellStyle name="Обычный 6 2 87 5" xfId="24789"/>
    <cellStyle name="Процентный 6 2 87 5" xfId="24790"/>
    <cellStyle name="Обычный 7 2 87 5" xfId="24791"/>
    <cellStyle name="Процентный 7 2 87 5" xfId="24792"/>
    <cellStyle name="Обычный 8 83 5" xfId="24793"/>
    <cellStyle name="Процентный 8 83 5" xfId="24794"/>
    <cellStyle name="Обычный 9 49 5" xfId="24795"/>
    <cellStyle name="Процентный 9 50 5" xfId="24796"/>
    <cellStyle name="Обычный 10 42 5" xfId="24797"/>
    <cellStyle name="Процентный 10 42 5" xfId="24798"/>
    <cellStyle name="Обычный 11 30 5" xfId="24799"/>
    <cellStyle name="Процентный 11 30 5" xfId="24800"/>
    <cellStyle name="Обычный 4 142 5" xfId="24801"/>
    <cellStyle name="Процентный 4 142 5" xfId="24802"/>
    <cellStyle name="Обычный 5 135 5" xfId="24803"/>
    <cellStyle name="Процентный 5 135 5" xfId="24804"/>
    <cellStyle name="Обычный 4 2 129 5" xfId="24805"/>
    <cellStyle name="Процентный 4 2 129 5" xfId="24806"/>
    <cellStyle name="Обычный 5 2 129 5" xfId="24807"/>
    <cellStyle name="Процентный 5 2 129 5" xfId="24808"/>
    <cellStyle name="Обычный 6 126 5" xfId="24809"/>
    <cellStyle name="Процентный 6 126 5" xfId="24810"/>
    <cellStyle name="Обычный 7 96 5" xfId="24811"/>
    <cellStyle name="Процентный 7 96 5" xfId="24812"/>
    <cellStyle name="Обычный 4 3 88 5" xfId="24813"/>
    <cellStyle name="Процентный 4 3 88 5" xfId="24814"/>
    <cellStyle name="Обычный 5 3 88 5" xfId="24815"/>
    <cellStyle name="Процентный 5 3 88 5" xfId="24816"/>
    <cellStyle name="Обычный 4 2 2 88 5" xfId="24817"/>
    <cellStyle name="Процентный 4 2 2 88 5" xfId="24818"/>
    <cellStyle name="Обычный 5 2 2 88 5" xfId="24819"/>
    <cellStyle name="Процентный 5 2 2 88 5" xfId="24820"/>
    <cellStyle name="Обычный 6 2 88 5" xfId="24821"/>
    <cellStyle name="Процентный 6 2 88 5" xfId="24822"/>
    <cellStyle name="Обычный 7 2 88 5" xfId="24823"/>
    <cellStyle name="Процентный 7 2 88 5" xfId="24824"/>
    <cellStyle name="Обычный 8 84 5" xfId="24825"/>
    <cellStyle name="Процентный 8 84 5" xfId="24826"/>
    <cellStyle name="Обычный 9 50 5" xfId="24827"/>
    <cellStyle name="Процентный 9 51 5" xfId="24828"/>
    <cellStyle name="Обычный 10 43 5" xfId="24829"/>
    <cellStyle name="Процентный 10 43 5" xfId="24830"/>
    <cellStyle name="Обычный 11 31 5" xfId="24831"/>
    <cellStyle name="Процентный 11 31 5" xfId="24832"/>
    <cellStyle name="Обычный 4 143 5" xfId="24833"/>
    <cellStyle name="Процентный 4 143 5" xfId="24834"/>
    <cellStyle name="Обычный 5 136 5" xfId="24835"/>
    <cellStyle name="Процентный 5 136 5" xfId="24836"/>
    <cellStyle name="Обычный 4 2 130 5" xfId="24837"/>
    <cellStyle name="Процентный 4 2 130 5" xfId="24838"/>
    <cellStyle name="Обычный 5 2 130 5" xfId="24839"/>
    <cellStyle name="Процентный 5 2 130 5" xfId="24840"/>
    <cellStyle name="Обычный 6 127 5" xfId="24841"/>
    <cellStyle name="Процентный 6 127 5" xfId="24842"/>
    <cellStyle name="Обычный 7 97 5" xfId="24843"/>
    <cellStyle name="Процентный 7 97 5" xfId="24844"/>
    <cellStyle name="Обычный 4 3 89 5" xfId="24845"/>
    <cellStyle name="Процентный 4 3 89 5" xfId="24846"/>
    <cellStyle name="Обычный 5 3 89 5" xfId="24847"/>
    <cellStyle name="Процентный 5 3 89 5" xfId="24848"/>
    <cellStyle name="Обычный 4 2 2 89 5" xfId="24849"/>
    <cellStyle name="Процентный 4 2 2 89 5" xfId="24850"/>
    <cellStyle name="Обычный 5 2 2 89 5" xfId="24851"/>
    <cellStyle name="Процентный 5 2 2 89 5" xfId="24852"/>
    <cellStyle name="Обычный 6 2 89 5" xfId="24853"/>
    <cellStyle name="Процентный 6 2 89 5" xfId="24854"/>
    <cellStyle name="Обычный 7 2 89 5" xfId="24855"/>
    <cellStyle name="Процентный 7 2 89 5" xfId="24856"/>
    <cellStyle name="Обычный 8 85 5" xfId="24857"/>
    <cellStyle name="Процентный 8 85 5" xfId="24858"/>
    <cellStyle name="Обычный 9 51 5" xfId="24859"/>
    <cellStyle name="Процентный 9 52 5" xfId="24860"/>
    <cellStyle name="Обычный 10 44 5" xfId="24861"/>
    <cellStyle name="Процентный 10 44 5" xfId="24862"/>
    <cellStyle name="Обычный 11 32 5" xfId="24863"/>
    <cellStyle name="Процентный 11 32 5" xfId="24864"/>
    <cellStyle name="Обычный 4 144 5" xfId="24865"/>
    <cellStyle name="Процентный 4 144 5" xfId="24866"/>
    <cellStyle name="Обычный 5 137 5" xfId="24867"/>
    <cellStyle name="Процентный 5 137 5" xfId="24868"/>
    <cellStyle name="Обычный 4 2 131 5" xfId="24869"/>
    <cellStyle name="Процентный 4 2 131 5" xfId="24870"/>
    <cellStyle name="Обычный 5 2 131 5" xfId="24871"/>
    <cellStyle name="Процентный 5 2 131 5" xfId="24872"/>
    <cellStyle name="Обычный 6 128 5" xfId="24873"/>
    <cellStyle name="Процентный 6 128 5" xfId="24874"/>
    <cellStyle name="Обычный 7 98 5" xfId="24875"/>
    <cellStyle name="Процентный 7 98 5" xfId="24876"/>
    <cellStyle name="Обычный 4 3 90 5" xfId="24877"/>
    <cellStyle name="Процентный 4 3 90 5" xfId="24878"/>
    <cellStyle name="Обычный 5 3 90 5" xfId="24879"/>
    <cellStyle name="Процентный 5 3 90 5" xfId="24880"/>
    <cellStyle name="Обычный 4 2 2 90 5" xfId="24881"/>
    <cellStyle name="Процентный 4 2 2 90 5" xfId="24882"/>
    <cellStyle name="Обычный 5 2 2 90 5" xfId="24883"/>
    <cellStyle name="Процентный 5 2 2 90 5" xfId="24884"/>
    <cellStyle name="Обычный 6 2 90 5" xfId="24885"/>
    <cellStyle name="Процентный 6 2 90 5" xfId="24886"/>
    <cellStyle name="Обычный 7 2 90 5" xfId="24887"/>
    <cellStyle name="Процентный 7 2 90 5" xfId="24888"/>
    <cellStyle name="Обычный 8 86 5" xfId="24889"/>
    <cellStyle name="Процентный 8 86 5" xfId="24890"/>
    <cellStyle name="Обычный 9 52 5" xfId="24891"/>
    <cellStyle name="Процентный 9 53 5" xfId="24892"/>
    <cellStyle name="Обычный 10 45 5" xfId="24893"/>
    <cellStyle name="Процентный 10 45 5" xfId="24894"/>
    <cellStyle name="Обычный 11 33 5" xfId="24895"/>
    <cellStyle name="Процентный 11 33 5" xfId="24896"/>
    <cellStyle name="Обычный 4 145 5" xfId="24897"/>
    <cellStyle name="Процентный 4 145 5" xfId="24898"/>
    <cellStyle name="Обычный 5 138 5" xfId="24899"/>
    <cellStyle name="Процентный 5 138 5" xfId="24900"/>
    <cellStyle name="Обычный 4 2 132 5" xfId="24901"/>
    <cellStyle name="Процентный 4 2 132 5" xfId="24902"/>
    <cellStyle name="Обычный 5 2 132 5" xfId="24903"/>
    <cellStyle name="Процентный 5 2 132 5" xfId="24904"/>
    <cellStyle name="Обычный 6 129 5" xfId="24905"/>
    <cellStyle name="Процентный 6 129 5" xfId="24906"/>
    <cellStyle name="Обычный 7 99 5" xfId="24907"/>
    <cellStyle name="Процентный 7 99 5" xfId="24908"/>
    <cellStyle name="Обычный 4 3 91 5" xfId="24909"/>
    <cellStyle name="Процентный 4 3 91 5" xfId="24910"/>
    <cellStyle name="Обычный 5 3 91 5" xfId="24911"/>
    <cellStyle name="Процентный 5 3 91 5" xfId="24912"/>
    <cellStyle name="Обычный 4 2 2 91 5" xfId="24913"/>
    <cellStyle name="Процентный 4 2 2 91 5" xfId="24914"/>
    <cellStyle name="Обычный 5 2 2 91 5" xfId="24915"/>
    <cellStyle name="Процентный 5 2 2 91 5" xfId="24916"/>
    <cellStyle name="Обычный 6 2 91 5" xfId="24917"/>
    <cellStyle name="Процентный 6 2 91 5" xfId="24918"/>
    <cellStyle name="Обычный 7 2 91 5" xfId="24919"/>
    <cellStyle name="Процентный 7 2 91 5" xfId="24920"/>
    <cellStyle name="Обычный 8 87 5" xfId="24921"/>
    <cellStyle name="Процентный 8 87 5" xfId="24922"/>
    <cellStyle name="Обычный 9 53 5" xfId="24923"/>
    <cellStyle name="Процентный 9 54 5" xfId="24924"/>
    <cellStyle name="Обычный 10 46 5" xfId="24925"/>
    <cellStyle name="Процентный 10 46 5" xfId="24926"/>
    <cellStyle name="Обычный 11 34 5" xfId="24927"/>
    <cellStyle name="Процентный 11 34 5" xfId="24928"/>
    <cellStyle name="Обычный 4 146 5" xfId="24929"/>
    <cellStyle name="Процентный 4 146 5" xfId="24930"/>
    <cellStyle name="Обычный 5 139 5" xfId="24931"/>
    <cellStyle name="Процентный 5 139 5" xfId="24932"/>
    <cellStyle name="Обычный 4 2 133 5" xfId="24933"/>
    <cellStyle name="Процентный 4 2 133 5" xfId="24934"/>
    <cellStyle name="Обычный 5 2 133 5" xfId="24935"/>
    <cellStyle name="Процентный 5 2 133 5" xfId="24936"/>
    <cellStyle name="Обычный 6 130 5" xfId="24937"/>
    <cellStyle name="Процентный 6 130 5" xfId="24938"/>
    <cellStyle name="Обычный 7 100 5" xfId="24939"/>
    <cellStyle name="Процентный 7 100 5" xfId="24940"/>
    <cellStyle name="Обычный 4 3 92 5" xfId="24941"/>
    <cellStyle name="Процентный 4 3 92 5" xfId="24942"/>
    <cellStyle name="Обычный 5 3 92 5" xfId="24943"/>
    <cellStyle name="Процентный 5 3 92 5" xfId="24944"/>
    <cellStyle name="Обычный 4 2 2 92 5" xfId="24945"/>
    <cellStyle name="Процентный 4 2 2 92 5" xfId="24946"/>
    <cellStyle name="Обычный 5 2 2 92 5" xfId="24947"/>
    <cellStyle name="Процентный 5 2 2 92 5" xfId="24948"/>
    <cellStyle name="Обычный 6 2 92 5" xfId="24949"/>
    <cellStyle name="Процентный 6 2 92 5" xfId="24950"/>
    <cellStyle name="Обычный 7 2 92 5" xfId="24951"/>
    <cellStyle name="Процентный 7 2 92 5" xfId="24952"/>
    <cellStyle name="Обычный 8 88 5" xfId="24953"/>
    <cellStyle name="Процентный 8 88 5" xfId="24954"/>
    <cellStyle name="Обычный 9 54 5" xfId="24955"/>
    <cellStyle name="Процентный 9 55 5" xfId="24956"/>
    <cellStyle name="Обычный 10 47 5" xfId="24957"/>
    <cellStyle name="Процентный 10 47 5" xfId="24958"/>
    <cellStyle name="Обычный 11 35 5" xfId="24959"/>
    <cellStyle name="Процентный 11 35 5" xfId="24960"/>
    <cellStyle name="Обычный 4 147 5" xfId="24961"/>
    <cellStyle name="Процентный 4 147 5" xfId="24962"/>
    <cellStyle name="Обычный 5 140 5" xfId="24963"/>
    <cellStyle name="Процентный 5 140 5" xfId="24964"/>
    <cellStyle name="Обычный 4 2 134 5" xfId="24965"/>
    <cellStyle name="Процентный 4 2 134 5" xfId="24966"/>
    <cellStyle name="Обычный 5 2 134 5" xfId="24967"/>
    <cellStyle name="Процентный 5 2 134 5" xfId="24968"/>
    <cellStyle name="Обычный 6 131 5" xfId="24969"/>
    <cellStyle name="Процентный 6 131 5" xfId="24970"/>
    <cellStyle name="Обычный 7 101 5" xfId="24971"/>
    <cellStyle name="Процентный 7 101 5" xfId="24972"/>
    <cellStyle name="Обычный 4 3 93 5" xfId="24973"/>
    <cellStyle name="Процентный 4 3 93 5" xfId="24974"/>
    <cellStyle name="Обычный 5 3 93 5" xfId="24975"/>
    <cellStyle name="Процентный 5 3 93 5" xfId="24976"/>
    <cellStyle name="Обычный 4 2 2 93 5" xfId="24977"/>
    <cellStyle name="Процентный 4 2 2 93 5" xfId="24978"/>
    <cellStyle name="Обычный 5 2 2 93 5" xfId="24979"/>
    <cellStyle name="Процентный 5 2 2 93 5" xfId="24980"/>
    <cellStyle name="Обычный 6 2 93 5" xfId="24981"/>
    <cellStyle name="Процентный 6 2 93 5" xfId="24982"/>
    <cellStyle name="Обычный 7 2 93 5" xfId="24983"/>
    <cellStyle name="Процентный 7 2 93 5" xfId="24984"/>
    <cellStyle name="Обычный 8 89 5" xfId="24985"/>
    <cellStyle name="Процентный 8 89 5" xfId="24986"/>
    <cellStyle name="Обычный 9 55 5" xfId="24987"/>
    <cellStyle name="Процентный 9 56 5" xfId="24988"/>
    <cellStyle name="Обычный 10 48 5" xfId="24989"/>
    <cellStyle name="Процентный 10 48 5" xfId="24990"/>
    <cellStyle name="Обычный 11 36 5" xfId="24991"/>
    <cellStyle name="Процентный 11 36 5" xfId="24992"/>
    <cellStyle name="Обычный 4 148 5" xfId="24993"/>
    <cellStyle name="Процентный 4 148 5" xfId="24994"/>
    <cellStyle name="Обычный 5 141 5" xfId="24995"/>
    <cellStyle name="Процентный 5 141 5" xfId="24996"/>
    <cellStyle name="Обычный 4 2 135 5" xfId="24997"/>
    <cellStyle name="Процентный 4 2 135 5" xfId="24998"/>
    <cellStyle name="Обычный 5 2 135 5" xfId="24999"/>
    <cellStyle name="Процентный 5 2 135 5" xfId="25000"/>
    <cellStyle name="Обычный 6 132 5" xfId="25001"/>
    <cellStyle name="Процентный 6 132 5" xfId="25002"/>
    <cellStyle name="Обычный 7 102 5" xfId="25003"/>
    <cellStyle name="Процентный 7 102 5" xfId="25004"/>
    <cellStyle name="Обычный 4 3 94 5" xfId="25005"/>
    <cellStyle name="Процентный 4 3 94 5" xfId="25006"/>
    <cellStyle name="Обычный 5 3 94 5" xfId="25007"/>
    <cellStyle name="Процентный 5 3 94 5" xfId="25008"/>
    <cellStyle name="Обычный 4 2 2 94 5" xfId="25009"/>
    <cellStyle name="Процентный 4 2 2 94 5" xfId="25010"/>
    <cellStyle name="Обычный 5 2 2 94 5" xfId="25011"/>
    <cellStyle name="Процентный 5 2 2 94 5" xfId="25012"/>
    <cellStyle name="Обычный 6 2 94 5" xfId="25013"/>
    <cellStyle name="Процентный 6 2 94 5" xfId="25014"/>
    <cellStyle name="Обычный 7 2 94 5" xfId="25015"/>
    <cellStyle name="Процентный 7 2 94 5" xfId="25016"/>
    <cellStyle name="Обычный 8 90 5" xfId="25017"/>
    <cellStyle name="Процентный 8 90 5" xfId="25018"/>
    <cellStyle name="Обычный 9 56 5" xfId="25019"/>
    <cellStyle name="Процентный 9 57 5" xfId="25020"/>
    <cellStyle name="Обычный 10 49 5" xfId="25021"/>
    <cellStyle name="Процентный 10 49 5" xfId="25022"/>
    <cellStyle name="Обычный 11 37 5" xfId="25023"/>
    <cellStyle name="Процентный 11 37 5" xfId="25024"/>
    <cellStyle name="Обычный 4 149 5" xfId="25025"/>
    <cellStyle name="Процентный 4 149 5" xfId="25026"/>
    <cellStyle name="Обычный 5 142 5" xfId="25027"/>
    <cellStyle name="Процентный 5 142 5" xfId="25028"/>
    <cellStyle name="Обычный 4 2 136 5" xfId="25029"/>
    <cellStyle name="Процентный 4 2 136 5" xfId="25030"/>
    <cellStyle name="Обычный 5 2 136 5" xfId="25031"/>
    <cellStyle name="Процентный 5 2 136 5" xfId="25032"/>
    <cellStyle name="Обычный 6 133 5" xfId="25033"/>
    <cellStyle name="Процентный 6 133 5" xfId="25034"/>
    <cellStyle name="Обычный 7 103 5" xfId="25035"/>
    <cellStyle name="Процентный 7 103 5" xfId="25036"/>
    <cellStyle name="Обычный 4 3 95 5" xfId="25037"/>
    <cellStyle name="Процентный 4 3 95 5" xfId="25038"/>
    <cellStyle name="Обычный 5 3 95 5" xfId="25039"/>
    <cellStyle name="Процентный 5 3 95 5" xfId="25040"/>
    <cellStyle name="Обычный 4 2 2 95 5" xfId="25041"/>
    <cellStyle name="Процентный 4 2 2 95 5" xfId="25042"/>
    <cellStyle name="Обычный 5 2 2 95 5" xfId="25043"/>
    <cellStyle name="Процентный 5 2 2 95 5" xfId="25044"/>
    <cellStyle name="Обычный 6 2 95 5" xfId="25045"/>
    <cellStyle name="Процентный 6 2 95 5" xfId="25046"/>
    <cellStyle name="Обычный 7 2 95 5" xfId="25047"/>
    <cellStyle name="Процентный 7 2 95 5" xfId="25048"/>
    <cellStyle name="Обычный 8 91 5" xfId="25049"/>
    <cellStyle name="Процентный 8 91 5" xfId="25050"/>
    <cellStyle name="Обычный 9 57 5" xfId="25051"/>
    <cellStyle name="Процентный 9 58 5" xfId="25052"/>
    <cellStyle name="Обычный 10 50 5" xfId="25053"/>
    <cellStyle name="Процентный 10 50 5" xfId="25054"/>
    <cellStyle name="Обычный 11 38 5" xfId="25055"/>
    <cellStyle name="Процентный 11 38 5" xfId="25056"/>
    <cellStyle name="Обычный 4 150 5" xfId="25057"/>
    <cellStyle name="Процентный 4 150 5" xfId="25058"/>
    <cellStyle name="Обычный 5 143 5" xfId="25059"/>
    <cellStyle name="Процентный 5 143 5" xfId="25060"/>
    <cellStyle name="Обычный 4 2 137 5" xfId="25061"/>
    <cellStyle name="Процентный 4 2 137 5" xfId="25062"/>
    <cellStyle name="Обычный 5 2 137 5" xfId="25063"/>
    <cellStyle name="Процентный 5 2 137 5" xfId="25064"/>
    <cellStyle name="Обычный 6 134 5" xfId="25065"/>
    <cellStyle name="Процентный 6 134 5" xfId="25066"/>
    <cellStyle name="Обычный 7 104 5" xfId="25067"/>
    <cellStyle name="Процентный 7 104 5" xfId="25068"/>
    <cellStyle name="Обычный 4 3 96 5" xfId="25069"/>
    <cellStyle name="Процентный 4 3 96 5" xfId="25070"/>
    <cellStyle name="Обычный 5 3 96 5" xfId="25071"/>
    <cellStyle name="Процентный 5 3 96 5" xfId="25072"/>
    <cellStyle name="Обычный 4 2 2 96 5" xfId="25073"/>
    <cellStyle name="Процентный 4 2 2 96 5" xfId="25074"/>
    <cellStyle name="Обычный 5 2 2 96 5" xfId="25075"/>
    <cellStyle name="Процентный 5 2 2 96 5" xfId="25076"/>
    <cellStyle name="Обычный 6 2 96 5" xfId="25077"/>
    <cellStyle name="Процентный 6 2 96 5" xfId="25078"/>
    <cellStyle name="Обычный 7 2 96 5" xfId="25079"/>
    <cellStyle name="Процентный 7 2 96 5" xfId="25080"/>
    <cellStyle name="Обычный 8 92 5" xfId="25081"/>
    <cellStyle name="Процентный 8 92 5" xfId="25082"/>
    <cellStyle name="Обычный 9 58 5" xfId="25083"/>
    <cellStyle name="Процентный 9 59 5" xfId="25084"/>
    <cellStyle name="Обычный 10 51 5" xfId="25085"/>
    <cellStyle name="Процентный 10 51 5" xfId="25086"/>
    <cellStyle name="Обычный 11 39 5" xfId="25087"/>
    <cellStyle name="Процентный 11 39 5" xfId="25088"/>
    <cellStyle name="Обычный 4 151 5" xfId="25089"/>
    <cellStyle name="Процентный 4 151 5" xfId="25090"/>
    <cellStyle name="Обычный 5 144 5" xfId="25091"/>
    <cellStyle name="Процентный 5 144 5" xfId="25092"/>
    <cellStyle name="Обычный 4 2 138 5" xfId="25093"/>
    <cellStyle name="Процентный 4 2 138 5" xfId="25094"/>
    <cellStyle name="Обычный 5 2 138 5" xfId="25095"/>
    <cellStyle name="Процентный 5 2 138 5" xfId="25096"/>
    <cellStyle name="Обычный 6 135 5" xfId="25097"/>
    <cellStyle name="Процентный 6 135 5" xfId="25098"/>
    <cellStyle name="Обычный 7 105 5" xfId="25099"/>
    <cellStyle name="Процентный 7 105 5" xfId="25100"/>
    <cellStyle name="Обычный 4 3 97 5" xfId="25101"/>
    <cellStyle name="Процентный 4 3 97 5" xfId="25102"/>
    <cellStyle name="Обычный 5 3 97 5" xfId="25103"/>
    <cellStyle name="Процентный 5 3 97 5" xfId="25104"/>
    <cellStyle name="Обычный 4 2 2 97 5" xfId="25105"/>
    <cellStyle name="Процентный 4 2 2 97 5" xfId="25106"/>
    <cellStyle name="Обычный 5 2 2 97 5" xfId="25107"/>
    <cellStyle name="Процентный 5 2 2 97 5" xfId="25108"/>
    <cellStyle name="Обычный 6 2 97 5" xfId="25109"/>
    <cellStyle name="Процентный 6 2 97 5" xfId="25110"/>
    <cellStyle name="Обычный 7 2 97 5" xfId="25111"/>
    <cellStyle name="Процентный 7 2 97 5" xfId="25112"/>
    <cellStyle name="Обычный 8 93 5" xfId="25113"/>
    <cellStyle name="Процентный 8 93 5" xfId="25114"/>
    <cellStyle name="Обычный 9 59 5" xfId="25115"/>
    <cellStyle name="Процентный 9 60 5" xfId="25116"/>
    <cellStyle name="Обычный 10 52 5" xfId="25117"/>
    <cellStyle name="Процентный 10 52 5" xfId="25118"/>
    <cellStyle name="Обычный 11 40 5" xfId="25119"/>
    <cellStyle name="Процентный 11 40 5" xfId="25120"/>
    <cellStyle name="Обычный 4 152 5" xfId="25121"/>
    <cellStyle name="Процентный 4 152 5" xfId="25122"/>
    <cellStyle name="Обычный 5 145 5" xfId="25123"/>
    <cellStyle name="Процентный 5 145 5" xfId="25124"/>
    <cellStyle name="Обычный 4 2 139 5" xfId="25125"/>
    <cellStyle name="Процентный 4 2 139 5" xfId="25126"/>
    <cellStyle name="Обычный 5 2 139 5" xfId="25127"/>
    <cellStyle name="Процентный 5 2 139 5" xfId="25128"/>
    <cellStyle name="Обычный 6 136 5" xfId="25129"/>
    <cellStyle name="Процентный 6 136 5" xfId="25130"/>
    <cellStyle name="Обычный 7 106 5" xfId="25131"/>
    <cellStyle name="Процентный 7 106 5" xfId="25132"/>
    <cellStyle name="Обычный 4 3 98 5" xfId="25133"/>
    <cellStyle name="Процентный 4 3 98 5" xfId="25134"/>
    <cellStyle name="Обычный 5 3 98 5" xfId="25135"/>
    <cellStyle name="Процентный 5 3 98 5" xfId="25136"/>
    <cellStyle name="Обычный 4 2 2 98 5" xfId="25137"/>
    <cellStyle name="Процентный 4 2 2 98 5" xfId="25138"/>
    <cellStyle name="Обычный 5 2 2 98 5" xfId="25139"/>
    <cellStyle name="Процентный 5 2 2 98 5" xfId="25140"/>
    <cellStyle name="Обычный 6 2 98 5" xfId="25141"/>
    <cellStyle name="Процентный 6 2 98 5" xfId="25142"/>
    <cellStyle name="Обычный 7 2 98 5" xfId="25143"/>
    <cellStyle name="Процентный 7 2 98 5" xfId="25144"/>
    <cellStyle name="Обычный 8 94 5" xfId="25145"/>
    <cellStyle name="Процентный 8 94 5" xfId="25146"/>
    <cellStyle name="Обычный 9 60 5" xfId="25147"/>
    <cellStyle name="Процентный 9 61 5" xfId="25148"/>
    <cellStyle name="Обычный 10 53 5" xfId="25149"/>
    <cellStyle name="Процентный 10 53 5" xfId="25150"/>
    <cellStyle name="Обычный 11 41 5" xfId="25151"/>
    <cellStyle name="Процентный 11 41 5" xfId="25152"/>
    <cellStyle name="Обычный 4 153 5" xfId="25153"/>
    <cellStyle name="Процентный 4 153 5" xfId="25154"/>
    <cellStyle name="Обычный 5 146 5" xfId="25155"/>
    <cellStyle name="Процентный 5 146 5" xfId="25156"/>
    <cellStyle name="Обычный 4 2 140 5" xfId="25157"/>
    <cellStyle name="Процентный 4 2 140 5" xfId="25158"/>
    <cellStyle name="Обычный 5 2 140 5" xfId="25159"/>
    <cellStyle name="Процентный 5 2 140 5" xfId="25160"/>
    <cellStyle name="Обычный 6 137 5" xfId="25161"/>
    <cellStyle name="Процентный 6 137 5" xfId="25162"/>
    <cellStyle name="Обычный 7 107 5" xfId="25163"/>
    <cellStyle name="Процентный 7 107 5" xfId="25164"/>
    <cellStyle name="Обычный 4 3 99 5" xfId="25165"/>
    <cellStyle name="Процентный 4 3 99 5" xfId="25166"/>
    <cellStyle name="Обычный 5 3 99 5" xfId="25167"/>
    <cellStyle name="Процентный 5 3 99 5" xfId="25168"/>
    <cellStyle name="Обычный 4 2 2 99 5" xfId="25169"/>
    <cellStyle name="Процентный 4 2 2 99 5" xfId="25170"/>
    <cellStyle name="Обычный 5 2 2 99 5" xfId="25171"/>
    <cellStyle name="Процентный 5 2 2 99 5" xfId="25172"/>
    <cellStyle name="Обычный 6 2 99 5" xfId="25173"/>
    <cellStyle name="Процентный 6 2 99 5" xfId="25174"/>
    <cellStyle name="Обычный 7 2 99 5" xfId="25175"/>
    <cellStyle name="Процентный 7 2 99 5" xfId="25176"/>
    <cellStyle name="Обычный 8 95 5" xfId="25177"/>
    <cellStyle name="Процентный 8 95 5" xfId="25178"/>
    <cellStyle name="Обычный 9 61 5" xfId="25179"/>
    <cellStyle name="Процентный 9 62 5" xfId="25180"/>
    <cellStyle name="Обычный 10 54 5" xfId="25181"/>
    <cellStyle name="Процентный 10 54 5" xfId="25182"/>
    <cellStyle name="Обычный 11 42 5" xfId="25183"/>
    <cellStyle name="Процентный 11 42 5" xfId="25184"/>
    <cellStyle name="Обычный 4 154 5" xfId="25185"/>
    <cellStyle name="Процентный 4 154 5" xfId="25186"/>
    <cellStyle name="Обычный 5 147 5" xfId="25187"/>
    <cellStyle name="Процентный 5 147 5" xfId="25188"/>
    <cellStyle name="Обычный 4 2 141 5" xfId="25189"/>
    <cellStyle name="Процентный 4 2 141 5" xfId="25190"/>
    <cellStyle name="Обычный 5 2 141 5" xfId="25191"/>
    <cellStyle name="Процентный 5 2 141 5" xfId="25192"/>
    <cellStyle name="Обычный 6 138 5" xfId="25193"/>
    <cellStyle name="Процентный 6 138 5" xfId="25194"/>
    <cellStyle name="Обычный 7 108 5" xfId="25195"/>
    <cellStyle name="Процентный 7 108 5" xfId="25196"/>
    <cellStyle name="Обычный 4 3 100 5" xfId="25197"/>
    <cellStyle name="Процентный 4 3 100 5" xfId="25198"/>
    <cellStyle name="Обычный 5 3 100 5" xfId="25199"/>
    <cellStyle name="Процентный 5 3 100 5" xfId="25200"/>
    <cellStyle name="Обычный 4 2 2 100 5" xfId="25201"/>
    <cellStyle name="Процентный 4 2 2 100 5" xfId="25202"/>
    <cellStyle name="Обычный 5 2 2 100 5" xfId="25203"/>
    <cellStyle name="Процентный 5 2 2 100 5" xfId="25204"/>
    <cellStyle name="Обычный 6 2 100 5" xfId="25205"/>
    <cellStyle name="Процентный 6 2 100 5" xfId="25206"/>
    <cellStyle name="Обычный 7 2 100 5" xfId="25207"/>
    <cellStyle name="Процентный 7 2 100 5" xfId="25208"/>
    <cellStyle name="Обычный 8 96 5" xfId="25209"/>
    <cellStyle name="Процентный 8 96 5" xfId="25210"/>
    <cellStyle name="Обычный 9 62 5" xfId="25211"/>
    <cellStyle name="Процентный 9 63 5" xfId="25212"/>
    <cellStyle name="Обычный 10 55 5" xfId="25213"/>
    <cellStyle name="Процентный 10 55 5" xfId="25214"/>
    <cellStyle name="Обычный 11 43 5" xfId="25215"/>
    <cellStyle name="Процентный 11 43 5" xfId="25216"/>
    <cellStyle name="Обычный 4 155 5" xfId="25217"/>
    <cellStyle name="Процентный 4 155 5" xfId="25218"/>
    <cellStyle name="Обычный 5 148 5" xfId="25219"/>
    <cellStyle name="Процентный 5 148 5" xfId="25220"/>
    <cellStyle name="Обычный 4 2 142 5" xfId="25221"/>
    <cellStyle name="Процентный 4 2 142 5" xfId="25222"/>
    <cellStyle name="Обычный 5 2 142 5" xfId="25223"/>
    <cellStyle name="Процентный 5 2 142 5" xfId="25224"/>
    <cellStyle name="Обычный 6 139 5" xfId="25225"/>
    <cellStyle name="Процентный 6 139 5" xfId="25226"/>
    <cellStyle name="Обычный 7 109 5" xfId="25227"/>
    <cellStyle name="Процентный 7 109 5" xfId="25228"/>
    <cellStyle name="Обычный 4 3 101 5" xfId="25229"/>
    <cellStyle name="Процентный 4 3 101 5" xfId="25230"/>
    <cellStyle name="Обычный 5 3 101 5" xfId="25231"/>
    <cellStyle name="Процентный 5 3 101 5" xfId="25232"/>
    <cellStyle name="Обычный 4 2 2 101 5" xfId="25233"/>
    <cellStyle name="Процентный 4 2 2 101 5" xfId="25234"/>
    <cellStyle name="Обычный 5 2 2 101 5" xfId="25235"/>
    <cellStyle name="Процентный 5 2 2 101 5" xfId="25236"/>
    <cellStyle name="Обычный 6 2 101 5" xfId="25237"/>
    <cellStyle name="Процентный 6 2 101 5" xfId="25238"/>
    <cellStyle name="Обычный 7 2 101 5" xfId="25239"/>
    <cellStyle name="Процентный 7 2 101 5" xfId="25240"/>
    <cellStyle name="Обычный 8 97 5" xfId="25241"/>
    <cellStyle name="Процентный 8 97 5" xfId="25242"/>
    <cellStyle name="Обычный 9 63 5" xfId="25243"/>
    <cellStyle name="Процентный 9 64 5" xfId="25244"/>
    <cellStyle name="Обычный 10 56 5" xfId="25245"/>
    <cellStyle name="Процентный 10 56 5" xfId="25246"/>
    <cellStyle name="Обычный 11 44 5" xfId="25247"/>
    <cellStyle name="Процентный 11 44 5" xfId="25248"/>
    <cellStyle name="Обычный 4 156 5" xfId="25249"/>
    <cellStyle name="Процентный 4 156 5" xfId="25250"/>
    <cellStyle name="Обычный 5 149 5" xfId="25251"/>
    <cellStyle name="Процентный 5 149 5" xfId="25252"/>
    <cellStyle name="Обычный 4 2 143 5" xfId="25253"/>
    <cellStyle name="Процентный 4 2 143 5" xfId="25254"/>
    <cellStyle name="Обычный 5 2 143 5" xfId="25255"/>
    <cellStyle name="Процентный 5 2 143 5" xfId="25256"/>
    <cellStyle name="Обычный 6 140 5" xfId="25257"/>
    <cellStyle name="Процентный 6 140 5" xfId="25258"/>
    <cellStyle name="Обычный 7 110 5" xfId="25259"/>
    <cellStyle name="Процентный 7 110 5" xfId="25260"/>
    <cellStyle name="Обычный 4 3 102 5" xfId="25261"/>
    <cellStyle name="Процентный 4 3 102 5" xfId="25262"/>
    <cellStyle name="Обычный 5 3 102 5" xfId="25263"/>
    <cellStyle name="Процентный 5 3 102 5" xfId="25264"/>
    <cellStyle name="Обычный 4 2 2 102 5" xfId="25265"/>
    <cellStyle name="Процентный 4 2 2 102 5" xfId="25266"/>
    <cellStyle name="Обычный 5 2 2 102 5" xfId="25267"/>
    <cellStyle name="Процентный 5 2 2 102 5" xfId="25268"/>
    <cellStyle name="Обычный 6 2 102 5" xfId="25269"/>
    <cellStyle name="Процентный 6 2 102 5" xfId="25270"/>
    <cellStyle name="Обычный 7 2 102 5" xfId="25271"/>
    <cellStyle name="Процентный 7 2 102 5" xfId="25272"/>
    <cellStyle name="Обычный 8 98 5" xfId="25273"/>
    <cellStyle name="Процентный 8 98 5" xfId="25274"/>
    <cellStyle name="Обычный 9 64 5" xfId="25275"/>
    <cellStyle name="Процентный 9 65 5" xfId="25276"/>
    <cellStyle name="Обычный 10 57 5" xfId="25277"/>
    <cellStyle name="Процентный 10 57 5" xfId="25278"/>
    <cellStyle name="Обычный 11 45 5" xfId="25279"/>
    <cellStyle name="Процентный 11 45 5" xfId="25280"/>
    <cellStyle name="Обычный 4 157 5" xfId="25281"/>
    <cellStyle name="Процентный 4 157 5" xfId="25282"/>
    <cellStyle name="Обычный 5 150 5" xfId="25283"/>
    <cellStyle name="Процентный 5 150 5" xfId="25284"/>
    <cellStyle name="Обычный 4 2 144 5" xfId="25285"/>
    <cellStyle name="Процентный 4 2 144 5" xfId="25286"/>
    <cellStyle name="Обычный 5 2 144 5" xfId="25287"/>
    <cellStyle name="Процентный 5 2 144 5" xfId="25288"/>
    <cellStyle name="Обычный 6 141 5" xfId="25289"/>
    <cellStyle name="Процентный 6 141 5" xfId="25290"/>
    <cellStyle name="Обычный 7 111 5" xfId="25291"/>
    <cellStyle name="Процентный 7 111 5" xfId="25292"/>
    <cellStyle name="Обычный 4 3 103 5" xfId="25293"/>
    <cellStyle name="Процентный 4 3 103 5" xfId="25294"/>
    <cellStyle name="Обычный 5 3 103 5" xfId="25295"/>
    <cellStyle name="Процентный 5 3 103 5" xfId="25296"/>
    <cellStyle name="Обычный 4 2 2 103 5" xfId="25297"/>
    <cellStyle name="Процентный 4 2 2 103 5" xfId="25298"/>
    <cellStyle name="Обычный 5 2 2 103 5" xfId="25299"/>
    <cellStyle name="Процентный 5 2 2 103 5" xfId="25300"/>
    <cellStyle name="Обычный 6 2 103 5" xfId="25301"/>
    <cellStyle name="Процентный 6 2 103 5" xfId="25302"/>
    <cellStyle name="Обычный 7 2 103 5" xfId="25303"/>
    <cellStyle name="Процентный 7 2 103 5" xfId="25304"/>
    <cellStyle name="Обычный 8 99 5" xfId="25305"/>
    <cellStyle name="Процентный 8 99 5" xfId="25306"/>
    <cellStyle name="Обычный 9 65 5" xfId="25307"/>
    <cellStyle name="Процентный 9 66 5" xfId="25308"/>
    <cellStyle name="Обычный 10 58 5" xfId="25309"/>
    <cellStyle name="Процентный 10 58 5" xfId="25310"/>
    <cellStyle name="Обычный 11 46 5" xfId="25311"/>
    <cellStyle name="Процентный 11 46 5" xfId="25312"/>
    <cellStyle name="Обычный 4 158 5" xfId="25313"/>
    <cellStyle name="Процентный 4 158 5" xfId="25314"/>
    <cellStyle name="Обычный 5 151 5" xfId="25315"/>
    <cellStyle name="Процентный 5 151 5" xfId="25316"/>
    <cellStyle name="Обычный 4 2 145 5" xfId="25317"/>
    <cellStyle name="Процентный 4 2 145 5" xfId="25318"/>
    <cellStyle name="Обычный 5 2 145 5" xfId="25319"/>
    <cellStyle name="Процентный 5 2 145 5" xfId="25320"/>
    <cellStyle name="Обычный 6 142 5" xfId="25321"/>
    <cellStyle name="Процентный 6 142 5" xfId="25322"/>
    <cellStyle name="Обычный 7 112 5" xfId="25323"/>
    <cellStyle name="Процентный 7 112 5" xfId="25324"/>
    <cellStyle name="Обычный 4 3 104 5" xfId="25325"/>
    <cellStyle name="Процентный 4 3 104 5" xfId="25326"/>
    <cellStyle name="Обычный 5 3 104 5" xfId="25327"/>
    <cellStyle name="Процентный 5 3 104 5" xfId="25328"/>
    <cellStyle name="Обычный 4 2 2 104 5" xfId="25329"/>
    <cellStyle name="Процентный 4 2 2 104 5" xfId="25330"/>
    <cellStyle name="Обычный 5 2 2 104 5" xfId="25331"/>
    <cellStyle name="Процентный 5 2 2 104 5" xfId="25332"/>
    <cellStyle name="Обычный 6 2 104 5" xfId="25333"/>
    <cellStyle name="Процентный 6 2 104 5" xfId="25334"/>
    <cellStyle name="Обычный 7 2 104 5" xfId="25335"/>
    <cellStyle name="Процентный 7 2 104 5" xfId="25336"/>
    <cellStyle name="Обычный 8 100 5" xfId="25337"/>
    <cellStyle name="Процентный 8 100 5" xfId="25338"/>
    <cellStyle name="Обычный 9 66 5" xfId="25339"/>
    <cellStyle name="Процентный 9 67 5" xfId="25340"/>
    <cellStyle name="Обычный 10 59 5" xfId="25341"/>
    <cellStyle name="Процентный 10 59 5" xfId="25342"/>
    <cellStyle name="Обычный 11 47 5" xfId="25343"/>
    <cellStyle name="Процентный 11 47 5" xfId="25344"/>
    <cellStyle name="Обычный 4 159 5" xfId="25345"/>
    <cellStyle name="Процентный 4 159 5" xfId="25346"/>
    <cellStyle name="Обычный 5 152 5" xfId="25347"/>
    <cellStyle name="Процентный 5 152 5" xfId="25348"/>
    <cellStyle name="Обычный 4 2 146 5" xfId="25349"/>
    <cellStyle name="Процентный 4 2 146 5" xfId="25350"/>
    <cellStyle name="Обычный 5 2 146 5" xfId="25351"/>
    <cellStyle name="Процентный 5 2 146 5" xfId="25352"/>
    <cellStyle name="Обычный 6 143 5" xfId="25353"/>
    <cellStyle name="Процентный 6 143 5" xfId="25354"/>
    <cellStyle name="Обычный 7 113 5" xfId="25355"/>
    <cellStyle name="Процентный 7 113 5" xfId="25356"/>
    <cellStyle name="Обычный 4 3 105 5" xfId="25357"/>
    <cellStyle name="Процентный 4 3 105 5" xfId="25358"/>
    <cellStyle name="Обычный 5 3 105 5" xfId="25359"/>
    <cellStyle name="Процентный 5 3 105 5" xfId="25360"/>
    <cellStyle name="Обычный 4 2 2 105 5" xfId="25361"/>
    <cellStyle name="Процентный 4 2 2 105 5" xfId="25362"/>
    <cellStyle name="Обычный 5 2 2 105 5" xfId="25363"/>
    <cellStyle name="Процентный 5 2 2 105 5" xfId="25364"/>
    <cellStyle name="Обычный 6 2 105 5" xfId="25365"/>
    <cellStyle name="Процентный 6 2 105 5" xfId="25366"/>
    <cellStyle name="Обычный 7 2 105 5" xfId="25367"/>
    <cellStyle name="Процентный 7 2 105 5" xfId="25368"/>
    <cellStyle name="Обычный 8 101 5" xfId="25369"/>
    <cellStyle name="Процентный 8 101 5" xfId="25370"/>
    <cellStyle name="Обычный 9 67 5" xfId="25371"/>
    <cellStyle name="Процентный 9 68 5" xfId="25372"/>
    <cellStyle name="Обычный 10 60 5" xfId="25373"/>
    <cellStyle name="Процентный 10 60 5" xfId="25374"/>
    <cellStyle name="Обычный 11 48 5" xfId="25375"/>
    <cellStyle name="Процентный 11 48 5" xfId="25376"/>
    <cellStyle name="Обычный 4 160 5" xfId="25377"/>
    <cellStyle name="Процентный 4 160 5" xfId="25378"/>
    <cellStyle name="Обычный 5 153 5" xfId="25379"/>
    <cellStyle name="Процентный 5 153 5" xfId="25380"/>
    <cellStyle name="Обычный 4 2 147 5" xfId="25381"/>
    <cellStyle name="Процентный 4 2 147 5" xfId="25382"/>
    <cellStyle name="Обычный 5 2 147 5" xfId="25383"/>
    <cellStyle name="Процентный 5 2 147 5" xfId="25384"/>
    <cellStyle name="Обычный 6 144 5" xfId="25385"/>
    <cellStyle name="Процентный 6 144 5" xfId="25386"/>
    <cellStyle name="Обычный 7 114 5" xfId="25387"/>
    <cellStyle name="Процентный 7 114 5" xfId="25388"/>
    <cellStyle name="Обычный 4 3 106 5" xfId="25389"/>
    <cellStyle name="Процентный 4 3 106 5" xfId="25390"/>
    <cellStyle name="Обычный 5 3 106 5" xfId="25391"/>
    <cellStyle name="Процентный 5 3 106 5" xfId="25392"/>
    <cellStyle name="Обычный 4 2 2 106 5" xfId="25393"/>
    <cellStyle name="Процентный 4 2 2 106 5" xfId="25394"/>
    <cellStyle name="Обычный 5 2 2 106 5" xfId="25395"/>
    <cellStyle name="Процентный 5 2 2 106 5" xfId="25396"/>
    <cellStyle name="Обычный 6 2 106 5" xfId="25397"/>
    <cellStyle name="Процентный 6 2 106 5" xfId="25398"/>
    <cellStyle name="Обычный 7 2 106 5" xfId="25399"/>
    <cellStyle name="Процентный 7 2 106 5" xfId="25400"/>
    <cellStyle name="Обычный 8 102 5" xfId="25401"/>
    <cellStyle name="Процентный 8 102 5" xfId="25402"/>
    <cellStyle name="Обычный 9 68 5" xfId="25403"/>
    <cellStyle name="Процентный 9 69 5" xfId="25404"/>
    <cellStyle name="Обычный 10 61 5" xfId="25405"/>
    <cellStyle name="Процентный 10 61 5" xfId="25406"/>
    <cellStyle name="Обычный 11 49 5" xfId="25407"/>
    <cellStyle name="Процентный 11 49 5" xfId="25408"/>
    <cellStyle name="Обычный 4 161 5" xfId="25409"/>
    <cellStyle name="Процентный 4 161 5" xfId="25410"/>
    <cellStyle name="Обычный 5 154 5" xfId="25411"/>
    <cellStyle name="Процентный 5 154 5" xfId="25412"/>
    <cellStyle name="Обычный 4 2 148 5" xfId="25413"/>
    <cellStyle name="Процентный 4 2 148 5" xfId="25414"/>
    <cellStyle name="Обычный 5 2 148 5" xfId="25415"/>
    <cellStyle name="Процентный 5 2 148 5" xfId="25416"/>
    <cellStyle name="Обычный 6 145 5" xfId="25417"/>
    <cellStyle name="Процентный 6 145 5" xfId="25418"/>
    <cellStyle name="Обычный 7 115 5" xfId="25419"/>
    <cellStyle name="Процентный 7 115 5" xfId="25420"/>
    <cellStyle name="Обычный 4 3 107 5" xfId="25421"/>
    <cellStyle name="Процентный 4 3 107 5" xfId="25422"/>
    <cellStyle name="Обычный 5 3 107 5" xfId="25423"/>
    <cellStyle name="Процентный 5 3 107 5" xfId="25424"/>
    <cellStyle name="Обычный 4 2 2 107 5" xfId="25425"/>
    <cellStyle name="Процентный 4 2 2 107 5" xfId="25426"/>
    <cellStyle name="Обычный 5 2 2 107 5" xfId="25427"/>
    <cellStyle name="Процентный 5 2 2 107 5" xfId="25428"/>
    <cellStyle name="Обычный 6 2 107 5" xfId="25429"/>
    <cellStyle name="Процентный 6 2 107 5" xfId="25430"/>
    <cellStyle name="Обычный 7 2 107 5" xfId="25431"/>
    <cellStyle name="Процентный 7 2 107 5" xfId="25432"/>
    <cellStyle name="Обычный 8 103 5" xfId="25433"/>
    <cellStyle name="Процентный 8 103 5" xfId="25434"/>
    <cellStyle name="Обычный 9 69 5" xfId="25435"/>
    <cellStyle name="Процентный 9 70 5" xfId="25436"/>
    <cellStyle name="Обычный 10 62 5" xfId="25437"/>
    <cellStyle name="Процентный 10 62 5" xfId="25438"/>
    <cellStyle name="Обычный 11 50 5" xfId="25439"/>
    <cellStyle name="Процентный 11 50 5" xfId="25440"/>
    <cellStyle name="Обычный 4 162 5" xfId="25441"/>
    <cellStyle name="Процентный 4 162 5" xfId="25442"/>
    <cellStyle name="Обычный 5 155 5" xfId="25443"/>
    <cellStyle name="Процентный 5 155 5" xfId="25444"/>
    <cellStyle name="Обычный 4 2 149 5" xfId="25445"/>
    <cellStyle name="Процентный 4 2 149 5" xfId="25446"/>
    <cellStyle name="Обычный 5 2 149 5" xfId="25447"/>
    <cellStyle name="Процентный 5 2 149 5" xfId="25448"/>
    <cellStyle name="Обычный 6 146 5" xfId="25449"/>
    <cellStyle name="Процентный 6 146 5" xfId="25450"/>
    <cellStyle name="Обычный 7 116 5" xfId="25451"/>
    <cellStyle name="Процентный 7 116 5" xfId="25452"/>
    <cellStyle name="Обычный 4 3 108 5" xfId="25453"/>
    <cellStyle name="Процентный 4 3 108 5" xfId="25454"/>
    <cellStyle name="Обычный 5 3 108 5" xfId="25455"/>
    <cellStyle name="Процентный 5 3 108 5" xfId="25456"/>
    <cellStyle name="Обычный 4 2 2 108 5" xfId="25457"/>
    <cellStyle name="Процентный 4 2 2 108 5" xfId="25458"/>
    <cellStyle name="Обычный 5 2 2 108 5" xfId="25459"/>
    <cellStyle name="Процентный 5 2 2 108 5" xfId="25460"/>
    <cellStyle name="Обычный 6 2 108 5" xfId="25461"/>
    <cellStyle name="Процентный 6 2 108 5" xfId="25462"/>
    <cellStyle name="Обычный 7 2 108 5" xfId="25463"/>
    <cellStyle name="Процентный 7 2 108 5" xfId="25464"/>
    <cellStyle name="Обычный 8 104 5" xfId="25465"/>
    <cellStyle name="Процентный 8 104 5" xfId="25466"/>
    <cellStyle name="Обычный 9 70 5" xfId="25467"/>
    <cellStyle name="Процентный 9 71 5" xfId="25468"/>
    <cellStyle name="Обычный 10 63 5" xfId="25469"/>
    <cellStyle name="Процентный 10 63 5" xfId="25470"/>
    <cellStyle name="Обычный 11 51 5" xfId="25471"/>
    <cellStyle name="Процентный 11 51 5" xfId="25472"/>
    <cellStyle name="Обычный 4 163 5" xfId="25473"/>
    <cellStyle name="Процентный 4 163 5" xfId="25474"/>
    <cellStyle name="Обычный 5 156 5" xfId="25475"/>
    <cellStyle name="Процентный 5 156 5" xfId="25476"/>
    <cellStyle name="Обычный 4 2 150 5" xfId="25477"/>
    <cellStyle name="Процентный 4 2 150 5" xfId="25478"/>
    <cellStyle name="Обычный 5 2 150 5" xfId="25479"/>
    <cellStyle name="Процентный 5 2 150 5" xfId="25480"/>
    <cellStyle name="Обычный 6 147 5" xfId="25481"/>
    <cellStyle name="Процентный 6 147 5" xfId="25482"/>
    <cellStyle name="Обычный 7 117 5" xfId="25483"/>
    <cellStyle name="Процентный 7 117 5" xfId="25484"/>
    <cellStyle name="Обычный 4 3 109 5" xfId="25485"/>
    <cellStyle name="Процентный 4 3 109 5" xfId="25486"/>
    <cellStyle name="Обычный 5 3 109 5" xfId="25487"/>
    <cellStyle name="Процентный 5 3 109 5" xfId="25488"/>
    <cellStyle name="Обычный 4 2 2 109 5" xfId="25489"/>
    <cellStyle name="Процентный 4 2 2 109 5" xfId="25490"/>
    <cellStyle name="Обычный 5 2 2 109 5" xfId="25491"/>
    <cellStyle name="Процентный 5 2 2 109 5" xfId="25492"/>
    <cellStyle name="Обычный 6 2 109 5" xfId="25493"/>
    <cellStyle name="Процентный 6 2 109 5" xfId="25494"/>
    <cellStyle name="Обычный 7 2 109 5" xfId="25495"/>
    <cellStyle name="Процентный 7 2 109 5" xfId="25496"/>
    <cellStyle name="Обычный 8 105 5" xfId="25497"/>
    <cellStyle name="Процентный 8 105 5" xfId="25498"/>
    <cellStyle name="Обычный 9 71 5" xfId="25499"/>
    <cellStyle name="Процентный 9 72 5" xfId="25500"/>
    <cellStyle name="Обычный 10 64 5" xfId="25501"/>
    <cellStyle name="Процентный 10 64 5" xfId="25502"/>
    <cellStyle name="Обычный 11 52 5" xfId="25503"/>
    <cellStyle name="Процентный 11 52 5" xfId="25504"/>
    <cellStyle name="Обычный 4 164 5" xfId="25505"/>
    <cellStyle name="Процентный 4 164 5" xfId="25506"/>
    <cellStyle name="Обычный 5 157 5" xfId="25507"/>
    <cellStyle name="Процентный 5 157 5" xfId="25508"/>
    <cellStyle name="Обычный 4 2 151 5" xfId="25509"/>
    <cellStyle name="Процентный 4 2 151 5" xfId="25510"/>
    <cellStyle name="Обычный 5 2 151 5" xfId="25511"/>
    <cellStyle name="Процентный 5 2 151 5" xfId="25512"/>
    <cellStyle name="Обычный 6 148 5" xfId="25513"/>
    <cellStyle name="Процентный 6 148 5" xfId="25514"/>
    <cellStyle name="Обычный 7 118 5" xfId="25515"/>
    <cellStyle name="Процентный 7 118 5" xfId="25516"/>
    <cellStyle name="Обычный 4 3 110 5" xfId="25517"/>
    <cellStyle name="Процентный 4 3 110 5" xfId="25518"/>
    <cellStyle name="Обычный 5 3 110 5" xfId="25519"/>
    <cellStyle name="Процентный 5 3 110 5" xfId="25520"/>
    <cellStyle name="Обычный 4 2 2 110 5" xfId="25521"/>
    <cellStyle name="Процентный 4 2 2 110 5" xfId="25522"/>
    <cellStyle name="Обычный 5 2 2 110 5" xfId="25523"/>
    <cellStyle name="Процентный 5 2 2 110 5" xfId="25524"/>
    <cellStyle name="Обычный 6 2 110 5" xfId="25525"/>
    <cellStyle name="Процентный 6 2 110 5" xfId="25526"/>
    <cellStyle name="Обычный 7 2 110 5" xfId="25527"/>
    <cellStyle name="Процентный 7 2 110 5" xfId="25528"/>
    <cellStyle name="Обычный 8 106 5" xfId="25529"/>
    <cellStyle name="Процентный 8 106 5" xfId="25530"/>
    <cellStyle name="Обычный 9 72 5" xfId="25531"/>
    <cellStyle name="Процентный 9 73 5" xfId="25532"/>
    <cellStyle name="Обычный 10 65 5" xfId="25533"/>
    <cellStyle name="Процентный 10 65 5" xfId="25534"/>
    <cellStyle name="Обычный 11 53 5" xfId="25535"/>
    <cellStyle name="Процентный 11 53 5" xfId="25536"/>
    <cellStyle name="Обычный 4 165 5" xfId="25537"/>
    <cellStyle name="Процентный 4 165 5" xfId="25538"/>
    <cellStyle name="Обычный 5 158 5" xfId="25539"/>
    <cellStyle name="Процентный 5 158 5" xfId="25540"/>
    <cellStyle name="Обычный 4 2 152 5" xfId="25541"/>
    <cellStyle name="Процентный 4 2 152 5" xfId="25542"/>
    <cellStyle name="Обычный 5 2 152 5" xfId="25543"/>
    <cellStyle name="Процентный 5 2 152 5" xfId="25544"/>
    <cellStyle name="Обычный 6 149 5" xfId="25545"/>
    <cellStyle name="Процентный 6 149 5" xfId="25546"/>
    <cellStyle name="Обычный 7 119 5" xfId="25547"/>
    <cellStyle name="Процентный 7 119 5" xfId="25548"/>
    <cellStyle name="Обычный 4 3 111 5" xfId="25549"/>
    <cellStyle name="Процентный 4 3 111 5" xfId="25550"/>
    <cellStyle name="Обычный 5 3 111 5" xfId="25551"/>
    <cellStyle name="Процентный 5 3 111 5" xfId="25552"/>
    <cellStyle name="Обычный 4 2 2 111 5" xfId="25553"/>
    <cellStyle name="Процентный 4 2 2 111 5" xfId="25554"/>
    <cellStyle name="Обычный 5 2 2 111 5" xfId="25555"/>
    <cellStyle name="Процентный 5 2 2 111 5" xfId="25556"/>
    <cellStyle name="Обычный 6 2 111 5" xfId="25557"/>
    <cellStyle name="Процентный 6 2 111 5" xfId="25558"/>
    <cellStyle name="Обычный 7 2 111 5" xfId="25559"/>
    <cellStyle name="Процентный 7 2 111 5" xfId="25560"/>
    <cellStyle name="Обычный 8 107 5" xfId="25561"/>
    <cellStyle name="Процентный 8 107 5" xfId="25562"/>
    <cellStyle name="Обычный 9 73 5" xfId="25563"/>
    <cellStyle name="Процентный 9 74 5" xfId="25564"/>
    <cellStyle name="Обычный 10 66 5" xfId="25565"/>
    <cellStyle name="Процентный 10 66 5" xfId="25566"/>
    <cellStyle name="Обычный 11 54 5" xfId="25567"/>
    <cellStyle name="Процентный 11 54 5" xfId="25568"/>
    <cellStyle name="Обычный 4 166 5" xfId="25569"/>
    <cellStyle name="Процентный 4 166 5" xfId="25570"/>
    <cellStyle name="Обычный 5 159 5" xfId="25571"/>
    <cellStyle name="Процентный 5 159 5" xfId="25572"/>
    <cellStyle name="Обычный 4 2 153 5" xfId="25573"/>
    <cellStyle name="Процентный 4 2 153 5" xfId="25574"/>
    <cellStyle name="Обычный 5 2 153 5" xfId="25575"/>
    <cellStyle name="Процентный 5 2 153 5" xfId="25576"/>
    <cellStyle name="Обычный 6 150 5" xfId="25577"/>
    <cellStyle name="Процентный 6 150 5" xfId="25578"/>
    <cellStyle name="Обычный 7 120 5" xfId="25579"/>
    <cellStyle name="Процентный 7 120 5" xfId="25580"/>
    <cellStyle name="Обычный 4 3 112 5" xfId="25581"/>
    <cellStyle name="Процентный 4 3 112 5" xfId="25582"/>
    <cellStyle name="Обычный 5 3 112 5" xfId="25583"/>
    <cellStyle name="Процентный 5 3 112 5" xfId="25584"/>
    <cellStyle name="Обычный 4 2 2 112 5" xfId="25585"/>
    <cellStyle name="Процентный 4 2 2 112 5" xfId="25586"/>
    <cellStyle name="Обычный 5 2 2 112 5" xfId="25587"/>
    <cellStyle name="Процентный 5 2 2 112 5" xfId="25588"/>
    <cellStyle name="Обычный 6 2 112 5" xfId="25589"/>
    <cellStyle name="Процентный 6 2 112 5" xfId="25590"/>
    <cellStyle name="Обычный 7 2 112 5" xfId="25591"/>
    <cellStyle name="Процентный 7 2 112 5" xfId="25592"/>
    <cellStyle name="Обычный 8 108 5" xfId="25593"/>
    <cellStyle name="Процентный 8 108 5" xfId="25594"/>
    <cellStyle name="Обычный 9 74 5" xfId="25595"/>
    <cellStyle name="Процентный 9 75 5" xfId="25596"/>
    <cellStyle name="Обычный 10 67 5" xfId="25597"/>
    <cellStyle name="Процентный 10 67 5" xfId="25598"/>
    <cellStyle name="Обычный 11 55 5" xfId="25599"/>
    <cellStyle name="Процентный 11 55 5" xfId="25600"/>
    <cellStyle name="Обычный 4 167 5" xfId="25601"/>
    <cellStyle name="Процентный 4 167 5" xfId="25602"/>
    <cellStyle name="Обычный 5 160 5" xfId="25603"/>
    <cellStyle name="Процентный 5 160 5" xfId="25604"/>
    <cellStyle name="Обычный 4 2 154 5" xfId="25605"/>
    <cellStyle name="Процентный 4 2 154 5" xfId="25606"/>
    <cellStyle name="Обычный 5 2 154 5" xfId="25607"/>
    <cellStyle name="Процентный 5 2 154 5" xfId="25608"/>
    <cellStyle name="Обычный 6 151 5" xfId="25609"/>
    <cellStyle name="Процентный 6 151 5" xfId="25610"/>
    <cellStyle name="Обычный 7 121 5" xfId="25611"/>
    <cellStyle name="Процентный 7 121 5" xfId="25612"/>
    <cellStyle name="Обычный 4 3 113 5" xfId="25613"/>
    <cellStyle name="Процентный 4 3 113 5" xfId="25614"/>
    <cellStyle name="Обычный 5 3 113 5" xfId="25615"/>
    <cellStyle name="Процентный 5 3 113 5" xfId="25616"/>
    <cellStyle name="Обычный 4 2 2 113 5" xfId="25617"/>
    <cellStyle name="Процентный 4 2 2 113 5" xfId="25618"/>
    <cellStyle name="Обычный 5 2 2 113 5" xfId="25619"/>
    <cellStyle name="Процентный 5 2 2 113 5" xfId="25620"/>
    <cellStyle name="Обычный 6 2 113 5" xfId="25621"/>
    <cellStyle name="Процентный 6 2 113 5" xfId="25622"/>
    <cellStyle name="Обычный 7 2 113 5" xfId="25623"/>
    <cellStyle name="Процентный 7 2 113 5" xfId="25624"/>
    <cellStyle name="Обычный 8 109 5" xfId="25625"/>
    <cellStyle name="Процентный 8 109 5" xfId="25626"/>
    <cellStyle name="Обычный 9 75 5" xfId="25627"/>
    <cellStyle name="Процентный 9 76 5" xfId="25628"/>
    <cellStyle name="Обычный 10 68 5" xfId="25629"/>
    <cellStyle name="Процентный 10 68 5" xfId="25630"/>
    <cellStyle name="Обычный 11 56 5" xfId="25631"/>
    <cellStyle name="Процентный 11 56 5" xfId="25632"/>
    <cellStyle name="Обычный 4 168 5" xfId="25633"/>
    <cellStyle name="Процентный 4 168 5" xfId="25634"/>
    <cellStyle name="Обычный 5 161 5" xfId="25635"/>
    <cellStyle name="Процентный 5 161 5" xfId="25636"/>
    <cellStyle name="Обычный 4 2 155 5" xfId="25637"/>
    <cellStyle name="Процентный 4 2 155 5" xfId="25638"/>
    <cellStyle name="Обычный 5 2 155 5" xfId="25639"/>
    <cellStyle name="Процентный 5 2 155 5" xfId="25640"/>
    <cellStyle name="Обычный 6 152 5" xfId="25641"/>
    <cellStyle name="Процентный 6 152 5" xfId="25642"/>
    <cellStyle name="Обычный 7 122 5" xfId="25643"/>
    <cellStyle name="Процентный 7 122 5" xfId="25644"/>
    <cellStyle name="Обычный 4 3 114 5" xfId="25645"/>
    <cellStyle name="Процентный 4 3 114 5" xfId="25646"/>
    <cellStyle name="Обычный 5 3 114 5" xfId="25647"/>
    <cellStyle name="Процентный 5 3 114 5" xfId="25648"/>
    <cellStyle name="Обычный 4 2 2 114 5" xfId="25649"/>
    <cellStyle name="Процентный 4 2 2 114 5" xfId="25650"/>
    <cellStyle name="Обычный 5 2 2 114 5" xfId="25651"/>
    <cellStyle name="Процентный 5 2 2 114 5" xfId="25652"/>
    <cellStyle name="Обычный 6 2 114 5" xfId="25653"/>
    <cellStyle name="Процентный 6 2 114 5" xfId="25654"/>
    <cellStyle name="Обычный 7 2 114 5" xfId="25655"/>
    <cellStyle name="Процентный 7 2 114 5" xfId="25656"/>
    <cellStyle name="Обычный 8 110 5" xfId="25657"/>
    <cellStyle name="Процентный 8 110 5" xfId="25658"/>
    <cellStyle name="Обычный 9 76 5" xfId="25659"/>
    <cellStyle name="Процентный 9 77 5" xfId="25660"/>
    <cellStyle name="Обычный 10 69 5" xfId="25661"/>
    <cellStyle name="Процентный 10 69 5" xfId="25662"/>
    <cellStyle name="Обычный 11 57 5" xfId="25663"/>
    <cellStyle name="Процентный 11 57 5" xfId="25664"/>
    <cellStyle name="Обычный 4 169 5" xfId="25665"/>
    <cellStyle name="Процентный 4 169 5" xfId="25666"/>
    <cellStyle name="Обычный 5 162 5" xfId="25667"/>
    <cellStyle name="Процентный 5 162 5" xfId="25668"/>
    <cellStyle name="Обычный 4 2 156 5" xfId="25669"/>
    <cellStyle name="Процентный 4 2 156 5" xfId="25670"/>
    <cellStyle name="Обычный 5 2 156 5" xfId="25671"/>
    <cellStyle name="Процентный 5 2 156 5" xfId="25672"/>
    <cellStyle name="Обычный 6 153 5" xfId="25673"/>
    <cellStyle name="Процентный 6 153 5" xfId="25674"/>
    <cellStyle name="Обычный 7 123 5" xfId="25675"/>
    <cellStyle name="Процентный 7 123 5" xfId="25676"/>
    <cellStyle name="Обычный 4 3 115 5" xfId="25677"/>
    <cellStyle name="Процентный 4 3 115 5" xfId="25678"/>
    <cellStyle name="Обычный 5 3 115 5" xfId="25679"/>
    <cellStyle name="Процентный 5 3 115 5" xfId="25680"/>
    <cellStyle name="Обычный 4 2 2 115 5" xfId="25681"/>
    <cellStyle name="Процентный 4 2 2 115 5" xfId="25682"/>
    <cellStyle name="Обычный 5 2 2 115 5" xfId="25683"/>
    <cellStyle name="Процентный 5 2 2 115 5" xfId="25684"/>
    <cellStyle name="Обычный 6 2 115 5" xfId="25685"/>
    <cellStyle name="Процентный 6 2 115 5" xfId="25686"/>
    <cellStyle name="Обычный 7 2 115 5" xfId="25687"/>
    <cellStyle name="Процентный 7 2 115 5" xfId="25688"/>
    <cellStyle name="Обычный 8 111 5" xfId="25689"/>
    <cellStyle name="Процентный 8 111 5" xfId="25690"/>
    <cellStyle name="Обычный 9 77 5" xfId="25691"/>
    <cellStyle name="Процентный 9 78 5" xfId="25692"/>
    <cellStyle name="Обычный 10 70 5" xfId="25693"/>
    <cellStyle name="Процентный 10 70 5" xfId="25694"/>
    <cellStyle name="Обычный 11 58 5" xfId="25695"/>
    <cellStyle name="Процентный 11 58 5" xfId="25696"/>
    <cellStyle name="Обычный 4 170 5" xfId="25697"/>
    <cellStyle name="Процентный 4 170 5" xfId="25698"/>
    <cellStyle name="Обычный 5 163 5" xfId="25699"/>
    <cellStyle name="Процентный 5 163 5" xfId="25700"/>
    <cellStyle name="Обычный 4 2 157 5" xfId="25701"/>
    <cellStyle name="Процентный 4 2 157 5" xfId="25702"/>
    <cellStyle name="Обычный 5 2 157 5" xfId="25703"/>
    <cellStyle name="Процентный 5 2 157 5" xfId="25704"/>
    <cellStyle name="Обычный 6 154 5" xfId="25705"/>
    <cellStyle name="Процентный 6 154 5" xfId="25706"/>
    <cellStyle name="Обычный 7 124 5" xfId="25707"/>
    <cellStyle name="Процентный 7 124 5" xfId="25708"/>
    <cellStyle name="Обычный 4 3 116 5" xfId="25709"/>
    <cellStyle name="Процентный 4 3 116 5" xfId="25710"/>
    <cellStyle name="Обычный 5 3 116 5" xfId="25711"/>
    <cellStyle name="Процентный 5 3 116 5" xfId="25712"/>
    <cellStyle name="Обычный 4 2 2 116 5" xfId="25713"/>
    <cellStyle name="Процентный 4 2 2 116 5" xfId="25714"/>
    <cellStyle name="Обычный 5 2 2 116 5" xfId="25715"/>
    <cellStyle name="Процентный 5 2 2 116 5" xfId="25716"/>
    <cellStyle name="Обычный 6 2 116 5" xfId="25717"/>
    <cellStyle name="Процентный 6 2 116 5" xfId="25718"/>
    <cellStyle name="Обычный 7 2 116 5" xfId="25719"/>
    <cellStyle name="Процентный 7 2 116 5" xfId="25720"/>
    <cellStyle name="Обычный 8 112 5" xfId="25721"/>
    <cellStyle name="Процентный 8 112 5" xfId="25722"/>
    <cellStyle name="Обычный 9 78 5" xfId="25723"/>
    <cellStyle name="Процентный 9 79 5" xfId="25724"/>
    <cellStyle name="Обычный 10 71 5" xfId="25725"/>
    <cellStyle name="Процентный 10 71 5" xfId="25726"/>
    <cellStyle name="Обычный 11 59 5" xfId="25727"/>
    <cellStyle name="Процентный 11 59 5" xfId="25728"/>
    <cellStyle name="Обычный 4 171 5" xfId="25729"/>
    <cellStyle name="Процентный 4 171 5" xfId="25730"/>
    <cellStyle name="Обычный 5 164 5" xfId="25731"/>
    <cellStyle name="Процентный 5 164 5" xfId="25732"/>
    <cellStyle name="Обычный 4 2 158 5" xfId="25733"/>
    <cellStyle name="Процентный 4 2 158 5" xfId="25734"/>
    <cellStyle name="Обычный 5 2 158 5" xfId="25735"/>
    <cellStyle name="Процентный 5 2 158 5" xfId="25736"/>
    <cellStyle name="Обычный 6 155 5" xfId="25737"/>
    <cellStyle name="Процентный 6 155 5" xfId="25738"/>
    <cellStyle name="Обычный 7 125 5" xfId="25739"/>
    <cellStyle name="Процентный 7 125 5" xfId="25740"/>
    <cellStyle name="Обычный 4 3 117 5" xfId="25741"/>
    <cellStyle name="Процентный 4 3 117 5" xfId="25742"/>
    <cellStyle name="Обычный 5 3 117 5" xfId="25743"/>
    <cellStyle name="Процентный 5 3 117 5" xfId="25744"/>
    <cellStyle name="Обычный 4 2 2 117 5" xfId="25745"/>
    <cellStyle name="Процентный 4 2 2 117 5" xfId="25746"/>
    <cellStyle name="Обычный 5 2 2 117 5" xfId="25747"/>
    <cellStyle name="Процентный 5 2 2 117 5" xfId="25748"/>
    <cellStyle name="Обычный 6 2 117 5" xfId="25749"/>
    <cellStyle name="Процентный 6 2 117 5" xfId="25750"/>
    <cellStyle name="Обычный 7 2 117 5" xfId="25751"/>
    <cellStyle name="Процентный 7 2 117 5" xfId="25752"/>
    <cellStyle name="Обычный 8 113 5" xfId="25753"/>
    <cellStyle name="Процентный 8 113 5" xfId="25754"/>
    <cellStyle name="Обычный 9 79 5" xfId="25755"/>
    <cellStyle name="Процентный 9 80 5" xfId="25756"/>
    <cellStyle name="Обычный 10 72 5" xfId="25757"/>
    <cellStyle name="Процентный 10 72 5" xfId="25758"/>
    <cellStyle name="Обычный 11 60 5" xfId="25759"/>
    <cellStyle name="Процентный 11 60 5" xfId="25760"/>
    <cellStyle name="Обычный 4 172 5" xfId="25761"/>
    <cellStyle name="Процентный 4 172 5" xfId="25762"/>
    <cellStyle name="Обычный 5 165 5" xfId="25763"/>
    <cellStyle name="Процентный 5 165 5" xfId="25764"/>
    <cellStyle name="Обычный 4 2 159 5" xfId="25765"/>
    <cellStyle name="Процентный 4 2 159 5" xfId="25766"/>
    <cellStyle name="Обычный 5 2 159 5" xfId="25767"/>
    <cellStyle name="Процентный 5 2 159 5" xfId="25768"/>
    <cellStyle name="Обычный 6 156 5" xfId="25769"/>
    <cellStyle name="Процентный 6 156 5" xfId="25770"/>
    <cellStyle name="Обычный 7 126 5" xfId="25771"/>
    <cellStyle name="Процентный 7 126 5" xfId="25772"/>
    <cellStyle name="Обычный 4 3 118 5" xfId="25773"/>
    <cellStyle name="Процентный 4 3 118 5" xfId="25774"/>
    <cellStyle name="Обычный 5 3 118 5" xfId="25775"/>
    <cellStyle name="Процентный 5 3 118 5" xfId="25776"/>
    <cellStyle name="Обычный 4 2 2 118 5" xfId="25777"/>
    <cellStyle name="Процентный 4 2 2 118 5" xfId="25778"/>
    <cellStyle name="Обычный 5 2 2 118 5" xfId="25779"/>
    <cellStyle name="Процентный 5 2 2 118 5" xfId="25780"/>
    <cellStyle name="Обычный 6 2 118 5" xfId="25781"/>
    <cellStyle name="Процентный 6 2 118 5" xfId="25782"/>
    <cellStyle name="Обычный 7 2 118 5" xfId="25783"/>
    <cellStyle name="Процентный 7 2 118 5" xfId="25784"/>
    <cellStyle name="Обычный 8 114 5" xfId="25785"/>
    <cellStyle name="Процентный 8 114 5" xfId="25786"/>
    <cellStyle name="Обычный 9 80 5" xfId="25787"/>
    <cellStyle name="Процентный 9 81 5" xfId="25788"/>
    <cellStyle name="Обычный 10 73 5" xfId="25789"/>
    <cellStyle name="Процентный 10 73 5" xfId="25790"/>
    <cellStyle name="Обычный 11 61 5" xfId="25791"/>
    <cellStyle name="Процентный 11 61 5" xfId="25792"/>
    <cellStyle name="Обычный 4 173 5" xfId="25793"/>
    <cellStyle name="Процентный 4 173 5" xfId="25794"/>
    <cellStyle name="Обычный 5 166 5" xfId="25795"/>
    <cellStyle name="Процентный 5 166 5" xfId="25796"/>
    <cellStyle name="Обычный 4 2 160 5" xfId="25797"/>
    <cellStyle name="Процентный 4 2 160 5" xfId="25798"/>
    <cellStyle name="Обычный 5 2 160 5" xfId="25799"/>
    <cellStyle name="Процентный 5 2 160 5" xfId="25800"/>
    <cellStyle name="Обычный 6 157 5" xfId="25801"/>
    <cellStyle name="Процентный 6 157 5" xfId="25802"/>
    <cellStyle name="Обычный 7 127 5" xfId="25803"/>
    <cellStyle name="Процентный 7 127 5" xfId="25804"/>
    <cellStyle name="Обычный 4 3 119 5" xfId="25805"/>
    <cellStyle name="Процентный 4 3 119 5" xfId="25806"/>
    <cellStyle name="Обычный 5 3 119 5" xfId="25807"/>
    <cellStyle name="Процентный 5 3 119 5" xfId="25808"/>
    <cellStyle name="Обычный 4 2 2 119 5" xfId="25809"/>
    <cellStyle name="Процентный 4 2 2 119 5" xfId="25810"/>
    <cellStyle name="Обычный 5 2 2 119 5" xfId="25811"/>
    <cellStyle name="Процентный 5 2 2 119 5" xfId="25812"/>
    <cellStyle name="Обычный 6 2 119 5" xfId="25813"/>
    <cellStyle name="Процентный 6 2 119 5" xfId="25814"/>
    <cellStyle name="Обычный 7 2 119 5" xfId="25815"/>
    <cellStyle name="Процентный 7 2 119 5" xfId="25816"/>
    <cellStyle name="Обычный 8 115 5" xfId="25817"/>
    <cellStyle name="Процентный 8 115 5" xfId="25818"/>
    <cellStyle name="Обычный 9 81 5" xfId="25819"/>
    <cellStyle name="Процентный 9 82 5" xfId="25820"/>
    <cellStyle name="Обычный 10 74 5" xfId="25821"/>
    <cellStyle name="Процентный 10 74 5" xfId="25822"/>
    <cellStyle name="Обычный 11 62 5" xfId="25823"/>
    <cellStyle name="Процентный 11 62 5" xfId="25824"/>
    <cellStyle name="Обычный 4 174 5" xfId="25825"/>
    <cellStyle name="Процентный 4 174 5" xfId="25826"/>
    <cellStyle name="Обычный 5 167 5" xfId="25827"/>
    <cellStyle name="Процентный 5 167 5" xfId="25828"/>
    <cellStyle name="Обычный 4 2 161 5" xfId="25829"/>
    <cellStyle name="Процентный 4 2 161 5" xfId="25830"/>
    <cellStyle name="Обычный 5 2 161 5" xfId="25831"/>
    <cellStyle name="Процентный 5 2 161 5" xfId="25832"/>
    <cellStyle name="Обычный 6 158 5" xfId="25833"/>
    <cellStyle name="Процентный 6 158 5" xfId="25834"/>
    <cellStyle name="Обычный 7 128 5" xfId="25835"/>
    <cellStyle name="Процентный 7 128 5" xfId="25836"/>
    <cellStyle name="Обычный 4 3 120 5" xfId="25837"/>
    <cellStyle name="Процентный 4 3 120 5" xfId="25838"/>
    <cellStyle name="Обычный 5 3 120 5" xfId="25839"/>
    <cellStyle name="Процентный 5 3 120 5" xfId="25840"/>
    <cellStyle name="Обычный 4 2 2 120 5" xfId="25841"/>
    <cellStyle name="Процентный 4 2 2 120 5" xfId="25842"/>
    <cellStyle name="Обычный 5 2 2 120 5" xfId="25843"/>
    <cellStyle name="Процентный 5 2 2 120 5" xfId="25844"/>
    <cellStyle name="Обычный 6 2 120 5" xfId="25845"/>
    <cellStyle name="Процентный 6 2 120 5" xfId="25846"/>
    <cellStyle name="Обычный 7 2 120 5" xfId="25847"/>
    <cellStyle name="Процентный 7 2 120 5" xfId="25848"/>
    <cellStyle name="Обычный 8 116 5" xfId="25849"/>
    <cellStyle name="Процентный 8 116 5" xfId="25850"/>
    <cellStyle name="Обычный 9 82 5" xfId="25851"/>
    <cellStyle name="Процентный 9 83 5" xfId="25852"/>
    <cellStyle name="Обычный 10 75 5" xfId="25853"/>
    <cellStyle name="Процентный 10 75 5" xfId="25854"/>
    <cellStyle name="Обычный 11 63 5" xfId="25855"/>
    <cellStyle name="Процентный 11 63 5" xfId="25856"/>
    <cellStyle name="Обычный 4 175 5" xfId="25857"/>
    <cellStyle name="Процентный 4 175 5" xfId="25858"/>
    <cellStyle name="Обычный 5 168 5" xfId="25859"/>
    <cellStyle name="Процентный 5 168 5" xfId="25860"/>
    <cellStyle name="Обычный 4 2 162 5" xfId="25861"/>
    <cellStyle name="Процентный 4 2 162 5" xfId="25862"/>
    <cellStyle name="Обычный 5 2 162 5" xfId="25863"/>
    <cellStyle name="Процентный 5 2 162 5" xfId="25864"/>
    <cellStyle name="Обычный 6 159 5" xfId="25865"/>
    <cellStyle name="Процентный 6 159 5" xfId="25866"/>
    <cellStyle name="Обычный 7 129 5" xfId="25867"/>
    <cellStyle name="Процентный 7 129 5" xfId="25868"/>
    <cellStyle name="Обычный 4 3 121 5" xfId="25869"/>
    <cellStyle name="Процентный 4 3 121 5" xfId="25870"/>
    <cellStyle name="Обычный 5 3 121 5" xfId="25871"/>
    <cellStyle name="Процентный 5 3 121 5" xfId="25872"/>
    <cellStyle name="Обычный 4 2 2 121 5" xfId="25873"/>
    <cellStyle name="Процентный 4 2 2 121 5" xfId="25874"/>
    <cellStyle name="Обычный 5 2 2 121 5" xfId="25875"/>
    <cellStyle name="Процентный 5 2 2 121 5" xfId="25876"/>
    <cellStyle name="Обычный 6 2 121 5" xfId="25877"/>
    <cellStyle name="Процентный 6 2 121 5" xfId="25878"/>
    <cellStyle name="Обычный 7 2 121 5" xfId="25879"/>
    <cellStyle name="Процентный 7 2 121 5" xfId="25880"/>
    <cellStyle name="Обычный 8 117 5" xfId="25881"/>
    <cellStyle name="Процентный 8 117 5" xfId="25882"/>
    <cellStyle name="Обычный 9 83 5" xfId="25883"/>
    <cellStyle name="Процентный 9 84 5" xfId="25884"/>
    <cellStyle name="Обычный 10 76 5" xfId="25885"/>
    <cellStyle name="Процентный 10 76 5" xfId="25886"/>
    <cellStyle name="Обычный 11 64 5" xfId="25887"/>
    <cellStyle name="Процентный 11 64 5" xfId="25888"/>
    <cellStyle name="Обычный 4 176 5" xfId="25889"/>
    <cellStyle name="Процентный 4 176 5" xfId="25890"/>
    <cellStyle name="Обычный 5 169 5" xfId="25891"/>
    <cellStyle name="Процентный 5 169 5" xfId="25892"/>
    <cellStyle name="Обычный 4 2 163 5" xfId="25893"/>
    <cellStyle name="Процентный 4 2 163 5" xfId="25894"/>
    <cellStyle name="Обычный 5 2 163 5" xfId="25895"/>
    <cellStyle name="Процентный 5 2 163 5" xfId="25896"/>
    <cellStyle name="Обычный 6 160 5" xfId="25897"/>
    <cellStyle name="Процентный 6 160 5" xfId="25898"/>
    <cellStyle name="Обычный 7 130 5" xfId="25899"/>
    <cellStyle name="Процентный 7 130 5" xfId="25900"/>
    <cellStyle name="Обычный 4 3 122 5" xfId="25901"/>
    <cellStyle name="Процентный 4 3 122 5" xfId="25902"/>
    <cellStyle name="Обычный 5 3 122 5" xfId="25903"/>
    <cellStyle name="Процентный 5 3 122 5" xfId="25904"/>
    <cellStyle name="Обычный 4 2 2 122 5" xfId="25905"/>
    <cellStyle name="Процентный 4 2 2 122 5" xfId="25906"/>
    <cellStyle name="Обычный 5 2 2 122 5" xfId="25907"/>
    <cellStyle name="Процентный 5 2 2 122 5" xfId="25908"/>
    <cellStyle name="Обычный 6 2 122 5" xfId="25909"/>
    <cellStyle name="Процентный 6 2 122 5" xfId="25910"/>
    <cellStyle name="Обычный 7 2 122 5" xfId="25911"/>
    <cellStyle name="Процентный 7 2 122 5" xfId="25912"/>
    <cellStyle name="Обычный 8 118 5" xfId="25913"/>
    <cellStyle name="Процентный 8 118 5" xfId="25914"/>
    <cellStyle name="Обычный 9 84 5" xfId="25915"/>
    <cellStyle name="Процентный 9 85 5" xfId="25916"/>
    <cellStyle name="Обычный 10 77 5" xfId="25917"/>
    <cellStyle name="Процентный 10 77 5" xfId="25918"/>
    <cellStyle name="Обычный 11 65 5" xfId="25919"/>
    <cellStyle name="Процентный 11 65 5" xfId="25920"/>
    <cellStyle name="Обычный 4 177 5" xfId="25921"/>
    <cellStyle name="Процентный 4 177 5" xfId="25922"/>
    <cellStyle name="Обычный 5 170 5" xfId="25923"/>
    <cellStyle name="Процентный 5 170 5" xfId="25924"/>
    <cellStyle name="Обычный 4 2 164 5" xfId="25925"/>
    <cellStyle name="Процентный 4 2 164 5" xfId="25926"/>
    <cellStyle name="Обычный 5 2 164 5" xfId="25927"/>
    <cellStyle name="Процентный 5 2 164 5" xfId="25928"/>
    <cellStyle name="Обычный 6 161 5" xfId="25929"/>
    <cellStyle name="Процентный 6 161 5" xfId="25930"/>
    <cellStyle name="Обычный 7 131 5" xfId="25931"/>
    <cellStyle name="Процентный 7 131 5" xfId="25932"/>
    <cellStyle name="Обычный 4 3 123 5" xfId="25933"/>
    <cellStyle name="Процентный 4 3 123 5" xfId="25934"/>
    <cellStyle name="Обычный 5 3 123 5" xfId="25935"/>
    <cellStyle name="Процентный 5 3 123 5" xfId="25936"/>
    <cellStyle name="Обычный 4 2 2 123 5" xfId="25937"/>
    <cellStyle name="Процентный 4 2 2 123 5" xfId="25938"/>
    <cellStyle name="Обычный 5 2 2 123 5" xfId="25939"/>
    <cellStyle name="Процентный 5 2 2 123 5" xfId="25940"/>
    <cellStyle name="Обычный 6 2 123 5" xfId="25941"/>
    <cellStyle name="Процентный 6 2 123 5" xfId="25942"/>
    <cellStyle name="Обычный 7 2 123 5" xfId="25943"/>
    <cellStyle name="Процентный 7 2 123 5" xfId="25944"/>
    <cellStyle name="Обычный 8 119 5" xfId="25945"/>
    <cellStyle name="Процентный 8 119 5" xfId="25946"/>
    <cellStyle name="Обычный 9 85 5" xfId="25947"/>
    <cellStyle name="Процентный 9 86 5" xfId="25948"/>
    <cellStyle name="Обычный 10 78 5" xfId="25949"/>
    <cellStyle name="Процентный 10 78 5" xfId="25950"/>
    <cellStyle name="Обычный 11 66 5" xfId="25951"/>
    <cellStyle name="Процентный 11 66 5" xfId="25952"/>
    <cellStyle name="Обычный 4 178 5" xfId="25953"/>
    <cellStyle name="Процентный 4 178 5" xfId="25954"/>
    <cellStyle name="Обычный 5 171 5" xfId="25955"/>
    <cellStyle name="Процентный 5 171 5" xfId="25956"/>
    <cellStyle name="Обычный 4 2 165 5" xfId="25957"/>
    <cellStyle name="Процентный 4 2 165 5" xfId="25958"/>
    <cellStyle name="Обычный 5 2 165 5" xfId="25959"/>
    <cellStyle name="Процентный 5 2 165 5" xfId="25960"/>
    <cellStyle name="Обычный 6 162 5" xfId="25961"/>
    <cellStyle name="Процентный 6 162 5" xfId="25962"/>
    <cellStyle name="Обычный 7 132 5" xfId="25963"/>
    <cellStyle name="Процентный 7 132 5" xfId="25964"/>
    <cellStyle name="Обычный 4 3 124 5" xfId="25965"/>
    <cellStyle name="Процентный 4 3 124 5" xfId="25966"/>
    <cellStyle name="Обычный 5 3 124 5" xfId="25967"/>
    <cellStyle name="Процентный 5 3 124 5" xfId="25968"/>
    <cellStyle name="Обычный 4 2 2 124 5" xfId="25969"/>
    <cellStyle name="Процентный 4 2 2 124 5" xfId="25970"/>
    <cellStyle name="Обычный 5 2 2 124 5" xfId="25971"/>
    <cellStyle name="Процентный 5 2 2 124 5" xfId="25972"/>
    <cellStyle name="Обычный 6 2 124 5" xfId="25973"/>
    <cellStyle name="Процентный 6 2 124 5" xfId="25974"/>
    <cellStyle name="Обычный 7 2 124 5" xfId="25975"/>
    <cellStyle name="Процентный 7 2 124 5" xfId="25976"/>
    <cellStyle name="Обычный 8 120 5" xfId="25977"/>
    <cellStyle name="Процентный 8 120 5" xfId="25978"/>
    <cellStyle name="Обычный 9 86 5" xfId="25979"/>
    <cellStyle name="Процентный 9 87 5" xfId="25980"/>
    <cellStyle name="Обычный 10 79 5" xfId="25981"/>
    <cellStyle name="Процентный 10 79 5" xfId="25982"/>
    <cellStyle name="Обычный 11 67 5" xfId="25983"/>
    <cellStyle name="Процентный 11 67 5" xfId="25984"/>
    <cellStyle name="Обычный 4 179 5" xfId="25985"/>
    <cellStyle name="Процентный 4 179 5" xfId="25986"/>
    <cellStyle name="Обычный 5 172 5" xfId="25987"/>
    <cellStyle name="Процентный 5 172 5" xfId="25988"/>
    <cellStyle name="Обычный 4 2 166 5" xfId="25989"/>
    <cellStyle name="Процентный 4 2 166 5" xfId="25990"/>
    <cellStyle name="Обычный 5 2 166 5" xfId="25991"/>
    <cellStyle name="Процентный 5 2 166 5" xfId="25992"/>
    <cellStyle name="Обычный 6 163 5" xfId="25993"/>
    <cellStyle name="Процентный 6 163 5" xfId="25994"/>
    <cellStyle name="Обычный 7 133 5" xfId="25995"/>
    <cellStyle name="Процентный 7 133 5" xfId="25996"/>
    <cellStyle name="Обычный 4 3 125 5" xfId="25997"/>
    <cellStyle name="Процентный 4 3 125 5" xfId="25998"/>
    <cellStyle name="Обычный 5 3 125 5" xfId="25999"/>
    <cellStyle name="Процентный 5 3 125 5" xfId="26000"/>
    <cellStyle name="Обычный 4 2 2 125 5" xfId="26001"/>
    <cellStyle name="Процентный 4 2 2 125 5" xfId="26002"/>
    <cellStyle name="Обычный 5 2 2 125 5" xfId="26003"/>
    <cellStyle name="Процентный 5 2 2 125 5" xfId="26004"/>
    <cellStyle name="Обычный 6 2 125 5" xfId="26005"/>
    <cellStyle name="Процентный 6 2 125 5" xfId="26006"/>
    <cellStyle name="Обычный 7 2 125 5" xfId="26007"/>
    <cellStyle name="Процентный 7 2 125 5" xfId="26008"/>
    <cellStyle name="Обычный 8 121 5" xfId="26009"/>
    <cellStyle name="Процентный 8 121 5" xfId="26010"/>
    <cellStyle name="Обычный 9 87 5" xfId="26011"/>
    <cellStyle name="Процентный 9 88 5" xfId="26012"/>
    <cellStyle name="Обычный 10 80 5" xfId="26013"/>
    <cellStyle name="Процентный 10 80 5" xfId="26014"/>
    <cellStyle name="Обычный 11 68 5" xfId="26015"/>
    <cellStyle name="Процентный 11 68 5" xfId="26016"/>
    <cellStyle name="Обычный 4 180 5" xfId="26017"/>
    <cellStyle name="Процентный 4 180 5" xfId="26018"/>
    <cellStyle name="Обычный 5 173 5" xfId="26019"/>
    <cellStyle name="Процентный 5 173 5" xfId="26020"/>
    <cellStyle name="Обычный 4 2 167 5" xfId="26021"/>
    <cellStyle name="Процентный 4 2 167 5" xfId="26022"/>
    <cellStyle name="Обычный 5 2 167 5" xfId="26023"/>
    <cellStyle name="Процентный 5 2 167 5" xfId="26024"/>
    <cellStyle name="Обычный 6 164 5" xfId="26025"/>
    <cellStyle name="Процентный 6 164 5" xfId="26026"/>
    <cellStyle name="Обычный 7 134 5" xfId="26027"/>
    <cellStyle name="Процентный 7 134 5" xfId="26028"/>
    <cellStyle name="Обычный 4 3 126 5" xfId="26029"/>
    <cellStyle name="Процентный 4 3 126 5" xfId="26030"/>
    <cellStyle name="Обычный 5 3 126 5" xfId="26031"/>
    <cellStyle name="Процентный 5 3 126 5" xfId="26032"/>
    <cellStyle name="Обычный 4 2 2 126 5" xfId="26033"/>
    <cellStyle name="Процентный 4 2 2 126 5" xfId="26034"/>
    <cellStyle name="Обычный 5 2 2 126 5" xfId="26035"/>
    <cellStyle name="Процентный 5 2 2 126 5" xfId="26036"/>
    <cellStyle name="Обычный 6 2 126 5" xfId="26037"/>
    <cellStyle name="Процентный 6 2 126 5" xfId="26038"/>
    <cellStyle name="Обычный 7 2 126 5" xfId="26039"/>
    <cellStyle name="Процентный 7 2 126 5" xfId="26040"/>
    <cellStyle name="Обычный 8 122 5" xfId="26041"/>
    <cellStyle name="Процентный 8 122 5" xfId="26042"/>
    <cellStyle name="Обычный 9 88 5" xfId="26043"/>
    <cellStyle name="Процентный 9 89 5" xfId="26044"/>
    <cellStyle name="Обычный 10 81 5" xfId="26045"/>
    <cellStyle name="Процентный 10 81 5" xfId="26046"/>
    <cellStyle name="Обычный 11 69 5" xfId="26047"/>
    <cellStyle name="Процентный 11 69 5" xfId="26048"/>
    <cellStyle name="Обычный 4 181 5" xfId="26049"/>
    <cellStyle name="Процентный 4 181 5" xfId="26050"/>
    <cellStyle name="Обычный 5 174 5" xfId="26051"/>
    <cellStyle name="Процентный 5 174 5" xfId="26052"/>
    <cellStyle name="Обычный 4 2 168 5" xfId="26053"/>
    <cellStyle name="Процентный 4 2 168 5" xfId="26054"/>
    <cellStyle name="Обычный 5 2 168 5" xfId="26055"/>
    <cellStyle name="Процентный 5 2 168 5" xfId="26056"/>
    <cellStyle name="Обычный 6 165 5" xfId="26057"/>
    <cellStyle name="Процентный 6 165 5" xfId="26058"/>
    <cellStyle name="Обычный 7 135 5" xfId="26059"/>
    <cellStyle name="Процентный 7 135 5" xfId="26060"/>
    <cellStyle name="Обычный 4 3 127 5" xfId="26061"/>
    <cellStyle name="Процентный 4 3 127 5" xfId="26062"/>
    <cellStyle name="Обычный 5 3 127 5" xfId="26063"/>
    <cellStyle name="Процентный 5 3 127 5" xfId="26064"/>
    <cellStyle name="Обычный 4 2 2 127 5" xfId="26065"/>
    <cellStyle name="Процентный 4 2 2 127 5" xfId="26066"/>
    <cellStyle name="Обычный 5 2 2 127 5" xfId="26067"/>
    <cellStyle name="Процентный 5 2 2 127 5" xfId="26068"/>
    <cellStyle name="Обычный 6 2 127 5" xfId="26069"/>
    <cellStyle name="Процентный 6 2 127 5" xfId="26070"/>
    <cellStyle name="Обычный 7 2 127 5" xfId="26071"/>
    <cellStyle name="Процентный 7 2 127 5" xfId="26072"/>
    <cellStyle name="Обычный 8 123 5" xfId="26073"/>
    <cellStyle name="Процентный 8 123 5" xfId="26074"/>
    <cellStyle name="Обычный 9 89 5" xfId="26075"/>
    <cellStyle name="Процентный 9 90 5" xfId="26076"/>
    <cellStyle name="Обычный 10 82 5" xfId="26077"/>
    <cellStyle name="Процентный 10 82 5" xfId="26078"/>
    <cellStyle name="Обычный 11 70 5" xfId="26079"/>
    <cellStyle name="Процентный 11 70 5" xfId="26080"/>
    <cellStyle name="Обычный 14 5" xfId="26081"/>
    <cellStyle name="Процентный 14 5" xfId="26082"/>
    <cellStyle name="Обычный 4 182 5" xfId="26083"/>
    <cellStyle name="Процентный 4 182 5" xfId="26084"/>
    <cellStyle name="Обычный 5 175 5" xfId="26085"/>
    <cellStyle name="Процентный 5 175 5" xfId="26086"/>
    <cellStyle name="Обычный 4 2 169 5" xfId="26087"/>
    <cellStyle name="Процентный 4 2 169 5" xfId="26088"/>
    <cellStyle name="Обычный 5 2 169 5" xfId="26089"/>
    <cellStyle name="Процентный 5 2 169 5" xfId="26090"/>
    <cellStyle name="Обычный 6 166 5" xfId="26091"/>
    <cellStyle name="Процентный 6 166 5" xfId="26092"/>
    <cellStyle name="Обычный 7 136 5" xfId="26093"/>
    <cellStyle name="Процентный 7 136 5" xfId="26094"/>
    <cellStyle name="Обычный 4 3 128 5" xfId="26095"/>
    <cellStyle name="Процентный 4 3 128 5" xfId="26096"/>
    <cellStyle name="Обычный 5 3 128 5" xfId="26097"/>
    <cellStyle name="Процентный 5 3 128 5" xfId="26098"/>
    <cellStyle name="Обычный 4 2 2 128 5" xfId="26099"/>
    <cellStyle name="Процентный 4 2 2 128 5" xfId="26100"/>
    <cellStyle name="Обычный 5 2 2 128 5" xfId="26101"/>
    <cellStyle name="Процентный 5 2 2 128 5" xfId="26102"/>
    <cellStyle name="Обычный 6 2 128 5" xfId="26103"/>
    <cellStyle name="Процентный 6 2 128 5" xfId="26104"/>
    <cellStyle name="Обычный 7 2 128 5" xfId="26105"/>
    <cellStyle name="Процентный 7 2 128 5" xfId="26106"/>
    <cellStyle name="Обычный 8 124 5" xfId="26107"/>
    <cellStyle name="Процентный 8 124 5" xfId="26108"/>
    <cellStyle name="Обычный 9 90 5" xfId="26109"/>
    <cellStyle name="Процентный 9 91 5" xfId="26110"/>
    <cellStyle name="Обычный 10 83 5" xfId="26111"/>
    <cellStyle name="Процентный 10 83 5" xfId="26112"/>
    <cellStyle name="Обычный 11 71 5" xfId="26113"/>
    <cellStyle name="Процентный 11 71 5" xfId="26114"/>
    <cellStyle name="Обычный 4 183 5" xfId="26115"/>
    <cellStyle name="Процентный 4 183 5" xfId="26116"/>
    <cellStyle name="Обычный 5 176 5" xfId="26117"/>
    <cellStyle name="Процентный 5 176 5" xfId="26118"/>
    <cellStyle name="Обычный 4 2 170 5" xfId="26119"/>
    <cellStyle name="Процентный 4 2 170 5" xfId="26120"/>
    <cellStyle name="Обычный 5 2 170 5" xfId="26121"/>
    <cellStyle name="Процентный 5 2 170 5" xfId="26122"/>
    <cellStyle name="Обычный 6 167 5" xfId="26123"/>
    <cellStyle name="Процентный 6 167 5" xfId="26124"/>
    <cellStyle name="Обычный 7 137 5" xfId="26125"/>
    <cellStyle name="Процентный 7 137 5" xfId="26126"/>
    <cellStyle name="Обычный 4 3 129 5" xfId="26127"/>
    <cellStyle name="Процентный 4 3 129 5" xfId="26128"/>
    <cellStyle name="Обычный 5 3 129 5" xfId="26129"/>
    <cellStyle name="Процентный 5 3 129 5" xfId="26130"/>
    <cellStyle name="Обычный 4 2 2 129 5" xfId="26131"/>
    <cellStyle name="Процентный 4 2 2 129 5" xfId="26132"/>
    <cellStyle name="Обычный 5 2 2 129 5" xfId="26133"/>
    <cellStyle name="Процентный 5 2 2 129 5" xfId="26134"/>
    <cellStyle name="Обычный 6 2 129 5" xfId="26135"/>
    <cellStyle name="Процентный 6 2 129 5" xfId="26136"/>
    <cellStyle name="Обычный 7 2 129 5" xfId="26137"/>
    <cellStyle name="Процентный 7 2 129 5" xfId="26138"/>
    <cellStyle name="Обычный 8 125 5" xfId="26139"/>
    <cellStyle name="Процентный 8 125 5" xfId="26140"/>
    <cellStyle name="Обычный 9 91 5" xfId="26141"/>
    <cellStyle name="Процентный 9 92 5" xfId="26142"/>
    <cellStyle name="Обычный 10 84 5" xfId="26143"/>
    <cellStyle name="Процентный 10 84 5" xfId="26144"/>
    <cellStyle name="Обычный 11 72 5" xfId="26145"/>
    <cellStyle name="Процентный 11 72 5" xfId="26146"/>
    <cellStyle name="Обычный 4 184 5" xfId="26147"/>
    <cellStyle name="Процентный 4 184 5" xfId="26148"/>
    <cellStyle name="Обычный 5 177 5" xfId="26149"/>
    <cellStyle name="Процентный 5 177 5" xfId="26150"/>
    <cellStyle name="Обычный 4 2 171 5" xfId="26151"/>
    <cellStyle name="Процентный 4 2 171 5" xfId="26152"/>
    <cellStyle name="Обычный 5 2 171 5" xfId="26153"/>
    <cellStyle name="Процентный 5 2 171 5" xfId="26154"/>
    <cellStyle name="Обычный 6 168 5" xfId="26155"/>
    <cellStyle name="Процентный 6 168 5" xfId="26156"/>
    <cellStyle name="Обычный 7 138 5" xfId="26157"/>
    <cellStyle name="Процентный 7 138 5" xfId="26158"/>
    <cellStyle name="Обычный 4 3 130 5" xfId="26159"/>
    <cellStyle name="Процентный 4 3 130 5" xfId="26160"/>
    <cellStyle name="Обычный 5 3 130 5" xfId="26161"/>
    <cellStyle name="Процентный 5 3 130 5" xfId="26162"/>
    <cellStyle name="Обычный 4 2 2 130 5" xfId="26163"/>
    <cellStyle name="Процентный 4 2 2 130 5" xfId="26164"/>
    <cellStyle name="Обычный 5 2 2 130 5" xfId="26165"/>
    <cellStyle name="Процентный 5 2 2 130 5" xfId="26166"/>
    <cellStyle name="Обычный 6 2 130 5" xfId="26167"/>
    <cellStyle name="Процентный 6 2 130 5" xfId="26168"/>
    <cellStyle name="Обычный 7 2 130 5" xfId="26169"/>
    <cellStyle name="Процентный 7 2 130 5" xfId="26170"/>
    <cellStyle name="Обычный 8 126 5" xfId="26171"/>
    <cellStyle name="Процентный 8 126 5" xfId="26172"/>
    <cellStyle name="Обычный 9 92 5" xfId="26173"/>
    <cellStyle name="Процентный 9 93 5" xfId="26174"/>
    <cellStyle name="Обычный 10 85 5" xfId="26175"/>
    <cellStyle name="Процентный 10 85 5" xfId="26176"/>
    <cellStyle name="Обычный 11 73 5" xfId="26177"/>
    <cellStyle name="Процентный 11 73 5" xfId="26178"/>
    <cellStyle name="Обычный 4 185 5" xfId="26179"/>
    <cellStyle name="Процентный 4 185 5" xfId="26180"/>
    <cellStyle name="Обычный 5 178 5" xfId="26181"/>
    <cellStyle name="Процентный 5 178 5" xfId="26182"/>
    <cellStyle name="Обычный 4 2 172 5" xfId="26183"/>
    <cellStyle name="Процентный 4 2 172 5" xfId="26184"/>
    <cellStyle name="Обычный 5 2 172 5" xfId="26185"/>
    <cellStyle name="Процентный 5 2 172 5" xfId="26186"/>
    <cellStyle name="Обычный 6 169 5" xfId="26187"/>
    <cellStyle name="Процентный 6 169 5" xfId="26188"/>
    <cellStyle name="Обычный 7 139 5" xfId="26189"/>
    <cellStyle name="Процентный 7 139 5" xfId="26190"/>
    <cellStyle name="Обычный 4 3 131 5" xfId="26191"/>
    <cellStyle name="Процентный 4 3 131 5" xfId="26192"/>
    <cellStyle name="Обычный 5 3 131 5" xfId="26193"/>
    <cellStyle name="Процентный 5 3 131 5" xfId="26194"/>
    <cellStyle name="Обычный 4 2 2 131 5" xfId="26195"/>
    <cellStyle name="Процентный 4 2 2 131 5" xfId="26196"/>
    <cellStyle name="Обычный 5 2 2 131 5" xfId="26197"/>
    <cellStyle name="Процентный 5 2 2 131 5" xfId="26198"/>
    <cellStyle name="Обычный 6 2 131 5" xfId="26199"/>
    <cellStyle name="Процентный 6 2 131 5" xfId="26200"/>
    <cellStyle name="Обычный 7 2 131 5" xfId="26201"/>
    <cellStyle name="Процентный 7 2 131 5" xfId="26202"/>
    <cellStyle name="Обычный 8 127 5" xfId="26203"/>
    <cellStyle name="Процентный 8 127 5" xfId="26204"/>
    <cellStyle name="Обычный 9 93 5" xfId="26205"/>
    <cellStyle name="Процентный 9 94 5" xfId="26206"/>
    <cellStyle name="Обычный 10 86 5" xfId="26207"/>
    <cellStyle name="Процентный 10 86 5" xfId="26208"/>
    <cellStyle name="Обычный 11 74 5" xfId="26209"/>
    <cellStyle name="Процентный 11 74 5" xfId="26210"/>
    <cellStyle name="Обычный 4 186 5" xfId="26211"/>
    <cellStyle name="Процентный 4 186 5" xfId="26212"/>
    <cellStyle name="Обычный 5 179 5" xfId="26213"/>
    <cellStyle name="Процентный 5 179 5" xfId="26214"/>
    <cellStyle name="Обычный 4 2 173 5" xfId="26215"/>
    <cellStyle name="Процентный 4 2 173 5" xfId="26216"/>
    <cellStyle name="Обычный 5 2 173 5" xfId="26217"/>
    <cellStyle name="Процентный 5 2 173 5" xfId="26218"/>
    <cellStyle name="Обычный 6 170 5" xfId="26219"/>
    <cellStyle name="Процентный 6 170 5" xfId="26220"/>
    <cellStyle name="Обычный 7 140 5" xfId="26221"/>
    <cellStyle name="Процентный 7 140 5" xfId="26222"/>
    <cellStyle name="Обычный 4 3 132 5" xfId="26223"/>
    <cellStyle name="Процентный 4 3 132 5" xfId="26224"/>
    <cellStyle name="Обычный 5 3 132 5" xfId="26225"/>
    <cellStyle name="Процентный 5 3 132 5" xfId="26226"/>
    <cellStyle name="Обычный 4 2 2 132 5" xfId="26227"/>
    <cellStyle name="Процентный 4 2 2 132 5" xfId="26228"/>
    <cellStyle name="Обычный 5 2 2 132 5" xfId="26229"/>
    <cellStyle name="Процентный 5 2 2 132 5" xfId="26230"/>
    <cellStyle name="Обычный 6 2 132 5" xfId="26231"/>
    <cellStyle name="Процентный 6 2 132 5" xfId="26232"/>
    <cellStyle name="Обычный 7 2 132 5" xfId="26233"/>
    <cellStyle name="Процентный 7 2 132 5" xfId="26234"/>
    <cellStyle name="Обычный 8 128 5" xfId="26235"/>
    <cellStyle name="Процентный 8 128 5" xfId="26236"/>
    <cellStyle name="Обычный 9 94 5" xfId="26237"/>
    <cellStyle name="Процентный 9 95 5" xfId="26238"/>
    <cellStyle name="Обычный 10 87 5" xfId="26239"/>
    <cellStyle name="Процентный 10 87 5" xfId="26240"/>
    <cellStyle name="Обычный 11 75 5" xfId="26241"/>
    <cellStyle name="Процентный 11 75 5" xfId="26242"/>
    <cellStyle name="Обычный 4 187 5" xfId="26243"/>
    <cellStyle name="Процентный 4 187 5" xfId="26244"/>
    <cellStyle name="Обычный 5 180 5" xfId="26245"/>
    <cellStyle name="Процентный 5 180 5" xfId="26246"/>
    <cellStyle name="Обычный 4 2 174 5" xfId="26247"/>
    <cellStyle name="Процентный 4 2 174 5" xfId="26248"/>
    <cellStyle name="Обычный 5 2 174 5" xfId="26249"/>
    <cellStyle name="Процентный 5 2 174 5" xfId="26250"/>
    <cellStyle name="Обычный 6 171 5" xfId="26251"/>
    <cellStyle name="Процентный 6 171 5" xfId="26252"/>
    <cellStyle name="Обычный 7 141 5" xfId="26253"/>
    <cellStyle name="Процентный 7 141 5" xfId="26254"/>
    <cellStyle name="Обычный 4 3 133 5" xfId="26255"/>
    <cellStyle name="Процентный 4 3 133 5" xfId="26256"/>
    <cellStyle name="Обычный 5 3 133 5" xfId="26257"/>
    <cellStyle name="Процентный 5 3 133 5" xfId="26258"/>
    <cellStyle name="Обычный 4 2 2 133 5" xfId="26259"/>
    <cellStyle name="Процентный 4 2 2 133 5" xfId="26260"/>
    <cellStyle name="Обычный 5 2 2 133 5" xfId="26261"/>
    <cellStyle name="Процентный 5 2 2 133 5" xfId="26262"/>
    <cellStyle name="Обычный 6 2 133 5" xfId="26263"/>
    <cellStyle name="Процентный 6 2 133 5" xfId="26264"/>
    <cellStyle name="Обычный 7 2 133 5" xfId="26265"/>
    <cellStyle name="Процентный 7 2 133 5" xfId="26266"/>
    <cellStyle name="Обычный 8 129 5" xfId="26267"/>
    <cellStyle name="Процентный 8 129 5" xfId="26268"/>
    <cellStyle name="Обычный 9 95 5" xfId="26269"/>
    <cellStyle name="Процентный 9 96 5" xfId="26270"/>
    <cellStyle name="Обычный 10 88 5" xfId="26271"/>
    <cellStyle name="Процентный 10 88 5" xfId="26272"/>
    <cellStyle name="Обычный 11 76 5" xfId="26273"/>
    <cellStyle name="Процентный 11 76 5" xfId="26274"/>
    <cellStyle name="Обычный 4 188 5" xfId="26275"/>
    <cellStyle name="Процентный 4 188 5" xfId="26276"/>
    <cellStyle name="Обычный 5 181 5" xfId="26277"/>
    <cellStyle name="Процентный 5 181 5" xfId="26278"/>
    <cellStyle name="Обычный 4 2 175 5" xfId="26279"/>
    <cellStyle name="Процентный 4 2 175 5" xfId="26280"/>
    <cellStyle name="Обычный 5 2 175 5" xfId="26281"/>
    <cellStyle name="Процентный 5 2 175 5" xfId="26282"/>
    <cellStyle name="Обычный 6 172 5" xfId="26283"/>
    <cellStyle name="Процентный 6 172 5" xfId="26284"/>
    <cellStyle name="Обычный 7 142 5" xfId="26285"/>
    <cellStyle name="Процентный 7 142 5" xfId="26286"/>
    <cellStyle name="Обычный 4 3 134 5" xfId="26287"/>
    <cellStyle name="Процентный 4 3 134 5" xfId="26288"/>
    <cellStyle name="Обычный 5 3 134 5" xfId="26289"/>
    <cellStyle name="Процентный 5 3 134 5" xfId="26290"/>
    <cellStyle name="Обычный 4 2 2 134 5" xfId="26291"/>
    <cellStyle name="Процентный 4 2 2 134 5" xfId="26292"/>
    <cellStyle name="Обычный 5 2 2 134 5" xfId="26293"/>
    <cellStyle name="Процентный 5 2 2 134 5" xfId="26294"/>
    <cellStyle name="Обычный 6 2 134 5" xfId="26295"/>
    <cellStyle name="Процентный 6 2 134 5" xfId="26296"/>
    <cellStyle name="Обычный 7 2 134 5" xfId="26297"/>
    <cellStyle name="Процентный 7 2 134 5" xfId="26298"/>
    <cellStyle name="Обычный 8 130 5" xfId="26299"/>
    <cellStyle name="Процентный 8 130 5" xfId="26300"/>
    <cellStyle name="Обычный 9 96 5" xfId="26301"/>
    <cellStyle name="Процентный 9 97 5" xfId="26302"/>
    <cellStyle name="Обычный 10 89 5" xfId="26303"/>
    <cellStyle name="Процентный 10 89 5" xfId="26304"/>
    <cellStyle name="Обычный 11 77 5" xfId="26305"/>
    <cellStyle name="Процентный 11 77 5" xfId="26306"/>
    <cellStyle name="Обычный 4 189 5" xfId="26307"/>
    <cellStyle name="Процентный 4 189 5" xfId="26308"/>
    <cellStyle name="Обычный 5 182 5" xfId="26309"/>
    <cellStyle name="Процентный 5 182 5" xfId="26310"/>
    <cellStyle name="Обычный 4 2 176 5" xfId="26311"/>
    <cellStyle name="Процентный 4 2 176 5" xfId="26312"/>
    <cellStyle name="Обычный 5 2 176 5" xfId="26313"/>
    <cellStyle name="Процентный 5 2 176 5" xfId="26314"/>
    <cellStyle name="Обычный 6 173 5" xfId="26315"/>
    <cellStyle name="Процентный 6 173 5" xfId="26316"/>
    <cellStyle name="Обычный 7 143 5" xfId="26317"/>
    <cellStyle name="Процентный 7 143 5" xfId="26318"/>
    <cellStyle name="Обычный 4 3 135 5" xfId="26319"/>
    <cellStyle name="Процентный 4 3 135 5" xfId="26320"/>
    <cellStyle name="Обычный 5 3 135 5" xfId="26321"/>
    <cellStyle name="Процентный 5 3 135 5" xfId="26322"/>
    <cellStyle name="Обычный 4 2 2 135 5" xfId="26323"/>
    <cellStyle name="Процентный 4 2 2 135 5" xfId="26324"/>
    <cellStyle name="Обычный 5 2 2 135 5" xfId="26325"/>
    <cellStyle name="Процентный 5 2 2 135 5" xfId="26326"/>
    <cellStyle name="Обычный 6 2 135 5" xfId="26327"/>
    <cellStyle name="Процентный 6 2 135 5" xfId="26328"/>
    <cellStyle name="Обычный 7 2 135 5" xfId="26329"/>
    <cellStyle name="Процентный 7 2 135 5" xfId="26330"/>
    <cellStyle name="Обычный 8 131 5" xfId="26331"/>
    <cellStyle name="Процентный 8 131 5" xfId="26332"/>
    <cellStyle name="Обычный 9 97 5" xfId="26333"/>
    <cellStyle name="Процентный 9 98 5" xfId="26334"/>
    <cellStyle name="Обычный 10 90 5" xfId="26335"/>
    <cellStyle name="Процентный 10 90 5" xfId="26336"/>
    <cellStyle name="Обычный 11 78 5" xfId="26337"/>
    <cellStyle name="Процентный 11 78 5" xfId="26338"/>
    <cellStyle name="Обычный 4 190 5" xfId="26339"/>
    <cellStyle name="Процентный 4 190 5" xfId="26340"/>
    <cellStyle name="Обычный 5 183 5" xfId="26341"/>
    <cellStyle name="Процентный 5 183 5" xfId="26342"/>
    <cellStyle name="Обычный 4 2 177 5" xfId="26343"/>
    <cellStyle name="Процентный 4 2 177 5" xfId="26344"/>
    <cellStyle name="Обычный 5 2 177 5" xfId="26345"/>
    <cellStyle name="Процентный 5 2 177 5" xfId="26346"/>
    <cellStyle name="Обычный 6 174 5" xfId="26347"/>
    <cellStyle name="Процентный 6 174 5" xfId="26348"/>
    <cellStyle name="Обычный 7 144 5" xfId="26349"/>
    <cellStyle name="Процентный 7 144 5" xfId="26350"/>
    <cellStyle name="Обычный 4 3 136 5" xfId="26351"/>
    <cellStyle name="Процентный 4 3 136 5" xfId="26352"/>
    <cellStyle name="Обычный 5 3 136 5" xfId="26353"/>
    <cellStyle name="Процентный 5 3 136 5" xfId="26354"/>
    <cellStyle name="Обычный 4 2 2 136 5" xfId="26355"/>
    <cellStyle name="Процентный 4 2 2 136 5" xfId="26356"/>
    <cellStyle name="Обычный 5 2 2 136 5" xfId="26357"/>
    <cellStyle name="Процентный 5 2 2 136 5" xfId="26358"/>
    <cellStyle name="Обычный 6 2 136 5" xfId="26359"/>
    <cellStyle name="Процентный 6 2 136 5" xfId="26360"/>
    <cellStyle name="Обычный 7 2 136 5" xfId="26361"/>
    <cellStyle name="Процентный 7 2 136 5" xfId="26362"/>
    <cellStyle name="Обычный 8 132 5" xfId="26363"/>
    <cellStyle name="Процентный 8 132 5" xfId="26364"/>
    <cellStyle name="Обычный 9 98 5" xfId="26365"/>
    <cellStyle name="Процентный 9 99 5" xfId="26366"/>
    <cellStyle name="Обычный 10 91 5" xfId="26367"/>
    <cellStyle name="Процентный 10 91 5" xfId="26368"/>
    <cellStyle name="Обычный 11 79 5" xfId="26369"/>
    <cellStyle name="Процентный 11 79 5" xfId="26370"/>
    <cellStyle name="Обычный 4 191 5" xfId="26371"/>
    <cellStyle name="Процентный 4 191 5" xfId="26372"/>
    <cellStyle name="Обычный 5 184 5" xfId="26373"/>
    <cellStyle name="Процентный 5 184 5" xfId="26374"/>
    <cellStyle name="Обычный 4 2 178 5" xfId="26375"/>
    <cellStyle name="Процентный 4 2 178 5" xfId="26376"/>
    <cellStyle name="Обычный 5 2 178 5" xfId="26377"/>
    <cellStyle name="Процентный 5 2 178 5" xfId="26378"/>
    <cellStyle name="Обычный 6 175 5" xfId="26379"/>
    <cellStyle name="Процентный 6 175 5" xfId="26380"/>
    <cellStyle name="Обычный 7 145 5" xfId="26381"/>
    <cellStyle name="Процентный 7 145 5" xfId="26382"/>
    <cellStyle name="Обычный 4 3 137 5" xfId="26383"/>
    <cellStyle name="Процентный 4 3 137 5" xfId="26384"/>
    <cellStyle name="Обычный 5 3 137 5" xfId="26385"/>
    <cellStyle name="Процентный 5 3 137 5" xfId="26386"/>
    <cellStyle name="Обычный 4 2 2 137 5" xfId="26387"/>
    <cellStyle name="Процентный 4 2 2 137 5" xfId="26388"/>
    <cellStyle name="Обычный 5 2 2 137 5" xfId="26389"/>
    <cellStyle name="Процентный 5 2 2 137 5" xfId="26390"/>
    <cellStyle name="Обычный 6 2 137 5" xfId="26391"/>
    <cellStyle name="Процентный 6 2 137 5" xfId="26392"/>
    <cellStyle name="Обычный 7 2 137 5" xfId="26393"/>
    <cellStyle name="Процентный 7 2 137 5" xfId="26394"/>
    <cellStyle name="Обычный 8 133 5" xfId="26395"/>
    <cellStyle name="Процентный 8 133 5" xfId="26396"/>
    <cellStyle name="Обычный 9 99 5" xfId="26397"/>
    <cellStyle name="Процентный 9 100 5" xfId="26398"/>
    <cellStyle name="Обычный 10 92 5" xfId="26399"/>
    <cellStyle name="Процентный 10 92 5" xfId="26400"/>
    <cellStyle name="Обычный 11 80 5" xfId="26401"/>
    <cellStyle name="Процентный 11 80 5" xfId="26402"/>
    <cellStyle name="Обычный 4 192 5" xfId="26403"/>
    <cellStyle name="Процентный 4 192 5" xfId="26404"/>
    <cellStyle name="Обычный 5 185 5" xfId="26405"/>
    <cellStyle name="Процентный 5 185 5" xfId="26406"/>
    <cellStyle name="Обычный 4 2 179 5" xfId="26407"/>
    <cellStyle name="Процентный 4 2 179 5" xfId="26408"/>
    <cellStyle name="Обычный 5 2 179 5" xfId="26409"/>
    <cellStyle name="Процентный 5 2 179 5" xfId="26410"/>
    <cellStyle name="Обычный 6 176 5" xfId="26411"/>
    <cellStyle name="Процентный 6 176 5" xfId="26412"/>
    <cellStyle name="Обычный 7 146 5" xfId="26413"/>
    <cellStyle name="Процентный 7 146 5" xfId="26414"/>
    <cellStyle name="Обычный 4 3 138 5" xfId="26415"/>
    <cellStyle name="Процентный 4 3 138 5" xfId="26416"/>
    <cellStyle name="Обычный 5 3 138 5" xfId="26417"/>
    <cellStyle name="Процентный 5 3 138 5" xfId="26418"/>
    <cellStyle name="Обычный 4 2 2 138 5" xfId="26419"/>
    <cellStyle name="Процентный 4 2 2 138 5" xfId="26420"/>
    <cellStyle name="Обычный 5 2 2 138 5" xfId="26421"/>
    <cellStyle name="Процентный 5 2 2 138 5" xfId="26422"/>
    <cellStyle name="Обычный 6 2 138 5" xfId="26423"/>
    <cellStyle name="Процентный 6 2 138 5" xfId="26424"/>
    <cellStyle name="Обычный 7 2 138 5" xfId="26425"/>
    <cellStyle name="Процентный 7 2 138 5" xfId="26426"/>
    <cellStyle name="Обычный 8 134 5" xfId="26427"/>
    <cellStyle name="Процентный 8 134 5" xfId="26428"/>
    <cellStyle name="Обычный 9 100 5" xfId="26429"/>
    <cellStyle name="Процентный 9 101 5" xfId="26430"/>
    <cellStyle name="Обычный 10 93 5" xfId="26431"/>
    <cellStyle name="Процентный 10 93 5" xfId="26432"/>
    <cellStyle name="Обычный 11 81 5" xfId="26433"/>
    <cellStyle name="Процентный 11 81 5" xfId="26434"/>
    <cellStyle name="Обычный 4 193 5" xfId="26435"/>
    <cellStyle name="Процентный 4 193 5" xfId="26436"/>
    <cellStyle name="Обычный 5 186 5" xfId="26437"/>
    <cellStyle name="Процентный 5 186 5" xfId="26438"/>
    <cellStyle name="Обычный 4 2 180 5" xfId="26439"/>
    <cellStyle name="Процентный 4 2 180 5" xfId="26440"/>
    <cellStyle name="Обычный 5 2 180 5" xfId="26441"/>
    <cellStyle name="Процентный 5 2 180 5" xfId="26442"/>
    <cellStyle name="Обычный 6 177 5" xfId="26443"/>
    <cellStyle name="Процентный 6 177 5" xfId="26444"/>
    <cellStyle name="Обычный 7 147 5" xfId="26445"/>
    <cellStyle name="Процентный 7 147 5" xfId="26446"/>
    <cellStyle name="Обычный 4 3 139 5" xfId="26447"/>
    <cellStyle name="Процентный 4 3 139 5" xfId="26448"/>
    <cellStyle name="Обычный 5 3 139 5" xfId="26449"/>
    <cellStyle name="Процентный 5 3 139 5" xfId="26450"/>
    <cellStyle name="Обычный 4 2 2 139 5" xfId="26451"/>
    <cellStyle name="Процентный 4 2 2 139 5" xfId="26452"/>
    <cellStyle name="Обычный 5 2 2 139 5" xfId="26453"/>
    <cellStyle name="Процентный 5 2 2 139 5" xfId="26454"/>
    <cellStyle name="Обычный 6 2 139 5" xfId="26455"/>
    <cellStyle name="Процентный 6 2 139 5" xfId="26456"/>
    <cellStyle name="Обычный 7 2 139 5" xfId="26457"/>
    <cellStyle name="Процентный 7 2 139 5" xfId="26458"/>
    <cellStyle name="Обычный 8 135 5" xfId="26459"/>
    <cellStyle name="Процентный 8 135 5" xfId="26460"/>
    <cellStyle name="Обычный 9 101 5" xfId="26461"/>
    <cellStyle name="Процентный 9 102 5" xfId="26462"/>
    <cellStyle name="Обычный 10 94 5" xfId="26463"/>
    <cellStyle name="Процентный 10 94 5" xfId="26464"/>
    <cellStyle name="Обычный 11 82 5" xfId="26465"/>
    <cellStyle name="Процентный 11 82 5" xfId="26466"/>
    <cellStyle name="Обычный 4 194 5" xfId="26467"/>
    <cellStyle name="Процентный 4 194 5" xfId="26468"/>
    <cellStyle name="Обычный 5 187 5" xfId="26469"/>
    <cellStyle name="Процентный 5 187 5" xfId="26470"/>
    <cellStyle name="Обычный 4 2 181 5" xfId="26471"/>
    <cellStyle name="Процентный 4 2 181 5" xfId="26472"/>
    <cellStyle name="Обычный 5 2 181 5" xfId="26473"/>
    <cellStyle name="Процентный 5 2 181 5" xfId="26474"/>
    <cellStyle name="Обычный 6 178 5" xfId="26475"/>
    <cellStyle name="Процентный 6 178 5" xfId="26476"/>
    <cellStyle name="Обычный 7 148 5" xfId="26477"/>
    <cellStyle name="Процентный 7 148 5" xfId="26478"/>
    <cellStyle name="Обычный 4 3 140 5" xfId="26479"/>
    <cellStyle name="Процентный 4 3 140 5" xfId="26480"/>
    <cellStyle name="Обычный 5 3 140 5" xfId="26481"/>
    <cellStyle name="Процентный 5 3 140 5" xfId="26482"/>
    <cellStyle name="Обычный 4 2 2 140 5" xfId="26483"/>
    <cellStyle name="Процентный 4 2 2 140 5" xfId="26484"/>
    <cellStyle name="Обычный 5 2 2 140 5" xfId="26485"/>
    <cellStyle name="Процентный 5 2 2 140 5" xfId="26486"/>
    <cellStyle name="Обычный 6 2 140 5" xfId="26487"/>
    <cellStyle name="Процентный 6 2 140 5" xfId="26488"/>
    <cellStyle name="Обычный 7 2 140 5" xfId="26489"/>
    <cellStyle name="Процентный 7 2 140 5" xfId="26490"/>
    <cellStyle name="Обычный 8 136 5" xfId="26491"/>
    <cellStyle name="Процентный 8 136 5" xfId="26492"/>
    <cellStyle name="Обычный 9 102 5" xfId="26493"/>
    <cellStyle name="Процентный 9 103 5" xfId="26494"/>
    <cellStyle name="Обычный 10 95 5" xfId="26495"/>
    <cellStyle name="Процентный 10 95 5" xfId="26496"/>
    <cellStyle name="Обычный 11 83 5" xfId="26497"/>
    <cellStyle name="Процентный 11 83 5" xfId="26498"/>
    <cellStyle name="Обычный 4 195 5" xfId="26499"/>
    <cellStyle name="Процентный 4 195 5" xfId="26500"/>
    <cellStyle name="Обычный 5 188 5" xfId="26501"/>
    <cellStyle name="Процентный 5 188 5" xfId="26502"/>
    <cellStyle name="Обычный 4 2 182 5" xfId="26503"/>
    <cellStyle name="Процентный 4 2 182 5" xfId="26504"/>
    <cellStyle name="Обычный 5 2 182 5" xfId="26505"/>
    <cellStyle name="Процентный 5 2 182 5" xfId="26506"/>
    <cellStyle name="Обычный 6 179 5" xfId="26507"/>
    <cellStyle name="Процентный 6 179 5" xfId="26508"/>
    <cellStyle name="Обычный 7 149 5" xfId="26509"/>
    <cellStyle name="Процентный 7 149 5" xfId="26510"/>
    <cellStyle name="Обычный 4 3 141 5" xfId="26511"/>
    <cellStyle name="Процентный 4 3 141 5" xfId="26512"/>
    <cellStyle name="Обычный 5 3 141 5" xfId="26513"/>
    <cellStyle name="Процентный 5 3 141 5" xfId="26514"/>
    <cellStyle name="Обычный 4 2 2 141 5" xfId="26515"/>
    <cellStyle name="Процентный 4 2 2 141 5" xfId="26516"/>
    <cellStyle name="Обычный 5 2 2 141 5" xfId="26517"/>
    <cellStyle name="Процентный 5 2 2 141 5" xfId="26518"/>
    <cellStyle name="Обычный 6 2 141 5" xfId="26519"/>
    <cellStyle name="Процентный 6 2 141 5" xfId="26520"/>
    <cellStyle name="Обычный 7 2 141 5" xfId="26521"/>
    <cellStyle name="Процентный 7 2 141 5" xfId="26522"/>
    <cellStyle name="Обычный 8 137 5" xfId="26523"/>
    <cellStyle name="Процентный 8 137 5" xfId="26524"/>
    <cellStyle name="Обычный 9 103 5" xfId="26525"/>
    <cellStyle name="Процентный 9 104 5" xfId="26526"/>
    <cellStyle name="Обычный 10 96 5" xfId="26527"/>
    <cellStyle name="Процентный 10 96 5" xfId="26528"/>
    <cellStyle name="Обычный 11 84 5" xfId="26529"/>
    <cellStyle name="Процентный 11 84 5" xfId="26530"/>
    <cellStyle name="Обычный 4 196 5" xfId="26531"/>
    <cellStyle name="Процентный 4 196 5" xfId="26532"/>
    <cellStyle name="Обычный 5 189 5" xfId="26533"/>
    <cellStyle name="Процентный 5 189 5" xfId="26534"/>
    <cellStyle name="Обычный 4 2 183 5" xfId="26535"/>
    <cellStyle name="Процентный 4 2 183 5" xfId="26536"/>
    <cellStyle name="Обычный 5 2 183 5" xfId="26537"/>
    <cellStyle name="Процентный 5 2 183 5" xfId="26538"/>
    <cellStyle name="Обычный 6 180 5" xfId="26539"/>
    <cellStyle name="Процентный 6 180 5" xfId="26540"/>
    <cellStyle name="Обычный 7 150 5" xfId="26541"/>
    <cellStyle name="Процентный 7 150 5" xfId="26542"/>
    <cellStyle name="Обычный 4 3 142 5" xfId="26543"/>
    <cellStyle name="Процентный 4 3 142 5" xfId="26544"/>
    <cellStyle name="Обычный 5 3 142 5" xfId="26545"/>
    <cellStyle name="Процентный 5 3 142 5" xfId="26546"/>
    <cellStyle name="Обычный 4 2 2 142 5" xfId="26547"/>
    <cellStyle name="Процентный 4 2 2 142 5" xfId="26548"/>
    <cellStyle name="Обычный 5 2 2 142 5" xfId="26549"/>
    <cellStyle name="Процентный 5 2 2 142 5" xfId="26550"/>
    <cellStyle name="Обычный 6 2 142 5" xfId="26551"/>
    <cellStyle name="Процентный 6 2 142 5" xfId="26552"/>
    <cellStyle name="Обычный 7 2 142 5" xfId="26553"/>
    <cellStyle name="Процентный 7 2 142 5" xfId="26554"/>
    <cellStyle name="Обычный 8 138 5" xfId="26555"/>
    <cellStyle name="Процентный 8 138 5" xfId="26556"/>
    <cellStyle name="Обычный 9 104 5" xfId="26557"/>
    <cellStyle name="Процентный 9 105 5" xfId="26558"/>
    <cellStyle name="Обычный 10 97 5" xfId="26559"/>
    <cellStyle name="Процентный 10 97 5" xfId="26560"/>
    <cellStyle name="Обычный 11 85 5" xfId="26561"/>
    <cellStyle name="Процентный 11 85 5" xfId="26562"/>
    <cellStyle name="Обычный 4 197 5" xfId="26563"/>
    <cellStyle name="Процентный 4 197 5" xfId="26564"/>
    <cellStyle name="Обычный 5 190 5" xfId="26565"/>
    <cellStyle name="Процентный 5 190 5" xfId="26566"/>
    <cellStyle name="Обычный 4 2 184 5" xfId="26567"/>
    <cellStyle name="Процентный 4 2 184 5" xfId="26568"/>
    <cellStyle name="Обычный 5 2 184 5" xfId="26569"/>
    <cellStyle name="Процентный 5 2 184 5" xfId="26570"/>
    <cellStyle name="Обычный 6 181 5" xfId="26571"/>
    <cellStyle name="Процентный 6 181 5" xfId="26572"/>
    <cellStyle name="Обычный 7 151 5" xfId="26573"/>
    <cellStyle name="Процентный 7 151 5" xfId="26574"/>
    <cellStyle name="Обычный 4 3 143 5" xfId="26575"/>
    <cellStyle name="Процентный 4 3 143 5" xfId="26576"/>
    <cellStyle name="Обычный 5 3 143 5" xfId="26577"/>
    <cellStyle name="Процентный 5 3 143 5" xfId="26578"/>
    <cellStyle name="Обычный 4 2 2 143 5" xfId="26579"/>
    <cellStyle name="Процентный 4 2 2 143 5" xfId="26580"/>
    <cellStyle name="Обычный 5 2 2 143 5" xfId="26581"/>
    <cellStyle name="Процентный 5 2 2 143 5" xfId="26582"/>
    <cellStyle name="Обычный 6 2 143 5" xfId="26583"/>
    <cellStyle name="Процентный 6 2 143 5" xfId="26584"/>
    <cellStyle name="Обычный 7 2 143 5" xfId="26585"/>
    <cellStyle name="Процентный 7 2 143 5" xfId="26586"/>
    <cellStyle name="Обычный 8 139 5" xfId="26587"/>
    <cellStyle name="Процентный 8 139 5" xfId="26588"/>
    <cellStyle name="Обычный 9 105 5" xfId="26589"/>
    <cellStyle name="Процентный 9 106 5" xfId="26590"/>
    <cellStyle name="Обычный 10 98 5" xfId="26591"/>
    <cellStyle name="Процентный 10 98 5" xfId="26592"/>
    <cellStyle name="Обычный 11 86 5" xfId="26593"/>
    <cellStyle name="Процентный 11 86 5" xfId="26594"/>
    <cellStyle name="Обычный 4 198 5" xfId="26595"/>
    <cellStyle name="Процентный 4 198 5" xfId="26596"/>
    <cellStyle name="Обычный 5 191 5" xfId="26597"/>
    <cellStyle name="Процентный 5 191 5" xfId="26598"/>
    <cellStyle name="Обычный 4 2 185 5" xfId="26599"/>
    <cellStyle name="Процентный 4 2 185 5" xfId="26600"/>
    <cellStyle name="Обычный 5 2 185 5" xfId="26601"/>
    <cellStyle name="Процентный 5 2 185 5" xfId="26602"/>
    <cellStyle name="Обычный 6 182 5" xfId="26603"/>
    <cellStyle name="Процентный 6 182 5" xfId="26604"/>
    <cellStyle name="Обычный 7 152 5" xfId="26605"/>
    <cellStyle name="Процентный 7 152 5" xfId="26606"/>
    <cellStyle name="Обычный 4 3 144 5" xfId="26607"/>
    <cellStyle name="Процентный 4 3 144 5" xfId="26608"/>
    <cellStyle name="Обычный 5 3 144 5" xfId="26609"/>
    <cellStyle name="Процентный 5 3 144 5" xfId="26610"/>
    <cellStyle name="Обычный 4 2 2 144 5" xfId="26611"/>
    <cellStyle name="Процентный 4 2 2 144 5" xfId="26612"/>
    <cellStyle name="Обычный 5 2 2 144 5" xfId="26613"/>
    <cellStyle name="Процентный 5 2 2 144 5" xfId="26614"/>
    <cellStyle name="Обычный 6 2 144 5" xfId="26615"/>
    <cellStyle name="Процентный 6 2 144 5" xfId="26616"/>
    <cellStyle name="Обычный 7 2 144 5" xfId="26617"/>
    <cellStyle name="Процентный 7 2 144 5" xfId="26618"/>
    <cellStyle name="Обычный 8 140 5" xfId="26619"/>
    <cellStyle name="Процентный 8 140 5" xfId="26620"/>
    <cellStyle name="Обычный 9 106 5" xfId="26621"/>
    <cellStyle name="Процентный 9 107 5" xfId="26622"/>
    <cellStyle name="Обычный 10 99 5" xfId="26623"/>
    <cellStyle name="Процентный 10 99 5" xfId="26624"/>
    <cellStyle name="Обычный 11 87 5" xfId="26625"/>
    <cellStyle name="Процентный 11 87 5" xfId="26626"/>
    <cellStyle name="Обычный 4 199 5" xfId="26627"/>
    <cellStyle name="Процентный 4 199 5" xfId="26628"/>
    <cellStyle name="Обычный 5 192 5" xfId="26629"/>
    <cellStyle name="Процентный 5 192 5" xfId="26630"/>
    <cellStyle name="Обычный 4 2 186 5" xfId="26631"/>
    <cellStyle name="Процентный 4 2 186 5" xfId="26632"/>
    <cellStyle name="Обычный 5 2 186 5" xfId="26633"/>
    <cellStyle name="Процентный 5 2 186 5" xfId="26634"/>
    <cellStyle name="Обычный 6 183 5" xfId="26635"/>
    <cellStyle name="Процентный 6 183 5" xfId="26636"/>
    <cellStyle name="Обычный 7 153 5" xfId="26637"/>
    <cellStyle name="Процентный 7 153 5" xfId="26638"/>
    <cellStyle name="Обычный 4 3 145 5" xfId="26639"/>
    <cellStyle name="Процентный 4 3 145 5" xfId="26640"/>
    <cellStyle name="Обычный 5 3 145 5" xfId="26641"/>
    <cellStyle name="Процентный 5 3 145 5" xfId="26642"/>
    <cellStyle name="Обычный 4 2 2 145 5" xfId="26643"/>
    <cellStyle name="Процентный 4 2 2 145 5" xfId="26644"/>
    <cellStyle name="Обычный 5 2 2 145 5" xfId="26645"/>
    <cellStyle name="Процентный 5 2 2 145 5" xfId="26646"/>
    <cellStyle name="Обычный 6 2 145 5" xfId="26647"/>
    <cellStyle name="Процентный 6 2 145 5" xfId="26648"/>
    <cellStyle name="Обычный 7 2 145 5" xfId="26649"/>
    <cellStyle name="Процентный 7 2 145 5" xfId="26650"/>
    <cellStyle name="Обычный 8 141 5" xfId="26651"/>
    <cellStyle name="Процентный 8 141 5" xfId="26652"/>
    <cellStyle name="Обычный 9 107 5" xfId="26653"/>
    <cellStyle name="Процентный 9 108 5" xfId="26654"/>
    <cellStyle name="Обычный 10 100 5" xfId="26655"/>
    <cellStyle name="Процентный 10 100 5" xfId="26656"/>
    <cellStyle name="Обычный 11 88 5" xfId="26657"/>
    <cellStyle name="Процентный 11 88 5" xfId="26658"/>
    <cellStyle name="Обычный 4 200 5" xfId="26659"/>
    <cellStyle name="Процентный 4 200 5" xfId="26660"/>
    <cellStyle name="Обычный 5 193 5" xfId="26661"/>
    <cellStyle name="Процентный 5 193 5" xfId="26662"/>
    <cellStyle name="Обычный 4 2 187 5" xfId="26663"/>
    <cellStyle name="Процентный 4 2 187 5" xfId="26664"/>
    <cellStyle name="Обычный 5 2 187 5" xfId="26665"/>
    <cellStyle name="Процентный 5 2 187 5" xfId="26666"/>
    <cellStyle name="Обычный 6 184 5" xfId="26667"/>
    <cellStyle name="Процентный 6 184 5" xfId="26668"/>
    <cellStyle name="Обычный 7 154 5" xfId="26669"/>
    <cellStyle name="Процентный 7 154 5" xfId="26670"/>
    <cellStyle name="Обычный 4 3 146 5" xfId="26671"/>
    <cellStyle name="Процентный 4 3 146 5" xfId="26672"/>
    <cellStyle name="Обычный 5 3 146 5" xfId="26673"/>
    <cellStyle name="Процентный 5 3 146 5" xfId="26674"/>
    <cellStyle name="Обычный 4 2 2 146 5" xfId="26675"/>
    <cellStyle name="Процентный 4 2 2 146 5" xfId="26676"/>
    <cellStyle name="Обычный 5 2 2 146 5" xfId="26677"/>
    <cellStyle name="Процентный 5 2 2 146 5" xfId="26678"/>
    <cellStyle name="Обычный 6 2 146 5" xfId="26679"/>
    <cellStyle name="Процентный 6 2 146 5" xfId="26680"/>
    <cellStyle name="Обычный 7 2 146 5" xfId="26681"/>
    <cellStyle name="Процентный 7 2 146 5" xfId="26682"/>
    <cellStyle name="Обычный 8 142 5" xfId="26683"/>
    <cellStyle name="Процентный 8 142 5" xfId="26684"/>
    <cellStyle name="Обычный 9 108 5" xfId="26685"/>
    <cellStyle name="Процентный 9 109 5" xfId="26686"/>
    <cellStyle name="Обычный 10 101 5" xfId="26687"/>
    <cellStyle name="Процентный 10 101 5" xfId="26688"/>
    <cellStyle name="Обычный 11 89 5" xfId="26689"/>
    <cellStyle name="Процентный 11 89 5" xfId="26690"/>
    <cellStyle name="Обычный 4 201 5" xfId="26691"/>
    <cellStyle name="Процентный 4 201 5" xfId="26692"/>
    <cellStyle name="Обычный 5 194 5" xfId="26693"/>
    <cellStyle name="Процентный 5 194 5" xfId="26694"/>
    <cellStyle name="Обычный 4 2 188 5" xfId="26695"/>
    <cellStyle name="Процентный 4 2 188 5" xfId="26696"/>
    <cellStyle name="Обычный 5 2 188 5" xfId="26697"/>
    <cellStyle name="Процентный 5 2 188 5" xfId="26698"/>
    <cellStyle name="Обычный 6 185 5" xfId="26699"/>
    <cellStyle name="Процентный 6 185 5" xfId="26700"/>
    <cellStyle name="Обычный 7 155 5" xfId="26701"/>
    <cellStyle name="Процентный 7 155 5" xfId="26702"/>
    <cellStyle name="Обычный 4 3 147 5" xfId="26703"/>
    <cellStyle name="Процентный 4 3 147 5" xfId="26704"/>
    <cellStyle name="Обычный 5 3 147 5" xfId="26705"/>
    <cellStyle name="Процентный 5 3 147 5" xfId="26706"/>
    <cellStyle name="Обычный 4 2 2 147 5" xfId="26707"/>
    <cellStyle name="Процентный 4 2 2 147 5" xfId="26708"/>
    <cellStyle name="Обычный 5 2 2 147 5" xfId="26709"/>
    <cellStyle name="Процентный 5 2 2 147 5" xfId="26710"/>
    <cellStyle name="Обычный 6 2 147 5" xfId="26711"/>
    <cellStyle name="Процентный 6 2 147 5" xfId="26712"/>
    <cellStyle name="Обычный 7 2 147 5" xfId="26713"/>
    <cellStyle name="Процентный 7 2 147 5" xfId="26714"/>
    <cellStyle name="Обычный 8 143 5" xfId="26715"/>
    <cellStyle name="Процентный 8 143 5" xfId="26716"/>
    <cellStyle name="Обычный 9 109 5" xfId="26717"/>
    <cellStyle name="Процентный 9 110 5" xfId="26718"/>
    <cellStyle name="Обычный 10 102 5" xfId="26719"/>
    <cellStyle name="Процентный 10 102 5" xfId="26720"/>
    <cellStyle name="Обычный 11 90 5" xfId="26721"/>
    <cellStyle name="Процентный 11 90 5" xfId="26722"/>
    <cellStyle name="Обычный 4 202 5" xfId="26723"/>
    <cellStyle name="Процентный 4 202 5" xfId="26724"/>
    <cellStyle name="Обычный 5 195 5" xfId="26725"/>
    <cellStyle name="Процентный 5 195 5" xfId="26726"/>
    <cellStyle name="Обычный 4 2 189 5" xfId="26727"/>
    <cellStyle name="Процентный 4 2 189 5" xfId="26728"/>
    <cellStyle name="Обычный 5 2 189 5" xfId="26729"/>
    <cellStyle name="Процентный 5 2 189 5" xfId="26730"/>
    <cellStyle name="Обычный 6 186 5" xfId="26731"/>
    <cellStyle name="Процентный 6 186 5" xfId="26732"/>
    <cellStyle name="Обычный 7 156 5" xfId="26733"/>
    <cellStyle name="Процентный 7 156 5" xfId="26734"/>
    <cellStyle name="Обычный 4 3 148 5" xfId="26735"/>
    <cellStyle name="Процентный 4 3 148 5" xfId="26736"/>
    <cellStyle name="Обычный 5 3 148 5" xfId="26737"/>
    <cellStyle name="Процентный 5 3 148 5" xfId="26738"/>
    <cellStyle name="Обычный 4 2 2 148 5" xfId="26739"/>
    <cellStyle name="Процентный 4 2 2 148 5" xfId="26740"/>
    <cellStyle name="Обычный 5 2 2 148 5" xfId="26741"/>
    <cellStyle name="Процентный 5 2 2 148 5" xfId="26742"/>
    <cellStyle name="Обычный 6 2 148 5" xfId="26743"/>
    <cellStyle name="Процентный 6 2 148 5" xfId="26744"/>
    <cellStyle name="Обычный 7 2 148 5" xfId="26745"/>
    <cellStyle name="Процентный 7 2 148 5" xfId="26746"/>
    <cellStyle name="Обычный 8 144 5" xfId="26747"/>
    <cellStyle name="Процентный 8 144 5" xfId="26748"/>
    <cellStyle name="Обычный 9 110 5" xfId="26749"/>
    <cellStyle name="Процентный 9 111 5" xfId="26750"/>
    <cellStyle name="Обычный 10 103 5" xfId="26751"/>
    <cellStyle name="Процентный 10 103 5" xfId="26752"/>
    <cellStyle name="Обычный 11 91 5" xfId="26753"/>
    <cellStyle name="Процентный 11 91 5" xfId="26754"/>
    <cellStyle name="Обычный 3 8" xfId="26755"/>
    <cellStyle name="Обычный 4 207" xfId="26756"/>
    <cellStyle name="Процентный 4 207" xfId="26757"/>
    <cellStyle name="Обычный 4 2 194" xfId="26758"/>
    <cellStyle name="Процентный 4 2 194" xfId="26759"/>
    <cellStyle name="Обычный 4 3 153" xfId="26760"/>
    <cellStyle name="Процентный 4 3 153" xfId="26761"/>
    <cellStyle name="Обычный 5 200" xfId="26762"/>
    <cellStyle name="Процентный 5 200" xfId="26763"/>
    <cellStyle name="Обычный 4 4 7" xfId="26764"/>
    <cellStyle name="Процентный 4 4 7" xfId="26765"/>
    <cellStyle name="Обычный 4 5 7" xfId="26766"/>
    <cellStyle name="Процентный 4 5 7" xfId="26767"/>
    <cellStyle name="Обычный 4 6 7" xfId="26768"/>
    <cellStyle name="Процентный 4 6 7" xfId="26769"/>
    <cellStyle name="Обычный 4 7 7" xfId="26770"/>
    <cellStyle name="Процентный 4 7 7" xfId="26771"/>
    <cellStyle name="Обычный 4 8 7" xfId="26772"/>
    <cellStyle name="Процентный 4 8 7" xfId="26773"/>
    <cellStyle name="Обычный 4 9 7" xfId="26774"/>
    <cellStyle name="Процентный 4 9 7" xfId="26775"/>
    <cellStyle name="Обычный 5 2 194" xfId="26776"/>
    <cellStyle name="Процентный 5 2 194" xfId="26777"/>
    <cellStyle name="Обычный 4 10 7" xfId="26778"/>
    <cellStyle name="Процентный 4 10 7" xfId="26779"/>
    <cellStyle name="Обычный 5 3 153" xfId="26780"/>
    <cellStyle name="Процентный 5 3 153" xfId="26781"/>
    <cellStyle name="Обычный 4 11 7" xfId="26782"/>
    <cellStyle name="Процентный 4 11 7" xfId="26783"/>
    <cellStyle name="Обычный 5 4 7" xfId="26784"/>
    <cellStyle name="Процентный 5 4 7" xfId="26785"/>
    <cellStyle name="Обычный 4 12 7" xfId="26786"/>
    <cellStyle name="Процентный 4 12 7" xfId="26787"/>
    <cellStyle name="Обычный 5 5 7" xfId="26788"/>
    <cellStyle name="Процентный 5 5 7" xfId="26789"/>
    <cellStyle name="Обычный 4 13 7" xfId="26790"/>
    <cellStyle name="Процентный 4 13 7" xfId="26791"/>
    <cellStyle name="Обычный 5 6 7" xfId="26792"/>
    <cellStyle name="Процентный 5 6 7" xfId="26793"/>
    <cellStyle name="Обычный 4 14 7" xfId="26794"/>
    <cellStyle name="Процентный 4 14 7" xfId="26795"/>
    <cellStyle name="Обычный 5 7 7" xfId="26796"/>
    <cellStyle name="Процентный 5 7 7" xfId="26797"/>
    <cellStyle name="Обычный 4 15 7" xfId="26798"/>
    <cellStyle name="Процентный 4 15 7" xfId="26799"/>
    <cellStyle name="Обычный 5 8 7" xfId="26800"/>
    <cellStyle name="Процентный 5 8 7" xfId="26801"/>
    <cellStyle name="Обычный 4 2 2 153" xfId="26802"/>
    <cellStyle name="Процентный 4 2 2 153" xfId="26803"/>
    <cellStyle name="Обычный 5 2 2 153" xfId="26804"/>
    <cellStyle name="Процентный 5 2 2 153" xfId="26805"/>
    <cellStyle name="Обычный 4 16 7" xfId="26806"/>
    <cellStyle name="Процентный 4 16 7" xfId="26807"/>
    <cellStyle name="Обычный 5 9 7" xfId="26808"/>
    <cellStyle name="Процентный 5 9 7" xfId="26809"/>
    <cellStyle name="Обычный 4 2 3 7" xfId="26810"/>
    <cellStyle name="Процентный 4 2 3 7" xfId="26811"/>
    <cellStyle name="Обычный 5 2 3 7" xfId="26812"/>
    <cellStyle name="Процентный 5 2 3 7" xfId="26813"/>
    <cellStyle name="Обычный 4 17 7" xfId="26814"/>
    <cellStyle name="Процентный 4 17 7" xfId="26815"/>
    <cellStyle name="Обычный 5 10 7" xfId="26816"/>
    <cellStyle name="Процентный 5 10 7" xfId="26817"/>
    <cellStyle name="Обычный 4 2 4 7" xfId="26818"/>
    <cellStyle name="Процентный 4 2 4 7" xfId="26819"/>
    <cellStyle name="Обычный 5 2 4 7" xfId="26820"/>
    <cellStyle name="Процентный 5 2 4 7" xfId="26821"/>
    <cellStyle name="Обычный 6 191" xfId="26822"/>
    <cellStyle name="Процентный 6 191" xfId="26823"/>
    <cellStyle name="Обычный 4 18 7" xfId="26824"/>
    <cellStyle name="Процентный 4 18 7" xfId="26825"/>
    <cellStyle name="Обычный 5 11 7" xfId="26826"/>
    <cellStyle name="Процентный 5 11 7" xfId="26827"/>
    <cellStyle name="Обычный 4 2 5 7" xfId="26828"/>
    <cellStyle name="Процентный 4 2 5 7" xfId="26829"/>
    <cellStyle name="Обычный 5 2 5 7" xfId="26830"/>
    <cellStyle name="Процентный 5 2 5 7" xfId="26831"/>
    <cellStyle name="Обычный 6 2 153" xfId="26832"/>
    <cellStyle name="Процентный 6 2 153" xfId="26833"/>
    <cellStyle name="Обычный 4 19 7" xfId="26834"/>
    <cellStyle name="Процентный 4 19 7" xfId="26835"/>
    <cellStyle name="Обычный 5 12 7" xfId="26836"/>
    <cellStyle name="Процентный 5 12 7" xfId="26837"/>
    <cellStyle name="Обычный 4 2 6 7" xfId="26838"/>
    <cellStyle name="Процентный 4 2 6 7" xfId="26839"/>
    <cellStyle name="Обычный 5 2 6 7" xfId="26840"/>
    <cellStyle name="Процентный 5 2 6 7" xfId="26841"/>
    <cellStyle name="Обычный 6 3 7" xfId="26842"/>
    <cellStyle name="Процентный 6 3 7" xfId="26843"/>
    <cellStyle name="Обычный 4 20 7" xfId="26844"/>
    <cellStyle name="Процентный 4 20 7" xfId="26845"/>
    <cellStyle name="Обычный 5 13 7" xfId="26846"/>
    <cellStyle name="Процентный 5 13 7" xfId="26847"/>
    <cellStyle name="Обычный 4 2 7 7" xfId="26848"/>
    <cellStyle name="Процентный 4 2 7 7" xfId="26849"/>
    <cellStyle name="Обычный 5 2 7 7" xfId="26850"/>
    <cellStyle name="Процентный 5 2 7 7" xfId="26851"/>
    <cellStyle name="Обычный 6 4 7" xfId="26852"/>
    <cellStyle name="Процентный 6 4 7" xfId="26853"/>
    <cellStyle name="Обычный 4 21 7" xfId="26854"/>
    <cellStyle name="Процентный 4 21 7" xfId="26855"/>
    <cellStyle name="Обычный 5 14 7" xfId="26856"/>
    <cellStyle name="Процентный 5 14 7" xfId="26857"/>
    <cellStyle name="Обычный 4 2 8 7" xfId="26858"/>
    <cellStyle name="Процентный 4 2 8 7" xfId="26859"/>
    <cellStyle name="Обычный 5 2 8 7" xfId="26860"/>
    <cellStyle name="Процентный 5 2 8 7" xfId="26861"/>
    <cellStyle name="Обычный 6 5 7" xfId="26862"/>
    <cellStyle name="Процентный 6 5 7" xfId="26863"/>
    <cellStyle name="Обычный 4 22 7" xfId="26864"/>
    <cellStyle name="Процентный 4 22 7" xfId="26865"/>
    <cellStyle name="Обычный 5 15 7" xfId="26866"/>
    <cellStyle name="Процентный 5 15 7" xfId="26867"/>
    <cellStyle name="Обычный 4 2 9 7" xfId="26868"/>
    <cellStyle name="Процентный 4 2 9 7" xfId="26869"/>
    <cellStyle name="Обычный 5 2 9 7" xfId="26870"/>
    <cellStyle name="Процентный 5 2 9 7" xfId="26871"/>
    <cellStyle name="Обычный 6 6 7" xfId="26872"/>
    <cellStyle name="Процентный 6 6 7" xfId="26873"/>
    <cellStyle name="Обычный 4 23 7" xfId="26874"/>
    <cellStyle name="Процентный 4 23 7" xfId="26875"/>
    <cellStyle name="Обычный 5 16 7" xfId="26876"/>
    <cellStyle name="Процентный 5 16 7" xfId="26877"/>
    <cellStyle name="Обычный 4 2 10 7" xfId="26878"/>
    <cellStyle name="Процентный 4 2 10 7" xfId="26879"/>
    <cellStyle name="Обычный 5 2 10 7" xfId="26880"/>
    <cellStyle name="Процентный 5 2 10 7" xfId="26881"/>
    <cellStyle name="Обычный 6 7 7" xfId="26882"/>
    <cellStyle name="Процентный 6 7 7" xfId="26883"/>
    <cellStyle name="Обычный 4 24 7" xfId="26884"/>
    <cellStyle name="Процентный 4 24 7" xfId="26885"/>
    <cellStyle name="Обычный 5 17 7" xfId="26886"/>
    <cellStyle name="Процентный 5 17 7" xfId="26887"/>
    <cellStyle name="Обычный 4 2 11 7" xfId="26888"/>
    <cellStyle name="Процентный 4 2 11 7" xfId="26889"/>
    <cellStyle name="Обычный 5 2 11 7" xfId="26890"/>
    <cellStyle name="Процентный 5 2 11 7" xfId="26891"/>
    <cellStyle name="Обычный 6 8 7" xfId="26892"/>
    <cellStyle name="Процентный 6 8 7" xfId="26893"/>
    <cellStyle name="Обычный 4 25 7" xfId="26894"/>
    <cellStyle name="Процентный 4 25 7" xfId="26895"/>
    <cellStyle name="Обычный 5 18 7" xfId="26896"/>
    <cellStyle name="Процентный 5 18 7" xfId="26897"/>
    <cellStyle name="Обычный 4 2 12 7" xfId="26898"/>
    <cellStyle name="Процентный 4 2 12 7" xfId="26899"/>
    <cellStyle name="Обычный 5 2 12 7" xfId="26900"/>
    <cellStyle name="Процентный 5 2 12 7" xfId="26901"/>
    <cellStyle name="Обычный 6 9 7" xfId="26902"/>
    <cellStyle name="Процентный 6 9 7" xfId="26903"/>
    <cellStyle name="Обычный 4 26 7" xfId="26904"/>
    <cellStyle name="Процентный 4 26 7" xfId="26905"/>
    <cellStyle name="Обычный 5 19 7" xfId="26906"/>
    <cellStyle name="Процентный 5 19 7" xfId="26907"/>
    <cellStyle name="Обычный 4 2 13 7" xfId="26908"/>
    <cellStyle name="Процентный 4 2 13 7" xfId="26909"/>
    <cellStyle name="Обычный 5 2 13 7" xfId="26910"/>
    <cellStyle name="Процентный 5 2 13 7" xfId="26911"/>
    <cellStyle name="Обычный 6 10 7" xfId="26912"/>
    <cellStyle name="Процентный 6 10 7" xfId="26913"/>
    <cellStyle name="Обычный 4 27 7" xfId="26914"/>
    <cellStyle name="Процентный 4 27 7" xfId="26915"/>
    <cellStyle name="Обычный 5 20 7" xfId="26916"/>
    <cellStyle name="Процентный 5 20 7" xfId="26917"/>
    <cellStyle name="Обычный 4 2 14 7" xfId="26918"/>
    <cellStyle name="Процентный 4 2 14 7" xfId="26919"/>
    <cellStyle name="Обычный 5 2 14 7" xfId="26920"/>
    <cellStyle name="Процентный 5 2 14 7" xfId="26921"/>
    <cellStyle name="Обычный 6 11 7" xfId="26922"/>
    <cellStyle name="Процентный 6 11 7" xfId="26923"/>
    <cellStyle name="Обычный 4 28 7" xfId="26924"/>
    <cellStyle name="Процентный 4 28 7" xfId="26925"/>
    <cellStyle name="Обычный 5 21 7" xfId="26926"/>
    <cellStyle name="Процентный 5 21 7" xfId="26927"/>
    <cellStyle name="Обычный 4 2 15 7" xfId="26928"/>
    <cellStyle name="Процентный 4 2 15 7" xfId="26929"/>
    <cellStyle name="Обычный 5 2 15 7" xfId="26930"/>
    <cellStyle name="Процентный 5 2 15 7" xfId="26931"/>
    <cellStyle name="Обычный 6 12 7" xfId="26932"/>
    <cellStyle name="Процентный 6 12 7" xfId="26933"/>
    <cellStyle name="Обычный 4 29 7" xfId="26934"/>
    <cellStyle name="Процентный 4 29 7" xfId="26935"/>
    <cellStyle name="Обычный 5 22 7" xfId="26936"/>
    <cellStyle name="Процентный 5 22 7" xfId="26937"/>
    <cellStyle name="Обычный 4 2 16 7" xfId="26938"/>
    <cellStyle name="Процентный 4 2 16 7" xfId="26939"/>
    <cellStyle name="Обычный 5 2 16 7" xfId="26940"/>
    <cellStyle name="Процентный 5 2 16 7" xfId="26941"/>
    <cellStyle name="Обычный 6 13 7" xfId="26942"/>
    <cellStyle name="Процентный 6 13 7" xfId="26943"/>
    <cellStyle name="Обычный 4 30 7" xfId="26944"/>
    <cellStyle name="Процентный 4 30 7" xfId="26945"/>
    <cellStyle name="Обычный 5 23 7" xfId="26946"/>
    <cellStyle name="Процентный 5 23 7" xfId="26947"/>
    <cellStyle name="Обычный 4 2 17 7" xfId="26948"/>
    <cellStyle name="Процентный 4 2 17 7" xfId="26949"/>
    <cellStyle name="Обычный 5 2 17 7" xfId="26950"/>
    <cellStyle name="Процентный 5 2 17 7" xfId="26951"/>
    <cellStyle name="Обычный 6 14 7" xfId="26952"/>
    <cellStyle name="Процентный 6 14 7" xfId="26953"/>
    <cellStyle name="Обычный 4 31 7" xfId="26954"/>
    <cellStyle name="Процентный 4 31 7" xfId="26955"/>
    <cellStyle name="Обычный 5 24 7" xfId="26956"/>
    <cellStyle name="Процентный 5 24 7" xfId="26957"/>
    <cellStyle name="Обычный 4 2 18 7" xfId="26958"/>
    <cellStyle name="Процентный 4 2 18 7" xfId="26959"/>
    <cellStyle name="Обычный 5 2 18 7" xfId="26960"/>
    <cellStyle name="Процентный 5 2 18 7" xfId="26961"/>
    <cellStyle name="Обычный 6 15 7" xfId="26962"/>
    <cellStyle name="Процентный 6 15 7" xfId="26963"/>
    <cellStyle name="Обычный 4 32 7" xfId="26964"/>
    <cellStyle name="Процентный 4 32 7" xfId="26965"/>
    <cellStyle name="Обычный 5 25 7" xfId="26966"/>
    <cellStyle name="Процентный 5 25 7" xfId="26967"/>
    <cellStyle name="Обычный 4 2 19 7" xfId="26968"/>
    <cellStyle name="Процентный 4 2 19 7" xfId="26969"/>
    <cellStyle name="Обычный 5 2 19 7" xfId="26970"/>
    <cellStyle name="Процентный 5 2 19 7" xfId="26971"/>
    <cellStyle name="Обычный 6 16 7" xfId="26972"/>
    <cellStyle name="Процентный 6 16 7" xfId="26973"/>
    <cellStyle name="Обычный 4 33 7" xfId="26974"/>
    <cellStyle name="Процентный 4 33 7" xfId="26975"/>
    <cellStyle name="Обычный 5 26 7" xfId="26976"/>
    <cellStyle name="Процентный 5 26 7" xfId="26977"/>
    <cellStyle name="Обычный 4 2 20 7" xfId="26978"/>
    <cellStyle name="Процентный 4 2 20 7" xfId="26979"/>
    <cellStyle name="Обычный 5 2 20 7" xfId="26980"/>
    <cellStyle name="Процентный 5 2 20 7" xfId="26981"/>
    <cellStyle name="Обычный 6 17 7" xfId="26982"/>
    <cellStyle name="Процентный 6 17 7" xfId="26983"/>
    <cellStyle name="Обычный 4 34 7" xfId="26984"/>
    <cellStyle name="Процентный 4 34 7" xfId="26985"/>
    <cellStyle name="Обычный 5 27 7" xfId="26986"/>
    <cellStyle name="Процентный 5 27 7" xfId="26987"/>
    <cellStyle name="Обычный 4 2 21 7" xfId="26988"/>
    <cellStyle name="Процентный 4 2 21 7" xfId="26989"/>
    <cellStyle name="Обычный 5 2 21 7" xfId="26990"/>
    <cellStyle name="Процентный 5 2 21 7" xfId="26991"/>
    <cellStyle name="Обычный 6 18 7" xfId="26992"/>
    <cellStyle name="Процентный 6 18 7" xfId="26993"/>
    <cellStyle name="Обычный 4 35 7" xfId="26994"/>
    <cellStyle name="Процентный 4 35 7" xfId="26995"/>
    <cellStyle name="Обычный 5 28 7" xfId="26996"/>
    <cellStyle name="Процентный 5 28 7" xfId="26997"/>
    <cellStyle name="Обычный 4 2 22 7" xfId="26998"/>
    <cellStyle name="Процентный 4 2 22 7" xfId="26999"/>
    <cellStyle name="Обычный 5 2 22 7" xfId="27000"/>
    <cellStyle name="Процентный 5 2 22 7" xfId="27001"/>
    <cellStyle name="Обычный 6 19 7" xfId="27002"/>
    <cellStyle name="Процентный 6 19 7" xfId="27003"/>
    <cellStyle name="Обычный 4 36 7" xfId="27004"/>
    <cellStyle name="Процентный 4 36 7" xfId="27005"/>
    <cellStyle name="Обычный 5 29 7" xfId="27006"/>
    <cellStyle name="Процентный 5 29 7" xfId="27007"/>
    <cellStyle name="Обычный 4 2 23 7" xfId="27008"/>
    <cellStyle name="Процентный 4 2 23 7" xfId="27009"/>
    <cellStyle name="Обычный 5 2 23 7" xfId="27010"/>
    <cellStyle name="Процентный 5 2 23 7" xfId="27011"/>
    <cellStyle name="Обычный 6 20 7" xfId="27012"/>
    <cellStyle name="Процентный 6 20 7" xfId="27013"/>
    <cellStyle name="Обычный 4 37 7" xfId="27014"/>
    <cellStyle name="Процентный 4 37 7" xfId="27015"/>
    <cellStyle name="Обычный 5 30 7" xfId="27016"/>
    <cellStyle name="Процентный 5 30 7" xfId="27017"/>
    <cellStyle name="Обычный 4 2 24 7" xfId="27018"/>
    <cellStyle name="Процентный 4 2 24 7" xfId="27019"/>
    <cellStyle name="Обычный 5 2 24 7" xfId="27020"/>
    <cellStyle name="Процентный 5 2 24 7" xfId="27021"/>
    <cellStyle name="Обычный 6 21 7" xfId="27022"/>
    <cellStyle name="Процентный 6 21 7" xfId="27023"/>
    <cellStyle name="Обычный 4 38 7" xfId="27024"/>
    <cellStyle name="Процентный 4 38 7" xfId="27025"/>
    <cellStyle name="Обычный 5 31 7" xfId="27026"/>
    <cellStyle name="Процентный 5 31 7" xfId="27027"/>
    <cellStyle name="Обычный 4 2 25 7" xfId="27028"/>
    <cellStyle name="Процентный 4 2 25 7" xfId="27029"/>
    <cellStyle name="Обычный 5 2 25 7" xfId="27030"/>
    <cellStyle name="Процентный 5 2 25 7" xfId="27031"/>
    <cellStyle name="Обычный 6 22 7" xfId="27032"/>
    <cellStyle name="Процентный 6 22 7" xfId="27033"/>
    <cellStyle name="Обычный 4 39 7" xfId="27034"/>
    <cellStyle name="Процентный 4 39 7" xfId="27035"/>
    <cellStyle name="Обычный 5 32 7" xfId="27036"/>
    <cellStyle name="Процентный 5 32 7" xfId="27037"/>
    <cellStyle name="Обычный 4 2 26 7" xfId="27038"/>
    <cellStyle name="Процентный 4 2 26 7" xfId="27039"/>
    <cellStyle name="Обычный 5 2 26 7" xfId="27040"/>
    <cellStyle name="Процентный 5 2 26 7" xfId="27041"/>
    <cellStyle name="Обычный 6 23 7" xfId="27042"/>
    <cellStyle name="Процентный 6 23 7" xfId="27043"/>
    <cellStyle name="Обычный 4 40 7" xfId="27044"/>
    <cellStyle name="Процентный 4 40 7" xfId="27045"/>
    <cellStyle name="Обычный 5 33 7" xfId="27046"/>
    <cellStyle name="Процентный 5 33 7" xfId="27047"/>
    <cellStyle name="Обычный 4 2 27 7" xfId="27048"/>
    <cellStyle name="Процентный 4 2 27 7" xfId="27049"/>
    <cellStyle name="Обычный 5 2 27 7" xfId="27050"/>
    <cellStyle name="Процентный 5 2 27 7" xfId="27051"/>
    <cellStyle name="Обычный 6 24 7" xfId="27052"/>
    <cellStyle name="Процентный 6 24 7" xfId="27053"/>
    <cellStyle name="Обычный 4 41 7" xfId="27054"/>
    <cellStyle name="Процентный 4 41 7" xfId="27055"/>
    <cellStyle name="Обычный 5 34 7" xfId="27056"/>
    <cellStyle name="Процентный 5 34 7" xfId="27057"/>
    <cellStyle name="Обычный 4 2 28 7" xfId="27058"/>
    <cellStyle name="Процентный 4 2 28 7" xfId="27059"/>
    <cellStyle name="Обычный 5 2 28 7" xfId="27060"/>
    <cellStyle name="Процентный 5 2 28 7" xfId="27061"/>
    <cellStyle name="Обычный 6 25 7" xfId="27062"/>
    <cellStyle name="Процентный 6 25 7" xfId="27063"/>
    <cellStyle name="Обычный 4 42 7" xfId="27064"/>
    <cellStyle name="Процентный 4 42 7" xfId="27065"/>
    <cellStyle name="Обычный 5 35 7" xfId="27066"/>
    <cellStyle name="Процентный 5 35 7" xfId="27067"/>
    <cellStyle name="Обычный 4 2 29 7" xfId="27068"/>
    <cellStyle name="Процентный 4 2 29 7" xfId="27069"/>
    <cellStyle name="Обычный 5 2 29 7" xfId="27070"/>
    <cellStyle name="Процентный 5 2 29 7" xfId="27071"/>
    <cellStyle name="Обычный 6 26 7" xfId="27072"/>
    <cellStyle name="Процентный 6 26 7" xfId="27073"/>
    <cellStyle name="Обычный 4 43 7" xfId="27074"/>
    <cellStyle name="Процентный 4 43 7" xfId="27075"/>
    <cellStyle name="Обычный 5 36 7" xfId="27076"/>
    <cellStyle name="Процентный 5 36 7" xfId="27077"/>
    <cellStyle name="Обычный 4 2 30 7" xfId="27078"/>
    <cellStyle name="Процентный 4 2 30 7" xfId="27079"/>
    <cellStyle name="Обычный 5 2 30 7" xfId="27080"/>
    <cellStyle name="Процентный 5 2 30 7" xfId="27081"/>
    <cellStyle name="Обычный 6 27 7" xfId="27082"/>
    <cellStyle name="Процентный 6 27 7" xfId="27083"/>
    <cellStyle name="Обычный 4 44 7" xfId="27084"/>
    <cellStyle name="Процентный 4 44 7" xfId="27085"/>
    <cellStyle name="Обычный 5 37 7" xfId="27086"/>
    <cellStyle name="Процентный 5 37 7" xfId="27087"/>
    <cellStyle name="Обычный 4 2 31 7" xfId="27088"/>
    <cellStyle name="Процентный 4 2 31 7" xfId="27089"/>
    <cellStyle name="Обычный 5 2 31 7" xfId="27090"/>
    <cellStyle name="Процентный 5 2 31 7" xfId="27091"/>
    <cellStyle name="Обычный 6 28 7" xfId="27092"/>
    <cellStyle name="Процентный 6 28 7" xfId="27093"/>
    <cellStyle name="Обычный 4 45 7" xfId="27094"/>
    <cellStyle name="Процентный 4 45 7" xfId="27095"/>
    <cellStyle name="Обычный 5 38 7" xfId="27096"/>
    <cellStyle name="Процентный 5 38 7" xfId="27097"/>
    <cellStyle name="Обычный 4 2 32 7" xfId="27098"/>
    <cellStyle name="Процентный 4 2 32 7" xfId="27099"/>
    <cellStyle name="Обычный 5 2 32 7" xfId="27100"/>
    <cellStyle name="Процентный 5 2 32 7" xfId="27101"/>
    <cellStyle name="Обычный 6 29 7" xfId="27102"/>
    <cellStyle name="Процентный 6 29 7" xfId="27103"/>
    <cellStyle name="Обычный 4 46 7" xfId="27104"/>
    <cellStyle name="Процентный 4 46 7" xfId="27105"/>
    <cellStyle name="Обычный 5 39 7" xfId="27106"/>
    <cellStyle name="Процентный 5 39 7" xfId="27107"/>
    <cellStyle name="Обычный 4 2 33 7" xfId="27108"/>
    <cellStyle name="Процентный 4 2 33 7" xfId="27109"/>
    <cellStyle name="Обычный 5 2 33 7" xfId="27110"/>
    <cellStyle name="Процентный 5 2 33 7" xfId="27111"/>
    <cellStyle name="Обычный 6 30 7" xfId="27112"/>
    <cellStyle name="Процентный 6 30 7" xfId="27113"/>
    <cellStyle name="Обычный 4 47 7" xfId="27114"/>
    <cellStyle name="Процентный 4 47 7" xfId="27115"/>
    <cellStyle name="Обычный 5 40 7" xfId="27116"/>
    <cellStyle name="Процентный 5 40 7" xfId="27117"/>
    <cellStyle name="Обычный 4 2 34 7" xfId="27118"/>
    <cellStyle name="Процентный 4 2 34 7" xfId="27119"/>
    <cellStyle name="Обычный 5 2 34 7" xfId="27120"/>
    <cellStyle name="Процентный 5 2 34 7" xfId="27121"/>
    <cellStyle name="Обычный 6 31 7" xfId="27122"/>
    <cellStyle name="Процентный 6 31 7" xfId="27123"/>
    <cellStyle name="Обычный 7 161" xfId="27124"/>
    <cellStyle name="Процентный 7 161" xfId="27125"/>
    <cellStyle name="Обычный 4 48 7" xfId="27126"/>
    <cellStyle name="Процентный 4 48 7" xfId="27127"/>
    <cellStyle name="Обычный 5 41 7" xfId="27128"/>
    <cellStyle name="Процентный 5 41 7" xfId="27129"/>
    <cellStyle name="Обычный 4 2 35 7" xfId="27130"/>
    <cellStyle name="Процентный 4 2 35 7" xfId="27131"/>
    <cellStyle name="Обычный 5 2 35 7" xfId="27132"/>
    <cellStyle name="Процентный 5 2 35 7" xfId="27133"/>
    <cellStyle name="Обычный 6 32 7" xfId="27134"/>
    <cellStyle name="Процентный 6 32 7" xfId="27135"/>
    <cellStyle name="Обычный 7 2 153" xfId="27136"/>
    <cellStyle name="Процентный 7 2 153" xfId="27137"/>
    <cellStyle name="Обычный 4 49 7" xfId="27138"/>
    <cellStyle name="Процентный 4 49 7" xfId="27139"/>
    <cellStyle name="Обычный 5 42 7" xfId="27140"/>
    <cellStyle name="Процентный 5 42 7" xfId="27141"/>
    <cellStyle name="Обычный 4 2 36 7" xfId="27142"/>
    <cellStyle name="Процентный 4 2 36 7" xfId="27143"/>
    <cellStyle name="Обычный 5 2 36 7" xfId="27144"/>
    <cellStyle name="Процентный 5 2 36 7" xfId="27145"/>
    <cellStyle name="Обычный 6 33 7" xfId="27146"/>
    <cellStyle name="Процентный 6 33 7" xfId="27147"/>
    <cellStyle name="Обычный 7 3 7" xfId="27148"/>
    <cellStyle name="Процентный 7 3 7" xfId="27149"/>
    <cellStyle name="Обычный 4 50 7" xfId="27150"/>
    <cellStyle name="Процентный 4 50 7" xfId="27151"/>
    <cellStyle name="Обычный 5 43 7" xfId="27152"/>
    <cellStyle name="Процентный 5 43 7" xfId="27153"/>
    <cellStyle name="Обычный 4 2 37 7" xfId="27154"/>
    <cellStyle name="Процентный 4 2 37 7" xfId="27155"/>
    <cellStyle name="Обычный 5 2 37 7" xfId="27156"/>
    <cellStyle name="Процентный 5 2 37 7" xfId="27157"/>
    <cellStyle name="Обычный 6 34 7" xfId="27158"/>
    <cellStyle name="Процентный 6 34 7" xfId="27159"/>
    <cellStyle name="Обычный 7 4 7" xfId="27160"/>
    <cellStyle name="Процентный 7 4 7" xfId="27161"/>
    <cellStyle name="Обычный 4 51 7" xfId="27162"/>
    <cellStyle name="Процентный 4 51 7" xfId="27163"/>
    <cellStyle name="Обычный 5 44 7" xfId="27164"/>
    <cellStyle name="Процентный 5 44 7" xfId="27165"/>
    <cellStyle name="Обычный 4 2 38 7" xfId="27166"/>
    <cellStyle name="Процентный 4 2 38 7" xfId="27167"/>
    <cellStyle name="Обычный 5 2 38 7" xfId="27168"/>
    <cellStyle name="Процентный 5 2 38 7" xfId="27169"/>
    <cellStyle name="Обычный 6 35 7" xfId="27170"/>
    <cellStyle name="Процентный 6 35 7" xfId="27171"/>
    <cellStyle name="Обычный 7 5 7" xfId="27172"/>
    <cellStyle name="Процентный 7 5 7" xfId="27173"/>
    <cellStyle name="Обычный 4 52 7" xfId="27174"/>
    <cellStyle name="Процентный 4 52 7" xfId="27175"/>
    <cellStyle name="Обычный 5 45 7" xfId="27176"/>
    <cellStyle name="Процентный 5 45 7" xfId="27177"/>
    <cellStyle name="Обычный 4 2 39 7" xfId="27178"/>
    <cellStyle name="Процентный 4 2 39 7" xfId="27179"/>
    <cellStyle name="Обычный 5 2 39 7" xfId="27180"/>
    <cellStyle name="Процентный 5 2 39 7" xfId="27181"/>
    <cellStyle name="Обычный 6 36 7" xfId="27182"/>
    <cellStyle name="Процентный 6 36 7" xfId="27183"/>
    <cellStyle name="Обычный 7 6 7" xfId="27184"/>
    <cellStyle name="Процентный 7 6 7" xfId="27185"/>
    <cellStyle name="Обычный 4 53 7" xfId="27186"/>
    <cellStyle name="Процентный 4 53 7" xfId="27187"/>
    <cellStyle name="Обычный 5 46 7" xfId="27188"/>
    <cellStyle name="Процентный 5 46 7" xfId="27189"/>
    <cellStyle name="Обычный 4 2 40 7" xfId="27190"/>
    <cellStyle name="Процентный 4 2 40 7" xfId="27191"/>
    <cellStyle name="Обычный 5 2 40 7" xfId="27192"/>
    <cellStyle name="Процентный 5 2 40 7" xfId="27193"/>
    <cellStyle name="Обычный 6 37 7" xfId="27194"/>
    <cellStyle name="Процентный 6 37 7" xfId="27195"/>
    <cellStyle name="Обычный 7 7 7" xfId="27196"/>
    <cellStyle name="Процентный 7 7 7" xfId="27197"/>
    <cellStyle name="Обычный 4 54 7" xfId="27198"/>
    <cellStyle name="Процентный 4 54 7" xfId="27199"/>
    <cellStyle name="Обычный 5 47 7" xfId="27200"/>
    <cellStyle name="Процентный 5 47 7" xfId="27201"/>
    <cellStyle name="Обычный 4 2 41 7" xfId="27202"/>
    <cellStyle name="Процентный 4 2 41 7" xfId="27203"/>
    <cellStyle name="Обычный 5 2 41 7" xfId="27204"/>
    <cellStyle name="Процентный 5 2 41 7" xfId="27205"/>
    <cellStyle name="Обычный 6 38 7" xfId="27206"/>
    <cellStyle name="Процентный 6 38 7" xfId="27207"/>
    <cellStyle name="Обычный 7 8 7" xfId="27208"/>
    <cellStyle name="Процентный 7 8 7" xfId="27209"/>
    <cellStyle name="Обычный 4 55 7" xfId="27210"/>
    <cellStyle name="Процентный 4 55 7" xfId="27211"/>
    <cellStyle name="Обычный 5 48 7" xfId="27212"/>
    <cellStyle name="Процентный 5 48 7" xfId="27213"/>
    <cellStyle name="Обычный 4 2 42 7" xfId="27214"/>
    <cellStyle name="Процентный 4 2 42 7" xfId="27215"/>
    <cellStyle name="Обычный 5 2 42 7" xfId="27216"/>
    <cellStyle name="Процентный 5 2 42 7" xfId="27217"/>
    <cellStyle name="Обычный 6 39 7" xfId="27218"/>
    <cellStyle name="Процентный 6 39 7" xfId="27219"/>
    <cellStyle name="Обычный 7 9 7" xfId="27220"/>
    <cellStyle name="Процентный 7 9 7" xfId="27221"/>
    <cellStyle name="Обычный 3 3 6" xfId="27222"/>
    <cellStyle name="Обычный 4 56 6" xfId="27223"/>
    <cellStyle name="Процентный 4 56 6" xfId="27224"/>
    <cellStyle name="Обычный 4 2 43 6" xfId="27225"/>
    <cellStyle name="Процентный 4 2 43 6" xfId="27226"/>
    <cellStyle name="Обычный 4 3 2 6" xfId="27227"/>
    <cellStyle name="Процентный 4 3 2 6" xfId="27228"/>
    <cellStyle name="Обычный 5 49 6" xfId="27229"/>
    <cellStyle name="Процентный 5 49 6" xfId="27230"/>
    <cellStyle name="Обычный 4 4 2 6" xfId="27231"/>
    <cellStyle name="Процентный 4 4 2 6" xfId="27232"/>
    <cellStyle name="Обычный 4 5 2 6" xfId="27233"/>
    <cellStyle name="Процентный 4 5 2 6" xfId="27234"/>
    <cellStyle name="Обычный 4 6 2 6" xfId="27235"/>
    <cellStyle name="Процентный 4 6 2 6" xfId="27236"/>
    <cellStyle name="Обычный 4 7 2 6" xfId="27237"/>
    <cellStyle name="Процентный 4 7 2 6" xfId="27238"/>
    <cellStyle name="Обычный 4 8 2 6" xfId="27239"/>
    <cellStyle name="Процентный 4 8 2 6" xfId="27240"/>
    <cellStyle name="Обычный 4 9 2 6" xfId="27241"/>
    <cellStyle name="Процентный 4 9 2 6" xfId="27242"/>
    <cellStyle name="Обычный 5 2 43 6" xfId="27243"/>
    <cellStyle name="Процентный 5 2 43 6" xfId="27244"/>
    <cellStyle name="Обычный 4 10 2 6" xfId="27245"/>
    <cellStyle name="Процентный 4 10 2 6" xfId="27246"/>
    <cellStyle name="Обычный 5 3 2 6" xfId="27247"/>
    <cellStyle name="Процентный 5 3 2 6" xfId="27248"/>
    <cellStyle name="Обычный 4 11 2 6" xfId="27249"/>
    <cellStyle name="Процентный 4 11 2 6" xfId="27250"/>
    <cellStyle name="Обычный 5 4 2 6" xfId="27251"/>
    <cellStyle name="Процентный 5 4 2 6" xfId="27252"/>
    <cellStyle name="Обычный 4 12 2 6" xfId="27253"/>
    <cellStyle name="Процентный 4 12 2 6" xfId="27254"/>
    <cellStyle name="Обычный 5 5 2 6" xfId="27255"/>
    <cellStyle name="Процентный 5 5 2 6" xfId="27256"/>
    <cellStyle name="Обычный 4 13 2 6" xfId="27257"/>
    <cellStyle name="Процентный 4 13 2 6" xfId="27258"/>
    <cellStyle name="Обычный 5 6 2 6" xfId="27259"/>
    <cellStyle name="Процентный 5 6 2 6" xfId="27260"/>
    <cellStyle name="Обычный 4 14 2 6" xfId="27261"/>
    <cellStyle name="Процентный 4 14 2 6" xfId="27262"/>
    <cellStyle name="Обычный 5 7 2 6" xfId="27263"/>
    <cellStyle name="Процентный 5 7 2 6" xfId="27264"/>
    <cellStyle name="Обычный 4 15 2 6" xfId="27265"/>
    <cellStyle name="Процентный 4 15 2 6" xfId="27266"/>
    <cellStyle name="Обычный 5 8 2 6" xfId="27267"/>
    <cellStyle name="Процентный 5 8 2 6" xfId="27268"/>
    <cellStyle name="Обычный 4 2 2 2 6" xfId="27269"/>
    <cellStyle name="Процентный 4 2 2 2 6" xfId="27270"/>
    <cellStyle name="Обычный 5 2 2 2 6" xfId="27271"/>
    <cellStyle name="Процентный 5 2 2 2 6" xfId="27272"/>
    <cellStyle name="Обычный 4 16 2 6" xfId="27273"/>
    <cellStyle name="Процентный 4 16 2 6" xfId="27274"/>
    <cellStyle name="Обычный 5 9 2 6" xfId="27275"/>
    <cellStyle name="Процентный 5 9 2 6" xfId="27276"/>
    <cellStyle name="Обычный 4 2 3 2 6" xfId="27277"/>
    <cellStyle name="Процентный 4 2 3 2 6" xfId="27278"/>
    <cellStyle name="Обычный 5 2 3 2 6" xfId="27279"/>
    <cellStyle name="Процентный 5 2 3 2 6" xfId="27280"/>
    <cellStyle name="Обычный 4 17 2 6" xfId="27281"/>
    <cellStyle name="Процентный 4 17 2 6" xfId="27282"/>
    <cellStyle name="Обычный 5 10 2 6" xfId="27283"/>
    <cellStyle name="Процентный 5 10 2 6" xfId="27284"/>
    <cellStyle name="Обычный 4 2 4 2 6" xfId="27285"/>
    <cellStyle name="Процентный 4 2 4 2 6" xfId="27286"/>
    <cellStyle name="Обычный 5 2 4 2 6" xfId="27287"/>
    <cellStyle name="Процентный 5 2 4 2 6" xfId="27288"/>
    <cellStyle name="Обычный 6 40 6" xfId="27289"/>
    <cellStyle name="Процентный 6 40 6" xfId="27290"/>
    <cellStyle name="Обычный 4 18 2 6" xfId="27291"/>
    <cellStyle name="Процентный 4 18 2 6" xfId="27292"/>
    <cellStyle name="Обычный 5 11 2 6" xfId="27293"/>
    <cellStyle name="Процентный 5 11 2 6" xfId="27294"/>
    <cellStyle name="Обычный 4 2 5 2 6" xfId="27295"/>
    <cellStyle name="Процентный 4 2 5 2 6" xfId="27296"/>
    <cellStyle name="Обычный 5 2 5 2 6" xfId="27297"/>
    <cellStyle name="Процентный 5 2 5 2 6" xfId="27298"/>
    <cellStyle name="Обычный 6 2 2 6" xfId="27299"/>
    <cellStyle name="Процентный 6 2 2 6" xfId="27300"/>
    <cellStyle name="Обычный 4 19 2 6" xfId="27301"/>
    <cellStyle name="Процентный 4 19 2 6" xfId="27302"/>
    <cellStyle name="Обычный 5 12 2 6" xfId="27303"/>
    <cellStyle name="Процентный 5 12 2 6" xfId="27304"/>
    <cellStyle name="Обычный 4 2 6 2 6" xfId="27305"/>
    <cellStyle name="Процентный 4 2 6 2 6" xfId="27306"/>
    <cellStyle name="Обычный 5 2 6 2 6" xfId="27307"/>
    <cellStyle name="Процентный 5 2 6 2 6" xfId="27308"/>
    <cellStyle name="Обычный 6 3 2 6" xfId="27309"/>
    <cellStyle name="Процентный 6 3 2 6" xfId="27310"/>
    <cellStyle name="Обычный 4 20 2 6" xfId="27311"/>
    <cellStyle name="Процентный 4 20 2 6" xfId="27312"/>
    <cellStyle name="Обычный 5 13 2 6" xfId="27313"/>
    <cellStyle name="Процентный 5 13 2 6" xfId="27314"/>
    <cellStyle name="Обычный 4 2 7 2 6" xfId="27315"/>
    <cellStyle name="Процентный 4 2 7 2 6" xfId="27316"/>
    <cellStyle name="Обычный 5 2 7 2 6" xfId="27317"/>
    <cellStyle name="Процентный 5 2 7 2 6" xfId="27318"/>
    <cellStyle name="Обычный 6 4 2 6" xfId="27319"/>
    <cellStyle name="Процентный 6 4 2 6" xfId="27320"/>
    <cellStyle name="Обычный 4 21 2 6" xfId="27321"/>
    <cellStyle name="Процентный 4 21 2 6" xfId="27322"/>
    <cellStyle name="Обычный 5 14 2 6" xfId="27323"/>
    <cellStyle name="Процентный 5 14 2 6" xfId="27324"/>
    <cellStyle name="Обычный 4 2 8 2 6" xfId="27325"/>
    <cellStyle name="Процентный 4 2 8 2 6" xfId="27326"/>
    <cellStyle name="Обычный 5 2 8 2 6" xfId="27327"/>
    <cellStyle name="Процентный 5 2 8 2 6" xfId="27328"/>
    <cellStyle name="Обычный 6 5 2 6" xfId="27329"/>
    <cellStyle name="Процентный 6 5 2 6" xfId="27330"/>
    <cellStyle name="Обычный 4 22 2 6" xfId="27331"/>
    <cellStyle name="Процентный 4 22 2 6" xfId="27332"/>
    <cellStyle name="Обычный 5 15 2 6" xfId="27333"/>
    <cellStyle name="Процентный 5 15 2 6" xfId="27334"/>
    <cellStyle name="Обычный 4 2 9 2 6" xfId="27335"/>
    <cellStyle name="Процентный 4 2 9 2 6" xfId="27336"/>
    <cellStyle name="Обычный 5 2 9 2 6" xfId="27337"/>
    <cellStyle name="Процентный 5 2 9 2 6" xfId="27338"/>
    <cellStyle name="Обычный 6 6 2 6" xfId="27339"/>
    <cellStyle name="Процентный 6 6 2 6" xfId="27340"/>
    <cellStyle name="Обычный 4 23 2 6" xfId="27341"/>
    <cellStyle name="Процентный 4 23 2 6" xfId="27342"/>
    <cellStyle name="Обычный 5 16 2 6" xfId="27343"/>
    <cellStyle name="Процентный 5 16 2 6" xfId="27344"/>
    <cellStyle name="Обычный 4 2 10 2 6" xfId="27345"/>
    <cellStyle name="Процентный 4 2 10 2 6" xfId="27346"/>
    <cellStyle name="Обычный 5 2 10 2 6" xfId="27347"/>
    <cellStyle name="Процентный 5 2 10 2 6" xfId="27348"/>
    <cellStyle name="Обычный 6 7 2 6" xfId="27349"/>
    <cellStyle name="Процентный 6 7 2 6" xfId="27350"/>
    <cellStyle name="Обычный 4 24 2 6" xfId="27351"/>
    <cellStyle name="Процентный 4 24 2 6" xfId="27352"/>
    <cellStyle name="Обычный 5 17 2 6" xfId="27353"/>
    <cellStyle name="Процентный 5 17 2 6" xfId="27354"/>
    <cellStyle name="Обычный 4 2 11 2 6" xfId="27355"/>
    <cellStyle name="Процентный 4 2 11 2 6" xfId="27356"/>
    <cellStyle name="Обычный 5 2 11 2 6" xfId="27357"/>
    <cellStyle name="Процентный 5 2 11 2 6" xfId="27358"/>
    <cellStyle name="Обычный 6 8 2 6" xfId="27359"/>
    <cellStyle name="Процентный 6 8 2 6" xfId="27360"/>
    <cellStyle name="Обычный 4 25 2 6" xfId="27361"/>
    <cellStyle name="Процентный 4 25 2 6" xfId="27362"/>
    <cellStyle name="Обычный 5 18 2 6" xfId="27363"/>
    <cellStyle name="Процентный 5 18 2 6" xfId="27364"/>
    <cellStyle name="Обычный 4 2 12 2 6" xfId="27365"/>
    <cellStyle name="Процентный 4 2 12 2 6" xfId="27366"/>
    <cellStyle name="Обычный 5 2 12 2 6" xfId="27367"/>
    <cellStyle name="Процентный 5 2 12 2 6" xfId="27368"/>
    <cellStyle name="Обычный 6 9 2 6" xfId="27369"/>
    <cellStyle name="Процентный 6 9 2 6" xfId="27370"/>
    <cellStyle name="Обычный 4 26 2 6" xfId="27371"/>
    <cellStyle name="Процентный 4 26 2 6" xfId="27372"/>
    <cellStyle name="Обычный 5 19 2 6" xfId="27373"/>
    <cellStyle name="Процентный 5 19 2 6" xfId="27374"/>
    <cellStyle name="Обычный 4 2 13 2 6" xfId="27375"/>
    <cellStyle name="Процентный 4 2 13 2 6" xfId="27376"/>
    <cellStyle name="Обычный 5 2 13 2 6" xfId="27377"/>
    <cellStyle name="Процентный 5 2 13 2 6" xfId="27378"/>
    <cellStyle name="Обычный 6 10 2 6" xfId="27379"/>
    <cellStyle name="Процентный 6 10 2 6" xfId="27380"/>
    <cellStyle name="Обычный 4 27 2 6" xfId="27381"/>
    <cellStyle name="Процентный 4 27 2 6" xfId="27382"/>
    <cellStyle name="Обычный 5 20 2 6" xfId="27383"/>
    <cellStyle name="Процентный 5 20 2 6" xfId="27384"/>
    <cellStyle name="Обычный 4 2 14 2 6" xfId="27385"/>
    <cellStyle name="Процентный 4 2 14 2 6" xfId="27386"/>
    <cellStyle name="Обычный 5 2 14 2 6" xfId="27387"/>
    <cellStyle name="Процентный 5 2 14 2 6" xfId="27388"/>
    <cellStyle name="Обычный 6 11 2 6" xfId="27389"/>
    <cellStyle name="Процентный 6 11 2 6" xfId="27390"/>
    <cellStyle name="Обычный 4 28 2 6" xfId="27391"/>
    <cellStyle name="Процентный 4 28 2 6" xfId="27392"/>
    <cellStyle name="Обычный 5 21 2 6" xfId="27393"/>
    <cellStyle name="Процентный 5 21 2 6" xfId="27394"/>
    <cellStyle name="Обычный 4 2 15 2 6" xfId="27395"/>
    <cellStyle name="Процентный 4 2 15 2 6" xfId="27396"/>
    <cellStyle name="Обычный 5 2 15 2 6" xfId="27397"/>
    <cellStyle name="Процентный 5 2 15 2 6" xfId="27398"/>
    <cellStyle name="Обычный 6 12 2 6" xfId="27399"/>
    <cellStyle name="Процентный 6 12 2 6" xfId="27400"/>
    <cellStyle name="Обычный 4 29 2 6" xfId="27401"/>
    <cellStyle name="Процентный 4 29 2 6" xfId="27402"/>
    <cellStyle name="Обычный 5 22 2 6" xfId="27403"/>
    <cellStyle name="Процентный 5 22 2 6" xfId="27404"/>
    <cellStyle name="Обычный 4 2 16 2 6" xfId="27405"/>
    <cellStyle name="Процентный 4 2 16 2 6" xfId="27406"/>
    <cellStyle name="Обычный 5 2 16 2 6" xfId="27407"/>
    <cellStyle name="Процентный 5 2 16 2 6" xfId="27408"/>
    <cellStyle name="Обычный 6 13 2 6" xfId="27409"/>
    <cellStyle name="Процентный 6 13 2 6" xfId="27410"/>
    <cellStyle name="Обычный 4 30 2 6" xfId="27411"/>
    <cellStyle name="Процентный 4 30 2 6" xfId="27412"/>
    <cellStyle name="Обычный 5 23 2 6" xfId="27413"/>
    <cellStyle name="Процентный 5 23 2 6" xfId="27414"/>
    <cellStyle name="Обычный 4 2 17 2 6" xfId="27415"/>
    <cellStyle name="Процентный 4 2 17 2 6" xfId="27416"/>
    <cellStyle name="Обычный 5 2 17 2 6" xfId="27417"/>
    <cellStyle name="Процентный 5 2 17 2 6" xfId="27418"/>
    <cellStyle name="Обычный 6 14 2 6" xfId="27419"/>
    <cellStyle name="Процентный 6 14 2 6" xfId="27420"/>
    <cellStyle name="Обычный 4 31 2 6" xfId="27421"/>
    <cellStyle name="Процентный 4 31 2 6" xfId="27422"/>
    <cellStyle name="Обычный 5 24 2 6" xfId="27423"/>
    <cellStyle name="Процентный 5 24 2 6" xfId="27424"/>
    <cellStyle name="Обычный 4 2 18 2 6" xfId="27425"/>
    <cellStyle name="Процентный 4 2 18 2 6" xfId="27426"/>
    <cellStyle name="Обычный 5 2 18 2 6" xfId="27427"/>
    <cellStyle name="Процентный 5 2 18 2 6" xfId="27428"/>
    <cellStyle name="Обычный 6 15 2 6" xfId="27429"/>
    <cellStyle name="Процентный 6 15 2 6" xfId="27430"/>
    <cellStyle name="Обычный 4 32 2 6" xfId="27431"/>
    <cellStyle name="Процентный 4 32 2 6" xfId="27432"/>
    <cellStyle name="Обычный 5 25 2 6" xfId="27433"/>
    <cellStyle name="Процентный 5 25 2 6" xfId="27434"/>
    <cellStyle name="Обычный 4 2 19 2 6" xfId="27435"/>
    <cellStyle name="Процентный 4 2 19 2 6" xfId="27436"/>
    <cellStyle name="Обычный 5 2 19 2 6" xfId="27437"/>
    <cellStyle name="Процентный 5 2 19 2 6" xfId="27438"/>
    <cellStyle name="Обычный 6 16 2 6" xfId="27439"/>
    <cellStyle name="Процентный 6 16 2 6" xfId="27440"/>
    <cellStyle name="Обычный 4 33 2 6" xfId="27441"/>
    <cellStyle name="Процентный 4 33 2 6" xfId="27442"/>
    <cellStyle name="Обычный 5 26 2 6" xfId="27443"/>
    <cellStyle name="Процентный 5 26 2 6" xfId="27444"/>
    <cellStyle name="Обычный 4 2 20 2 6" xfId="27445"/>
    <cellStyle name="Процентный 4 2 20 2 6" xfId="27446"/>
    <cellStyle name="Обычный 5 2 20 2 6" xfId="27447"/>
    <cellStyle name="Процентный 5 2 20 2 6" xfId="27448"/>
    <cellStyle name="Обычный 6 17 2 6" xfId="27449"/>
    <cellStyle name="Процентный 6 17 2 6" xfId="27450"/>
    <cellStyle name="Обычный 4 34 2 6" xfId="27451"/>
    <cellStyle name="Процентный 4 34 2 6" xfId="27452"/>
    <cellStyle name="Обычный 5 27 2 6" xfId="27453"/>
    <cellStyle name="Процентный 5 27 2 6" xfId="27454"/>
    <cellStyle name="Обычный 4 2 21 2 6" xfId="27455"/>
    <cellStyle name="Процентный 4 2 21 2 6" xfId="27456"/>
    <cellStyle name="Обычный 5 2 21 2 6" xfId="27457"/>
    <cellStyle name="Процентный 5 2 21 2 6" xfId="27458"/>
    <cellStyle name="Обычный 6 18 2 6" xfId="27459"/>
    <cellStyle name="Процентный 6 18 2 6" xfId="27460"/>
    <cellStyle name="Обычный 4 35 2 6" xfId="27461"/>
    <cellStyle name="Процентный 4 35 2 6" xfId="27462"/>
    <cellStyle name="Обычный 5 28 2 6" xfId="27463"/>
    <cellStyle name="Процентный 5 28 2 6" xfId="27464"/>
    <cellStyle name="Обычный 4 2 22 2 6" xfId="27465"/>
    <cellStyle name="Процентный 4 2 22 2 6" xfId="27466"/>
    <cellStyle name="Обычный 5 2 22 2 6" xfId="27467"/>
    <cellStyle name="Процентный 5 2 22 2 6" xfId="27468"/>
    <cellStyle name="Обычный 6 19 2 6" xfId="27469"/>
    <cellStyle name="Процентный 6 19 2 6" xfId="27470"/>
    <cellStyle name="Обычный 4 36 2 6" xfId="27471"/>
    <cellStyle name="Процентный 4 36 2 6" xfId="27472"/>
    <cellStyle name="Обычный 5 29 2 6" xfId="27473"/>
    <cellStyle name="Процентный 5 29 2 6" xfId="27474"/>
    <cellStyle name="Обычный 4 2 23 2 6" xfId="27475"/>
    <cellStyle name="Процентный 4 2 23 2 6" xfId="27476"/>
    <cellStyle name="Обычный 5 2 23 2 6" xfId="27477"/>
    <cellStyle name="Процентный 5 2 23 2 6" xfId="27478"/>
    <cellStyle name="Обычный 6 20 2 6" xfId="27479"/>
    <cellStyle name="Процентный 6 20 2 6" xfId="27480"/>
    <cellStyle name="Обычный 4 37 2 6" xfId="27481"/>
    <cellStyle name="Процентный 4 37 2 6" xfId="27482"/>
    <cellStyle name="Обычный 5 30 2 6" xfId="27483"/>
    <cellStyle name="Процентный 5 30 2 6" xfId="27484"/>
    <cellStyle name="Обычный 4 2 24 2 6" xfId="27485"/>
    <cellStyle name="Процентный 4 2 24 2 6" xfId="27486"/>
    <cellStyle name="Обычный 5 2 24 2 6" xfId="27487"/>
    <cellStyle name="Процентный 5 2 24 2 6" xfId="27488"/>
    <cellStyle name="Обычный 6 21 2 6" xfId="27489"/>
    <cellStyle name="Процентный 6 21 2 6" xfId="27490"/>
    <cellStyle name="Обычный 4 38 2 6" xfId="27491"/>
    <cellStyle name="Процентный 4 38 2 6" xfId="27492"/>
    <cellStyle name="Обычный 5 31 2 6" xfId="27493"/>
    <cellStyle name="Процентный 5 31 2 6" xfId="27494"/>
    <cellStyle name="Обычный 4 2 25 2 6" xfId="27495"/>
    <cellStyle name="Процентный 4 2 25 2 6" xfId="27496"/>
    <cellStyle name="Обычный 5 2 25 2 6" xfId="27497"/>
    <cellStyle name="Процентный 5 2 25 2 6" xfId="27498"/>
    <cellStyle name="Обычный 6 22 2 6" xfId="27499"/>
    <cellStyle name="Процентный 6 22 2 6" xfId="27500"/>
    <cellStyle name="Обычный 4 39 2 6" xfId="27501"/>
    <cellStyle name="Процентный 4 39 2 6" xfId="27502"/>
    <cellStyle name="Обычный 5 32 2 6" xfId="27503"/>
    <cellStyle name="Процентный 5 32 2 6" xfId="27504"/>
    <cellStyle name="Обычный 4 2 26 2 6" xfId="27505"/>
    <cellStyle name="Процентный 4 2 26 2 6" xfId="27506"/>
    <cellStyle name="Обычный 5 2 26 2 6" xfId="27507"/>
    <cellStyle name="Процентный 5 2 26 2 6" xfId="27508"/>
    <cellStyle name="Обычный 6 23 2 6" xfId="27509"/>
    <cellStyle name="Процентный 6 23 2 6" xfId="27510"/>
    <cellStyle name="Обычный 4 40 2 6" xfId="27511"/>
    <cellStyle name="Процентный 4 40 2 6" xfId="27512"/>
    <cellStyle name="Обычный 5 33 2 6" xfId="27513"/>
    <cellStyle name="Процентный 5 33 2 6" xfId="27514"/>
    <cellStyle name="Обычный 4 2 27 2 6" xfId="27515"/>
    <cellStyle name="Процентный 4 2 27 2 6" xfId="27516"/>
    <cellStyle name="Обычный 5 2 27 2 6" xfId="27517"/>
    <cellStyle name="Процентный 5 2 27 2 6" xfId="27518"/>
    <cellStyle name="Обычный 6 24 2 6" xfId="27519"/>
    <cellStyle name="Процентный 6 24 2 6" xfId="27520"/>
    <cellStyle name="Обычный 4 41 2 6" xfId="27521"/>
    <cellStyle name="Процентный 4 41 2 6" xfId="27522"/>
    <cellStyle name="Обычный 5 34 2 6" xfId="27523"/>
    <cellStyle name="Процентный 5 34 2 6" xfId="27524"/>
    <cellStyle name="Обычный 4 2 28 2 6" xfId="27525"/>
    <cellStyle name="Процентный 4 2 28 2 6" xfId="27526"/>
    <cellStyle name="Обычный 5 2 28 2 6" xfId="27527"/>
    <cellStyle name="Процентный 5 2 28 2 6" xfId="27528"/>
    <cellStyle name="Обычный 6 25 2 6" xfId="27529"/>
    <cellStyle name="Процентный 6 25 2 6" xfId="27530"/>
    <cellStyle name="Обычный 4 42 2 6" xfId="27531"/>
    <cellStyle name="Процентный 4 42 2 6" xfId="27532"/>
    <cellStyle name="Обычный 5 35 2 6" xfId="27533"/>
    <cellStyle name="Процентный 5 35 2 6" xfId="27534"/>
    <cellStyle name="Обычный 4 2 29 2 6" xfId="27535"/>
    <cellStyle name="Процентный 4 2 29 2 6" xfId="27536"/>
    <cellStyle name="Обычный 5 2 29 2 6" xfId="27537"/>
    <cellStyle name="Процентный 5 2 29 2 6" xfId="27538"/>
    <cellStyle name="Обычный 6 26 2 6" xfId="27539"/>
    <cellStyle name="Процентный 6 26 2 6" xfId="27540"/>
    <cellStyle name="Обычный 4 43 2 6" xfId="27541"/>
    <cellStyle name="Процентный 4 43 2 6" xfId="27542"/>
    <cellStyle name="Обычный 5 36 2 6" xfId="27543"/>
    <cellStyle name="Процентный 5 36 2 6" xfId="27544"/>
    <cellStyle name="Обычный 4 2 30 2 6" xfId="27545"/>
    <cellStyle name="Процентный 4 2 30 2 6" xfId="27546"/>
    <cellStyle name="Обычный 5 2 30 2 6" xfId="27547"/>
    <cellStyle name="Процентный 5 2 30 2 6" xfId="27548"/>
    <cellStyle name="Обычный 6 27 2 6" xfId="27549"/>
    <cellStyle name="Процентный 6 27 2 6" xfId="27550"/>
    <cellStyle name="Обычный 4 44 2 6" xfId="27551"/>
    <cellStyle name="Процентный 4 44 2 6" xfId="27552"/>
    <cellStyle name="Обычный 5 37 2 6" xfId="27553"/>
    <cellStyle name="Процентный 5 37 2 6" xfId="27554"/>
    <cellStyle name="Обычный 4 2 31 2 6" xfId="27555"/>
    <cellStyle name="Процентный 4 2 31 2 6" xfId="27556"/>
    <cellStyle name="Обычный 5 2 31 2 6" xfId="27557"/>
    <cellStyle name="Процентный 5 2 31 2 6" xfId="27558"/>
    <cellStyle name="Обычный 6 28 2 6" xfId="27559"/>
    <cellStyle name="Процентный 6 28 2 6" xfId="27560"/>
    <cellStyle name="Обычный 4 45 2 6" xfId="27561"/>
    <cellStyle name="Процентный 4 45 2 6" xfId="27562"/>
    <cellStyle name="Обычный 5 38 2 6" xfId="27563"/>
    <cellStyle name="Процентный 5 38 2 6" xfId="27564"/>
    <cellStyle name="Обычный 4 2 32 2 6" xfId="27565"/>
    <cellStyle name="Процентный 4 2 32 2 6" xfId="27566"/>
    <cellStyle name="Обычный 5 2 32 2 6" xfId="27567"/>
    <cellStyle name="Процентный 5 2 32 2 6" xfId="27568"/>
    <cellStyle name="Обычный 6 29 2 6" xfId="27569"/>
    <cellStyle name="Процентный 6 29 2 6" xfId="27570"/>
    <cellStyle name="Обычный 4 46 2 6" xfId="27571"/>
    <cellStyle name="Процентный 4 46 2 6" xfId="27572"/>
    <cellStyle name="Обычный 5 39 2 6" xfId="27573"/>
    <cellStyle name="Процентный 5 39 2 6" xfId="27574"/>
    <cellStyle name="Обычный 4 2 33 2 6" xfId="27575"/>
    <cellStyle name="Процентный 4 2 33 2 6" xfId="27576"/>
    <cellStyle name="Обычный 5 2 33 2 6" xfId="27577"/>
    <cellStyle name="Процентный 5 2 33 2 6" xfId="27578"/>
    <cellStyle name="Обычный 6 30 2 6" xfId="27579"/>
    <cellStyle name="Процентный 6 30 2 6" xfId="27580"/>
    <cellStyle name="Обычный 4 47 2 6" xfId="27581"/>
    <cellStyle name="Процентный 4 47 2 6" xfId="27582"/>
    <cellStyle name="Обычный 5 40 2 6" xfId="27583"/>
    <cellStyle name="Процентный 5 40 2 6" xfId="27584"/>
    <cellStyle name="Обычный 4 2 34 2 6" xfId="27585"/>
    <cellStyle name="Процентный 4 2 34 2 6" xfId="27586"/>
    <cellStyle name="Обычный 5 2 34 2 6" xfId="27587"/>
    <cellStyle name="Процентный 5 2 34 2 6" xfId="27588"/>
    <cellStyle name="Обычный 6 31 2 6" xfId="27589"/>
    <cellStyle name="Процентный 6 31 2 6" xfId="27590"/>
    <cellStyle name="Обычный 7 10 6" xfId="27591"/>
    <cellStyle name="Процентный 7 10 6" xfId="27592"/>
    <cellStyle name="Обычный 4 48 2 6" xfId="27593"/>
    <cellStyle name="Процентный 4 48 2 6" xfId="27594"/>
    <cellStyle name="Обычный 5 41 2 6" xfId="27595"/>
    <cellStyle name="Процентный 5 41 2 6" xfId="27596"/>
    <cellStyle name="Обычный 4 2 35 2 6" xfId="27597"/>
    <cellStyle name="Процентный 4 2 35 2 6" xfId="27598"/>
    <cellStyle name="Обычный 5 2 35 2 6" xfId="27599"/>
    <cellStyle name="Процентный 5 2 35 2 6" xfId="27600"/>
    <cellStyle name="Обычный 6 32 2 6" xfId="27601"/>
    <cellStyle name="Процентный 6 32 2 6" xfId="27602"/>
    <cellStyle name="Обычный 7 2 2 6" xfId="27603"/>
    <cellStyle name="Процентный 7 2 2 6" xfId="27604"/>
    <cellStyle name="Обычный 4 49 2 6" xfId="27605"/>
    <cellStyle name="Процентный 4 49 2 6" xfId="27606"/>
    <cellStyle name="Обычный 5 42 2 6" xfId="27607"/>
    <cellStyle name="Процентный 5 42 2 6" xfId="27608"/>
    <cellStyle name="Обычный 4 2 36 2 6" xfId="27609"/>
    <cellStyle name="Процентный 4 2 36 2 6" xfId="27610"/>
    <cellStyle name="Обычный 5 2 36 2 6" xfId="27611"/>
    <cellStyle name="Процентный 5 2 36 2 6" xfId="27612"/>
    <cellStyle name="Обычный 6 33 2 6" xfId="27613"/>
    <cellStyle name="Процентный 6 33 2 6" xfId="27614"/>
    <cellStyle name="Обычный 7 3 2 6" xfId="27615"/>
    <cellStyle name="Процентный 7 3 2 6" xfId="27616"/>
    <cellStyle name="Обычный 4 50 2 6" xfId="27617"/>
    <cellStyle name="Процентный 4 50 2 6" xfId="27618"/>
    <cellStyle name="Обычный 5 43 2 6" xfId="27619"/>
    <cellStyle name="Процентный 5 43 2 6" xfId="27620"/>
    <cellStyle name="Обычный 4 2 37 2 6" xfId="27621"/>
    <cellStyle name="Процентный 4 2 37 2 6" xfId="27622"/>
    <cellStyle name="Обычный 5 2 37 2 6" xfId="27623"/>
    <cellStyle name="Процентный 5 2 37 2 6" xfId="27624"/>
    <cellStyle name="Обычный 6 34 2 6" xfId="27625"/>
    <cellStyle name="Процентный 6 34 2 6" xfId="27626"/>
    <cellStyle name="Обычный 7 4 2 6" xfId="27627"/>
    <cellStyle name="Процентный 7 4 2 6" xfId="27628"/>
    <cellStyle name="Обычный 4 51 2 6" xfId="27629"/>
    <cellStyle name="Процентный 4 51 2 6" xfId="27630"/>
    <cellStyle name="Обычный 5 44 2 6" xfId="27631"/>
    <cellStyle name="Процентный 5 44 2 6" xfId="27632"/>
    <cellStyle name="Обычный 4 2 38 2 6" xfId="27633"/>
    <cellStyle name="Процентный 4 2 38 2 6" xfId="27634"/>
    <cellStyle name="Обычный 5 2 38 2 6" xfId="27635"/>
    <cellStyle name="Процентный 5 2 38 2 6" xfId="27636"/>
    <cellStyle name="Обычный 6 35 2 6" xfId="27637"/>
    <cellStyle name="Процентный 6 35 2 6" xfId="27638"/>
    <cellStyle name="Обычный 7 5 2 6" xfId="27639"/>
    <cellStyle name="Процентный 7 5 2 6" xfId="27640"/>
    <cellStyle name="Обычный 4 52 2 6" xfId="27641"/>
    <cellStyle name="Процентный 4 52 2 6" xfId="27642"/>
    <cellStyle name="Обычный 5 45 2 6" xfId="27643"/>
    <cellStyle name="Процентный 5 45 2 6" xfId="27644"/>
    <cellStyle name="Обычный 4 2 39 2 6" xfId="27645"/>
    <cellStyle name="Процентный 4 2 39 2 6" xfId="27646"/>
    <cellStyle name="Обычный 5 2 39 2 6" xfId="27647"/>
    <cellStyle name="Процентный 5 2 39 2 6" xfId="27648"/>
    <cellStyle name="Обычный 6 36 2 6" xfId="27649"/>
    <cellStyle name="Процентный 6 36 2 6" xfId="27650"/>
    <cellStyle name="Обычный 7 6 2 6" xfId="27651"/>
    <cellStyle name="Процентный 7 6 2 6" xfId="27652"/>
    <cellStyle name="Обычный 4 53 2 6" xfId="27653"/>
    <cellStyle name="Процентный 4 53 2 6" xfId="27654"/>
    <cellStyle name="Обычный 5 46 2 6" xfId="27655"/>
    <cellStyle name="Процентный 5 46 2 6" xfId="27656"/>
    <cellStyle name="Обычный 4 2 40 2 6" xfId="27657"/>
    <cellStyle name="Процентный 4 2 40 2 6" xfId="27658"/>
    <cellStyle name="Обычный 5 2 40 2 6" xfId="27659"/>
    <cellStyle name="Процентный 5 2 40 2 6" xfId="27660"/>
    <cellStyle name="Обычный 6 37 2 6" xfId="27661"/>
    <cellStyle name="Процентный 6 37 2 6" xfId="27662"/>
    <cellStyle name="Обычный 7 7 2 6" xfId="27663"/>
    <cellStyle name="Процентный 7 7 2 6" xfId="27664"/>
    <cellStyle name="Обычный 4 54 2 6" xfId="27665"/>
    <cellStyle name="Процентный 4 54 2 6" xfId="27666"/>
    <cellStyle name="Обычный 5 47 2 6" xfId="27667"/>
    <cellStyle name="Процентный 5 47 2 6" xfId="27668"/>
    <cellStyle name="Обычный 4 2 41 2 6" xfId="27669"/>
    <cellStyle name="Процентный 4 2 41 2 6" xfId="27670"/>
    <cellStyle name="Обычный 5 2 41 2 6" xfId="27671"/>
    <cellStyle name="Процентный 5 2 41 2 6" xfId="27672"/>
    <cellStyle name="Обычный 6 38 2 6" xfId="27673"/>
    <cellStyle name="Процентный 6 38 2 6" xfId="27674"/>
    <cellStyle name="Обычный 7 8 2 6" xfId="27675"/>
    <cellStyle name="Процентный 7 8 2 6" xfId="27676"/>
    <cellStyle name="Обычный 4 55 2 6" xfId="27677"/>
    <cellStyle name="Процентный 4 55 2 6" xfId="27678"/>
    <cellStyle name="Обычный 5 48 2 6" xfId="27679"/>
    <cellStyle name="Процентный 5 48 2 6" xfId="27680"/>
    <cellStyle name="Обычный 4 2 42 2 6" xfId="27681"/>
    <cellStyle name="Процентный 4 2 42 2 6" xfId="27682"/>
    <cellStyle name="Обычный 5 2 42 2 6" xfId="27683"/>
    <cellStyle name="Процентный 5 2 42 2 6" xfId="27684"/>
    <cellStyle name="Обычный 6 39 2 6" xfId="27685"/>
    <cellStyle name="Процентный 6 39 2 6" xfId="27686"/>
    <cellStyle name="Обычный 7 9 2 6" xfId="27687"/>
    <cellStyle name="Процентный 7 9 2 6" xfId="27688"/>
    <cellStyle name="Обычный 4 57 6" xfId="27689"/>
    <cellStyle name="Процентный 4 57 6" xfId="27690"/>
    <cellStyle name="Обычный 5 50 6" xfId="27691"/>
    <cellStyle name="Процентный 5 50 6" xfId="27692"/>
    <cellStyle name="Обычный 4 2 44 6" xfId="27693"/>
    <cellStyle name="Процентный 4 2 44 6" xfId="27694"/>
    <cellStyle name="Обычный 5 2 44 6" xfId="27695"/>
    <cellStyle name="Процентный 5 2 44 6" xfId="27696"/>
    <cellStyle name="Обычный 6 41 6" xfId="27697"/>
    <cellStyle name="Процентный 6 41 6" xfId="27698"/>
    <cellStyle name="Обычный 7 11 6" xfId="27699"/>
    <cellStyle name="Процентный 7 11 6" xfId="27700"/>
    <cellStyle name="Обычный 4 3 3 6" xfId="27701"/>
    <cellStyle name="Процентный 4 3 3 6" xfId="27702"/>
    <cellStyle name="Обычный 5 3 3 6" xfId="27703"/>
    <cellStyle name="Процентный 5 3 3 6" xfId="27704"/>
    <cellStyle name="Обычный 4 2 2 3 6" xfId="27705"/>
    <cellStyle name="Процентный 4 2 2 3 6" xfId="27706"/>
    <cellStyle name="Обычный 5 2 2 3 6" xfId="27707"/>
    <cellStyle name="Процентный 5 2 2 3 6" xfId="27708"/>
    <cellStyle name="Обычный 6 2 3 6" xfId="27709"/>
    <cellStyle name="Процентный 6 2 3 6" xfId="27710"/>
    <cellStyle name="Обычный 7 2 3 6" xfId="27711"/>
    <cellStyle name="Процентный 7 2 3 6" xfId="27712"/>
    <cellStyle name="Обычный 4 58 6" xfId="27713"/>
    <cellStyle name="Процентный 4 58 6" xfId="27714"/>
    <cellStyle name="Обычный 5 51 6" xfId="27715"/>
    <cellStyle name="Процентный 5 51 6" xfId="27716"/>
    <cellStyle name="Обычный 4 2 45 6" xfId="27717"/>
    <cellStyle name="Процентный 4 2 45 6" xfId="27718"/>
    <cellStyle name="Обычный 5 2 45 6" xfId="27719"/>
    <cellStyle name="Процентный 5 2 45 6" xfId="27720"/>
    <cellStyle name="Обычный 6 42 6" xfId="27721"/>
    <cellStyle name="Процентный 6 42 6" xfId="27722"/>
    <cellStyle name="Обычный 7 12 6" xfId="27723"/>
    <cellStyle name="Процентный 7 12 6" xfId="27724"/>
    <cellStyle name="Обычный 4 3 4 6" xfId="27725"/>
    <cellStyle name="Процентный 4 3 4 6" xfId="27726"/>
    <cellStyle name="Обычный 5 3 4 6" xfId="27727"/>
    <cellStyle name="Процентный 5 3 4 6" xfId="27728"/>
    <cellStyle name="Обычный 4 2 2 4 6" xfId="27729"/>
    <cellStyle name="Процентный 4 2 2 4 6" xfId="27730"/>
    <cellStyle name="Обычный 5 2 2 4 6" xfId="27731"/>
    <cellStyle name="Процентный 5 2 2 4 6" xfId="27732"/>
    <cellStyle name="Обычный 6 2 4 6" xfId="27733"/>
    <cellStyle name="Процентный 6 2 4 6" xfId="27734"/>
    <cellStyle name="Обычный 7 2 4 6" xfId="27735"/>
    <cellStyle name="Процентный 7 2 4 6" xfId="27736"/>
    <cellStyle name="Обычный 4 59 6" xfId="27737"/>
    <cellStyle name="Процентный 4 59 6" xfId="27738"/>
    <cellStyle name="Обычный 5 52 6" xfId="27739"/>
    <cellStyle name="Процентный 5 52 6" xfId="27740"/>
    <cellStyle name="Обычный 4 2 46 6" xfId="27741"/>
    <cellStyle name="Процентный 4 2 46 6" xfId="27742"/>
    <cellStyle name="Обычный 5 2 46 6" xfId="27743"/>
    <cellStyle name="Процентный 5 2 46 6" xfId="27744"/>
    <cellStyle name="Обычный 6 43 6" xfId="27745"/>
    <cellStyle name="Процентный 6 43 6" xfId="27746"/>
    <cellStyle name="Обычный 7 13 6" xfId="27747"/>
    <cellStyle name="Процентный 7 13 6" xfId="27748"/>
    <cellStyle name="Обычный 4 3 5 6" xfId="27749"/>
    <cellStyle name="Процентный 4 3 5 6" xfId="27750"/>
    <cellStyle name="Обычный 5 3 5 6" xfId="27751"/>
    <cellStyle name="Процентный 5 3 5 6" xfId="27752"/>
    <cellStyle name="Обычный 4 2 2 5 6" xfId="27753"/>
    <cellStyle name="Процентный 4 2 2 5 6" xfId="27754"/>
    <cellStyle name="Обычный 5 2 2 5 6" xfId="27755"/>
    <cellStyle name="Процентный 5 2 2 5 6" xfId="27756"/>
    <cellStyle name="Обычный 6 2 5 6" xfId="27757"/>
    <cellStyle name="Процентный 6 2 5 6" xfId="27758"/>
    <cellStyle name="Обычный 7 2 5 6" xfId="27759"/>
    <cellStyle name="Процентный 7 2 5 6" xfId="27760"/>
    <cellStyle name="Обычный 8 149" xfId="27761"/>
    <cellStyle name="Процентный 8 149" xfId="27762"/>
    <cellStyle name="Обычный 4 60 6" xfId="27763"/>
    <cellStyle name="Процентный 4 60 6" xfId="27764"/>
    <cellStyle name="Обычный 5 53 6" xfId="27765"/>
    <cellStyle name="Процентный 5 53 6" xfId="27766"/>
    <cellStyle name="Обычный 4 2 47 6" xfId="27767"/>
    <cellStyle name="Процентный 4 2 47 6" xfId="27768"/>
    <cellStyle name="Обычный 5 2 47 6" xfId="27769"/>
    <cellStyle name="Процентный 5 2 47 6" xfId="27770"/>
    <cellStyle name="Обычный 6 44 6" xfId="27771"/>
    <cellStyle name="Процентный 6 44 6" xfId="27772"/>
    <cellStyle name="Обычный 7 14 6" xfId="27773"/>
    <cellStyle name="Процентный 7 14 6" xfId="27774"/>
    <cellStyle name="Обычный 4 3 6 6" xfId="27775"/>
    <cellStyle name="Процентный 4 3 6 6" xfId="27776"/>
    <cellStyle name="Обычный 5 3 6 6" xfId="27777"/>
    <cellStyle name="Процентный 5 3 6 6" xfId="27778"/>
    <cellStyle name="Обычный 4 2 2 6 6" xfId="27779"/>
    <cellStyle name="Процентный 4 2 2 6 6" xfId="27780"/>
    <cellStyle name="Обычный 5 2 2 6 6" xfId="27781"/>
    <cellStyle name="Процентный 5 2 2 6 6" xfId="27782"/>
    <cellStyle name="Обычный 6 2 6 6" xfId="27783"/>
    <cellStyle name="Процентный 6 2 6 6" xfId="27784"/>
    <cellStyle name="Обычный 7 2 6 6" xfId="27785"/>
    <cellStyle name="Процентный 7 2 6 6" xfId="27786"/>
    <cellStyle name="Обычный 8 2 6" xfId="27787"/>
    <cellStyle name="Процентный 8 2 6" xfId="27788"/>
    <cellStyle name="Обычный 4 61 6" xfId="27789"/>
    <cellStyle name="Процентный 4 61 6" xfId="27790"/>
    <cellStyle name="Обычный 5 54 6" xfId="27791"/>
    <cellStyle name="Процентный 5 54 6" xfId="27792"/>
    <cellStyle name="Обычный 4 2 48 6" xfId="27793"/>
    <cellStyle name="Процентный 4 2 48 6" xfId="27794"/>
    <cellStyle name="Обычный 5 2 48 6" xfId="27795"/>
    <cellStyle name="Процентный 5 2 48 6" xfId="27796"/>
    <cellStyle name="Обычный 6 45 6" xfId="27797"/>
    <cellStyle name="Процентный 6 45 6" xfId="27798"/>
    <cellStyle name="Обычный 7 15 6" xfId="27799"/>
    <cellStyle name="Процентный 7 15 6" xfId="27800"/>
    <cellStyle name="Обычный 4 3 7 6" xfId="27801"/>
    <cellStyle name="Процентный 4 3 7 6" xfId="27802"/>
    <cellStyle name="Обычный 5 3 7 6" xfId="27803"/>
    <cellStyle name="Процентный 5 3 7 6" xfId="27804"/>
    <cellStyle name="Обычный 4 2 2 7 6" xfId="27805"/>
    <cellStyle name="Процентный 4 2 2 7 6" xfId="27806"/>
    <cellStyle name="Обычный 5 2 2 7 6" xfId="27807"/>
    <cellStyle name="Процентный 5 2 2 7 6" xfId="27808"/>
    <cellStyle name="Обычный 6 2 7 6" xfId="27809"/>
    <cellStyle name="Процентный 6 2 7 6" xfId="27810"/>
    <cellStyle name="Обычный 7 2 7 6" xfId="27811"/>
    <cellStyle name="Процентный 7 2 7 6" xfId="27812"/>
    <cellStyle name="Обычный 8 3 6" xfId="27813"/>
    <cellStyle name="Процентный 8 3 6" xfId="27814"/>
    <cellStyle name="Обычный 4 62 6" xfId="27815"/>
    <cellStyle name="Процентный 4 62 6" xfId="27816"/>
    <cellStyle name="Обычный 5 55 6" xfId="27817"/>
    <cellStyle name="Процентный 5 55 6" xfId="27818"/>
    <cellStyle name="Обычный 4 2 49 6" xfId="27819"/>
    <cellStyle name="Процентный 4 2 49 6" xfId="27820"/>
    <cellStyle name="Обычный 5 2 49 6" xfId="27821"/>
    <cellStyle name="Процентный 5 2 49 6" xfId="27822"/>
    <cellStyle name="Обычный 6 46 6" xfId="27823"/>
    <cellStyle name="Процентный 6 46 6" xfId="27824"/>
    <cellStyle name="Обычный 7 16 6" xfId="27825"/>
    <cellStyle name="Процентный 7 16 6" xfId="27826"/>
    <cellStyle name="Обычный 4 3 8 6" xfId="27827"/>
    <cellStyle name="Процентный 4 3 8 6" xfId="27828"/>
    <cellStyle name="Обычный 5 3 8 6" xfId="27829"/>
    <cellStyle name="Процентный 5 3 8 6" xfId="27830"/>
    <cellStyle name="Обычный 4 2 2 8 6" xfId="27831"/>
    <cellStyle name="Процентный 4 2 2 8 6" xfId="27832"/>
    <cellStyle name="Обычный 5 2 2 8 6" xfId="27833"/>
    <cellStyle name="Процентный 5 2 2 8 6" xfId="27834"/>
    <cellStyle name="Обычный 6 2 8 6" xfId="27835"/>
    <cellStyle name="Процентный 6 2 8 6" xfId="27836"/>
    <cellStyle name="Обычный 7 2 8 6" xfId="27837"/>
    <cellStyle name="Процентный 7 2 8 6" xfId="27838"/>
    <cellStyle name="Обычный 8 4 6" xfId="27839"/>
    <cellStyle name="Процентный 8 4 6" xfId="27840"/>
    <cellStyle name="Обычный 4 63 6" xfId="27841"/>
    <cellStyle name="Процентный 4 63 6" xfId="27842"/>
    <cellStyle name="Обычный 5 56 6" xfId="27843"/>
    <cellStyle name="Процентный 5 56 6" xfId="27844"/>
    <cellStyle name="Обычный 4 2 50 6" xfId="27845"/>
    <cellStyle name="Процентный 4 2 50 6" xfId="27846"/>
    <cellStyle name="Обычный 5 2 50 6" xfId="27847"/>
    <cellStyle name="Процентный 5 2 50 6" xfId="27848"/>
    <cellStyle name="Обычный 6 47 6" xfId="27849"/>
    <cellStyle name="Процентный 6 47 6" xfId="27850"/>
    <cellStyle name="Обычный 7 17 6" xfId="27851"/>
    <cellStyle name="Процентный 7 17 6" xfId="27852"/>
    <cellStyle name="Обычный 4 3 9 6" xfId="27853"/>
    <cellStyle name="Процентный 4 3 9 6" xfId="27854"/>
    <cellStyle name="Обычный 5 3 9 6" xfId="27855"/>
    <cellStyle name="Процентный 5 3 9 6" xfId="27856"/>
    <cellStyle name="Обычный 4 2 2 9 6" xfId="27857"/>
    <cellStyle name="Процентный 4 2 2 9 6" xfId="27858"/>
    <cellStyle name="Обычный 5 2 2 9 6" xfId="27859"/>
    <cellStyle name="Процентный 5 2 2 9 6" xfId="27860"/>
    <cellStyle name="Обычный 6 2 9 6" xfId="27861"/>
    <cellStyle name="Процентный 6 2 9 6" xfId="27862"/>
    <cellStyle name="Обычный 7 2 9 6" xfId="27863"/>
    <cellStyle name="Процентный 7 2 9 6" xfId="27864"/>
    <cellStyle name="Обычный 8 5 6" xfId="27865"/>
    <cellStyle name="Процентный 8 5 6" xfId="27866"/>
    <cellStyle name="Обычный 4 64 6" xfId="27867"/>
    <cellStyle name="Процентный 4 64 6" xfId="27868"/>
    <cellStyle name="Обычный 5 57 6" xfId="27869"/>
    <cellStyle name="Процентный 5 57 6" xfId="27870"/>
    <cellStyle name="Обычный 4 2 51 6" xfId="27871"/>
    <cellStyle name="Процентный 4 2 51 6" xfId="27872"/>
    <cellStyle name="Обычный 5 2 51 6" xfId="27873"/>
    <cellStyle name="Процентный 5 2 51 6" xfId="27874"/>
    <cellStyle name="Обычный 6 48 6" xfId="27875"/>
    <cellStyle name="Процентный 6 48 6" xfId="27876"/>
    <cellStyle name="Обычный 7 18 6" xfId="27877"/>
    <cellStyle name="Процентный 7 18 6" xfId="27878"/>
    <cellStyle name="Обычный 4 3 10 6" xfId="27879"/>
    <cellStyle name="Процентный 4 3 10 6" xfId="27880"/>
    <cellStyle name="Обычный 5 3 10 6" xfId="27881"/>
    <cellStyle name="Процентный 5 3 10 6" xfId="27882"/>
    <cellStyle name="Обычный 4 2 2 10 6" xfId="27883"/>
    <cellStyle name="Процентный 4 2 2 10 6" xfId="27884"/>
    <cellStyle name="Обычный 5 2 2 10 6" xfId="27885"/>
    <cellStyle name="Процентный 5 2 2 10 6" xfId="27886"/>
    <cellStyle name="Обычный 6 2 10 6" xfId="27887"/>
    <cellStyle name="Процентный 6 2 10 6" xfId="27888"/>
    <cellStyle name="Обычный 7 2 10 6" xfId="27889"/>
    <cellStyle name="Процентный 7 2 10 6" xfId="27890"/>
    <cellStyle name="Обычный 8 6 6" xfId="27891"/>
    <cellStyle name="Процентный 8 6 6" xfId="27892"/>
    <cellStyle name="Обычный 4 65 6" xfId="27893"/>
    <cellStyle name="Процентный 4 65 6" xfId="27894"/>
    <cellStyle name="Обычный 5 58 6" xfId="27895"/>
    <cellStyle name="Процентный 5 58 6" xfId="27896"/>
    <cellStyle name="Обычный 4 2 52 6" xfId="27897"/>
    <cellStyle name="Процентный 4 2 52 6" xfId="27898"/>
    <cellStyle name="Обычный 5 2 52 6" xfId="27899"/>
    <cellStyle name="Процентный 5 2 52 6" xfId="27900"/>
    <cellStyle name="Обычный 6 49 6" xfId="27901"/>
    <cellStyle name="Процентный 6 49 6" xfId="27902"/>
    <cellStyle name="Обычный 7 19 6" xfId="27903"/>
    <cellStyle name="Процентный 7 19 6" xfId="27904"/>
    <cellStyle name="Обычный 4 3 11 6" xfId="27905"/>
    <cellStyle name="Процентный 4 3 11 6" xfId="27906"/>
    <cellStyle name="Обычный 5 3 11 6" xfId="27907"/>
    <cellStyle name="Процентный 5 3 11 6" xfId="27908"/>
    <cellStyle name="Обычный 4 2 2 11 6" xfId="27909"/>
    <cellStyle name="Процентный 4 2 2 11 6" xfId="27910"/>
    <cellStyle name="Обычный 5 2 2 11 6" xfId="27911"/>
    <cellStyle name="Процентный 5 2 2 11 6" xfId="27912"/>
    <cellStyle name="Обычный 6 2 11 6" xfId="27913"/>
    <cellStyle name="Процентный 6 2 11 6" xfId="27914"/>
    <cellStyle name="Обычный 7 2 11 6" xfId="27915"/>
    <cellStyle name="Процентный 7 2 11 6" xfId="27916"/>
    <cellStyle name="Обычный 8 7 6" xfId="27917"/>
    <cellStyle name="Процентный 8 7 6" xfId="27918"/>
    <cellStyle name="Обычный 4 66 6" xfId="27919"/>
    <cellStyle name="Процентный 4 66 6" xfId="27920"/>
    <cellStyle name="Обычный 5 59 6" xfId="27921"/>
    <cellStyle name="Процентный 5 59 6" xfId="27922"/>
    <cellStyle name="Обычный 4 2 53 6" xfId="27923"/>
    <cellStyle name="Процентный 4 2 53 6" xfId="27924"/>
    <cellStyle name="Обычный 5 2 53 6" xfId="27925"/>
    <cellStyle name="Процентный 5 2 53 6" xfId="27926"/>
    <cellStyle name="Обычный 6 50 6" xfId="27927"/>
    <cellStyle name="Процентный 6 50 6" xfId="27928"/>
    <cellStyle name="Обычный 7 20 6" xfId="27929"/>
    <cellStyle name="Процентный 7 20 6" xfId="27930"/>
    <cellStyle name="Обычный 4 3 12 6" xfId="27931"/>
    <cellStyle name="Процентный 4 3 12 6" xfId="27932"/>
    <cellStyle name="Обычный 5 3 12 6" xfId="27933"/>
    <cellStyle name="Процентный 5 3 12 6" xfId="27934"/>
    <cellStyle name="Обычный 4 2 2 12 6" xfId="27935"/>
    <cellStyle name="Процентный 4 2 2 12 6" xfId="27936"/>
    <cellStyle name="Обычный 5 2 2 12 6" xfId="27937"/>
    <cellStyle name="Процентный 5 2 2 12 6" xfId="27938"/>
    <cellStyle name="Обычный 6 2 12 6" xfId="27939"/>
    <cellStyle name="Процентный 6 2 12 6" xfId="27940"/>
    <cellStyle name="Обычный 7 2 12 6" xfId="27941"/>
    <cellStyle name="Процентный 7 2 12 6" xfId="27942"/>
    <cellStyle name="Обычный 8 8 6" xfId="27943"/>
    <cellStyle name="Процентный 8 8 6" xfId="27944"/>
    <cellStyle name="Обычный 4 67 6" xfId="27945"/>
    <cellStyle name="Процентный 4 67 6" xfId="27946"/>
    <cellStyle name="Обычный 5 60 6" xfId="27947"/>
    <cellStyle name="Процентный 5 60 6" xfId="27948"/>
    <cellStyle name="Обычный 4 2 54 6" xfId="27949"/>
    <cellStyle name="Процентный 4 2 54 6" xfId="27950"/>
    <cellStyle name="Обычный 5 2 54 6" xfId="27951"/>
    <cellStyle name="Процентный 5 2 54 6" xfId="27952"/>
    <cellStyle name="Обычный 6 51 6" xfId="27953"/>
    <cellStyle name="Процентный 6 51 6" xfId="27954"/>
    <cellStyle name="Обычный 7 21 6" xfId="27955"/>
    <cellStyle name="Процентный 7 21 6" xfId="27956"/>
    <cellStyle name="Обычный 4 3 13 6" xfId="27957"/>
    <cellStyle name="Процентный 4 3 13 6" xfId="27958"/>
    <cellStyle name="Обычный 5 3 13 6" xfId="27959"/>
    <cellStyle name="Процентный 5 3 13 6" xfId="27960"/>
    <cellStyle name="Обычный 4 2 2 13 6" xfId="27961"/>
    <cellStyle name="Процентный 4 2 2 13 6" xfId="27962"/>
    <cellStyle name="Обычный 5 2 2 13 6" xfId="27963"/>
    <cellStyle name="Процентный 5 2 2 13 6" xfId="27964"/>
    <cellStyle name="Обычный 6 2 13 6" xfId="27965"/>
    <cellStyle name="Процентный 6 2 13 6" xfId="27966"/>
    <cellStyle name="Обычный 7 2 13 6" xfId="27967"/>
    <cellStyle name="Процентный 7 2 13 6" xfId="27968"/>
    <cellStyle name="Обычный 8 9 6" xfId="27969"/>
    <cellStyle name="Процентный 8 9 6" xfId="27970"/>
    <cellStyle name="Обычный 4 68 6" xfId="27971"/>
    <cellStyle name="Процентный 4 68 6" xfId="27972"/>
    <cellStyle name="Обычный 5 61 6" xfId="27973"/>
    <cellStyle name="Процентный 5 61 6" xfId="27974"/>
    <cellStyle name="Обычный 4 2 55 6" xfId="27975"/>
    <cellStyle name="Процентный 4 2 55 6" xfId="27976"/>
    <cellStyle name="Обычный 5 2 55 6" xfId="27977"/>
    <cellStyle name="Процентный 5 2 55 6" xfId="27978"/>
    <cellStyle name="Обычный 6 52 6" xfId="27979"/>
    <cellStyle name="Процентный 6 52 6" xfId="27980"/>
    <cellStyle name="Обычный 7 22 6" xfId="27981"/>
    <cellStyle name="Процентный 7 22 6" xfId="27982"/>
    <cellStyle name="Обычный 4 3 14 6" xfId="27983"/>
    <cellStyle name="Процентный 4 3 14 6" xfId="27984"/>
    <cellStyle name="Обычный 5 3 14 6" xfId="27985"/>
    <cellStyle name="Процентный 5 3 14 6" xfId="27986"/>
    <cellStyle name="Обычный 4 2 2 14 6" xfId="27987"/>
    <cellStyle name="Процентный 4 2 2 14 6" xfId="27988"/>
    <cellStyle name="Обычный 5 2 2 14 6" xfId="27989"/>
    <cellStyle name="Процентный 5 2 2 14 6" xfId="27990"/>
    <cellStyle name="Обычный 6 2 14 6" xfId="27991"/>
    <cellStyle name="Процентный 6 2 14 6" xfId="27992"/>
    <cellStyle name="Обычный 7 2 14 6" xfId="27993"/>
    <cellStyle name="Процентный 7 2 14 6" xfId="27994"/>
    <cellStyle name="Обычный 8 10 6" xfId="27995"/>
    <cellStyle name="Процентный 8 10 6" xfId="27996"/>
    <cellStyle name="Обычный 4 69 6" xfId="27997"/>
    <cellStyle name="Процентный 4 69 6" xfId="27998"/>
    <cellStyle name="Обычный 5 62 6" xfId="27999"/>
    <cellStyle name="Процентный 5 62 6" xfId="28000"/>
    <cellStyle name="Обычный 4 2 56 6" xfId="28001"/>
    <cellStyle name="Процентный 4 2 56 6" xfId="28002"/>
    <cellStyle name="Обычный 5 2 56 6" xfId="28003"/>
    <cellStyle name="Процентный 5 2 56 6" xfId="28004"/>
    <cellStyle name="Обычный 6 53 6" xfId="28005"/>
    <cellStyle name="Процентный 6 53 6" xfId="28006"/>
    <cellStyle name="Обычный 7 23 6" xfId="28007"/>
    <cellStyle name="Процентный 7 23 6" xfId="28008"/>
    <cellStyle name="Обычный 4 3 15 6" xfId="28009"/>
    <cellStyle name="Процентный 4 3 15 6" xfId="28010"/>
    <cellStyle name="Обычный 5 3 15 6" xfId="28011"/>
    <cellStyle name="Процентный 5 3 15 6" xfId="28012"/>
    <cellStyle name="Обычный 4 2 2 15 6" xfId="28013"/>
    <cellStyle name="Процентный 4 2 2 15 6" xfId="28014"/>
    <cellStyle name="Обычный 5 2 2 15 6" xfId="28015"/>
    <cellStyle name="Процентный 5 2 2 15 6" xfId="28016"/>
    <cellStyle name="Обычный 6 2 15 6" xfId="28017"/>
    <cellStyle name="Процентный 6 2 15 6" xfId="28018"/>
    <cellStyle name="Обычный 7 2 15 6" xfId="28019"/>
    <cellStyle name="Процентный 7 2 15 6" xfId="28020"/>
    <cellStyle name="Обычный 8 11 6" xfId="28021"/>
    <cellStyle name="Процентный 8 11 6" xfId="28022"/>
    <cellStyle name="Обычный 4 70 6" xfId="28023"/>
    <cellStyle name="Процентный 4 70 6" xfId="28024"/>
    <cellStyle name="Обычный 5 63 6" xfId="28025"/>
    <cellStyle name="Процентный 5 63 6" xfId="28026"/>
    <cellStyle name="Обычный 4 2 57 6" xfId="28027"/>
    <cellStyle name="Процентный 4 2 57 6" xfId="28028"/>
    <cellStyle name="Обычный 5 2 57 6" xfId="28029"/>
    <cellStyle name="Процентный 5 2 57 6" xfId="28030"/>
    <cellStyle name="Обычный 6 54 6" xfId="28031"/>
    <cellStyle name="Процентный 6 54 6" xfId="28032"/>
    <cellStyle name="Обычный 7 24 6" xfId="28033"/>
    <cellStyle name="Процентный 7 24 6" xfId="28034"/>
    <cellStyle name="Обычный 4 3 16 6" xfId="28035"/>
    <cellStyle name="Процентный 4 3 16 6" xfId="28036"/>
    <cellStyle name="Обычный 5 3 16 6" xfId="28037"/>
    <cellStyle name="Процентный 5 3 16 6" xfId="28038"/>
    <cellStyle name="Обычный 4 2 2 16 6" xfId="28039"/>
    <cellStyle name="Процентный 4 2 2 16 6" xfId="28040"/>
    <cellStyle name="Обычный 5 2 2 16 6" xfId="28041"/>
    <cellStyle name="Процентный 5 2 2 16 6" xfId="28042"/>
    <cellStyle name="Обычный 6 2 16 6" xfId="28043"/>
    <cellStyle name="Процентный 6 2 16 6" xfId="28044"/>
    <cellStyle name="Обычный 7 2 16 6" xfId="28045"/>
    <cellStyle name="Процентный 7 2 16 6" xfId="28046"/>
    <cellStyle name="Обычный 8 12 6" xfId="28047"/>
    <cellStyle name="Процентный 8 12 6" xfId="28048"/>
    <cellStyle name="Обычный 4 71 6" xfId="28049"/>
    <cellStyle name="Процентный 4 71 6" xfId="28050"/>
    <cellStyle name="Обычный 5 64 6" xfId="28051"/>
    <cellStyle name="Процентный 5 64 6" xfId="28052"/>
    <cellStyle name="Обычный 4 2 58 6" xfId="28053"/>
    <cellStyle name="Процентный 4 2 58 6" xfId="28054"/>
    <cellStyle name="Обычный 5 2 58 6" xfId="28055"/>
    <cellStyle name="Процентный 5 2 58 6" xfId="28056"/>
    <cellStyle name="Обычный 6 55 6" xfId="28057"/>
    <cellStyle name="Процентный 6 55 6" xfId="28058"/>
    <cellStyle name="Обычный 7 25 6" xfId="28059"/>
    <cellStyle name="Процентный 7 25 6" xfId="28060"/>
    <cellStyle name="Обычный 4 3 17 6" xfId="28061"/>
    <cellStyle name="Процентный 4 3 17 6" xfId="28062"/>
    <cellStyle name="Обычный 5 3 17 6" xfId="28063"/>
    <cellStyle name="Процентный 5 3 17 6" xfId="28064"/>
    <cellStyle name="Обычный 4 2 2 17 6" xfId="28065"/>
    <cellStyle name="Процентный 4 2 2 17 6" xfId="28066"/>
    <cellStyle name="Обычный 5 2 2 17 6" xfId="28067"/>
    <cellStyle name="Процентный 5 2 2 17 6" xfId="28068"/>
    <cellStyle name="Обычный 6 2 17 6" xfId="28069"/>
    <cellStyle name="Процентный 6 2 17 6" xfId="28070"/>
    <cellStyle name="Обычный 7 2 17 6" xfId="28071"/>
    <cellStyle name="Процентный 7 2 17 6" xfId="28072"/>
    <cellStyle name="Обычный 8 13 6" xfId="28073"/>
    <cellStyle name="Процентный 8 13 6" xfId="28074"/>
    <cellStyle name="Обычный 4 72 6" xfId="28075"/>
    <cellStyle name="Процентный 4 72 6" xfId="28076"/>
    <cellStyle name="Обычный 5 65 6" xfId="28077"/>
    <cellStyle name="Процентный 5 65 6" xfId="28078"/>
    <cellStyle name="Обычный 4 2 59 6" xfId="28079"/>
    <cellStyle name="Процентный 4 2 59 6" xfId="28080"/>
    <cellStyle name="Обычный 5 2 59 6" xfId="28081"/>
    <cellStyle name="Процентный 5 2 59 6" xfId="28082"/>
    <cellStyle name="Обычный 6 56 6" xfId="28083"/>
    <cellStyle name="Процентный 6 56 6" xfId="28084"/>
    <cellStyle name="Обычный 7 26 6" xfId="28085"/>
    <cellStyle name="Процентный 7 26 6" xfId="28086"/>
    <cellStyle name="Обычный 4 3 18 6" xfId="28087"/>
    <cellStyle name="Процентный 4 3 18 6" xfId="28088"/>
    <cellStyle name="Обычный 5 3 18 6" xfId="28089"/>
    <cellStyle name="Процентный 5 3 18 6" xfId="28090"/>
    <cellStyle name="Обычный 4 2 2 18 6" xfId="28091"/>
    <cellStyle name="Процентный 4 2 2 18 6" xfId="28092"/>
    <cellStyle name="Обычный 5 2 2 18 6" xfId="28093"/>
    <cellStyle name="Процентный 5 2 2 18 6" xfId="28094"/>
    <cellStyle name="Обычный 6 2 18 6" xfId="28095"/>
    <cellStyle name="Процентный 6 2 18 6" xfId="28096"/>
    <cellStyle name="Обычный 7 2 18 6" xfId="28097"/>
    <cellStyle name="Процентный 7 2 18 6" xfId="28098"/>
    <cellStyle name="Обычный 8 14 6" xfId="28099"/>
    <cellStyle name="Процентный 8 14 6" xfId="28100"/>
    <cellStyle name="Обычный 4 73 6" xfId="28101"/>
    <cellStyle name="Процентный 4 73 6" xfId="28102"/>
    <cellStyle name="Обычный 5 66 6" xfId="28103"/>
    <cellStyle name="Процентный 5 66 6" xfId="28104"/>
    <cellStyle name="Обычный 4 2 60 6" xfId="28105"/>
    <cellStyle name="Процентный 4 2 60 6" xfId="28106"/>
    <cellStyle name="Обычный 5 2 60 6" xfId="28107"/>
    <cellStyle name="Процентный 5 2 60 6" xfId="28108"/>
    <cellStyle name="Обычный 6 57 6" xfId="28109"/>
    <cellStyle name="Процентный 6 57 6" xfId="28110"/>
    <cellStyle name="Обычный 7 27 6" xfId="28111"/>
    <cellStyle name="Процентный 7 27 6" xfId="28112"/>
    <cellStyle name="Обычный 4 3 19 6" xfId="28113"/>
    <cellStyle name="Процентный 4 3 19 6" xfId="28114"/>
    <cellStyle name="Обычный 5 3 19 6" xfId="28115"/>
    <cellStyle name="Процентный 5 3 19 6" xfId="28116"/>
    <cellStyle name="Обычный 4 2 2 19 6" xfId="28117"/>
    <cellStyle name="Процентный 4 2 2 19 6" xfId="28118"/>
    <cellStyle name="Обычный 5 2 2 19 6" xfId="28119"/>
    <cellStyle name="Процентный 5 2 2 19 6" xfId="28120"/>
    <cellStyle name="Обычный 6 2 19 6" xfId="28121"/>
    <cellStyle name="Процентный 6 2 19 6" xfId="28122"/>
    <cellStyle name="Обычный 7 2 19 6" xfId="28123"/>
    <cellStyle name="Процентный 7 2 19 6" xfId="28124"/>
    <cellStyle name="Обычный 8 15 6" xfId="28125"/>
    <cellStyle name="Процентный 8 15 6" xfId="28126"/>
    <cellStyle name="Обычный 4 74 6" xfId="28127"/>
    <cellStyle name="Процентный 4 74 6" xfId="28128"/>
    <cellStyle name="Обычный 5 67 6" xfId="28129"/>
    <cellStyle name="Процентный 5 67 6" xfId="28130"/>
    <cellStyle name="Обычный 4 2 61 6" xfId="28131"/>
    <cellStyle name="Процентный 4 2 61 6" xfId="28132"/>
    <cellStyle name="Обычный 5 2 61 6" xfId="28133"/>
    <cellStyle name="Процентный 5 2 61 6" xfId="28134"/>
    <cellStyle name="Обычный 6 58 6" xfId="28135"/>
    <cellStyle name="Процентный 6 58 6" xfId="28136"/>
    <cellStyle name="Обычный 7 28 6" xfId="28137"/>
    <cellStyle name="Процентный 7 28 6" xfId="28138"/>
    <cellStyle name="Обычный 4 3 20 6" xfId="28139"/>
    <cellStyle name="Процентный 4 3 20 6" xfId="28140"/>
    <cellStyle name="Обычный 5 3 20 6" xfId="28141"/>
    <cellStyle name="Процентный 5 3 20 6" xfId="28142"/>
    <cellStyle name="Обычный 4 2 2 20 6" xfId="28143"/>
    <cellStyle name="Процентный 4 2 2 20 6" xfId="28144"/>
    <cellStyle name="Обычный 5 2 2 20 6" xfId="28145"/>
    <cellStyle name="Процентный 5 2 2 20 6" xfId="28146"/>
    <cellStyle name="Обычный 6 2 20 6" xfId="28147"/>
    <cellStyle name="Процентный 6 2 20 6" xfId="28148"/>
    <cellStyle name="Обычный 7 2 20 6" xfId="28149"/>
    <cellStyle name="Процентный 7 2 20 6" xfId="28150"/>
    <cellStyle name="Обычный 8 16 6" xfId="28151"/>
    <cellStyle name="Процентный 8 16 6" xfId="28152"/>
    <cellStyle name="Обычный 4 75 6" xfId="28153"/>
    <cellStyle name="Процентный 4 75 6" xfId="28154"/>
    <cellStyle name="Обычный 5 68 6" xfId="28155"/>
    <cellStyle name="Процентный 5 68 6" xfId="28156"/>
    <cellStyle name="Обычный 4 2 62 6" xfId="28157"/>
    <cellStyle name="Процентный 4 2 62 6" xfId="28158"/>
    <cellStyle name="Обычный 5 2 62 6" xfId="28159"/>
    <cellStyle name="Процентный 5 2 62 6" xfId="28160"/>
    <cellStyle name="Обычный 6 59 6" xfId="28161"/>
    <cellStyle name="Процентный 6 59 6" xfId="28162"/>
    <cellStyle name="Обычный 7 29 6" xfId="28163"/>
    <cellStyle name="Процентный 7 29 6" xfId="28164"/>
    <cellStyle name="Обычный 4 3 21 6" xfId="28165"/>
    <cellStyle name="Процентный 4 3 21 6" xfId="28166"/>
    <cellStyle name="Обычный 5 3 21 6" xfId="28167"/>
    <cellStyle name="Процентный 5 3 21 6" xfId="28168"/>
    <cellStyle name="Обычный 4 2 2 21 6" xfId="28169"/>
    <cellStyle name="Процентный 4 2 2 21 6" xfId="28170"/>
    <cellStyle name="Обычный 5 2 2 21 6" xfId="28171"/>
    <cellStyle name="Процентный 5 2 2 21 6" xfId="28172"/>
    <cellStyle name="Обычный 6 2 21 6" xfId="28173"/>
    <cellStyle name="Процентный 6 2 21 6" xfId="28174"/>
    <cellStyle name="Обычный 7 2 21 6" xfId="28175"/>
    <cellStyle name="Процентный 7 2 21 6" xfId="28176"/>
    <cellStyle name="Обычный 8 17 6" xfId="28177"/>
    <cellStyle name="Процентный 8 17 6" xfId="28178"/>
    <cellStyle name="Обычный 4 76 6" xfId="28179"/>
    <cellStyle name="Процентный 4 76 6" xfId="28180"/>
    <cellStyle name="Обычный 5 69 6" xfId="28181"/>
    <cellStyle name="Процентный 5 69 6" xfId="28182"/>
    <cellStyle name="Обычный 4 2 63 6" xfId="28183"/>
    <cellStyle name="Процентный 4 2 63 6" xfId="28184"/>
    <cellStyle name="Обычный 5 2 63 6" xfId="28185"/>
    <cellStyle name="Процентный 5 2 63 6" xfId="28186"/>
    <cellStyle name="Обычный 6 60 6" xfId="28187"/>
    <cellStyle name="Процентный 6 60 6" xfId="28188"/>
    <cellStyle name="Обычный 7 30 6" xfId="28189"/>
    <cellStyle name="Процентный 7 30 6" xfId="28190"/>
    <cellStyle name="Обычный 4 3 22 6" xfId="28191"/>
    <cellStyle name="Процентный 4 3 22 6" xfId="28192"/>
    <cellStyle name="Обычный 5 3 22 6" xfId="28193"/>
    <cellStyle name="Процентный 5 3 22 6" xfId="28194"/>
    <cellStyle name="Обычный 4 2 2 22 6" xfId="28195"/>
    <cellStyle name="Процентный 4 2 2 22 6" xfId="28196"/>
    <cellStyle name="Обычный 5 2 2 22 6" xfId="28197"/>
    <cellStyle name="Процентный 5 2 2 22 6" xfId="28198"/>
    <cellStyle name="Обычный 6 2 22 6" xfId="28199"/>
    <cellStyle name="Процентный 6 2 22 6" xfId="28200"/>
    <cellStyle name="Обычный 7 2 22 6" xfId="28201"/>
    <cellStyle name="Процентный 7 2 22 6" xfId="28202"/>
    <cellStyle name="Обычный 8 18 6" xfId="28203"/>
    <cellStyle name="Процентный 8 18 6" xfId="28204"/>
    <cellStyle name="Обычный 4 77 6" xfId="28205"/>
    <cellStyle name="Процентный 4 77 6" xfId="28206"/>
    <cellStyle name="Обычный 5 70 6" xfId="28207"/>
    <cellStyle name="Процентный 5 70 6" xfId="28208"/>
    <cellStyle name="Обычный 4 2 64 6" xfId="28209"/>
    <cellStyle name="Процентный 4 2 64 6" xfId="28210"/>
    <cellStyle name="Обычный 5 2 64 6" xfId="28211"/>
    <cellStyle name="Процентный 5 2 64 6" xfId="28212"/>
    <cellStyle name="Обычный 6 61 6" xfId="28213"/>
    <cellStyle name="Процентный 6 61 6" xfId="28214"/>
    <cellStyle name="Обычный 7 31 6" xfId="28215"/>
    <cellStyle name="Процентный 7 31 6" xfId="28216"/>
    <cellStyle name="Обычный 4 3 23 6" xfId="28217"/>
    <cellStyle name="Процентный 4 3 23 6" xfId="28218"/>
    <cellStyle name="Обычный 5 3 23 6" xfId="28219"/>
    <cellStyle name="Процентный 5 3 23 6" xfId="28220"/>
    <cellStyle name="Обычный 4 2 2 23 6" xfId="28221"/>
    <cellStyle name="Процентный 4 2 2 23 6" xfId="28222"/>
    <cellStyle name="Обычный 5 2 2 23 6" xfId="28223"/>
    <cellStyle name="Процентный 5 2 2 23 6" xfId="28224"/>
    <cellStyle name="Обычный 6 2 23 6" xfId="28225"/>
    <cellStyle name="Процентный 6 2 23 6" xfId="28226"/>
    <cellStyle name="Обычный 7 2 23 6" xfId="28227"/>
    <cellStyle name="Процентный 7 2 23 6" xfId="28228"/>
    <cellStyle name="Обычный 8 19 6" xfId="28229"/>
    <cellStyle name="Процентный 8 19 6" xfId="28230"/>
    <cellStyle name="Обычный 4 78 6" xfId="28231"/>
    <cellStyle name="Процентный 4 78 6" xfId="28232"/>
    <cellStyle name="Обычный 5 71 6" xfId="28233"/>
    <cellStyle name="Процентный 5 71 6" xfId="28234"/>
    <cellStyle name="Обычный 4 2 65 6" xfId="28235"/>
    <cellStyle name="Процентный 4 2 65 6" xfId="28236"/>
    <cellStyle name="Обычный 5 2 65 6" xfId="28237"/>
    <cellStyle name="Процентный 5 2 65 6" xfId="28238"/>
    <cellStyle name="Обычный 6 62 6" xfId="28239"/>
    <cellStyle name="Процентный 6 62 6" xfId="28240"/>
    <cellStyle name="Обычный 7 32 6" xfId="28241"/>
    <cellStyle name="Процентный 7 32 6" xfId="28242"/>
    <cellStyle name="Обычный 4 3 24 6" xfId="28243"/>
    <cellStyle name="Процентный 4 3 24 6" xfId="28244"/>
    <cellStyle name="Обычный 5 3 24 6" xfId="28245"/>
    <cellStyle name="Процентный 5 3 24 6" xfId="28246"/>
    <cellStyle name="Обычный 4 2 2 24 6" xfId="28247"/>
    <cellStyle name="Процентный 4 2 2 24 6" xfId="28248"/>
    <cellStyle name="Обычный 5 2 2 24 6" xfId="28249"/>
    <cellStyle name="Процентный 5 2 2 24 6" xfId="28250"/>
    <cellStyle name="Обычный 6 2 24 6" xfId="28251"/>
    <cellStyle name="Процентный 6 2 24 6" xfId="28252"/>
    <cellStyle name="Обычный 7 2 24 6" xfId="28253"/>
    <cellStyle name="Процентный 7 2 24 6" xfId="28254"/>
    <cellStyle name="Обычный 8 20 6" xfId="28255"/>
    <cellStyle name="Процентный 8 20 6" xfId="28256"/>
    <cellStyle name="Обычный 4 79 6" xfId="28257"/>
    <cellStyle name="Процентный 4 79 6" xfId="28258"/>
    <cellStyle name="Обычный 5 72 6" xfId="28259"/>
    <cellStyle name="Процентный 5 72 6" xfId="28260"/>
    <cellStyle name="Обычный 4 2 66 6" xfId="28261"/>
    <cellStyle name="Процентный 4 2 66 6" xfId="28262"/>
    <cellStyle name="Обычный 5 2 66 6" xfId="28263"/>
    <cellStyle name="Процентный 5 2 66 6" xfId="28264"/>
    <cellStyle name="Обычный 6 63 6" xfId="28265"/>
    <cellStyle name="Процентный 6 63 6" xfId="28266"/>
    <cellStyle name="Обычный 7 33 6" xfId="28267"/>
    <cellStyle name="Процентный 7 33 6" xfId="28268"/>
    <cellStyle name="Обычный 4 3 25 6" xfId="28269"/>
    <cellStyle name="Процентный 4 3 25 6" xfId="28270"/>
    <cellStyle name="Обычный 5 3 25 6" xfId="28271"/>
    <cellStyle name="Процентный 5 3 25 6" xfId="28272"/>
    <cellStyle name="Обычный 4 2 2 25 6" xfId="28273"/>
    <cellStyle name="Процентный 4 2 2 25 6" xfId="28274"/>
    <cellStyle name="Обычный 5 2 2 25 6" xfId="28275"/>
    <cellStyle name="Процентный 5 2 2 25 6" xfId="28276"/>
    <cellStyle name="Обычный 6 2 25 6" xfId="28277"/>
    <cellStyle name="Процентный 6 2 25 6" xfId="28278"/>
    <cellStyle name="Обычный 7 2 25 6" xfId="28279"/>
    <cellStyle name="Процентный 7 2 25 6" xfId="28280"/>
    <cellStyle name="Обычный 8 21 6" xfId="28281"/>
    <cellStyle name="Процентный 8 21 6" xfId="28282"/>
    <cellStyle name="Обычный 4 80 6" xfId="28283"/>
    <cellStyle name="Процентный 4 80 6" xfId="28284"/>
    <cellStyle name="Обычный 5 73 6" xfId="28285"/>
    <cellStyle name="Процентный 5 73 6" xfId="28286"/>
    <cellStyle name="Обычный 4 2 67 6" xfId="28287"/>
    <cellStyle name="Процентный 4 2 67 6" xfId="28288"/>
    <cellStyle name="Обычный 5 2 67 6" xfId="28289"/>
    <cellStyle name="Процентный 5 2 67 6" xfId="28290"/>
    <cellStyle name="Обычный 6 64 6" xfId="28291"/>
    <cellStyle name="Процентный 6 64 6" xfId="28292"/>
    <cellStyle name="Обычный 7 34 6" xfId="28293"/>
    <cellStyle name="Процентный 7 34 6" xfId="28294"/>
    <cellStyle name="Обычный 4 3 26 6" xfId="28295"/>
    <cellStyle name="Процентный 4 3 26 6" xfId="28296"/>
    <cellStyle name="Обычный 5 3 26 6" xfId="28297"/>
    <cellStyle name="Процентный 5 3 26 6" xfId="28298"/>
    <cellStyle name="Обычный 4 2 2 26 6" xfId="28299"/>
    <cellStyle name="Процентный 4 2 2 26 6" xfId="28300"/>
    <cellStyle name="Обычный 5 2 2 26 6" xfId="28301"/>
    <cellStyle name="Процентный 5 2 2 26 6" xfId="28302"/>
    <cellStyle name="Обычный 6 2 26 6" xfId="28303"/>
    <cellStyle name="Процентный 6 2 26 6" xfId="28304"/>
    <cellStyle name="Обычный 7 2 26 6" xfId="28305"/>
    <cellStyle name="Процентный 7 2 26 6" xfId="28306"/>
    <cellStyle name="Обычный 8 22 6" xfId="28307"/>
    <cellStyle name="Процентный 8 22 6" xfId="28308"/>
    <cellStyle name="Обычный 4 81 6" xfId="28309"/>
    <cellStyle name="Процентный 4 81 6" xfId="28310"/>
    <cellStyle name="Обычный 5 74 6" xfId="28311"/>
    <cellStyle name="Процентный 5 74 6" xfId="28312"/>
    <cellStyle name="Обычный 4 2 68 6" xfId="28313"/>
    <cellStyle name="Процентный 4 2 68 6" xfId="28314"/>
    <cellStyle name="Обычный 5 2 68 6" xfId="28315"/>
    <cellStyle name="Процентный 5 2 68 6" xfId="28316"/>
    <cellStyle name="Обычный 6 65 6" xfId="28317"/>
    <cellStyle name="Процентный 6 65 6" xfId="28318"/>
    <cellStyle name="Обычный 7 35 6" xfId="28319"/>
    <cellStyle name="Процентный 7 35 6" xfId="28320"/>
    <cellStyle name="Обычный 4 3 27 6" xfId="28321"/>
    <cellStyle name="Процентный 4 3 27 6" xfId="28322"/>
    <cellStyle name="Обычный 5 3 27 6" xfId="28323"/>
    <cellStyle name="Процентный 5 3 27 6" xfId="28324"/>
    <cellStyle name="Обычный 4 2 2 27 6" xfId="28325"/>
    <cellStyle name="Процентный 4 2 2 27 6" xfId="28326"/>
    <cellStyle name="Обычный 5 2 2 27 6" xfId="28327"/>
    <cellStyle name="Процентный 5 2 2 27 6" xfId="28328"/>
    <cellStyle name="Обычный 6 2 27 6" xfId="28329"/>
    <cellStyle name="Процентный 6 2 27 6" xfId="28330"/>
    <cellStyle name="Обычный 7 2 27 6" xfId="28331"/>
    <cellStyle name="Процентный 7 2 27 6" xfId="28332"/>
    <cellStyle name="Обычный 8 23 6" xfId="28333"/>
    <cellStyle name="Процентный 8 23 6" xfId="28334"/>
    <cellStyle name="Обычный 4 82 6" xfId="28335"/>
    <cellStyle name="Процентный 4 82 6" xfId="28336"/>
    <cellStyle name="Обычный 5 75 6" xfId="28337"/>
    <cellStyle name="Процентный 5 75 6" xfId="28338"/>
    <cellStyle name="Обычный 4 2 69 6" xfId="28339"/>
    <cellStyle name="Процентный 4 2 69 6" xfId="28340"/>
    <cellStyle name="Обычный 5 2 69 6" xfId="28341"/>
    <cellStyle name="Процентный 5 2 69 6" xfId="28342"/>
    <cellStyle name="Обычный 6 66 6" xfId="28343"/>
    <cellStyle name="Процентный 6 66 6" xfId="28344"/>
    <cellStyle name="Обычный 7 36 6" xfId="28345"/>
    <cellStyle name="Процентный 7 36 6" xfId="28346"/>
    <cellStyle name="Обычный 4 3 28 6" xfId="28347"/>
    <cellStyle name="Процентный 4 3 28 6" xfId="28348"/>
    <cellStyle name="Обычный 5 3 28 6" xfId="28349"/>
    <cellStyle name="Процентный 5 3 28 6" xfId="28350"/>
    <cellStyle name="Обычный 4 2 2 28 6" xfId="28351"/>
    <cellStyle name="Процентный 4 2 2 28 6" xfId="28352"/>
    <cellStyle name="Обычный 5 2 2 28 6" xfId="28353"/>
    <cellStyle name="Процентный 5 2 2 28 6" xfId="28354"/>
    <cellStyle name="Обычный 6 2 28 6" xfId="28355"/>
    <cellStyle name="Процентный 6 2 28 6" xfId="28356"/>
    <cellStyle name="Обычный 7 2 28 6" xfId="28357"/>
    <cellStyle name="Процентный 7 2 28 6" xfId="28358"/>
    <cellStyle name="Обычный 8 24 6" xfId="28359"/>
    <cellStyle name="Процентный 8 24 6" xfId="28360"/>
    <cellStyle name="Обычный 4 83 6" xfId="28361"/>
    <cellStyle name="Процентный 4 83 6" xfId="28362"/>
    <cellStyle name="Обычный 5 76 6" xfId="28363"/>
    <cellStyle name="Процентный 5 76 6" xfId="28364"/>
    <cellStyle name="Обычный 4 2 70 6" xfId="28365"/>
    <cellStyle name="Процентный 4 2 70 6" xfId="28366"/>
    <cellStyle name="Обычный 5 2 70 6" xfId="28367"/>
    <cellStyle name="Процентный 5 2 70 6" xfId="28368"/>
    <cellStyle name="Обычный 6 67 6" xfId="28369"/>
    <cellStyle name="Процентный 6 67 6" xfId="28370"/>
    <cellStyle name="Обычный 7 37 6" xfId="28371"/>
    <cellStyle name="Процентный 7 37 6" xfId="28372"/>
    <cellStyle name="Обычный 4 3 29 6" xfId="28373"/>
    <cellStyle name="Процентный 4 3 29 6" xfId="28374"/>
    <cellStyle name="Обычный 5 3 29 6" xfId="28375"/>
    <cellStyle name="Процентный 5 3 29 6" xfId="28376"/>
    <cellStyle name="Обычный 4 2 2 29 6" xfId="28377"/>
    <cellStyle name="Процентный 4 2 2 29 6" xfId="28378"/>
    <cellStyle name="Обычный 5 2 2 29 6" xfId="28379"/>
    <cellStyle name="Процентный 5 2 2 29 6" xfId="28380"/>
    <cellStyle name="Обычный 6 2 29 6" xfId="28381"/>
    <cellStyle name="Процентный 6 2 29 6" xfId="28382"/>
    <cellStyle name="Обычный 7 2 29 6" xfId="28383"/>
    <cellStyle name="Процентный 7 2 29 6" xfId="28384"/>
    <cellStyle name="Обычный 8 25 6" xfId="28385"/>
    <cellStyle name="Процентный 8 25 6" xfId="28386"/>
    <cellStyle name="Обычный 4 84 6" xfId="28387"/>
    <cellStyle name="Процентный 4 84 6" xfId="28388"/>
    <cellStyle name="Обычный 5 77 6" xfId="28389"/>
    <cellStyle name="Процентный 5 77 6" xfId="28390"/>
    <cellStyle name="Обычный 4 2 71 6" xfId="28391"/>
    <cellStyle name="Процентный 4 2 71 6" xfId="28392"/>
    <cellStyle name="Обычный 5 2 71 6" xfId="28393"/>
    <cellStyle name="Процентный 5 2 71 6" xfId="28394"/>
    <cellStyle name="Обычный 6 68 6" xfId="28395"/>
    <cellStyle name="Процентный 6 68 6" xfId="28396"/>
    <cellStyle name="Обычный 7 38 6" xfId="28397"/>
    <cellStyle name="Процентный 7 38 6" xfId="28398"/>
    <cellStyle name="Обычный 4 3 30 6" xfId="28399"/>
    <cellStyle name="Процентный 4 3 30 6" xfId="28400"/>
    <cellStyle name="Обычный 5 3 30 6" xfId="28401"/>
    <cellStyle name="Процентный 5 3 30 6" xfId="28402"/>
    <cellStyle name="Обычный 4 2 2 30 6" xfId="28403"/>
    <cellStyle name="Процентный 4 2 2 30 6" xfId="28404"/>
    <cellStyle name="Обычный 5 2 2 30 6" xfId="28405"/>
    <cellStyle name="Процентный 5 2 2 30 6" xfId="28406"/>
    <cellStyle name="Обычный 6 2 30 6" xfId="28407"/>
    <cellStyle name="Процентный 6 2 30 6" xfId="28408"/>
    <cellStyle name="Обычный 7 2 30 6" xfId="28409"/>
    <cellStyle name="Процентный 7 2 30 6" xfId="28410"/>
    <cellStyle name="Обычный 8 26 6" xfId="28411"/>
    <cellStyle name="Процентный 8 26 6" xfId="28412"/>
    <cellStyle name="Обычный 4 85 6" xfId="28413"/>
    <cellStyle name="Процентный 4 85 6" xfId="28414"/>
    <cellStyle name="Обычный 5 78 6" xfId="28415"/>
    <cellStyle name="Процентный 5 78 6" xfId="28416"/>
    <cellStyle name="Обычный 4 2 72 6" xfId="28417"/>
    <cellStyle name="Процентный 4 2 72 6" xfId="28418"/>
    <cellStyle name="Обычный 5 2 72 6" xfId="28419"/>
    <cellStyle name="Процентный 5 2 72 6" xfId="28420"/>
    <cellStyle name="Обычный 6 69 6" xfId="28421"/>
    <cellStyle name="Процентный 6 69 6" xfId="28422"/>
    <cellStyle name="Обычный 7 39 6" xfId="28423"/>
    <cellStyle name="Процентный 7 39 6" xfId="28424"/>
    <cellStyle name="Обычный 4 3 31 6" xfId="28425"/>
    <cellStyle name="Процентный 4 3 31 6" xfId="28426"/>
    <cellStyle name="Обычный 5 3 31 6" xfId="28427"/>
    <cellStyle name="Процентный 5 3 31 6" xfId="28428"/>
    <cellStyle name="Обычный 4 2 2 31 6" xfId="28429"/>
    <cellStyle name="Процентный 4 2 2 31 6" xfId="28430"/>
    <cellStyle name="Обычный 5 2 2 31 6" xfId="28431"/>
    <cellStyle name="Процентный 5 2 2 31 6" xfId="28432"/>
    <cellStyle name="Обычный 6 2 31 6" xfId="28433"/>
    <cellStyle name="Процентный 6 2 31 6" xfId="28434"/>
    <cellStyle name="Обычный 7 2 31 6" xfId="28435"/>
    <cellStyle name="Процентный 7 2 31 6" xfId="28436"/>
    <cellStyle name="Обычный 8 27 6" xfId="28437"/>
    <cellStyle name="Процентный 8 27 6" xfId="28438"/>
    <cellStyle name="Обычный 4 86 6" xfId="28439"/>
    <cellStyle name="Процентный 4 86 6" xfId="28440"/>
    <cellStyle name="Обычный 5 79 6" xfId="28441"/>
    <cellStyle name="Процентный 5 79 6" xfId="28442"/>
    <cellStyle name="Обычный 4 2 73 6" xfId="28443"/>
    <cellStyle name="Процентный 4 2 73 6" xfId="28444"/>
    <cellStyle name="Обычный 5 2 73 6" xfId="28445"/>
    <cellStyle name="Процентный 5 2 73 6" xfId="28446"/>
    <cellStyle name="Обычный 6 70 6" xfId="28447"/>
    <cellStyle name="Процентный 6 70 6" xfId="28448"/>
    <cellStyle name="Обычный 7 40 6" xfId="28449"/>
    <cellStyle name="Процентный 7 40 6" xfId="28450"/>
    <cellStyle name="Обычный 4 3 32 6" xfId="28451"/>
    <cellStyle name="Процентный 4 3 32 6" xfId="28452"/>
    <cellStyle name="Обычный 5 3 32 6" xfId="28453"/>
    <cellStyle name="Процентный 5 3 32 6" xfId="28454"/>
    <cellStyle name="Обычный 4 2 2 32 6" xfId="28455"/>
    <cellStyle name="Процентный 4 2 2 32 6" xfId="28456"/>
    <cellStyle name="Обычный 5 2 2 32 6" xfId="28457"/>
    <cellStyle name="Процентный 5 2 2 32 6" xfId="28458"/>
    <cellStyle name="Обычный 6 2 32 6" xfId="28459"/>
    <cellStyle name="Процентный 6 2 32 6" xfId="28460"/>
    <cellStyle name="Обычный 7 2 32 6" xfId="28461"/>
    <cellStyle name="Процентный 7 2 32 6" xfId="28462"/>
    <cellStyle name="Обычный 8 28 6" xfId="28463"/>
    <cellStyle name="Процентный 8 28 6" xfId="28464"/>
    <cellStyle name="Обычный 4 87 6" xfId="28465"/>
    <cellStyle name="Процентный 4 87 6" xfId="28466"/>
    <cellStyle name="Обычный 5 80 6" xfId="28467"/>
    <cellStyle name="Процентный 5 80 6" xfId="28468"/>
    <cellStyle name="Обычный 4 2 74 6" xfId="28469"/>
    <cellStyle name="Процентный 4 2 74 6" xfId="28470"/>
    <cellStyle name="Обычный 5 2 74 6" xfId="28471"/>
    <cellStyle name="Процентный 5 2 74 6" xfId="28472"/>
    <cellStyle name="Обычный 6 71 6" xfId="28473"/>
    <cellStyle name="Процентный 6 71 6" xfId="28474"/>
    <cellStyle name="Обычный 7 41 6" xfId="28475"/>
    <cellStyle name="Процентный 7 41 6" xfId="28476"/>
    <cellStyle name="Обычный 4 3 33 6" xfId="28477"/>
    <cellStyle name="Процентный 4 3 33 6" xfId="28478"/>
    <cellStyle name="Обычный 5 3 33 6" xfId="28479"/>
    <cellStyle name="Процентный 5 3 33 6" xfId="28480"/>
    <cellStyle name="Обычный 4 2 2 33 6" xfId="28481"/>
    <cellStyle name="Процентный 4 2 2 33 6" xfId="28482"/>
    <cellStyle name="Обычный 5 2 2 33 6" xfId="28483"/>
    <cellStyle name="Процентный 5 2 2 33 6" xfId="28484"/>
    <cellStyle name="Обычный 6 2 33 6" xfId="28485"/>
    <cellStyle name="Процентный 6 2 33 6" xfId="28486"/>
    <cellStyle name="Обычный 7 2 33 6" xfId="28487"/>
    <cellStyle name="Процентный 7 2 33 6" xfId="28488"/>
    <cellStyle name="Обычный 8 29 6" xfId="28489"/>
    <cellStyle name="Процентный 8 29 6" xfId="28490"/>
    <cellStyle name="Обычный 4 88 6" xfId="28491"/>
    <cellStyle name="Процентный 4 88 6" xfId="28492"/>
    <cellStyle name="Обычный 5 81 6" xfId="28493"/>
    <cellStyle name="Процентный 5 81 6" xfId="28494"/>
    <cellStyle name="Обычный 4 2 75 6" xfId="28495"/>
    <cellStyle name="Процентный 4 2 75 6" xfId="28496"/>
    <cellStyle name="Обычный 5 2 75 6" xfId="28497"/>
    <cellStyle name="Процентный 5 2 75 6" xfId="28498"/>
    <cellStyle name="Обычный 6 72 6" xfId="28499"/>
    <cellStyle name="Процентный 6 72 6" xfId="28500"/>
    <cellStyle name="Обычный 7 42 6" xfId="28501"/>
    <cellStyle name="Процентный 7 42 6" xfId="28502"/>
    <cellStyle name="Обычный 4 3 34 6" xfId="28503"/>
    <cellStyle name="Процентный 4 3 34 6" xfId="28504"/>
    <cellStyle name="Обычный 5 3 34 6" xfId="28505"/>
    <cellStyle name="Процентный 5 3 34 6" xfId="28506"/>
    <cellStyle name="Обычный 4 2 2 34 6" xfId="28507"/>
    <cellStyle name="Процентный 4 2 2 34 6" xfId="28508"/>
    <cellStyle name="Обычный 5 2 2 34 6" xfId="28509"/>
    <cellStyle name="Процентный 5 2 2 34 6" xfId="28510"/>
    <cellStyle name="Обычный 6 2 34 6" xfId="28511"/>
    <cellStyle name="Процентный 6 2 34 6" xfId="28512"/>
    <cellStyle name="Обычный 7 2 34 6" xfId="28513"/>
    <cellStyle name="Процентный 7 2 34 6" xfId="28514"/>
    <cellStyle name="Обычный 8 30 6" xfId="28515"/>
    <cellStyle name="Процентный 8 30 6" xfId="28516"/>
    <cellStyle name="Обычный 4 89 6" xfId="28517"/>
    <cellStyle name="Процентный 4 89 6" xfId="28518"/>
    <cellStyle name="Обычный 5 82 6" xfId="28519"/>
    <cellStyle name="Процентный 5 82 6" xfId="28520"/>
    <cellStyle name="Обычный 4 2 76 6" xfId="28521"/>
    <cellStyle name="Процентный 4 2 76 6" xfId="28522"/>
    <cellStyle name="Обычный 5 2 76 6" xfId="28523"/>
    <cellStyle name="Процентный 5 2 76 6" xfId="28524"/>
    <cellStyle name="Обычный 6 73 6" xfId="28525"/>
    <cellStyle name="Процентный 6 73 6" xfId="28526"/>
    <cellStyle name="Обычный 7 43 6" xfId="28527"/>
    <cellStyle name="Процентный 7 43 6" xfId="28528"/>
    <cellStyle name="Обычный 4 3 35 6" xfId="28529"/>
    <cellStyle name="Процентный 4 3 35 6" xfId="28530"/>
    <cellStyle name="Обычный 5 3 35 6" xfId="28531"/>
    <cellStyle name="Процентный 5 3 35 6" xfId="28532"/>
    <cellStyle name="Обычный 4 2 2 35 6" xfId="28533"/>
    <cellStyle name="Процентный 4 2 2 35 6" xfId="28534"/>
    <cellStyle name="Обычный 5 2 2 35 6" xfId="28535"/>
    <cellStyle name="Процентный 5 2 2 35 6" xfId="28536"/>
    <cellStyle name="Обычный 6 2 35 6" xfId="28537"/>
    <cellStyle name="Процентный 6 2 35 6" xfId="28538"/>
    <cellStyle name="Обычный 7 2 35 6" xfId="28539"/>
    <cellStyle name="Процентный 7 2 35 6" xfId="28540"/>
    <cellStyle name="Обычный 8 31 6" xfId="28541"/>
    <cellStyle name="Процентный 8 31 6" xfId="28542"/>
    <cellStyle name="Обычный 4 90 6" xfId="28543"/>
    <cellStyle name="Процентный 4 90 6" xfId="28544"/>
    <cellStyle name="Обычный 5 83 6" xfId="28545"/>
    <cellStyle name="Процентный 5 83 6" xfId="28546"/>
    <cellStyle name="Обычный 4 2 77 6" xfId="28547"/>
    <cellStyle name="Процентный 4 2 77 6" xfId="28548"/>
    <cellStyle name="Обычный 5 2 77 6" xfId="28549"/>
    <cellStyle name="Процентный 5 2 77 6" xfId="28550"/>
    <cellStyle name="Обычный 6 74 6" xfId="28551"/>
    <cellStyle name="Процентный 6 74 6" xfId="28552"/>
    <cellStyle name="Обычный 7 44 6" xfId="28553"/>
    <cellStyle name="Процентный 7 44 6" xfId="28554"/>
    <cellStyle name="Обычный 4 3 36 6" xfId="28555"/>
    <cellStyle name="Процентный 4 3 36 6" xfId="28556"/>
    <cellStyle name="Обычный 5 3 36 6" xfId="28557"/>
    <cellStyle name="Процентный 5 3 36 6" xfId="28558"/>
    <cellStyle name="Обычный 4 2 2 36 6" xfId="28559"/>
    <cellStyle name="Процентный 4 2 2 36 6" xfId="28560"/>
    <cellStyle name="Обычный 5 2 2 36 6" xfId="28561"/>
    <cellStyle name="Процентный 5 2 2 36 6" xfId="28562"/>
    <cellStyle name="Обычный 6 2 36 6" xfId="28563"/>
    <cellStyle name="Процентный 6 2 36 6" xfId="28564"/>
    <cellStyle name="Обычный 7 2 36 6" xfId="28565"/>
    <cellStyle name="Процентный 7 2 36 6" xfId="28566"/>
    <cellStyle name="Обычный 8 32 6" xfId="28567"/>
    <cellStyle name="Процентный 8 32 6" xfId="28568"/>
    <cellStyle name="Обычный 4 91 6" xfId="28569"/>
    <cellStyle name="Процентный 4 91 6" xfId="28570"/>
    <cellStyle name="Обычный 5 84 6" xfId="28571"/>
    <cellStyle name="Процентный 5 84 6" xfId="28572"/>
    <cellStyle name="Обычный 4 2 78 6" xfId="28573"/>
    <cellStyle name="Процентный 4 2 78 6" xfId="28574"/>
    <cellStyle name="Обычный 5 2 78 6" xfId="28575"/>
    <cellStyle name="Процентный 5 2 78 6" xfId="28576"/>
    <cellStyle name="Обычный 6 75 6" xfId="28577"/>
    <cellStyle name="Процентный 6 75 6" xfId="28578"/>
    <cellStyle name="Обычный 7 45 6" xfId="28579"/>
    <cellStyle name="Процентный 7 45 6" xfId="28580"/>
    <cellStyle name="Обычный 4 3 37 6" xfId="28581"/>
    <cellStyle name="Процентный 4 3 37 6" xfId="28582"/>
    <cellStyle name="Обычный 5 3 37 6" xfId="28583"/>
    <cellStyle name="Процентный 5 3 37 6" xfId="28584"/>
    <cellStyle name="Обычный 4 2 2 37 6" xfId="28585"/>
    <cellStyle name="Процентный 4 2 2 37 6" xfId="28586"/>
    <cellStyle name="Обычный 5 2 2 37 6" xfId="28587"/>
    <cellStyle name="Процентный 5 2 2 37 6" xfId="28588"/>
    <cellStyle name="Обычный 6 2 37 6" xfId="28589"/>
    <cellStyle name="Процентный 6 2 37 6" xfId="28590"/>
    <cellStyle name="Обычный 7 2 37 6" xfId="28591"/>
    <cellStyle name="Процентный 7 2 37 6" xfId="28592"/>
    <cellStyle name="Обычный 8 33 6" xfId="28593"/>
    <cellStyle name="Процентный 8 33 6" xfId="28594"/>
    <cellStyle name="Обычный 4 92 6" xfId="28595"/>
    <cellStyle name="Процентный 4 92 6" xfId="28596"/>
    <cellStyle name="Обычный 5 85 6" xfId="28597"/>
    <cellStyle name="Процентный 5 85 6" xfId="28598"/>
    <cellStyle name="Обычный 4 2 79 6" xfId="28599"/>
    <cellStyle name="Процентный 4 2 79 6" xfId="28600"/>
    <cellStyle name="Обычный 5 2 79 6" xfId="28601"/>
    <cellStyle name="Процентный 5 2 79 6" xfId="28602"/>
    <cellStyle name="Обычный 6 76 6" xfId="28603"/>
    <cellStyle name="Процентный 6 76 6" xfId="28604"/>
    <cellStyle name="Обычный 7 46 6" xfId="28605"/>
    <cellStyle name="Процентный 7 46 6" xfId="28606"/>
    <cellStyle name="Обычный 4 3 38 6" xfId="28607"/>
    <cellStyle name="Процентный 4 3 38 6" xfId="28608"/>
    <cellStyle name="Обычный 5 3 38 6" xfId="28609"/>
    <cellStyle name="Процентный 5 3 38 6" xfId="28610"/>
    <cellStyle name="Обычный 4 2 2 38 6" xfId="28611"/>
    <cellStyle name="Процентный 4 2 2 38 6" xfId="28612"/>
    <cellStyle name="Обычный 5 2 2 38 6" xfId="28613"/>
    <cellStyle name="Процентный 5 2 2 38 6" xfId="28614"/>
    <cellStyle name="Обычный 6 2 38 6" xfId="28615"/>
    <cellStyle name="Процентный 6 2 38 6" xfId="28616"/>
    <cellStyle name="Обычный 7 2 38 6" xfId="28617"/>
    <cellStyle name="Процентный 7 2 38 6" xfId="28618"/>
    <cellStyle name="Обычный 8 34 6" xfId="28619"/>
    <cellStyle name="Процентный 8 34 6" xfId="28620"/>
    <cellStyle name="Обычный 4 93 6" xfId="28621"/>
    <cellStyle name="Процентный 4 93 6" xfId="28622"/>
    <cellStyle name="Обычный 5 86 6" xfId="28623"/>
    <cellStyle name="Процентный 5 86 6" xfId="28624"/>
    <cellStyle name="Обычный 4 2 80 6" xfId="28625"/>
    <cellStyle name="Процентный 4 2 80 6" xfId="28626"/>
    <cellStyle name="Обычный 5 2 80 6" xfId="28627"/>
    <cellStyle name="Процентный 5 2 80 6" xfId="28628"/>
    <cellStyle name="Обычный 6 77 6" xfId="28629"/>
    <cellStyle name="Процентный 6 77 6" xfId="28630"/>
    <cellStyle name="Обычный 7 47 6" xfId="28631"/>
    <cellStyle name="Процентный 7 47 6" xfId="28632"/>
    <cellStyle name="Обычный 4 3 39 6" xfId="28633"/>
    <cellStyle name="Процентный 4 3 39 6" xfId="28634"/>
    <cellStyle name="Обычный 5 3 39 6" xfId="28635"/>
    <cellStyle name="Процентный 5 3 39 6" xfId="28636"/>
    <cellStyle name="Обычный 4 2 2 39 6" xfId="28637"/>
    <cellStyle name="Процентный 4 2 2 39 6" xfId="28638"/>
    <cellStyle name="Обычный 5 2 2 39 6" xfId="28639"/>
    <cellStyle name="Процентный 5 2 2 39 6" xfId="28640"/>
    <cellStyle name="Обычный 6 2 39 6" xfId="28641"/>
    <cellStyle name="Процентный 6 2 39 6" xfId="28642"/>
    <cellStyle name="Обычный 7 2 39 6" xfId="28643"/>
    <cellStyle name="Процентный 7 2 39 6" xfId="28644"/>
    <cellStyle name="Обычный 8 35 6" xfId="28645"/>
    <cellStyle name="Процентный 8 35 6" xfId="28646"/>
    <cellStyle name="Обычный 9 115" xfId="28647"/>
    <cellStyle name="Процентный 9 2 6" xfId="28648"/>
    <cellStyle name="Обычный 4 94 6" xfId="28649"/>
    <cellStyle name="Процентный 4 94 6" xfId="28650"/>
    <cellStyle name="Обычный 5 87 6" xfId="28651"/>
    <cellStyle name="Процентный 5 87 6" xfId="28652"/>
    <cellStyle name="Обычный 4 2 81 6" xfId="28653"/>
    <cellStyle name="Процентный 4 2 81 6" xfId="28654"/>
    <cellStyle name="Обычный 5 2 81 6" xfId="28655"/>
    <cellStyle name="Процентный 5 2 81 6" xfId="28656"/>
    <cellStyle name="Обычный 6 78 6" xfId="28657"/>
    <cellStyle name="Процентный 6 78 6" xfId="28658"/>
    <cellStyle name="Обычный 7 48 6" xfId="28659"/>
    <cellStyle name="Процентный 7 48 6" xfId="28660"/>
    <cellStyle name="Обычный 4 3 40 6" xfId="28661"/>
    <cellStyle name="Процентный 4 3 40 6" xfId="28662"/>
    <cellStyle name="Обычный 5 3 40 6" xfId="28663"/>
    <cellStyle name="Процентный 5 3 40 6" xfId="28664"/>
    <cellStyle name="Обычный 4 2 2 40 6" xfId="28665"/>
    <cellStyle name="Процентный 4 2 2 40 6" xfId="28666"/>
    <cellStyle name="Обычный 5 2 2 40 6" xfId="28667"/>
    <cellStyle name="Процентный 5 2 2 40 6" xfId="28668"/>
    <cellStyle name="Обычный 6 2 40 6" xfId="28669"/>
    <cellStyle name="Процентный 6 2 40 6" xfId="28670"/>
    <cellStyle name="Обычный 7 2 40 6" xfId="28671"/>
    <cellStyle name="Процентный 7 2 40 6" xfId="28672"/>
    <cellStyle name="Обычный 8 36 6" xfId="28673"/>
    <cellStyle name="Процентный 8 36 6" xfId="28674"/>
    <cellStyle name="Обычный 9 2 6" xfId="28675"/>
    <cellStyle name="Процентный 9 3 6" xfId="28676"/>
    <cellStyle name="Обычный 4 95 6" xfId="28677"/>
    <cellStyle name="Процентный 4 95 6" xfId="28678"/>
    <cellStyle name="Обычный 5 88 6" xfId="28679"/>
    <cellStyle name="Процентный 5 88 6" xfId="28680"/>
    <cellStyle name="Обычный 4 2 82 6" xfId="28681"/>
    <cellStyle name="Процентный 4 2 82 6" xfId="28682"/>
    <cellStyle name="Обычный 5 2 82 6" xfId="28683"/>
    <cellStyle name="Процентный 5 2 82 6" xfId="28684"/>
    <cellStyle name="Обычный 6 79 6" xfId="28685"/>
    <cellStyle name="Процентный 6 79 6" xfId="28686"/>
    <cellStyle name="Обычный 7 49 6" xfId="28687"/>
    <cellStyle name="Процентный 7 49 6" xfId="28688"/>
    <cellStyle name="Обычный 4 3 41 6" xfId="28689"/>
    <cellStyle name="Процентный 4 3 41 6" xfId="28690"/>
    <cellStyle name="Обычный 5 3 41 6" xfId="28691"/>
    <cellStyle name="Процентный 5 3 41 6" xfId="28692"/>
    <cellStyle name="Обычный 4 2 2 41 6" xfId="28693"/>
    <cellStyle name="Процентный 4 2 2 41 6" xfId="28694"/>
    <cellStyle name="Обычный 5 2 2 41 6" xfId="28695"/>
    <cellStyle name="Процентный 5 2 2 41 6" xfId="28696"/>
    <cellStyle name="Обычный 6 2 41 6" xfId="28697"/>
    <cellStyle name="Процентный 6 2 41 6" xfId="28698"/>
    <cellStyle name="Обычный 7 2 41 6" xfId="28699"/>
    <cellStyle name="Процентный 7 2 41 6" xfId="28700"/>
    <cellStyle name="Обычный 8 37 6" xfId="28701"/>
    <cellStyle name="Процентный 8 37 6" xfId="28702"/>
    <cellStyle name="Обычный 9 3 6" xfId="28703"/>
    <cellStyle name="Процентный 9 4 6" xfId="28704"/>
    <cellStyle name="Обычный 4 96 6" xfId="28705"/>
    <cellStyle name="Процентный 4 96 6" xfId="28706"/>
    <cellStyle name="Обычный 5 89 6" xfId="28707"/>
    <cellStyle name="Процентный 5 89 6" xfId="28708"/>
    <cellStyle name="Обычный 4 2 83 6" xfId="28709"/>
    <cellStyle name="Процентный 4 2 83 6" xfId="28710"/>
    <cellStyle name="Обычный 5 2 83 6" xfId="28711"/>
    <cellStyle name="Процентный 5 2 83 6" xfId="28712"/>
    <cellStyle name="Обычный 6 80 6" xfId="28713"/>
    <cellStyle name="Процентный 6 80 6" xfId="28714"/>
    <cellStyle name="Обычный 7 50 6" xfId="28715"/>
    <cellStyle name="Процентный 7 50 6" xfId="28716"/>
    <cellStyle name="Обычный 4 3 42 6" xfId="28717"/>
    <cellStyle name="Процентный 4 3 42 6" xfId="28718"/>
    <cellStyle name="Обычный 5 3 42 6" xfId="28719"/>
    <cellStyle name="Процентный 5 3 42 6" xfId="28720"/>
    <cellStyle name="Обычный 4 2 2 42 6" xfId="28721"/>
    <cellStyle name="Процентный 4 2 2 42 6" xfId="28722"/>
    <cellStyle name="Обычный 5 2 2 42 6" xfId="28723"/>
    <cellStyle name="Процентный 5 2 2 42 6" xfId="28724"/>
    <cellStyle name="Обычный 6 2 42 6" xfId="28725"/>
    <cellStyle name="Процентный 6 2 42 6" xfId="28726"/>
    <cellStyle name="Обычный 7 2 42 6" xfId="28727"/>
    <cellStyle name="Процентный 7 2 42 6" xfId="28728"/>
    <cellStyle name="Обычный 8 38 6" xfId="28729"/>
    <cellStyle name="Процентный 8 38 6" xfId="28730"/>
    <cellStyle name="Обычный 9 4 6" xfId="28731"/>
    <cellStyle name="Процентный 9 5 6" xfId="28732"/>
    <cellStyle name="Обычный 4 97 6" xfId="28733"/>
    <cellStyle name="Процентный 4 97 6" xfId="28734"/>
    <cellStyle name="Обычный 5 90 6" xfId="28735"/>
    <cellStyle name="Процентный 5 90 6" xfId="28736"/>
    <cellStyle name="Обычный 4 2 84 6" xfId="28737"/>
    <cellStyle name="Процентный 4 2 84 6" xfId="28738"/>
    <cellStyle name="Обычный 5 2 84 6" xfId="28739"/>
    <cellStyle name="Процентный 5 2 84 6" xfId="28740"/>
    <cellStyle name="Обычный 6 81 6" xfId="28741"/>
    <cellStyle name="Процентный 6 81 6" xfId="28742"/>
    <cellStyle name="Обычный 7 51 6" xfId="28743"/>
    <cellStyle name="Процентный 7 51 6" xfId="28744"/>
    <cellStyle name="Обычный 4 3 43 6" xfId="28745"/>
    <cellStyle name="Процентный 4 3 43 6" xfId="28746"/>
    <cellStyle name="Обычный 5 3 43 6" xfId="28747"/>
    <cellStyle name="Процентный 5 3 43 6" xfId="28748"/>
    <cellStyle name="Обычный 4 2 2 43 6" xfId="28749"/>
    <cellStyle name="Процентный 4 2 2 43 6" xfId="28750"/>
    <cellStyle name="Обычный 5 2 2 43 6" xfId="28751"/>
    <cellStyle name="Процентный 5 2 2 43 6" xfId="28752"/>
    <cellStyle name="Обычный 6 2 43 6" xfId="28753"/>
    <cellStyle name="Процентный 6 2 43 6" xfId="28754"/>
    <cellStyle name="Обычный 7 2 43 6" xfId="28755"/>
    <cellStyle name="Процентный 7 2 43 6" xfId="28756"/>
    <cellStyle name="Обычный 8 39 6" xfId="28757"/>
    <cellStyle name="Процентный 8 39 6" xfId="28758"/>
    <cellStyle name="Обычный 9 5 6" xfId="28759"/>
    <cellStyle name="Процентный 9 6 6" xfId="28760"/>
    <cellStyle name="Обычный 4 98 6" xfId="28761"/>
    <cellStyle name="Процентный 4 98 6" xfId="28762"/>
    <cellStyle name="Обычный 5 91 6" xfId="28763"/>
    <cellStyle name="Процентный 5 91 6" xfId="28764"/>
    <cellStyle name="Обычный 4 2 85 6" xfId="28765"/>
    <cellStyle name="Процентный 4 2 85 6" xfId="28766"/>
    <cellStyle name="Обычный 5 2 85 6" xfId="28767"/>
    <cellStyle name="Процентный 5 2 85 6" xfId="28768"/>
    <cellStyle name="Обычный 6 82 6" xfId="28769"/>
    <cellStyle name="Процентный 6 82 6" xfId="28770"/>
    <cellStyle name="Обычный 7 52 6" xfId="28771"/>
    <cellStyle name="Процентный 7 52 6" xfId="28772"/>
    <cellStyle name="Обычный 4 3 44 6" xfId="28773"/>
    <cellStyle name="Процентный 4 3 44 6" xfId="28774"/>
    <cellStyle name="Обычный 5 3 44 6" xfId="28775"/>
    <cellStyle name="Процентный 5 3 44 6" xfId="28776"/>
    <cellStyle name="Обычный 4 2 2 44 6" xfId="28777"/>
    <cellStyle name="Процентный 4 2 2 44 6" xfId="28778"/>
    <cellStyle name="Обычный 5 2 2 44 6" xfId="28779"/>
    <cellStyle name="Процентный 5 2 2 44 6" xfId="28780"/>
    <cellStyle name="Обычный 6 2 44 6" xfId="28781"/>
    <cellStyle name="Процентный 6 2 44 6" xfId="28782"/>
    <cellStyle name="Обычный 7 2 44 6" xfId="28783"/>
    <cellStyle name="Процентный 7 2 44 6" xfId="28784"/>
    <cellStyle name="Обычный 8 40 6" xfId="28785"/>
    <cellStyle name="Процентный 8 40 6" xfId="28786"/>
    <cellStyle name="Обычный 9 6 6" xfId="28787"/>
    <cellStyle name="Процентный 9 7 6" xfId="28788"/>
    <cellStyle name="Обычный 4 99 6" xfId="28789"/>
    <cellStyle name="Процентный 4 99 6" xfId="28790"/>
    <cellStyle name="Обычный 5 92 6" xfId="28791"/>
    <cellStyle name="Процентный 5 92 6" xfId="28792"/>
    <cellStyle name="Обычный 4 2 86 6" xfId="28793"/>
    <cellStyle name="Процентный 4 2 86 6" xfId="28794"/>
    <cellStyle name="Обычный 5 2 86 6" xfId="28795"/>
    <cellStyle name="Процентный 5 2 86 6" xfId="28796"/>
    <cellStyle name="Обычный 6 83 6" xfId="28797"/>
    <cellStyle name="Процентный 6 83 6" xfId="28798"/>
    <cellStyle name="Обычный 7 53 6" xfId="28799"/>
    <cellStyle name="Процентный 7 53 6" xfId="28800"/>
    <cellStyle name="Обычный 4 3 45 6" xfId="28801"/>
    <cellStyle name="Процентный 4 3 45 6" xfId="28802"/>
    <cellStyle name="Обычный 5 3 45 6" xfId="28803"/>
    <cellStyle name="Процентный 5 3 45 6" xfId="28804"/>
    <cellStyle name="Обычный 4 2 2 45 6" xfId="28805"/>
    <cellStyle name="Процентный 4 2 2 45 6" xfId="28806"/>
    <cellStyle name="Обычный 5 2 2 45 6" xfId="28807"/>
    <cellStyle name="Процентный 5 2 2 45 6" xfId="28808"/>
    <cellStyle name="Обычный 6 2 45 6" xfId="28809"/>
    <cellStyle name="Процентный 6 2 45 6" xfId="28810"/>
    <cellStyle name="Обычный 7 2 45 6" xfId="28811"/>
    <cellStyle name="Процентный 7 2 45 6" xfId="28812"/>
    <cellStyle name="Обычный 8 41 6" xfId="28813"/>
    <cellStyle name="Процентный 8 41 6" xfId="28814"/>
    <cellStyle name="Обычный 9 7 6" xfId="28815"/>
    <cellStyle name="Процентный 9 8 6" xfId="28816"/>
    <cellStyle name="Обычный 4 100 6" xfId="28817"/>
    <cellStyle name="Процентный 4 100 6" xfId="28818"/>
    <cellStyle name="Обычный 5 93 6" xfId="28819"/>
    <cellStyle name="Процентный 5 93 6" xfId="28820"/>
    <cellStyle name="Обычный 4 2 87 6" xfId="28821"/>
    <cellStyle name="Процентный 4 2 87 6" xfId="28822"/>
    <cellStyle name="Обычный 5 2 87 6" xfId="28823"/>
    <cellStyle name="Процентный 5 2 87 6" xfId="28824"/>
    <cellStyle name="Обычный 6 84 6" xfId="28825"/>
    <cellStyle name="Процентный 6 84 6" xfId="28826"/>
    <cellStyle name="Обычный 7 54 6" xfId="28827"/>
    <cellStyle name="Процентный 7 54 6" xfId="28828"/>
    <cellStyle name="Обычный 4 3 46 6" xfId="28829"/>
    <cellStyle name="Процентный 4 3 46 6" xfId="28830"/>
    <cellStyle name="Обычный 5 3 46 6" xfId="28831"/>
    <cellStyle name="Процентный 5 3 46 6" xfId="28832"/>
    <cellStyle name="Обычный 4 2 2 46 6" xfId="28833"/>
    <cellStyle name="Процентный 4 2 2 46 6" xfId="28834"/>
    <cellStyle name="Обычный 5 2 2 46 6" xfId="28835"/>
    <cellStyle name="Процентный 5 2 2 46 6" xfId="28836"/>
    <cellStyle name="Обычный 6 2 46 6" xfId="28837"/>
    <cellStyle name="Процентный 6 2 46 6" xfId="28838"/>
    <cellStyle name="Обычный 7 2 46 6" xfId="28839"/>
    <cellStyle name="Процентный 7 2 46 6" xfId="28840"/>
    <cellStyle name="Обычный 8 42 6" xfId="28841"/>
    <cellStyle name="Процентный 8 42 6" xfId="28842"/>
    <cellStyle name="Обычный 9 8 6" xfId="28843"/>
    <cellStyle name="Процентный 9 9 6" xfId="28844"/>
    <cellStyle name="Обычный 10 108" xfId="28845"/>
    <cellStyle name="Процентный 10 108" xfId="28846"/>
    <cellStyle name="Обычный 4 101 6" xfId="28847"/>
    <cellStyle name="Процентный 4 101 6" xfId="28848"/>
    <cellStyle name="Обычный 5 94 6" xfId="28849"/>
    <cellStyle name="Процентный 5 94 6" xfId="28850"/>
    <cellStyle name="Обычный 4 2 88 6" xfId="28851"/>
    <cellStyle name="Процентный 4 2 88 6" xfId="28852"/>
    <cellStyle name="Обычный 5 2 88 6" xfId="28853"/>
    <cellStyle name="Процентный 5 2 88 6" xfId="28854"/>
    <cellStyle name="Обычный 6 85 6" xfId="28855"/>
    <cellStyle name="Процентный 6 85 6" xfId="28856"/>
    <cellStyle name="Обычный 7 55 6" xfId="28857"/>
    <cellStyle name="Процентный 7 55 6" xfId="28858"/>
    <cellStyle name="Обычный 4 3 47 6" xfId="28859"/>
    <cellStyle name="Процентный 4 3 47 6" xfId="28860"/>
    <cellStyle name="Обычный 5 3 47 6" xfId="28861"/>
    <cellStyle name="Процентный 5 3 47 6" xfId="28862"/>
    <cellStyle name="Обычный 4 2 2 47 6" xfId="28863"/>
    <cellStyle name="Процентный 4 2 2 47 6" xfId="28864"/>
    <cellStyle name="Обычный 5 2 2 47 6" xfId="28865"/>
    <cellStyle name="Процентный 5 2 2 47 6" xfId="28866"/>
    <cellStyle name="Обычный 6 2 47 6" xfId="28867"/>
    <cellStyle name="Процентный 6 2 47 6" xfId="28868"/>
    <cellStyle name="Обычный 7 2 47 6" xfId="28869"/>
    <cellStyle name="Процентный 7 2 47 6" xfId="28870"/>
    <cellStyle name="Обычный 8 43 6" xfId="28871"/>
    <cellStyle name="Процентный 8 43 6" xfId="28872"/>
    <cellStyle name="Обычный 9 9 6" xfId="28873"/>
    <cellStyle name="Процентный 9 10 6" xfId="28874"/>
    <cellStyle name="Обычный 10 2 6" xfId="28875"/>
    <cellStyle name="Процентный 10 2 6" xfId="28876"/>
    <cellStyle name="Обычный 4 102 6" xfId="28877"/>
    <cellStyle name="Процентный 4 102 6" xfId="28878"/>
    <cellStyle name="Обычный 5 95 6" xfId="28879"/>
    <cellStyle name="Процентный 5 95 6" xfId="28880"/>
    <cellStyle name="Обычный 4 2 89 6" xfId="28881"/>
    <cellStyle name="Процентный 4 2 89 6" xfId="28882"/>
    <cellStyle name="Обычный 5 2 89 6" xfId="28883"/>
    <cellStyle name="Процентный 5 2 89 6" xfId="28884"/>
    <cellStyle name="Обычный 6 86 6" xfId="28885"/>
    <cellStyle name="Процентный 6 86 6" xfId="28886"/>
    <cellStyle name="Обычный 7 56 6" xfId="28887"/>
    <cellStyle name="Процентный 7 56 6" xfId="28888"/>
    <cellStyle name="Обычный 4 3 48 6" xfId="28889"/>
    <cellStyle name="Процентный 4 3 48 6" xfId="28890"/>
    <cellStyle name="Обычный 5 3 48 6" xfId="28891"/>
    <cellStyle name="Процентный 5 3 48 6" xfId="28892"/>
    <cellStyle name="Обычный 4 2 2 48 6" xfId="28893"/>
    <cellStyle name="Процентный 4 2 2 48 6" xfId="28894"/>
    <cellStyle name="Обычный 5 2 2 48 6" xfId="28895"/>
    <cellStyle name="Процентный 5 2 2 48 6" xfId="28896"/>
    <cellStyle name="Обычный 6 2 48 6" xfId="28897"/>
    <cellStyle name="Процентный 6 2 48 6" xfId="28898"/>
    <cellStyle name="Обычный 7 2 48 6" xfId="28899"/>
    <cellStyle name="Процентный 7 2 48 6" xfId="28900"/>
    <cellStyle name="Обычный 8 44 6" xfId="28901"/>
    <cellStyle name="Процентный 8 44 6" xfId="28902"/>
    <cellStyle name="Обычный 9 10 6" xfId="28903"/>
    <cellStyle name="Процентный 9 11 6" xfId="28904"/>
    <cellStyle name="Обычный 10 3 6" xfId="28905"/>
    <cellStyle name="Процентный 10 3 6" xfId="28906"/>
    <cellStyle name="Обычный 4 103 6" xfId="28907"/>
    <cellStyle name="Процентный 4 103 6" xfId="28908"/>
    <cellStyle name="Обычный 5 96 6" xfId="28909"/>
    <cellStyle name="Процентный 5 96 6" xfId="28910"/>
    <cellStyle name="Обычный 4 2 90 6" xfId="28911"/>
    <cellStyle name="Процентный 4 2 90 6" xfId="28912"/>
    <cellStyle name="Обычный 5 2 90 6" xfId="28913"/>
    <cellStyle name="Процентный 5 2 90 6" xfId="28914"/>
    <cellStyle name="Обычный 6 87 6" xfId="28915"/>
    <cellStyle name="Процентный 6 87 6" xfId="28916"/>
    <cellStyle name="Обычный 7 57 6" xfId="28917"/>
    <cellStyle name="Процентный 7 57 6" xfId="28918"/>
    <cellStyle name="Обычный 4 3 49 6" xfId="28919"/>
    <cellStyle name="Процентный 4 3 49 6" xfId="28920"/>
    <cellStyle name="Обычный 5 3 49 6" xfId="28921"/>
    <cellStyle name="Процентный 5 3 49 6" xfId="28922"/>
    <cellStyle name="Обычный 4 2 2 49 6" xfId="28923"/>
    <cellStyle name="Процентный 4 2 2 49 6" xfId="28924"/>
    <cellStyle name="Обычный 5 2 2 49 6" xfId="28925"/>
    <cellStyle name="Процентный 5 2 2 49 6" xfId="28926"/>
    <cellStyle name="Обычный 6 2 49 6" xfId="28927"/>
    <cellStyle name="Процентный 6 2 49 6" xfId="28928"/>
    <cellStyle name="Обычный 7 2 49 6" xfId="28929"/>
    <cellStyle name="Процентный 7 2 49 6" xfId="28930"/>
    <cellStyle name="Обычный 8 45 6" xfId="28931"/>
    <cellStyle name="Процентный 8 45 6" xfId="28932"/>
    <cellStyle name="Обычный 9 11 6" xfId="28933"/>
    <cellStyle name="Процентный 9 12 6" xfId="28934"/>
    <cellStyle name="Обычный 10 4 6" xfId="28935"/>
    <cellStyle name="Процентный 10 4 6" xfId="28936"/>
    <cellStyle name="Обычный 4 104 6" xfId="28937"/>
    <cellStyle name="Процентный 4 104 6" xfId="28938"/>
    <cellStyle name="Обычный 5 97 6" xfId="28939"/>
    <cellStyle name="Процентный 5 97 6" xfId="28940"/>
    <cellStyle name="Обычный 4 2 91 6" xfId="28941"/>
    <cellStyle name="Процентный 4 2 91 6" xfId="28942"/>
    <cellStyle name="Обычный 5 2 91 6" xfId="28943"/>
    <cellStyle name="Процентный 5 2 91 6" xfId="28944"/>
    <cellStyle name="Обычный 6 88 6" xfId="28945"/>
    <cellStyle name="Процентный 6 88 6" xfId="28946"/>
    <cellStyle name="Обычный 7 58 6" xfId="28947"/>
    <cellStyle name="Процентный 7 58 6" xfId="28948"/>
    <cellStyle name="Обычный 4 3 50 6" xfId="28949"/>
    <cellStyle name="Процентный 4 3 50 6" xfId="28950"/>
    <cellStyle name="Обычный 5 3 50 6" xfId="28951"/>
    <cellStyle name="Процентный 5 3 50 6" xfId="28952"/>
    <cellStyle name="Обычный 4 2 2 50 6" xfId="28953"/>
    <cellStyle name="Процентный 4 2 2 50 6" xfId="28954"/>
    <cellStyle name="Обычный 5 2 2 50 6" xfId="28955"/>
    <cellStyle name="Процентный 5 2 2 50 6" xfId="28956"/>
    <cellStyle name="Обычный 6 2 50 6" xfId="28957"/>
    <cellStyle name="Процентный 6 2 50 6" xfId="28958"/>
    <cellStyle name="Обычный 7 2 50 6" xfId="28959"/>
    <cellStyle name="Процентный 7 2 50 6" xfId="28960"/>
    <cellStyle name="Обычный 8 46 6" xfId="28961"/>
    <cellStyle name="Процентный 8 46 6" xfId="28962"/>
    <cellStyle name="Обычный 9 12 6" xfId="28963"/>
    <cellStyle name="Процентный 9 13 6" xfId="28964"/>
    <cellStyle name="Обычный 10 5 6" xfId="28965"/>
    <cellStyle name="Процентный 10 5 6" xfId="28966"/>
    <cellStyle name="Обычный 4 105 6" xfId="28967"/>
    <cellStyle name="Процентный 4 105 6" xfId="28968"/>
    <cellStyle name="Обычный 5 98 6" xfId="28969"/>
    <cellStyle name="Процентный 5 98 6" xfId="28970"/>
    <cellStyle name="Обычный 4 2 92 6" xfId="28971"/>
    <cellStyle name="Процентный 4 2 92 6" xfId="28972"/>
    <cellStyle name="Обычный 5 2 92 6" xfId="28973"/>
    <cellStyle name="Процентный 5 2 92 6" xfId="28974"/>
    <cellStyle name="Обычный 6 89 6" xfId="28975"/>
    <cellStyle name="Процентный 6 89 6" xfId="28976"/>
    <cellStyle name="Обычный 7 59 6" xfId="28977"/>
    <cellStyle name="Процентный 7 59 6" xfId="28978"/>
    <cellStyle name="Обычный 4 3 51 6" xfId="28979"/>
    <cellStyle name="Процентный 4 3 51 6" xfId="28980"/>
    <cellStyle name="Обычный 5 3 51 6" xfId="28981"/>
    <cellStyle name="Процентный 5 3 51 6" xfId="28982"/>
    <cellStyle name="Обычный 4 2 2 51 6" xfId="28983"/>
    <cellStyle name="Процентный 4 2 2 51 6" xfId="28984"/>
    <cellStyle name="Обычный 5 2 2 51 6" xfId="28985"/>
    <cellStyle name="Процентный 5 2 2 51 6" xfId="28986"/>
    <cellStyle name="Обычный 6 2 51 6" xfId="28987"/>
    <cellStyle name="Процентный 6 2 51 6" xfId="28988"/>
    <cellStyle name="Обычный 7 2 51 6" xfId="28989"/>
    <cellStyle name="Процентный 7 2 51 6" xfId="28990"/>
    <cellStyle name="Обычный 8 47 6" xfId="28991"/>
    <cellStyle name="Процентный 8 47 6" xfId="28992"/>
    <cellStyle name="Обычный 9 13 6" xfId="28993"/>
    <cellStyle name="Процентный 9 14 6" xfId="28994"/>
    <cellStyle name="Обычный 10 6 6" xfId="28995"/>
    <cellStyle name="Процентный 10 6 6" xfId="28996"/>
    <cellStyle name="Обычный 4 106 6" xfId="28997"/>
    <cellStyle name="Процентный 4 106 6" xfId="28998"/>
    <cellStyle name="Обычный 5 99 6" xfId="28999"/>
    <cellStyle name="Процентный 5 99 6" xfId="29000"/>
    <cellStyle name="Обычный 4 2 93 6" xfId="29001"/>
    <cellStyle name="Процентный 4 2 93 6" xfId="29002"/>
    <cellStyle name="Обычный 5 2 93 6" xfId="29003"/>
    <cellStyle name="Процентный 5 2 93 6" xfId="29004"/>
    <cellStyle name="Обычный 6 90 6" xfId="29005"/>
    <cellStyle name="Процентный 6 90 6" xfId="29006"/>
    <cellStyle name="Обычный 7 60 6" xfId="29007"/>
    <cellStyle name="Процентный 7 60 6" xfId="29008"/>
    <cellStyle name="Обычный 4 3 52 6" xfId="29009"/>
    <cellStyle name="Процентный 4 3 52 6" xfId="29010"/>
    <cellStyle name="Обычный 5 3 52 6" xfId="29011"/>
    <cellStyle name="Процентный 5 3 52 6" xfId="29012"/>
    <cellStyle name="Обычный 4 2 2 52 6" xfId="29013"/>
    <cellStyle name="Процентный 4 2 2 52 6" xfId="29014"/>
    <cellStyle name="Обычный 5 2 2 52 6" xfId="29015"/>
    <cellStyle name="Процентный 5 2 2 52 6" xfId="29016"/>
    <cellStyle name="Обычный 6 2 52 6" xfId="29017"/>
    <cellStyle name="Процентный 6 2 52 6" xfId="29018"/>
    <cellStyle name="Обычный 7 2 52 6" xfId="29019"/>
    <cellStyle name="Процентный 7 2 52 6" xfId="29020"/>
    <cellStyle name="Обычный 8 48 6" xfId="29021"/>
    <cellStyle name="Процентный 8 48 6" xfId="29022"/>
    <cellStyle name="Обычный 9 14 6" xfId="29023"/>
    <cellStyle name="Процентный 9 15 6" xfId="29024"/>
    <cellStyle name="Обычный 10 7 6" xfId="29025"/>
    <cellStyle name="Процентный 10 7 6" xfId="29026"/>
    <cellStyle name="Обычный 4 107 6" xfId="29027"/>
    <cellStyle name="Процентный 4 107 6" xfId="29028"/>
    <cellStyle name="Обычный 5 100 6" xfId="29029"/>
    <cellStyle name="Процентный 5 100 6" xfId="29030"/>
    <cellStyle name="Обычный 4 2 94 6" xfId="29031"/>
    <cellStyle name="Процентный 4 2 94 6" xfId="29032"/>
    <cellStyle name="Обычный 5 2 94 6" xfId="29033"/>
    <cellStyle name="Процентный 5 2 94 6" xfId="29034"/>
    <cellStyle name="Обычный 6 91 6" xfId="29035"/>
    <cellStyle name="Процентный 6 91 6" xfId="29036"/>
    <cellStyle name="Обычный 7 61 6" xfId="29037"/>
    <cellStyle name="Процентный 7 61 6" xfId="29038"/>
    <cellStyle name="Обычный 4 3 53 6" xfId="29039"/>
    <cellStyle name="Процентный 4 3 53 6" xfId="29040"/>
    <cellStyle name="Обычный 5 3 53 6" xfId="29041"/>
    <cellStyle name="Процентный 5 3 53 6" xfId="29042"/>
    <cellStyle name="Обычный 4 2 2 53 6" xfId="29043"/>
    <cellStyle name="Процентный 4 2 2 53 6" xfId="29044"/>
    <cellStyle name="Обычный 5 2 2 53 6" xfId="29045"/>
    <cellStyle name="Процентный 5 2 2 53 6" xfId="29046"/>
    <cellStyle name="Обычный 6 2 53 6" xfId="29047"/>
    <cellStyle name="Процентный 6 2 53 6" xfId="29048"/>
    <cellStyle name="Обычный 7 2 53 6" xfId="29049"/>
    <cellStyle name="Процентный 7 2 53 6" xfId="29050"/>
    <cellStyle name="Обычный 8 49 6" xfId="29051"/>
    <cellStyle name="Процентный 8 49 6" xfId="29052"/>
    <cellStyle name="Обычный 9 15 6" xfId="29053"/>
    <cellStyle name="Процентный 9 16 6" xfId="29054"/>
    <cellStyle name="Обычный 10 8 6" xfId="29055"/>
    <cellStyle name="Процентный 10 8 6" xfId="29056"/>
    <cellStyle name="Обычный 4 108 6" xfId="29057"/>
    <cellStyle name="Процентный 4 108 6" xfId="29058"/>
    <cellStyle name="Обычный 5 101 6" xfId="29059"/>
    <cellStyle name="Процентный 5 101 6" xfId="29060"/>
    <cellStyle name="Обычный 4 2 95 6" xfId="29061"/>
    <cellStyle name="Процентный 4 2 95 6" xfId="29062"/>
    <cellStyle name="Обычный 5 2 95 6" xfId="29063"/>
    <cellStyle name="Процентный 5 2 95 6" xfId="29064"/>
    <cellStyle name="Обычный 6 92 6" xfId="29065"/>
    <cellStyle name="Процентный 6 92 6" xfId="29066"/>
    <cellStyle name="Обычный 7 62 6" xfId="29067"/>
    <cellStyle name="Процентный 7 62 6" xfId="29068"/>
    <cellStyle name="Обычный 4 3 54 6" xfId="29069"/>
    <cellStyle name="Процентный 4 3 54 6" xfId="29070"/>
    <cellStyle name="Обычный 5 3 54 6" xfId="29071"/>
    <cellStyle name="Процентный 5 3 54 6" xfId="29072"/>
    <cellStyle name="Обычный 4 2 2 54 6" xfId="29073"/>
    <cellStyle name="Процентный 4 2 2 54 6" xfId="29074"/>
    <cellStyle name="Обычный 5 2 2 54 6" xfId="29075"/>
    <cellStyle name="Процентный 5 2 2 54 6" xfId="29076"/>
    <cellStyle name="Обычный 6 2 54 6" xfId="29077"/>
    <cellStyle name="Процентный 6 2 54 6" xfId="29078"/>
    <cellStyle name="Обычный 7 2 54 6" xfId="29079"/>
    <cellStyle name="Процентный 7 2 54 6" xfId="29080"/>
    <cellStyle name="Обычный 8 50 6" xfId="29081"/>
    <cellStyle name="Процентный 8 50 6" xfId="29082"/>
    <cellStyle name="Обычный 9 16 6" xfId="29083"/>
    <cellStyle name="Процентный 9 17 6" xfId="29084"/>
    <cellStyle name="Обычный 10 9 6" xfId="29085"/>
    <cellStyle name="Процентный 10 9 6" xfId="29086"/>
    <cellStyle name="Обычный 4 109 6" xfId="29087"/>
    <cellStyle name="Процентный 4 109 6" xfId="29088"/>
    <cellStyle name="Обычный 5 102 6" xfId="29089"/>
    <cellStyle name="Процентный 5 102 6" xfId="29090"/>
    <cellStyle name="Обычный 4 2 96 6" xfId="29091"/>
    <cellStyle name="Процентный 4 2 96 6" xfId="29092"/>
    <cellStyle name="Обычный 5 2 96 6" xfId="29093"/>
    <cellStyle name="Процентный 5 2 96 6" xfId="29094"/>
    <cellStyle name="Обычный 6 93 6" xfId="29095"/>
    <cellStyle name="Процентный 6 93 6" xfId="29096"/>
    <cellStyle name="Обычный 7 63 6" xfId="29097"/>
    <cellStyle name="Процентный 7 63 6" xfId="29098"/>
    <cellStyle name="Обычный 4 3 55 6" xfId="29099"/>
    <cellStyle name="Процентный 4 3 55 6" xfId="29100"/>
    <cellStyle name="Обычный 5 3 55 6" xfId="29101"/>
    <cellStyle name="Процентный 5 3 55 6" xfId="29102"/>
    <cellStyle name="Обычный 4 2 2 55 6" xfId="29103"/>
    <cellStyle name="Процентный 4 2 2 55 6" xfId="29104"/>
    <cellStyle name="Обычный 5 2 2 55 6" xfId="29105"/>
    <cellStyle name="Процентный 5 2 2 55 6" xfId="29106"/>
    <cellStyle name="Обычный 6 2 55 6" xfId="29107"/>
    <cellStyle name="Процентный 6 2 55 6" xfId="29108"/>
    <cellStyle name="Обычный 7 2 55 6" xfId="29109"/>
    <cellStyle name="Процентный 7 2 55 6" xfId="29110"/>
    <cellStyle name="Обычный 8 51 6" xfId="29111"/>
    <cellStyle name="Процентный 8 51 6" xfId="29112"/>
    <cellStyle name="Обычный 9 17 6" xfId="29113"/>
    <cellStyle name="Процентный 9 18 6" xfId="29114"/>
    <cellStyle name="Обычный 10 10 6" xfId="29115"/>
    <cellStyle name="Процентный 10 10 6" xfId="29116"/>
    <cellStyle name="Обычный 4 110 6" xfId="29117"/>
    <cellStyle name="Процентный 4 110 6" xfId="29118"/>
    <cellStyle name="Обычный 5 103 6" xfId="29119"/>
    <cellStyle name="Процентный 5 103 6" xfId="29120"/>
    <cellStyle name="Обычный 4 2 97 6" xfId="29121"/>
    <cellStyle name="Процентный 4 2 97 6" xfId="29122"/>
    <cellStyle name="Обычный 5 2 97 6" xfId="29123"/>
    <cellStyle name="Процентный 5 2 97 6" xfId="29124"/>
    <cellStyle name="Обычный 6 94 6" xfId="29125"/>
    <cellStyle name="Процентный 6 94 6" xfId="29126"/>
    <cellStyle name="Обычный 7 64 6" xfId="29127"/>
    <cellStyle name="Процентный 7 64 6" xfId="29128"/>
    <cellStyle name="Обычный 4 3 56 6" xfId="29129"/>
    <cellStyle name="Процентный 4 3 56 6" xfId="29130"/>
    <cellStyle name="Обычный 5 3 56 6" xfId="29131"/>
    <cellStyle name="Процентный 5 3 56 6" xfId="29132"/>
    <cellStyle name="Обычный 4 2 2 56 6" xfId="29133"/>
    <cellStyle name="Процентный 4 2 2 56 6" xfId="29134"/>
    <cellStyle name="Обычный 5 2 2 56 6" xfId="29135"/>
    <cellStyle name="Процентный 5 2 2 56 6" xfId="29136"/>
    <cellStyle name="Обычный 6 2 56 6" xfId="29137"/>
    <cellStyle name="Процентный 6 2 56 6" xfId="29138"/>
    <cellStyle name="Обычный 7 2 56 6" xfId="29139"/>
    <cellStyle name="Процентный 7 2 56 6" xfId="29140"/>
    <cellStyle name="Обычный 8 52 6" xfId="29141"/>
    <cellStyle name="Процентный 8 52 6" xfId="29142"/>
    <cellStyle name="Обычный 9 18 6" xfId="29143"/>
    <cellStyle name="Процентный 9 19 6" xfId="29144"/>
    <cellStyle name="Обычный 10 11 6" xfId="29145"/>
    <cellStyle name="Процентный 10 11 6" xfId="29146"/>
    <cellStyle name="Обычный 4 111 6" xfId="29147"/>
    <cellStyle name="Процентный 4 111 6" xfId="29148"/>
    <cellStyle name="Обычный 5 104 6" xfId="29149"/>
    <cellStyle name="Процентный 5 104 6" xfId="29150"/>
    <cellStyle name="Обычный 4 2 98 6" xfId="29151"/>
    <cellStyle name="Процентный 4 2 98 6" xfId="29152"/>
    <cellStyle name="Обычный 5 2 98 6" xfId="29153"/>
    <cellStyle name="Процентный 5 2 98 6" xfId="29154"/>
    <cellStyle name="Обычный 6 95 6" xfId="29155"/>
    <cellStyle name="Процентный 6 95 6" xfId="29156"/>
    <cellStyle name="Обычный 7 65 6" xfId="29157"/>
    <cellStyle name="Процентный 7 65 6" xfId="29158"/>
    <cellStyle name="Обычный 4 3 57 6" xfId="29159"/>
    <cellStyle name="Процентный 4 3 57 6" xfId="29160"/>
    <cellStyle name="Обычный 5 3 57 6" xfId="29161"/>
    <cellStyle name="Процентный 5 3 57 6" xfId="29162"/>
    <cellStyle name="Обычный 4 2 2 57 6" xfId="29163"/>
    <cellStyle name="Процентный 4 2 2 57 6" xfId="29164"/>
    <cellStyle name="Обычный 5 2 2 57 6" xfId="29165"/>
    <cellStyle name="Процентный 5 2 2 57 6" xfId="29166"/>
    <cellStyle name="Обычный 6 2 57 6" xfId="29167"/>
    <cellStyle name="Процентный 6 2 57 6" xfId="29168"/>
    <cellStyle name="Обычный 7 2 57 6" xfId="29169"/>
    <cellStyle name="Процентный 7 2 57 6" xfId="29170"/>
    <cellStyle name="Обычный 8 53 6" xfId="29171"/>
    <cellStyle name="Процентный 8 53 6" xfId="29172"/>
    <cellStyle name="Обычный 9 19 6" xfId="29173"/>
    <cellStyle name="Процентный 9 20 6" xfId="29174"/>
    <cellStyle name="Обычный 10 12 6" xfId="29175"/>
    <cellStyle name="Процентный 10 12 6" xfId="29176"/>
    <cellStyle name="Обычный 4 112 6" xfId="29177"/>
    <cellStyle name="Процентный 4 112 6" xfId="29178"/>
    <cellStyle name="Обычный 5 105 6" xfId="29179"/>
    <cellStyle name="Процентный 5 105 6" xfId="29180"/>
    <cellStyle name="Обычный 4 2 99 6" xfId="29181"/>
    <cellStyle name="Процентный 4 2 99 6" xfId="29182"/>
    <cellStyle name="Обычный 5 2 99 6" xfId="29183"/>
    <cellStyle name="Процентный 5 2 99 6" xfId="29184"/>
    <cellStyle name="Обычный 6 96 6" xfId="29185"/>
    <cellStyle name="Процентный 6 96 6" xfId="29186"/>
    <cellStyle name="Обычный 7 66 6" xfId="29187"/>
    <cellStyle name="Процентный 7 66 6" xfId="29188"/>
    <cellStyle name="Обычный 4 3 58 6" xfId="29189"/>
    <cellStyle name="Процентный 4 3 58 6" xfId="29190"/>
    <cellStyle name="Обычный 5 3 58 6" xfId="29191"/>
    <cellStyle name="Процентный 5 3 58 6" xfId="29192"/>
    <cellStyle name="Обычный 4 2 2 58 6" xfId="29193"/>
    <cellStyle name="Процентный 4 2 2 58 6" xfId="29194"/>
    <cellStyle name="Обычный 5 2 2 58 6" xfId="29195"/>
    <cellStyle name="Процентный 5 2 2 58 6" xfId="29196"/>
    <cellStyle name="Обычный 6 2 58 6" xfId="29197"/>
    <cellStyle name="Процентный 6 2 58 6" xfId="29198"/>
    <cellStyle name="Обычный 7 2 58 6" xfId="29199"/>
    <cellStyle name="Процентный 7 2 58 6" xfId="29200"/>
    <cellStyle name="Обычный 8 54 6" xfId="29201"/>
    <cellStyle name="Процентный 8 54 6" xfId="29202"/>
    <cellStyle name="Обычный 9 20 6" xfId="29203"/>
    <cellStyle name="Процентный 9 21 6" xfId="29204"/>
    <cellStyle name="Обычный 10 13 6" xfId="29205"/>
    <cellStyle name="Процентный 10 13 6" xfId="29206"/>
    <cellStyle name="Обычный 11 96" xfId="29207"/>
    <cellStyle name="Процентный 11 96" xfId="29208"/>
    <cellStyle name="Обычный 4 113 6" xfId="29209"/>
    <cellStyle name="Процентный 4 113 6" xfId="29210"/>
    <cellStyle name="Обычный 5 106 6" xfId="29211"/>
    <cellStyle name="Процентный 5 106 6" xfId="29212"/>
    <cellStyle name="Обычный 4 2 100 6" xfId="29213"/>
    <cellStyle name="Процентный 4 2 100 6" xfId="29214"/>
    <cellStyle name="Обычный 5 2 100 6" xfId="29215"/>
    <cellStyle name="Процентный 5 2 100 6" xfId="29216"/>
    <cellStyle name="Обычный 6 97 6" xfId="29217"/>
    <cellStyle name="Процентный 6 97 6" xfId="29218"/>
    <cellStyle name="Обычный 7 67 6" xfId="29219"/>
    <cellStyle name="Процентный 7 67 6" xfId="29220"/>
    <cellStyle name="Обычный 4 3 59 6" xfId="29221"/>
    <cellStyle name="Процентный 4 3 59 6" xfId="29222"/>
    <cellStyle name="Обычный 5 3 59 6" xfId="29223"/>
    <cellStyle name="Процентный 5 3 59 6" xfId="29224"/>
    <cellStyle name="Обычный 4 2 2 59 6" xfId="29225"/>
    <cellStyle name="Процентный 4 2 2 59 6" xfId="29226"/>
    <cellStyle name="Обычный 5 2 2 59 6" xfId="29227"/>
    <cellStyle name="Процентный 5 2 2 59 6" xfId="29228"/>
    <cellStyle name="Обычный 6 2 59 6" xfId="29229"/>
    <cellStyle name="Процентный 6 2 59 6" xfId="29230"/>
    <cellStyle name="Обычный 7 2 59 6" xfId="29231"/>
    <cellStyle name="Процентный 7 2 59 6" xfId="29232"/>
    <cellStyle name="Обычный 8 55 6" xfId="29233"/>
    <cellStyle name="Процентный 8 55 6" xfId="29234"/>
    <cellStyle name="Обычный 9 21 6" xfId="29235"/>
    <cellStyle name="Процентный 9 22 6" xfId="29236"/>
    <cellStyle name="Обычный 10 14 6" xfId="29237"/>
    <cellStyle name="Процентный 10 14 6" xfId="29238"/>
    <cellStyle name="Обычный 11 2 6" xfId="29239"/>
    <cellStyle name="Процентный 11 2 6" xfId="29240"/>
    <cellStyle name="Обычный 12 6" xfId="29241"/>
    <cellStyle name="Процентный 12 6" xfId="29242"/>
    <cellStyle name="Обычный 4 114 6" xfId="29243"/>
    <cellStyle name="Процентный 4 114 6" xfId="29244"/>
    <cellStyle name="Обычный 5 107 6" xfId="29245"/>
    <cellStyle name="Процентный 5 107 6" xfId="29246"/>
    <cellStyle name="Обычный 4 2 101 6" xfId="29247"/>
    <cellStyle name="Процентный 4 2 101 6" xfId="29248"/>
    <cellStyle name="Обычный 5 2 101 6" xfId="29249"/>
    <cellStyle name="Процентный 5 2 101 6" xfId="29250"/>
    <cellStyle name="Обычный 6 98 6" xfId="29251"/>
    <cellStyle name="Процентный 6 98 6" xfId="29252"/>
    <cellStyle name="Обычный 7 68 6" xfId="29253"/>
    <cellStyle name="Процентный 7 68 6" xfId="29254"/>
    <cellStyle name="Обычный 4 3 60 6" xfId="29255"/>
    <cellStyle name="Процентный 4 3 60 6" xfId="29256"/>
    <cellStyle name="Обычный 5 3 60 6" xfId="29257"/>
    <cellStyle name="Процентный 5 3 60 6" xfId="29258"/>
    <cellStyle name="Обычный 4 2 2 60 6" xfId="29259"/>
    <cellStyle name="Процентный 4 2 2 60 6" xfId="29260"/>
    <cellStyle name="Обычный 5 2 2 60 6" xfId="29261"/>
    <cellStyle name="Процентный 5 2 2 60 6" xfId="29262"/>
    <cellStyle name="Обычный 6 2 60 6" xfId="29263"/>
    <cellStyle name="Процентный 6 2 60 6" xfId="29264"/>
    <cellStyle name="Обычный 7 2 60 6" xfId="29265"/>
    <cellStyle name="Процентный 7 2 60 6" xfId="29266"/>
    <cellStyle name="Обычный 8 56 6" xfId="29267"/>
    <cellStyle name="Процентный 8 56 6" xfId="29268"/>
    <cellStyle name="Обычный 9 22 6" xfId="29269"/>
    <cellStyle name="Процентный 9 23 6" xfId="29270"/>
    <cellStyle name="Обычный 10 15 6" xfId="29271"/>
    <cellStyle name="Процентный 10 15 6" xfId="29272"/>
    <cellStyle name="Обычный 11 3 6" xfId="29273"/>
    <cellStyle name="Процентный 11 3 6" xfId="29274"/>
    <cellStyle name="Обычный 4 115 6" xfId="29275"/>
    <cellStyle name="Процентный 4 115 6" xfId="29276"/>
    <cellStyle name="Обычный 5 108 6" xfId="29277"/>
    <cellStyle name="Процентный 5 108 6" xfId="29278"/>
    <cellStyle name="Обычный 4 2 102 6" xfId="29279"/>
    <cellStyle name="Процентный 4 2 102 6" xfId="29280"/>
    <cellStyle name="Обычный 5 2 102 6" xfId="29281"/>
    <cellStyle name="Процентный 5 2 102 6" xfId="29282"/>
    <cellStyle name="Обычный 6 99 6" xfId="29283"/>
    <cellStyle name="Процентный 6 99 6" xfId="29284"/>
    <cellStyle name="Обычный 7 69 6" xfId="29285"/>
    <cellStyle name="Процентный 7 69 6" xfId="29286"/>
    <cellStyle name="Обычный 4 3 61 6" xfId="29287"/>
    <cellStyle name="Процентный 4 3 61 6" xfId="29288"/>
    <cellStyle name="Обычный 5 3 61 6" xfId="29289"/>
    <cellStyle name="Процентный 5 3 61 6" xfId="29290"/>
    <cellStyle name="Обычный 4 2 2 61 6" xfId="29291"/>
    <cellStyle name="Процентный 4 2 2 61 6" xfId="29292"/>
    <cellStyle name="Обычный 5 2 2 61 6" xfId="29293"/>
    <cellStyle name="Процентный 5 2 2 61 6" xfId="29294"/>
    <cellStyle name="Обычный 6 2 61 6" xfId="29295"/>
    <cellStyle name="Процентный 6 2 61 6" xfId="29296"/>
    <cellStyle name="Обычный 7 2 61 6" xfId="29297"/>
    <cellStyle name="Процентный 7 2 61 6" xfId="29298"/>
    <cellStyle name="Обычный 8 57 6" xfId="29299"/>
    <cellStyle name="Процентный 8 57 6" xfId="29300"/>
    <cellStyle name="Обычный 9 23 6" xfId="29301"/>
    <cellStyle name="Процентный 9 24 6" xfId="29302"/>
    <cellStyle name="Обычный 10 16 6" xfId="29303"/>
    <cellStyle name="Процентный 10 16 6" xfId="29304"/>
    <cellStyle name="Обычный 11 4 6" xfId="29305"/>
    <cellStyle name="Процентный 11 4 6" xfId="29306"/>
    <cellStyle name="Обычный 4 116 6" xfId="29307"/>
    <cellStyle name="Процентный 4 116 6" xfId="29308"/>
    <cellStyle name="Обычный 5 109 6" xfId="29309"/>
    <cellStyle name="Процентный 5 109 6" xfId="29310"/>
    <cellStyle name="Обычный 4 2 103 6" xfId="29311"/>
    <cellStyle name="Процентный 4 2 103 6" xfId="29312"/>
    <cellStyle name="Обычный 5 2 103 6" xfId="29313"/>
    <cellStyle name="Процентный 5 2 103 6" xfId="29314"/>
    <cellStyle name="Обычный 6 100 6" xfId="29315"/>
    <cellStyle name="Процентный 6 100 6" xfId="29316"/>
    <cellStyle name="Обычный 7 70 6" xfId="29317"/>
    <cellStyle name="Процентный 7 70 6" xfId="29318"/>
    <cellStyle name="Обычный 4 3 62 6" xfId="29319"/>
    <cellStyle name="Процентный 4 3 62 6" xfId="29320"/>
    <cellStyle name="Обычный 5 3 62 6" xfId="29321"/>
    <cellStyle name="Процентный 5 3 62 6" xfId="29322"/>
    <cellStyle name="Обычный 4 2 2 62 6" xfId="29323"/>
    <cellStyle name="Процентный 4 2 2 62 6" xfId="29324"/>
    <cellStyle name="Обычный 5 2 2 62 6" xfId="29325"/>
    <cellStyle name="Процентный 5 2 2 62 6" xfId="29326"/>
    <cellStyle name="Обычный 6 2 62 6" xfId="29327"/>
    <cellStyle name="Процентный 6 2 62 6" xfId="29328"/>
    <cellStyle name="Обычный 7 2 62 6" xfId="29329"/>
    <cellStyle name="Процентный 7 2 62 6" xfId="29330"/>
    <cellStyle name="Обычный 8 58 6" xfId="29331"/>
    <cellStyle name="Процентный 8 58 6" xfId="29332"/>
    <cellStyle name="Обычный 9 24 6" xfId="29333"/>
    <cellStyle name="Процентный 9 25 6" xfId="29334"/>
    <cellStyle name="Обычный 10 17 6" xfId="29335"/>
    <cellStyle name="Процентный 10 17 6" xfId="29336"/>
    <cellStyle name="Обычный 11 5 6" xfId="29337"/>
    <cellStyle name="Процентный 11 5 6" xfId="29338"/>
    <cellStyle name="Обычный 4 117 6" xfId="29339"/>
    <cellStyle name="Процентный 4 117 6" xfId="29340"/>
    <cellStyle name="Обычный 5 110 6" xfId="29341"/>
    <cellStyle name="Процентный 5 110 6" xfId="29342"/>
    <cellStyle name="Обычный 4 2 104 6" xfId="29343"/>
    <cellStyle name="Процентный 4 2 104 6" xfId="29344"/>
    <cellStyle name="Обычный 5 2 104 6" xfId="29345"/>
    <cellStyle name="Процентный 5 2 104 6" xfId="29346"/>
    <cellStyle name="Обычный 6 101 6" xfId="29347"/>
    <cellStyle name="Процентный 6 101 6" xfId="29348"/>
    <cellStyle name="Обычный 7 71 6" xfId="29349"/>
    <cellStyle name="Процентный 7 71 6" xfId="29350"/>
    <cellStyle name="Обычный 4 3 63 6" xfId="29351"/>
    <cellStyle name="Процентный 4 3 63 6" xfId="29352"/>
    <cellStyle name="Обычный 5 3 63 6" xfId="29353"/>
    <cellStyle name="Процентный 5 3 63 6" xfId="29354"/>
    <cellStyle name="Обычный 4 2 2 63 6" xfId="29355"/>
    <cellStyle name="Процентный 4 2 2 63 6" xfId="29356"/>
    <cellStyle name="Обычный 5 2 2 63 6" xfId="29357"/>
    <cellStyle name="Процентный 5 2 2 63 6" xfId="29358"/>
    <cellStyle name="Обычный 6 2 63 6" xfId="29359"/>
    <cellStyle name="Процентный 6 2 63 6" xfId="29360"/>
    <cellStyle name="Обычный 7 2 63 6" xfId="29361"/>
    <cellStyle name="Процентный 7 2 63 6" xfId="29362"/>
    <cellStyle name="Обычный 8 59 6" xfId="29363"/>
    <cellStyle name="Процентный 8 59 6" xfId="29364"/>
    <cellStyle name="Обычный 9 25 6" xfId="29365"/>
    <cellStyle name="Процентный 9 26 6" xfId="29366"/>
    <cellStyle name="Обычный 10 18 6" xfId="29367"/>
    <cellStyle name="Процентный 10 18 6" xfId="29368"/>
    <cellStyle name="Обычный 11 6 6" xfId="29369"/>
    <cellStyle name="Процентный 11 6 6" xfId="29370"/>
    <cellStyle name="Обычный 4 118 6" xfId="29371"/>
    <cellStyle name="Процентный 4 118 6" xfId="29372"/>
    <cellStyle name="Обычный 5 111 6" xfId="29373"/>
    <cellStyle name="Процентный 5 111 6" xfId="29374"/>
    <cellStyle name="Обычный 4 2 105 6" xfId="29375"/>
    <cellStyle name="Процентный 4 2 105 6" xfId="29376"/>
    <cellStyle name="Обычный 5 2 105 6" xfId="29377"/>
    <cellStyle name="Процентный 5 2 105 6" xfId="29378"/>
    <cellStyle name="Обычный 6 102 6" xfId="29379"/>
    <cellStyle name="Процентный 6 102 6" xfId="29380"/>
    <cellStyle name="Обычный 7 72 6" xfId="29381"/>
    <cellStyle name="Процентный 7 72 6" xfId="29382"/>
    <cellStyle name="Обычный 4 3 64 6" xfId="29383"/>
    <cellStyle name="Процентный 4 3 64 6" xfId="29384"/>
    <cellStyle name="Обычный 5 3 64 6" xfId="29385"/>
    <cellStyle name="Процентный 5 3 64 6" xfId="29386"/>
    <cellStyle name="Обычный 4 2 2 64 6" xfId="29387"/>
    <cellStyle name="Процентный 4 2 2 64 6" xfId="29388"/>
    <cellStyle name="Обычный 5 2 2 64 6" xfId="29389"/>
    <cellStyle name="Процентный 5 2 2 64 6" xfId="29390"/>
    <cellStyle name="Обычный 6 2 64 6" xfId="29391"/>
    <cellStyle name="Процентный 6 2 64 6" xfId="29392"/>
    <cellStyle name="Обычный 7 2 64 6" xfId="29393"/>
    <cellStyle name="Процентный 7 2 64 6" xfId="29394"/>
    <cellStyle name="Обычный 8 60 6" xfId="29395"/>
    <cellStyle name="Процентный 8 60 6" xfId="29396"/>
    <cellStyle name="Обычный 9 26 6" xfId="29397"/>
    <cellStyle name="Процентный 9 27 6" xfId="29398"/>
    <cellStyle name="Обычный 10 19 6" xfId="29399"/>
    <cellStyle name="Процентный 10 19 6" xfId="29400"/>
    <cellStyle name="Обычный 11 7 6" xfId="29401"/>
    <cellStyle name="Процентный 11 7 6" xfId="29402"/>
    <cellStyle name="Обычный 4 119 6" xfId="29403"/>
    <cellStyle name="Процентный 4 119 6" xfId="29404"/>
    <cellStyle name="Обычный 5 112 6" xfId="29405"/>
    <cellStyle name="Процентный 5 112 6" xfId="29406"/>
    <cellStyle name="Обычный 4 2 106 6" xfId="29407"/>
    <cellStyle name="Процентный 4 2 106 6" xfId="29408"/>
    <cellStyle name="Обычный 5 2 106 6" xfId="29409"/>
    <cellStyle name="Процентный 5 2 106 6" xfId="29410"/>
    <cellStyle name="Обычный 6 103 6" xfId="29411"/>
    <cellStyle name="Процентный 6 103 6" xfId="29412"/>
    <cellStyle name="Обычный 7 73 6" xfId="29413"/>
    <cellStyle name="Процентный 7 73 6" xfId="29414"/>
    <cellStyle name="Обычный 4 3 65 6" xfId="29415"/>
    <cellStyle name="Процентный 4 3 65 6" xfId="29416"/>
    <cellStyle name="Обычный 5 3 65 6" xfId="29417"/>
    <cellStyle name="Процентный 5 3 65 6" xfId="29418"/>
    <cellStyle name="Обычный 4 2 2 65 6" xfId="29419"/>
    <cellStyle name="Процентный 4 2 2 65 6" xfId="29420"/>
    <cellStyle name="Обычный 5 2 2 65 6" xfId="29421"/>
    <cellStyle name="Процентный 5 2 2 65 6" xfId="29422"/>
    <cellStyle name="Обычный 6 2 65 6" xfId="29423"/>
    <cellStyle name="Процентный 6 2 65 6" xfId="29424"/>
    <cellStyle name="Обычный 7 2 65 6" xfId="29425"/>
    <cellStyle name="Процентный 7 2 65 6" xfId="29426"/>
    <cellStyle name="Обычный 8 61 6" xfId="29427"/>
    <cellStyle name="Процентный 8 61 6" xfId="29428"/>
    <cellStyle name="Обычный 9 27 6" xfId="29429"/>
    <cellStyle name="Процентный 9 28 6" xfId="29430"/>
    <cellStyle name="Обычный 10 20 6" xfId="29431"/>
    <cellStyle name="Процентный 10 20 6" xfId="29432"/>
    <cellStyle name="Обычный 11 8 6" xfId="29433"/>
    <cellStyle name="Процентный 11 8 6" xfId="29434"/>
    <cellStyle name="Обычный 4 120 6" xfId="29435"/>
    <cellStyle name="Процентный 4 120 6" xfId="29436"/>
    <cellStyle name="Обычный 5 113 6" xfId="29437"/>
    <cellStyle name="Процентный 5 113 6" xfId="29438"/>
    <cellStyle name="Обычный 4 2 107 6" xfId="29439"/>
    <cellStyle name="Процентный 4 2 107 6" xfId="29440"/>
    <cellStyle name="Обычный 5 2 107 6" xfId="29441"/>
    <cellStyle name="Процентный 5 2 107 6" xfId="29442"/>
    <cellStyle name="Обычный 6 104 6" xfId="29443"/>
    <cellStyle name="Процентный 6 104 6" xfId="29444"/>
    <cellStyle name="Обычный 7 74 6" xfId="29445"/>
    <cellStyle name="Процентный 7 74 6" xfId="29446"/>
    <cellStyle name="Обычный 4 3 66 6" xfId="29447"/>
    <cellStyle name="Процентный 4 3 66 6" xfId="29448"/>
    <cellStyle name="Обычный 5 3 66 6" xfId="29449"/>
    <cellStyle name="Процентный 5 3 66 6" xfId="29450"/>
    <cellStyle name="Обычный 4 2 2 66 6" xfId="29451"/>
    <cellStyle name="Процентный 4 2 2 66 6" xfId="29452"/>
    <cellStyle name="Обычный 5 2 2 66 6" xfId="29453"/>
    <cellStyle name="Процентный 5 2 2 66 6" xfId="29454"/>
    <cellStyle name="Обычный 6 2 66 6" xfId="29455"/>
    <cellStyle name="Процентный 6 2 66 6" xfId="29456"/>
    <cellStyle name="Обычный 7 2 66 6" xfId="29457"/>
    <cellStyle name="Процентный 7 2 66 6" xfId="29458"/>
    <cellStyle name="Обычный 8 62 6" xfId="29459"/>
    <cellStyle name="Процентный 8 62 6" xfId="29460"/>
    <cellStyle name="Обычный 9 28 6" xfId="29461"/>
    <cellStyle name="Процентный 9 29 6" xfId="29462"/>
    <cellStyle name="Обычный 10 21 6" xfId="29463"/>
    <cellStyle name="Процентный 10 21 6" xfId="29464"/>
    <cellStyle name="Обычный 11 9 6" xfId="29465"/>
    <cellStyle name="Процентный 11 9 6" xfId="29466"/>
    <cellStyle name="Обычный 13 6" xfId="29467"/>
    <cellStyle name="Процентный 13 6" xfId="29468"/>
    <cellStyle name="Обычный 4 121 6" xfId="29469"/>
    <cellStyle name="Процентный 4 121 6" xfId="29470"/>
    <cellStyle name="Обычный 5 114 6" xfId="29471"/>
    <cellStyle name="Процентный 5 114 6" xfId="29472"/>
    <cellStyle name="Обычный 4 2 108 6" xfId="29473"/>
    <cellStyle name="Процентный 4 2 108 6" xfId="29474"/>
    <cellStyle name="Обычный 5 2 108 6" xfId="29475"/>
    <cellStyle name="Процентный 5 2 108 6" xfId="29476"/>
    <cellStyle name="Обычный 6 105 6" xfId="29477"/>
    <cellStyle name="Процентный 6 105 6" xfId="29478"/>
    <cellStyle name="Обычный 7 75 6" xfId="29479"/>
    <cellStyle name="Процентный 7 75 6" xfId="29480"/>
    <cellStyle name="Обычный 4 3 67 6" xfId="29481"/>
    <cellStyle name="Процентный 4 3 67 6" xfId="29482"/>
    <cellStyle name="Обычный 5 3 67 6" xfId="29483"/>
    <cellStyle name="Процентный 5 3 67 6" xfId="29484"/>
    <cellStyle name="Обычный 4 2 2 67 6" xfId="29485"/>
    <cellStyle name="Процентный 4 2 2 67 6" xfId="29486"/>
    <cellStyle name="Обычный 5 2 2 67 6" xfId="29487"/>
    <cellStyle name="Процентный 5 2 2 67 6" xfId="29488"/>
    <cellStyle name="Обычный 6 2 67 6" xfId="29489"/>
    <cellStyle name="Процентный 6 2 67 6" xfId="29490"/>
    <cellStyle name="Обычный 7 2 67 6" xfId="29491"/>
    <cellStyle name="Процентный 7 2 67 6" xfId="29492"/>
    <cellStyle name="Обычный 8 63 6" xfId="29493"/>
    <cellStyle name="Процентный 8 63 6" xfId="29494"/>
    <cellStyle name="Обычный 9 29 6" xfId="29495"/>
    <cellStyle name="Процентный 9 30 6" xfId="29496"/>
    <cellStyle name="Обычный 10 22 6" xfId="29497"/>
    <cellStyle name="Процентный 10 22 6" xfId="29498"/>
    <cellStyle name="Обычный 11 10 6" xfId="29499"/>
    <cellStyle name="Процентный 11 10 6" xfId="29500"/>
    <cellStyle name="Обычный 4 122 6" xfId="29501"/>
    <cellStyle name="Процентный 4 122 6" xfId="29502"/>
    <cellStyle name="Обычный 5 115 6" xfId="29503"/>
    <cellStyle name="Процентный 5 115 6" xfId="29504"/>
    <cellStyle name="Обычный 4 2 109 6" xfId="29505"/>
    <cellStyle name="Процентный 4 2 109 6" xfId="29506"/>
    <cellStyle name="Обычный 5 2 109 6" xfId="29507"/>
    <cellStyle name="Процентный 5 2 109 6" xfId="29508"/>
    <cellStyle name="Обычный 6 106 6" xfId="29509"/>
    <cellStyle name="Процентный 6 106 6" xfId="29510"/>
    <cellStyle name="Обычный 7 76 6" xfId="29511"/>
    <cellStyle name="Процентный 7 76 6" xfId="29512"/>
    <cellStyle name="Обычный 4 3 68 6" xfId="29513"/>
    <cellStyle name="Процентный 4 3 68 6" xfId="29514"/>
    <cellStyle name="Обычный 5 3 68 6" xfId="29515"/>
    <cellStyle name="Процентный 5 3 68 6" xfId="29516"/>
    <cellStyle name="Обычный 4 2 2 68 6" xfId="29517"/>
    <cellStyle name="Процентный 4 2 2 68 6" xfId="29518"/>
    <cellStyle name="Обычный 5 2 2 68 6" xfId="29519"/>
    <cellStyle name="Процентный 5 2 2 68 6" xfId="29520"/>
    <cellStyle name="Обычный 6 2 68 6" xfId="29521"/>
    <cellStyle name="Процентный 6 2 68 6" xfId="29522"/>
    <cellStyle name="Обычный 7 2 68 6" xfId="29523"/>
    <cellStyle name="Процентный 7 2 68 6" xfId="29524"/>
    <cellStyle name="Обычный 8 64 6" xfId="29525"/>
    <cellStyle name="Процентный 8 64 6" xfId="29526"/>
    <cellStyle name="Обычный 9 30 6" xfId="29527"/>
    <cellStyle name="Процентный 9 31 6" xfId="29528"/>
    <cellStyle name="Обычный 10 23 6" xfId="29529"/>
    <cellStyle name="Процентный 10 23 6" xfId="29530"/>
    <cellStyle name="Обычный 11 11 6" xfId="29531"/>
    <cellStyle name="Процентный 11 11 6" xfId="29532"/>
    <cellStyle name="Обычный 4 123 6" xfId="29533"/>
    <cellStyle name="Процентный 4 123 6" xfId="29534"/>
    <cellStyle name="Обычный 5 116 6" xfId="29535"/>
    <cellStyle name="Процентный 5 116 6" xfId="29536"/>
    <cellStyle name="Обычный 4 2 110 6" xfId="29537"/>
    <cellStyle name="Процентный 4 2 110 6" xfId="29538"/>
    <cellStyle name="Обычный 5 2 110 6" xfId="29539"/>
    <cellStyle name="Процентный 5 2 110 6" xfId="29540"/>
    <cellStyle name="Обычный 6 107 6" xfId="29541"/>
    <cellStyle name="Процентный 6 107 6" xfId="29542"/>
    <cellStyle name="Обычный 7 77 6" xfId="29543"/>
    <cellStyle name="Процентный 7 77 6" xfId="29544"/>
    <cellStyle name="Обычный 4 3 69 6" xfId="29545"/>
    <cellStyle name="Процентный 4 3 69 6" xfId="29546"/>
    <cellStyle name="Обычный 5 3 69 6" xfId="29547"/>
    <cellStyle name="Процентный 5 3 69 6" xfId="29548"/>
    <cellStyle name="Обычный 4 2 2 69 6" xfId="29549"/>
    <cellStyle name="Процентный 4 2 2 69 6" xfId="29550"/>
    <cellStyle name="Обычный 5 2 2 69 6" xfId="29551"/>
    <cellStyle name="Процентный 5 2 2 69 6" xfId="29552"/>
    <cellStyle name="Обычный 6 2 69 6" xfId="29553"/>
    <cellStyle name="Процентный 6 2 69 6" xfId="29554"/>
    <cellStyle name="Обычный 7 2 69 6" xfId="29555"/>
    <cellStyle name="Процентный 7 2 69 6" xfId="29556"/>
    <cellStyle name="Обычный 8 65 6" xfId="29557"/>
    <cellStyle name="Процентный 8 65 6" xfId="29558"/>
    <cellStyle name="Обычный 9 31 6" xfId="29559"/>
    <cellStyle name="Процентный 9 32 6" xfId="29560"/>
    <cellStyle name="Обычный 10 24 6" xfId="29561"/>
    <cellStyle name="Процентный 10 24 6" xfId="29562"/>
    <cellStyle name="Обычный 11 12 6" xfId="29563"/>
    <cellStyle name="Процентный 11 12 6" xfId="29564"/>
    <cellStyle name="Обычный 4 124 6" xfId="29565"/>
    <cellStyle name="Процентный 4 124 6" xfId="29566"/>
    <cellStyle name="Обычный 5 117 6" xfId="29567"/>
    <cellStyle name="Процентный 5 117 6" xfId="29568"/>
    <cellStyle name="Обычный 4 2 111 6" xfId="29569"/>
    <cellStyle name="Процентный 4 2 111 6" xfId="29570"/>
    <cellStyle name="Обычный 5 2 111 6" xfId="29571"/>
    <cellStyle name="Процентный 5 2 111 6" xfId="29572"/>
    <cellStyle name="Обычный 6 108 6" xfId="29573"/>
    <cellStyle name="Процентный 6 108 6" xfId="29574"/>
    <cellStyle name="Обычный 7 78 6" xfId="29575"/>
    <cellStyle name="Процентный 7 78 6" xfId="29576"/>
    <cellStyle name="Обычный 4 3 70 6" xfId="29577"/>
    <cellStyle name="Процентный 4 3 70 6" xfId="29578"/>
    <cellStyle name="Обычный 5 3 70 6" xfId="29579"/>
    <cellStyle name="Процентный 5 3 70 6" xfId="29580"/>
    <cellStyle name="Обычный 4 2 2 70 6" xfId="29581"/>
    <cellStyle name="Процентный 4 2 2 70 6" xfId="29582"/>
    <cellStyle name="Обычный 5 2 2 70 6" xfId="29583"/>
    <cellStyle name="Процентный 5 2 2 70 6" xfId="29584"/>
    <cellStyle name="Обычный 6 2 70 6" xfId="29585"/>
    <cellStyle name="Процентный 6 2 70 6" xfId="29586"/>
    <cellStyle name="Обычный 7 2 70 6" xfId="29587"/>
    <cellStyle name="Процентный 7 2 70 6" xfId="29588"/>
    <cellStyle name="Обычный 8 66 6" xfId="29589"/>
    <cellStyle name="Процентный 8 66 6" xfId="29590"/>
    <cellStyle name="Обычный 9 32 6" xfId="29591"/>
    <cellStyle name="Процентный 9 33 6" xfId="29592"/>
    <cellStyle name="Обычный 10 25 6" xfId="29593"/>
    <cellStyle name="Процентный 10 25 6" xfId="29594"/>
    <cellStyle name="Обычный 11 13 6" xfId="29595"/>
    <cellStyle name="Процентный 11 13 6" xfId="29596"/>
    <cellStyle name="Обычный 4 125 6" xfId="29597"/>
    <cellStyle name="Процентный 4 125 6" xfId="29598"/>
    <cellStyle name="Обычный 5 118 6" xfId="29599"/>
    <cellStyle name="Процентный 5 118 6" xfId="29600"/>
    <cellStyle name="Обычный 4 2 112 6" xfId="29601"/>
    <cellStyle name="Процентный 4 2 112 6" xfId="29602"/>
    <cellStyle name="Обычный 5 2 112 6" xfId="29603"/>
    <cellStyle name="Процентный 5 2 112 6" xfId="29604"/>
    <cellStyle name="Обычный 6 109 6" xfId="29605"/>
    <cellStyle name="Процентный 6 109 6" xfId="29606"/>
    <cellStyle name="Обычный 7 79 6" xfId="29607"/>
    <cellStyle name="Процентный 7 79 6" xfId="29608"/>
    <cellStyle name="Обычный 4 3 71 6" xfId="29609"/>
    <cellStyle name="Процентный 4 3 71 6" xfId="29610"/>
    <cellStyle name="Обычный 5 3 71 6" xfId="29611"/>
    <cellStyle name="Процентный 5 3 71 6" xfId="29612"/>
    <cellStyle name="Обычный 4 2 2 71 6" xfId="29613"/>
    <cellStyle name="Процентный 4 2 2 71 6" xfId="29614"/>
    <cellStyle name="Обычный 5 2 2 71 6" xfId="29615"/>
    <cellStyle name="Процентный 5 2 2 71 6" xfId="29616"/>
    <cellStyle name="Обычный 6 2 71 6" xfId="29617"/>
    <cellStyle name="Процентный 6 2 71 6" xfId="29618"/>
    <cellStyle name="Обычный 7 2 71 6" xfId="29619"/>
    <cellStyle name="Процентный 7 2 71 6" xfId="29620"/>
    <cellStyle name="Обычный 8 67 6" xfId="29621"/>
    <cellStyle name="Процентный 8 67 6" xfId="29622"/>
    <cellStyle name="Обычный 9 33 6" xfId="29623"/>
    <cellStyle name="Процентный 9 34 6" xfId="29624"/>
    <cellStyle name="Обычный 10 26 6" xfId="29625"/>
    <cellStyle name="Процентный 10 26 6" xfId="29626"/>
    <cellStyle name="Обычный 11 14 6" xfId="29627"/>
    <cellStyle name="Процентный 11 14 6" xfId="29628"/>
    <cellStyle name="Обычный 4 126 6" xfId="29629"/>
    <cellStyle name="Процентный 4 126 6" xfId="29630"/>
    <cellStyle name="Обычный 5 119 6" xfId="29631"/>
    <cellStyle name="Процентный 5 119 6" xfId="29632"/>
    <cellStyle name="Обычный 4 2 113 6" xfId="29633"/>
    <cellStyle name="Процентный 4 2 113 6" xfId="29634"/>
    <cellStyle name="Обычный 5 2 113 6" xfId="29635"/>
    <cellStyle name="Процентный 5 2 113 6" xfId="29636"/>
    <cellStyle name="Обычный 6 110 6" xfId="29637"/>
    <cellStyle name="Процентный 6 110 6" xfId="29638"/>
    <cellStyle name="Обычный 7 80 6" xfId="29639"/>
    <cellStyle name="Процентный 7 80 6" xfId="29640"/>
    <cellStyle name="Обычный 4 3 72 6" xfId="29641"/>
    <cellStyle name="Процентный 4 3 72 6" xfId="29642"/>
    <cellStyle name="Обычный 5 3 72 6" xfId="29643"/>
    <cellStyle name="Процентный 5 3 72 6" xfId="29644"/>
    <cellStyle name="Обычный 4 2 2 72 6" xfId="29645"/>
    <cellStyle name="Процентный 4 2 2 72 6" xfId="29646"/>
    <cellStyle name="Обычный 5 2 2 72 6" xfId="29647"/>
    <cellStyle name="Процентный 5 2 2 72 6" xfId="29648"/>
    <cellStyle name="Обычный 6 2 72 6" xfId="29649"/>
    <cellStyle name="Процентный 6 2 72 6" xfId="29650"/>
    <cellStyle name="Обычный 7 2 72 6" xfId="29651"/>
    <cellStyle name="Процентный 7 2 72 6" xfId="29652"/>
    <cellStyle name="Обычный 8 68 6" xfId="29653"/>
    <cellStyle name="Процентный 8 68 6" xfId="29654"/>
    <cellStyle name="Обычный 9 34 6" xfId="29655"/>
    <cellStyle name="Процентный 9 35 6" xfId="29656"/>
    <cellStyle name="Обычный 10 27 6" xfId="29657"/>
    <cellStyle name="Процентный 10 27 6" xfId="29658"/>
    <cellStyle name="Обычный 11 15 6" xfId="29659"/>
    <cellStyle name="Процентный 11 15 6" xfId="29660"/>
    <cellStyle name="Обычный 4 127 6" xfId="29661"/>
    <cellStyle name="Процентный 4 127 6" xfId="29662"/>
    <cellStyle name="Обычный 5 120 6" xfId="29663"/>
    <cellStyle name="Процентный 5 120 6" xfId="29664"/>
    <cellStyle name="Обычный 4 2 114 6" xfId="29665"/>
    <cellStyle name="Процентный 4 2 114 6" xfId="29666"/>
    <cellStyle name="Обычный 5 2 114 6" xfId="29667"/>
    <cellStyle name="Процентный 5 2 114 6" xfId="29668"/>
    <cellStyle name="Обычный 6 111 6" xfId="29669"/>
    <cellStyle name="Процентный 6 111 6" xfId="29670"/>
    <cellStyle name="Обычный 7 81 6" xfId="29671"/>
    <cellStyle name="Процентный 7 81 6" xfId="29672"/>
    <cellStyle name="Обычный 4 3 73 6" xfId="29673"/>
    <cellStyle name="Процентный 4 3 73 6" xfId="29674"/>
    <cellStyle name="Обычный 5 3 73 6" xfId="29675"/>
    <cellStyle name="Процентный 5 3 73 6" xfId="29676"/>
    <cellStyle name="Обычный 4 2 2 73 6" xfId="29677"/>
    <cellStyle name="Процентный 4 2 2 73 6" xfId="29678"/>
    <cellStyle name="Обычный 5 2 2 73 6" xfId="29679"/>
    <cellStyle name="Процентный 5 2 2 73 6" xfId="29680"/>
    <cellStyle name="Обычный 6 2 73 6" xfId="29681"/>
    <cellStyle name="Процентный 6 2 73 6" xfId="29682"/>
    <cellStyle name="Обычный 7 2 73 6" xfId="29683"/>
    <cellStyle name="Процентный 7 2 73 6" xfId="29684"/>
    <cellStyle name="Обычный 8 69 6" xfId="29685"/>
    <cellStyle name="Процентный 8 69 6" xfId="29686"/>
    <cellStyle name="Обычный 9 35 6" xfId="29687"/>
    <cellStyle name="Процентный 9 36 6" xfId="29688"/>
    <cellStyle name="Обычный 10 28 6" xfId="29689"/>
    <cellStyle name="Процентный 10 28 6" xfId="29690"/>
    <cellStyle name="Обычный 11 16 6" xfId="29691"/>
    <cellStyle name="Процентный 11 16 6" xfId="29692"/>
    <cellStyle name="Обычный 4 128 6" xfId="29693"/>
    <cellStyle name="Процентный 4 128 6" xfId="29694"/>
    <cellStyle name="Обычный 5 121 6" xfId="29695"/>
    <cellStyle name="Процентный 5 121 6" xfId="29696"/>
    <cellStyle name="Обычный 4 2 115 6" xfId="29697"/>
    <cellStyle name="Процентный 4 2 115 6" xfId="29698"/>
    <cellStyle name="Обычный 5 2 115 6" xfId="29699"/>
    <cellStyle name="Процентный 5 2 115 6" xfId="29700"/>
    <cellStyle name="Обычный 6 112 6" xfId="29701"/>
    <cellStyle name="Процентный 6 112 6" xfId="29702"/>
    <cellStyle name="Обычный 7 82 6" xfId="29703"/>
    <cellStyle name="Процентный 7 82 6" xfId="29704"/>
    <cellStyle name="Обычный 4 3 74 6" xfId="29705"/>
    <cellStyle name="Процентный 4 3 74 6" xfId="29706"/>
    <cellStyle name="Обычный 5 3 74 6" xfId="29707"/>
    <cellStyle name="Процентный 5 3 74 6" xfId="29708"/>
    <cellStyle name="Обычный 4 2 2 74 6" xfId="29709"/>
    <cellStyle name="Процентный 4 2 2 74 6" xfId="29710"/>
    <cellStyle name="Обычный 5 2 2 74 6" xfId="29711"/>
    <cellStyle name="Процентный 5 2 2 74 6" xfId="29712"/>
    <cellStyle name="Обычный 6 2 74 6" xfId="29713"/>
    <cellStyle name="Процентный 6 2 74 6" xfId="29714"/>
    <cellStyle name="Обычный 7 2 74 6" xfId="29715"/>
    <cellStyle name="Процентный 7 2 74 6" xfId="29716"/>
    <cellStyle name="Обычный 8 70 6" xfId="29717"/>
    <cellStyle name="Процентный 8 70 6" xfId="29718"/>
    <cellStyle name="Обычный 9 36 6" xfId="29719"/>
    <cellStyle name="Процентный 9 37 6" xfId="29720"/>
    <cellStyle name="Обычный 10 29 6" xfId="29721"/>
    <cellStyle name="Процентный 10 29 6" xfId="29722"/>
    <cellStyle name="Обычный 11 17 6" xfId="29723"/>
    <cellStyle name="Процентный 11 17 6" xfId="29724"/>
    <cellStyle name="Обычный 4 129 6" xfId="29725"/>
    <cellStyle name="Процентный 4 129 6" xfId="29726"/>
    <cellStyle name="Обычный 5 122 6" xfId="29727"/>
    <cellStyle name="Процентный 5 122 6" xfId="29728"/>
    <cellStyle name="Обычный 4 2 116 6" xfId="29729"/>
    <cellStyle name="Процентный 4 2 116 6" xfId="29730"/>
    <cellStyle name="Обычный 5 2 116 6" xfId="29731"/>
    <cellStyle name="Процентный 5 2 116 6" xfId="29732"/>
    <cellStyle name="Обычный 6 113 6" xfId="29733"/>
    <cellStyle name="Процентный 6 113 6" xfId="29734"/>
    <cellStyle name="Обычный 7 83 6" xfId="29735"/>
    <cellStyle name="Процентный 7 83 6" xfId="29736"/>
    <cellStyle name="Обычный 4 3 75 6" xfId="29737"/>
    <cellStyle name="Процентный 4 3 75 6" xfId="29738"/>
    <cellStyle name="Обычный 5 3 75 6" xfId="29739"/>
    <cellStyle name="Процентный 5 3 75 6" xfId="29740"/>
    <cellStyle name="Обычный 4 2 2 75 6" xfId="29741"/>
    <cellStyle name="Процентный 4 2 2 75 6" xfId="29742"/>
    <cellStyle name="Обычный 5 2 2 75 6" xfId="29743"/>
    <cellStyle name="Процентный 5 2 2 75 6" xfId="29744"/>
    <cellStyle name="Обычный 6 2 75 6" xfId="29745"/>
    <cellStyle name="Процентный 6 2 75 6" xfId="29746"/>
    <cellStyle name="Обычный 7 2 75 6" xfId="29747"/>
    <cellStyle name="Процентный 7 2 75 6" xfId="29748"/>
    <cellStyle name="Обычный 8 71 6" xfId="29749"/>
    <cellStyle name="Процентный 8 71 6" xfId="29750"/>
    <cellStyle name="Обычный 9 37 6" xfId="29751"/>
    <cellStyle name="Процентный 9 38 6" xfId="29752"/>
    <cellStyle name="Обычный 10 30 6" xfId="29753"/>
    <cellStyle name="Процентный 10 30 6" xfId="29754"/>
    <cellStyle name="Обычный 11 18 6" xfId="29755"/>
    <cellStyle name="Процентный 11 18 6" xfId="29756"/>
    <cellStyle name="Обычный 4 130 6" xfId="29757"/>
    <cellStyle name="Процентный 4 130 6" xfId="29758"/>
    <cellStyle name="Обычный 5 123 6" xfId="29759"/>
    <cellStyle name="Процентный 5 123 6" xfId="29760"/>
    <cellStyle name="Обычный 4 2 117 6" xfId="29761"/>
    <cellStyle name="Процентный 4 2 117 6" xfId="29762"/>
    <cellStyle name="Обычный 5 2 117 6" xfId="29763"/>
    <cellStyle name="Процентный 5 2 117 6" xfId="29764"/>
    <cellStyle name="Обычный 6 114 6" xfId="29765"/>
    <cellStyle name="Процентный 6 114 6" xfId="29766"/>
    <cellStyle name="Обычный 7 84 6" xfId="29767"/>
    <cellStyle name="Процентный 7 84 6" xfId="29768"/>
    <cellStyle name="Обычный 4 3 76 6" xfId="29769"/>
    <cellStyle name="Процентный 4 3 76 6" xfId="29770"/>
    <cellStyle name="Обычный 5 3 76 6" xfId="29771"/>
    <cellStyle name="Процентный 5 3 76 6" xfId="29772"/>
    <cellStyle name="Обычный 4 2 2 76 6" xfId="29773"/>
    <cellStyle name="Процентный 4 2 2 76 6" xfId="29774"/>
    <cellStyle name="Обычный 5 2 2 76 6" xfId="29775"/>
    <cellStyle name="Процентный 5 2 2 76 6" xfId="29776"/>
    <cellStyle name="Обычный 6 2 76 6" xfId="29777"/>
    <cellStyle name="Процентный 6 2 76 6" xfId="29778"/>
    <cellStyle name="Обычный 7 2 76 6" xfId="29779"/>
    <cellStyle name="Процентный 7 2 76 6" xfId="29780"/>
    <cellStyle name="Обычный 8 72 6" xfId="29781"/>
    <cellStyle name="Процентный 8 72 6" xfId="29782"/>
    <cellStyle name="Обычный 9 38 6" xfId="29783"/>
    <cellStyle name="Процентный 9 39 6" xfId="29784"/>
    <cellStyle name="Обычный 10 31 6" xfId="29785"/>
    <cellStyle name="Процентный 10 31 6" xfId="29786"/>
    <cellStyle name="Обычный 11 19 6" xfId="29787"/>
    <cellStyle name="Процентный 11 19 6" xfId="29788"/>
    <cellStyle name="Обычный 4 131 6" xfId="29789"/>
    <cellStyle name="Процентный 4 131 6" xfId="29790"/>
    <cellStyle name="Обычный 5 124 6" xfId="29791"/>
    <cellStyle name="Процентный 5 124 6" xfId="29792"/>
    <cellStyle name="Обычный 4 2 118 6" xfId="29793"/>
    <cellStyle name="Процентный 4 2 118 6" xfId="29794"/>
    <cellStyle name="Обычный 5 2 118 6" xfId="29795"/>
    <cellStyle name="Процентный 5 2 118 6" xfId="29796"/>
    <cellStyle name="Обычный 6 115 6" xfId="29797"/>
    <cellStyle name="Процентный 6 115 6" xfId="29798"/>
    <cellStyle name="Обычный 7 85 6" xfId="29799"/>
    <cellStyle name="Процентный 7 85 6" xfId="29800"/>
    <cellStyle name="Обычный 4 3 77 6" xfId="29801"/>
    <cellStyle name="Процентный 4 3 77 6" xfId="29802"/>
    <cellStyle name="Обычный 5 3 77 6" xfId="29803"/>
    <cellStyle name="Процентный 5 3 77 6" xfId="29804"/>
    <cellStyle name="Обычный 4 2 2 77 6" xfId="29805"/>
    <cellStyle name="Процентный 4 2 2 77 6" xfId="29806"/>
    <cellStyle name="Обычный 5 2 2 77 6" xfId="29807"/>
    <cellStyle name="Процентный 5 2 2 77 6" xfId="29808"/>
    <cellStyle name="Обычный 6 2 77 6" xfId="29809"/>
    <cellStyle name="Процентный 6 2 77 6" xfId="29810"/>
    <cellStyle name="Обычный 7 2 77 6" xfId="29811"/>
    <cellStyle name="Процентный 7 2 77 6" xfId="29812"/>
    <cellStyle name="Обычный 8 73 6" xfId="29813"/>
    <cellStyle name="Процентный 8 73 6" xfId="29814"/>
    <cellStyle name="Обычный 9 39 6" xfId="29815"/>
    <cellStyle name="Процентный 9 40 6" xfId="29816"/>
    <cellStyle name="Обычный 10 32 6" xfId="29817"/>
    <cellStyle name="Процентный 10 32 6" xfId="29818"/>
    <cellStyle name="Обычный 11 20 6" xfId="29819"/>
    <cellStyle name="Процентный 11 20 6" xfId="29820"/>
    <cellStyle name="Обычный 4 132 6" xfId="29821"/>
    <cellStyle name="Процентный 4 132 6" xfId="29822"/>
    <cellStyle name="Обычный 5 125 6" xfId="29823"/>
    <cellStyle name="Процентный 5 125 6" xfId="29824"/>
    <cellStyle name="Обычный 4 2 119 6" xfId="29825"/>
    <cellStyle name="Процентный 4 2 119 6" xfId="29826"/>
    <cellStyle name="Обычный 5 2 119 6" xfId="29827"/>
    <cellStyle name="Процентный 5 2 119 6" xfId="29828"/>
    <cellStyle name="Обычный 6 116 6" xfId="29829"/>
    <cellStyle name="Процентный 6 116 6" xfId="29830"/>
    <cellStyle name="Обычный 7 86 6" xfId="29831"/>
    <cellStyle name="Процентный 7 86 6" xfId="29832"/>
    <cellStyle name="Обычный 4 3 78 6" xfId="29833"/>
    <cellStyle name="Процентный 4 3 78 6" xfId="29834"/>
    <cellStyle name="Обычный 5 3 78 6" xfId="29835"/>
    <cellStyle name="Процентный 5 3 78 6" xfId="29836"/>
    <cellStyle name="Обычный 4 2 2 78 6" xfId="29837"/>
    <cellStyle name="Процентный 4 2 2 78 6" xfId="29838"/>
    <cellStyle name="Обычный 5 2 2 78 6" xfId="29839"/>
    <cellStyle name="Процентный 5 2 2 78 6" xfId="29840"/>
    <cellStyle name="Обычный 6 2 78 6" xfId="29841"/>
    <cellStyle name="Процентный 6 2 78 6" xfId="29842"/>
    <cellStyle name="Обычный 7 2 78 6" xfId="29843"/>
    <cellStyle name="Процентный 7 2 78 6" xfId="29844"/>
    <cellStyle name="Обычный 8 74 6" xfId="29845"/>
    <cellStyle name="Процентный 8 74 6" xfId="29846"/>
    <cellStyle name="Обычный 9 40 6" xfId="29847"/>
    <cellStyle name="Процентный 9 41 6" xfId="29848"/>
    <cellStyle name="Обычный 10 33 6" xfId="29849"/>
    <cellStyle name="Процентный 10 33 6" xfId="29850"/>
    <cellStyle name="Обычный 11 21 6" xfId="29851"/>
    <cellStyle name="Процентный 11 21 6" xfId="29852"/>
    <cellStyle name="Обычный 4 133 6" xfId="29853"/>
    <cellStyle name="Процентный 4 133 6" xfId="29854"/>
    <cellStyle name="Обычный 5 126 6" xfId="29855"/>
    <cellStyle name="Процентный 5 126 6" xfId="29856"/>
    <cellStyle name="Обычный 4 2 120 6" xfId="29857"/>
    <cellStyle name="Процентный 4 2 120 6" xfId="29858"/>
    <cellStyle name="Обычный 5 2 120 6" xfId="29859"/>
    <cellStyle name="Процентный 5 2 120 6" xfId="29860"/>
    <cellStyle name="Обычный 6 117 6" xfId="29861"/>
    <cellStyle name="Процентный 6 117 6" xfId="29862"/>
    <cellStyle name="Обычный 7 87 6" xfId="29863"/>
    <cellStyle name="Процентный 7 87 6" xfId="29864"/>
    <cellStyle name="Обычный 4 3 79 6" xfId="29865"/>
    <cellStyle name="Процентный 4 3 79 6" xfId="29866"/>
    <cellStyle name="Обычный 5 3 79 6" xfId="29867"/>
    <cellStyle name="Процентный 5 3 79 6" xfId="29868"/>
    <cellStyle name="Обычный 4 2 2 79 6" xfId="29869"/>
    <cellStyle name="Процентный 4 2 2 79 6" xfId="29870"/>
    <cellStyle name="Обычный 5 2 2 79 6" xfId="29871"/>
    <cellStyle name="Процентный 5 2 2 79 6" xfId="29872"/>
    <cellStyle name="Обычный 6 2 79 6" xfId="29873"/>
    <cellStyle name="Процентный 6 2 79 6" xfId="29874"/>
    <cellStyle name="Обычный 7 2 79 6" xfId="29875"/>
    <cellStyle name="Процентный 7 2 79 6" xfId="29876"/>
    <cellStyle name="Обычный 8 75 6" xfId="29877"/>
    <cellStyle name="Процентный 8 75 6" xfId="29878"/>
    <cellStyle name="Обычный 9 41 6" xfId="29879"/>
    <cellStyle name="Процентный 9 42 6" xfId="29880"/>
    <cellStyle name="Обычный 10 34 6" xfId="29881"/>
    <cellStyle name="Процентный 10 34 6" xfId="29882"/>
    <cellStyle name="Обычный 11 22 6" xfId="29883"/>
    <cellStyle name="Процентный 11 22 6" xfId="29884"/>
    <cellStyle name="Обычный 4 134 6" xfId="29885"/>
    <cellStyle name="Процентный 4 134 6" xfId="29886"/>
    <cellStyle name="Обычный 5 127 6" xfId="29887"/>
    <cellStyle name="Процентный 5 127 6" xfId="29888"/>
    <cellStyle name="Обычный 4 2 121 6" xfId="29889"/>
    <cellStyle name="Процентный 4 2 121 6" xfId="29890"/>
    <cellStyle name="Обычный 5 2 121 6" xfId="29891"/>
    <cellStyle name="Процентный 5 2 121 6" xfId="29892"/>
    <cellStyle name="Обычный 6 118 6" xfId="29893"/>
    <cellStyle name="Процентный 6 118 6" xfId="29894"/>
    <cellStyle name="Обычный 7 88 6" xfId="29895"/>
    <cellStyle name="Процентный 7 88 6" xfId="29896"/>
    <cellStyle name="Обычный 4 3 80 6" xfId="29897"/>
    <cellStyle name="Процентный 4 3 80 6" xfId="29898"/>
    <cellStyle name="Обычный 5 3 80 6" xfId="29899"/>
    <cellStyle name="Процентный 5 3 80 6" xfId="29900"/>
    <cellStyle name="Обычный 4 2 2 80 6" xfId="29901"/>
    <cellStyle name="Процентный 4 2 2 80 6" xfId="29902"/>
    <cellStyle name="Обычный 5 2 2 80 6" xfId="29903"/>
    <cellStyle name="Процентный 5 2 2 80 6" xfId="29904"/>
    <cellStyle name="Обычный 6 2 80 6" xfId="29905"/>
    <cellStyle name="Процентный 6 2 80 6" xfId="29906"/>
    <cellStyle name="Обычный 7 2 80 6" xfId="29907"/>
    <cellStyle name="Процентный 7 2 80 6" xfId="29908"/>
    <cellStyle name="Обычный 8 76 6" xfId="29909"/>
    <cellStyle name="Процентный 8 76 6" xfId="29910"/>
    <cellStyle name="Обычный 9 42 6" xfId="29911"/>
    <cellStyle name="Процентный 9 43 6" xfId="29912"/>
    <cellStyle name="Обычный 10 35 6" xfId="29913"/>
    <cellStyle name="Процентный 10 35 6" xfId="29914"/>
    <cellStyle name="Обычный 11 23 6" xfId="29915"/>
    <cellStyle name="Процентный 11 23 6" xfId="29916"/>
    <cellStyle name="Обычный 4 135 6" xfId="29917"/>
    <cellStyle name="Процентный 4 135 6" xfId="29918"/>
    <cellStyle name="Обычный 5 128 6" xfId="29919"/>
    <cellStyle name="Процентный 5 128 6" xfId="29920"/>
    <cellStyle name="Обычный 4 2 122 6" xfId="29921"/>
    <cellStyle name="Процентный 4 2 122 6" xfId="29922"/>
    <cellStyle name="Обычный 5 2 122 6" xfId="29923"/>
    <cellStyle name="Процентный 5 2 122 6" xfId="29924"/>
    <cellStyle name="Обычный 6 119 6" xfId="29925"/>
    <cellStyle name="Процентный 6 119 6" xfId="29926"/>
    <cellStyle name="Обычный 7 89 6" xfId="29927"/>
    <cellStyle name="Процентный 7 89 6" xfId="29928"/>
    <cellStyle name="Обычный 4 3 81 6" xfId="29929"/>
    <cellStyle name="Процентный 4 3 81 6" xfId="29930"/>
    <cellStyle name="Обычный 5 3 81 6" xfId="29931"/>
    <cellStyle name="Процентный 5 3 81 6" xfId="29932"/>
    <cellStyle name="Обычный 4 2 2 81 6" xfId="29933"/>
    <cellStyle name="Процентный 4 2 2 81 6" xfId="29934"/>
    <cellStyle name="Обычный 5 2 2 81 6" xfId="29935"/>
    <cellStyle name="Процентный 5 2 2 81 6" xfId="29936"/>
    <cellStyle name="Обычный 6 2 81 6" xfId="29937"/>
    <cellStyle name="Процентный 6 2 81 6" xfId="29938"/>
    <cellStyle name="Обычный 7 2 81 6" xfId="29939"/>
    <cellStyle name="Процентный 7 2 81 6" xfId="29940"/>
    <cellStyle name="Обычный 8 77 6" xfId="29941"/>
    <cellStyle name="Процентный 8 77 6" xfId="29942"/>
    <cellStyle name="Обычный 9 43 6" xfId="29943"/>
    <cellStyle name="Процентный 9 44 6" xfId="29944"/>
    <cellStyle name="Обычный 10 36 6" xfId="29945"/>
    <cellStyle name="Процентный 10 36 6" xfId="29946"/>
    <cellStyle name="Обычный 11 24 6" xfId="29947"/>
    <cellStyle name="Процентный 11 24 6" xfId="29948"/>
    <cellStyle name="Обычный 4 136 6" xfId="29949"/>
    <cellStyle name="Процентный 4 136 6" xfId="29950"/>
    <cellStyle name="Обычный 5 129 6" xfId="29951"/>
    <cellStyle name="Процентный 5 129 6" xfId="29952"/>
    <cellStyle name="Обычный 4 2 123 6" xfId="29953"/>
    <cellStyle name="Процентный 4 2 123 6" xfId="29954"/>
    <cellStyle name="Обычный 5 2 123 6" xfId="29955"/>
    <cellStyle name="Процентный 5 2 123 6" xfId="29956"/>
    <cellStyle name="Обычный 6 120 6" xfId="29957"/>
    <cellStyle name="Процентный 6 120 6" xfId="29958"/>
    <cellStyle name="Обычный 7 90 6" xfId="29959"/>
    <cellStyle name="Процентный 7 90 6" xfId="29960"/>
    <cellStyle name="Обычный 4 3 82 6" xfId="29961"/>
    <cellStyle name="Процентный 4 3 82 6" xfId="29962"/>
    <cellStyle name="Обычный 5 3 82 6" xfId="29963"/>
    <cellStyle name="Процентный 5 3 82 6" xfId="29964"/>
    <cellStyle name="Обычный 4 2 2 82 6" xfId="29965"/>
    <cellStyle name="Процентный 4 2 2 82 6" xfId="29966"/>
    <cellStyle name="Обычный 5 2 2 82 6" xfId="29967"/>
    <cellStyle name="Процентный 5 2 2 82 6" xfId="29968"/>
    <cellStyle name="Обычный 6 2 82 6" xfId="29969"/>
    <cellStyle name="Процентный 6 2 82 6" xfId="29970"/>
    <cellStyle name="Обычный 7 2 82 6" xfId="29971"/>
    <cellStyle name="Процентный 7 2 82 6" xfId="29972"/>
    <cellStyle name="Обычный 8 78 6" xfId="29973"/>
    <cellStyle name="Процентный 8 78 6" xfId="29974"/>
    <cellStyle name="Обычный 9 44 6" xfId="29975"/>
    <cellStyle name="Процентный 9 45 6" xfId="29976"/>
    <cellStyle name="Обычный 10 37 6" xfId="29977"/>
    <cellStyle name="Процентный 10 37 6" xfId="29978"/>
    <cellStyle name="Обычный 11 25 6" xfId="29979"/>
    <cellStyle name="Процентный 11 25 6" xfId="29980"/>
    <cellStyle name="Обычный 4 137 6" xfId="29981"/>
    <cellStyle name="Процентный 4 137 6" xfId="29982"/>
    <cellStyle name="Обычный 5 130 6" xfId="29983"/>
    <cellStyle name="Процентный 5 130 6" xfId="29984"/>
    <cellStyle name="Обычный 4 2 124 6" xfId="29985"/>
    <cellStyle name="Процентный 4 2 124 6" xfId="29986"/>
    <cellStyle name="Обычный 5 2 124 6" xfId="29987"/>
    <cellStyle name="Процентный 5 2 124 6" xfId="29988"/>
    <cellStyle name="Обычный 6 121 6" xfId="29989"/>
    <cellStyle name="Процентный 6 121 6" xfId="29990"/>
    <cellStyle name="Обычный 7 91 6" xfId="29991"/>
    <cellStyle name="Процентный 7 91 6" xfId="29992"/>
    <cellStyle name="Обычный 4 3 83 6" xfId="29993"/>
    <cellStyle name="Процентный 4 3 83 6" xfId="29994"/>
    <cellStyle name="Обычный 5 3 83 6" xfId="29995"/>
    <cellStyle name="Процентный 5 3 83 6" xfId="29996"/>
    <cellStyle name="Обычный 4 2 2 83 6" xfId="29997"/>
    <cellStyle name="Процентный 4 2 2 83 6" xfId="29998"/>
    <cellStyle name="Обычный 5 2 2 83 6" xfId="29999"/>
    <cellStyle name="Процентный 5 2 2 83 6" xfId="30000"/>
    <cellStyle name="Обычный 6 2 83 6" xfId="30001"/>
    <cellStyle name="Процентный 6 2 83 6" xfId="30002"/>
    <cellStyle name="Обычный 7 2 83 6" xfId="30003"/>
    <cellStyle name="Процентный 7 2 83 6" xfId="30004"/>
    <cellStyle name="Обычный 8 79 6" xfId="30005"/>
    <cellStyle name="Процентный 8 79 6" xfId="30006"/>
    <cellStyle name="Обычный 9 45 6" xfId="30007"/>
    <cellStyle name="Процентный 9 46 6" xfId="30008"/>
    <cellStyle name="Обычный 10 38 6" xfId="30009"/>
    <cellStyle name="Процентный 10 38 6" xfId="30010"/>
    <cellStyle name="Обычный 11 26 6" xfId="30011"/>
    <cellStyle name="Процентный 11 26 6" xfId="30012"/>
    <cellStyle name="Обычный 4 138 6" xfId="30013"/>
    <cellStyle name="Процентный 4 138 6" xfId="30014"/>
    <cellStyle name="Обычный 5 131 6" xfId="30015"/>
    <cellStyle name="Процентный 5 131 6" xfId="30016"/>
    <cellStyle name="Обычный 4 2 125 6" xfId="30017"/>
    <cellStyle name="Процентный 4 2 125 6" xfId="30018"/>
    <cellStyle name="Обычный 5 2 125 6" xfId="30019"/>
    <cellStyle name="Процентный 5 2 125 6" xfId="30020"/>
    <cellStyle name="Обычный 6 122 6" xfId="30021"/>
    <cellStyle name="Процентный 6 122 6" xfId="30022"/>
    <cellStyle name="Обычный 7 92 6" xfId="30023"/>
    <cellStyle name="Процентный 7 92 6" xfId="30024"/>
    <cellStyle name="Обычный 4 3 84 6" xfId="30025"/>
    <cellStyle name="Процентный 4 3 84 6" xfId="30026"/>
    <cellStyle name="Обычный 5 3 84 6" xfId="30027"/>
    <cellStyle name="Процентный 5 3 84 6" xfId="30028"/>
    <cellStyle name="Обычный 4 2 2 84 6" xfId="30029"/>
    <cellStyle name="Процентный 4 2 2 84 6" xfId="30030"/>
    <cellStyle name="Обычный 5 2 2 84 6" xfId="30031"/>
    <cellStyle name="Процентный 5 2 2 84 6" xfId="30032"/>
    <cellStyle name="Обычный 6 2 84 6" xfId="30033"/>
    <cellStyle name="Процентный 6 2 84 6" xfId="30034"/>
    <cellStyle name="Обычный 7 2 84 6" xfId="30035"/>
    <cellStyle name="Процентный 7 2 84 6" xfId="30036"/>
    <cellStyle name="Обычный 8 80 6" xfId="30037"/>
    <cellStyle name="Процентный 8 80 6" xfId="30038"/>
    <cellStyle name="Обычный 9 46 6" xfId="30039"/>
    <cellStyle name="Процентный 9 47 6" xfId="30040"/>
    <cellStyle name="Обычный 10 39 6" xfId="30041"/>
    <cellStyle name="Процентный 10 39 6" xfId="30042"/>
    <cellStyle name="Обычный 11 27 6" xfId="30043"/>
    <cellStyle name="Процентный 11 27 6" xfId="30044"/>
    <cellStyle name="Обычный 4 139 6" xfId="30045"/>
    <cellStyle name="Процентный 4 139 6" xfId="30046"/>
    <cellStyle name="Обычный 5 132 6" xfId="30047"/>
    <cellStyle name="Процентный 5 132 6" xfId="30048"/>
    <cellStyle name="Обычный 4 2 126 6" xfId="30049"/>
    <cellStyle name="Процентный 4 2 126 6" xfId="30050"/>
    <cellStyle name="Обычный 5 2 126 6" xfId="30051"/>
    <cellStyle name="Процентный 5 2 126 6" xfId="30052"/>
    <cellStyle name="Обычный 6 123 6" xfId="30053"/>
    <cellStyle name="Процентный 6 123 6" xfId="30054"/>
    <cellStyle name="Обычный 7 93 6" xfId="30055"/>
    <cellStyle name="Процентный 7 93 6" xfId="30056"/>
    <cellStyle name="Обычный 4 3 85 6" xfId="30057"/>
    <cellStyle name="Процентный 4 3 85 6" xfId="30058"/>
    <cellStyle name="Обычный 5 3 85 6" xfId="30059"/>
    <cellStyle name="Процентный 5 3 85 6" xfId="30060"/>
    <cellStyle name="Обычный 4 2 2 85 6" xfId="30061"/>
    <cellStyle name="Процентный 4 2 2 85 6" xfId="30062"/>
    <cellStyle name="Обычный 5 2 2 85 6" xfId="30063"/>
    <cellStyle name="Процентный 5 2 2 85 6" xfId="30064"/>
    <cellStyle name="Обычный 6 2 85 6" xfId="30065"/>
    <cellStyle name="Процентный 6 2 85 6" xfId="30066"/>
    <cellStyle name="Обычный 7 2 85 6" xfId="30067"/>
    <cellStyle name="Процентный 7 2 85 6" xfId="30068"/>
    <cellStyle name="Обычный 8 81 6" xfId="30069"/>
    <cellStyle name="Процентный 8 81 6" xfId="30070"/>
    <cellStyle name="Обычный 9 47 6" xfId="30071"/>
    <cellStyle name="Процентный 9 48 6" xfId="30072"/>
    <cellStyle name="Обычный 10 40 6" xfId="30073"/>
    <cellStyle name="Процентный 10 40 6" xfId="30074"/>
    <cellStyle name="Обычный 11 28 6" xfId="30075"/>
    <cellStyle name="Процентный 11 28 6" xfId="30076"/>
    <cellStyle name="Обычный 4 140 6" xfId="30077"/>
    <cellStyle name="Процентный 4 140 6" xfId="30078"/>
    <cellStyle name="Обычный 5 133 6" xfId="30079"/>
    <cellStyle name="Процентный 5 133 6" xfId="30080"/>
    <cellStyle name="Обычный 4 2 127 6" xfId="30081"/>
    <cellStyle name="Процентный 4 2 127 6" xfId="30082"/>
    <cellStyle name="Обычный 5 2 127 6" xfId="30083"/>
    <cellStyle name="Процентный 5 2 127 6" xfId="30084"/>
    <cellStyle name="Обычный 6 124 6" xfId="30085"/>
    <cellStyle name="Процентный 6 124 6" xfId="30086"/>
    <cellStyle name="Обычный 7 94 6" xfId="30087"/>
    <cellStyle name="Процентный 7 94 6" xfId="30088"/>
    <cellStyle name="Обычный 4 3 86 6" xfId="30089"/>
    <cellStyle name="Процентный 4 3 86 6" xfId="30090"/>
    <cellStyle name="Обычный 5 3 86 6" xfId="30091"/>
    <cellStyle name="Процентный 5 3 86 6" xfId="30092"/>
    <cellStyle name="Обычный 4 2 2 86 6" xfId="30093"/>
    <cellStyle name="Процентный 4 2 2 86 6" xfId="30094"/>
    <cellStyle name="Обычный 5 2 2 86 6" xfId="30095"/>
    <cellStyle name="Процентный 5 2 2 86 6" xfId="30096"/>
    <cellStyle name="Обычный 6 2 86 6" xfId="30097"/>
    <cellStyle name="Процентный 6 2 86 6" xfId="30098"/>
    <cellStyle name="Обычный 7 2 86 6" xfId="30099"/>
    <cellStyle name="Процентный 7 2 86 6" xfId="30100"/>
    <cellStyle name="Обычный 8 82 6" xfId="30101"/>
    <cellStyle name="Процентный 8 82 6" xfId="30102"/>
    <cellStyle name="Обычный 9 48 6" xfId="30103"/>
    <cellStyle name="Процентный 9 49 6" xfId="30104"/>
    <cellStyle name="Обычный 10 41 6" xfId="30105"/>
    <cellStyle name="Процентный 10 41 6" xfId="30106"/>
    <cellStyle name="Обычный 11 29 6" xfId="30107"/>
    <cellStyle name="Процентный 11 29 6" xfId="30108"/>
    <cellStyle name="Обычный 4 141 6" xfId="30109"/>
    <cellStyle name="Процентный 4 141 6" xfId="30110"/>
    <cellStyle name="Обычный 5 134 6" xfId="30111"/>
    <cellStyle name="Процентный 5 134 6" xfId="30112"/>
    <cellStyle name="Обычный 4 2 128 6" xfId="30113"/>
    <cellStyle name="Процентный 4 2 128 6" xfId="30114"/>
    <cellStyle name="Обычный 5 2 128 6" xfId="30115"/>
    <cellStyle name="Процентный 5 2 128 6" xfId="30116"/>
    <cellStyle name="Обычный 6 125 6" xfId="30117"/>
    <cellStyle name="Процентный 6 125 6" xfId="30118"/>
    <cellStyle name="Обычный 7 95 6" xfId="30119"/>
    <cellStyle name="Процентный 7 95 6" xfId="30120"/>
    <cellStyle name="Обычный 4 3 87 6" xfId="30121"/>
    <cellStyle name="Процентный 4 3 87 6" xfId="30122"/>
    <cellStyle name="Обычный 5 3 87 6" xfId="30123"/>
    <cellStyle name="Процентный 5 3 87 6" xfId="30124"/>
    <cellStyle name="Обычный 4 2 2 87 6" xfId="30125"/>
    <cellStyle name="Процентный 4 2 2 87 6" xfId="30126"/>
    <cellStyle name="Обычный 5 2 2 87 6" xfId="30127"/>
    <cellStyle name="Процентный 5 2 2 87 6" xfId="30128"/>
    <cellStyle name="Обычный 6 2 87 6" xfId="30129"/>
    <cellStyle name="Процентный 6 2 87 6" xfId="30130"/>
    <cellStyle name="Обычный 7 2 87 6" xfId="30131"/>
    <cellStyle name="Процентный 7 2 87 6" xfId="30132"/>
    <cellStyle name="Обычный 8 83 6" xfId="30133"/>
    <cellStyle name="Процентный 8 83 6" xfId="30134"/>
    <cellStyle name="Обычный 9 49 6" xfId="30135"/>
    <cellStyle name="Процентный 9 50 6" xfId="30136"/>
    <cellStyle name="Обычный 10 42 6" xfId="30137"/>
    <cellStyle name="Процентный 10 42 6" xfId="30138"/>
    <cellStyle name="Обычный 11 30 6" xfId="30139"/>
    <cellStyle name="Процентный 11 30 6" xfId="30140"/>
    <cellStyle name="Обычный 4 142 6" xfId="30141"/>
    <cellStyle name="Процентный 4 142 6" xfId="30142"/>
    <cellStyle name="Обычный 5 135 6" xfId="30143"/>
    <cellStyle name="Процентный 5 135 6" xfId="30144"/>
    <cellStyle name="Обычный 4 2 129 6" xfId="30145"/>
    <cellStyle name="Процентный 4 2 129 6" xfId="30146"/>
    <cellStyle name="Обычный 5 2 129 6" xfId="30147"/>
    <cellStyle name="Процентный 5 2 129 6" xfId="30148"/>
    <cellStyle name="Обычный 6 126 6" xfId="30149"/>
    <cellStyle name="Процентный 6 126 6" xfId="30150"/>
    <cellStyle name="Обычный 7 96 6" xfId="30151"/>
    <cellStyle name="Процентный 7 96 6" xfId="30152"/>
    <cellStyle name="Обычный 4 3 88 6" xfId="30153"/>
    <cellStyle name="Процентный 4 3 88 6" xfId="30154"/>
    <cellStyle name="Обычный 5 3 88 6" xfId="30155"/>
    <cellStyle name="Процентный 5 3 88 6" xfId="30156"/>
    <cellStyle name="Обычный 4 2 2 88 6" xfId="30157"/>
    <cellStyle name="Процентный 4 2 2 88 6" xfId="30158"/>
    <cellStyle name="Обычный 5 2 2 88 6" xfId="30159"/>
    <cellStyle name="Процентный 5 2 2 88 6" xfId="30160"/>
    <cellStyle name="Обычный 6 2 88 6" xfId="30161"/>
    <cellStyle name="Процентный 6 2 88 6" xfId="30162"/>
    <cellStyle name="Обычный 7 2 88 6" xfId="30163"/>
    <cellStyle name="Процентный 7 2 88 6" xfId="30164"/>
    <cellStyle name="Обычный 8 84 6" xfId="30165"/>
    <cellStyle name="Процентный 8 84 6" xfId="30166"/>
    <cellStyle name="Обычный 9 50 6" xfId="30167"/>
    <cellStyle name="Процентный 9 51 6" xfId="30168"/>
    <cellStyle name="Обычный 10 43 6" xfId="30169"/>
    <cellStyle name="Процентный 10 43 6" xfId="30170"/>
    <cellStyle name="Обычный 11 31 6" xfId="30171"/>
    <cellStyle name="Процентный 11 31 6" xfId="30172"/>
    <cellStyle name="Обычный 4 143 6" xfId="30173"/>
    <cellStyle name="Процентный 4 143 6" xfId="30174"/>
    <cellStyle name="Обычный 5 136 6" xfId="30175"/>
    <cellStyle name="Процентный 5 136 6" xfId="30176"/>
    <cellStyle name="Обычный 4 2 130 6" xfId="30177"/>
    <cellStyle name="Процентный 4 2 130 6" xfId="30178"/>
    <cellStyle name="Обычный 5 2 130 6" xfId="30179"/>
    <cellStyle name="Процентный 5 2 130 6" xfId="30180"/>
    <cellStyle name="Обычный 6 127 6" xfId="30181"/>
    <cellStyle name="Процентный 6 127 6" xfId="30182"/>
    <cellStyle name="Обычный 7 97 6" xfId="30183"/>
    <cellStyle name="Процентный 7 97 6" xfId="30184"/>
    <cellStyle name="Обычный 4 3 89 6" xfId="30185"/>
    <cellStyle name="Процентный 4 3 89 6" xfId="30186"/>
    <cellStyle name="Обычный 5 3 89 6" xfId="30187"/>
    <cellStyle name="Процентный 5 3 89 6" xfId="30188"/>
    <cellStyle name="Обычный 4 2 2 89 6" xfId="30189"/>
    <cellStyle name="Процентный 4 2 2 89 6" xfId="30190"/>
    <cellStyle name="Обычный 5 2 2 89 6" xfId="30191"/>
    <cellStyle name="Процентный 5 2 2 89 6" xfId="30192"/>
    <cellStyle name="Обычный 6 2 89 6" xfId="30193"/>
    <cellStyle name="Процентный 6 2 89 6" xfId="30194"/>
    <cellStyle name="Обычный 7 2 89 6" xfId="30195"/>
    <cellStyle name="Процентный 7 2 89 6" xfId="30196"/>
    <cellStyle name="Обычный 8 85 6" xfId="30197"/>
    <cellStyle name="Процентный 8 85 6" xfId="30198"/>
    <cellStyle name="Обычный 9 51 6" xfId="30199"/>
    <cellStyle name="Процентный 9 52 6" xfId="30200"/>
    <cellStyle name="Обычный 10 44 6" xfId="30201"/>
    <cellStyle name="Процентный 10 44 6" xfId="30202"/>
    <cellStyle name="Обычный 11 32 6" xfId="30203"/>
    <cellStyle name="Процентный 11 32 6" xfId="30204"/>
    <cellStyle name="Обычный 4 144 6" xfId="30205"/>
    <cellStyle name="Процентный 4 144 6" xfId="30206"/>
    <cellStyle name="Обычный 5 137 6" xfId="30207"/>
    <cellStyle name="Процентный 5 137 6" xfId="30208"/>
    <cellStyle name="Обычный 4 2 131 6" xfId="30209"/>
    <cellStyle name="Процентный 4 2 131 6" xfId="30210"/>
    <cellStyle name="Обычный 5 2 131 6" xfId="30211"/>
    <cellStyle name="Процентный 5 2 131 6" xfId="30212"/>
    <cellStyle name="Обычный 6 128 6" xfId="30213"/>
    <cellStyle name="Процентный 6 128 6" xfId="30214"/>
    <cellStyle name="Обычный 7 98 6" xfId="30215"/>
    <cellStyle name="Процентный 7 98 6" xfId="30216"/>
    <cellStyle name="Обычный 4 3 90 6" xfId="30217"/>
    <cellStyle name="Процентный 4 3 90 6" xfId="30218"/>
    <cellStyle name="Обычный 5 3 90 6" xfId="30219"/>
    <cellStyle name="Процентный 5 3 90 6" xfId="30220"/>
    <cellStyle name="Обычный 4 2 2 90 6" xfId="30221"/>
    <cellStyle name="Процентный 4 2 2 90 6" xfId="30222"/>
    <cellStyle name="Обычный 5 2 2 90 6" xfId="30223"/>
    <cellStyle name="Процентный 5 2 2 90 6" xfId="30224"/>
    <cellStyle name="Обычный 6 2 90 6" xfId="30225"/>
    <cellStyle name="Процентный 6 2 90 6" xfId="30226"/>
    <cellStyle name="Обычный 7 2 90 6" xfId="30227"/>
    <cellStyle name="Процентный 7 2 90 6" xfId="30228"/>
    <cellStyle name="Обычный 8 86 6" xfId="30229"/>
    <cellStyle name="Процентный 8 86 6" xfId="30230"/>
    <cellStyle name="Обычный 9 52 6" xfId="30231"/>
    <cellStyle name="Процентный 9 53 6" xfId="30232"/>
    <cellStyle name="Обычный 10 45 6" xfId="30233"/>
    <cellStyle name="Процентный 10 45 6" xfId="30234"/>
    <cellStyle name="Обычный 11 33 6" xfId="30235"/>
    <cellStyle name="Процентный 11 33 6" xfId="30236"/>
    <cellStyle name="Обычный 4 145 6" xfId="30237"/>
    <cellStyle name="Процентный 4 145 6" xfId="30238"/>
    <cellStyle name="Обычный 5 138 6" xfId="30239"/>
    <cellStyle name="Процентный 5 138 6" xfId="30240"/>
    <cellStyle name="Обычный 4 2 132 6" xfId="30241"/>
    <cellStyle name="Процентный 4 2 132 6" xfId="30242"/>
    <cellStyle name="Обычный 5 2 132 6" xfId="30243"/>
    <cellStyle name="Процентный 5 2 132 6" xfId="30244"/>
    <cellStyle name="Обычный 6 129 6" xfId="30245"/>
    <cellStyle name="Процентный 6 129 6" xfId="30246"/>
    <cellStyle name="Обычный 7 99 6" xfId="30247"/>
    <cellStyle name="Процентный 7 99 6" xfId="30248"/>
    <cellStyle name="Обычный 4 3 91 6" xfId="30249"/>
    <cellStyle name="Процентный 4 3 91 6" xfId="30250"/>
    <cellStyle name="Обычный 5 3 91 6" xfId="30251"/>
    <cellStyle name="Процентный 5 3 91 6" xfId="30252"/>
    <cellStyle name="Обычный 4 2 2 91 6" xfId="30253"/>
    <cellStyle name="Процентный 4 2 2 91 6" xfId="30254"/>
    <cellStyle name="Обычный 5 2 2 91 6" xfId="30255"/>
    <cellStyle name="Процентный 5 2 2 91 6" xfId="30256"/>
    <cellStyle name="Обычный 6 2 91 6" xfId="30257"/>
    <cellStyle name="Процентный 6 2 91 6" xfId="30258"/>
    <cellStyle name="Обычный 7 2 91 6" xfId="30259"/>
    <cellStyle name="Процентный 7 2 91 6" xfId="30260"/>
    <cellStyle name="Обычный 8 87 6" xfId="30261"/>
    <cellStyle name="Процентный 8 87 6" xfId="30262"/>
    <cellStyle name="Обычный 9 53 6" xfId="30263"/>
    <cellStyle name="Процентный 9 54 6" xfId="30264"/>
    <cellStyle name="Обычный 10 46 6" xfId="30265"/>
    <cellStyle name="Процентный 10 46 6" xfId="30266"/>
    <cellStyle name="Обычный 11 34 6" xfId="30267"/>
    <cellStyle name="Процентный 11 34 6" xfId="30268"/>
    <cellStyle name="Обычный 4 146 6" xfId="30269"/>
    <cellStyle name="Процентный 4 146 6" xfId="30270"/>
    <cellStyle name="Обычный 5 139 6" xfId="30271"/>
    <cellStyle name="Процентный 5 139 6" xfId="30272"/>
    <cellStyle name="Обычный 4 2 133 6" xfId="30273"/>
    <cellStyle name="Процентный 4 2 133 6" xfId="30274"/>
    <cellStyle name="Обычный 5 2 133 6" xfId="30275"/>
    <cellStyle name="Процентный 5 2 133 6" xfId="30276"/>
    <cellStyle name="Обычный 6 130 6" xfId="30277"/>
    <cellStyle name="Процентный 6 130 6" xfId="30278"/>
    <cellStyle name="Обычный 7 100 6" xfId="30279"/>
    <cellStyle name="Процентный 7 100 6" xfId="30280"/>
    <cellStyle name="Обычный 4 3 92 6" xfId="30281"/>
    <cellStyle name="Процентный 4 3 92 6" xfId="30282"/>
    <cellStyle name="Обычный 5 3 92 6" xfId="30283"/>
    <cellStyle name="Процентный 5 3 92 6" xfId="30284"/>
    <cellStyle name="Обычный 4 2 2 92 6" xfId="30285"/>
    <cellStyle name="Процентный 4 2 2 92 6" xfId="30286"/>
    <cellStyle name="Обычный 5 2 2 92 6" xfId="30287"/>
    <cellStyle name="Процентный 5 2 2 92 6" xfId="30288"/>
    <cellStyle name="Обычный 6 2 92 6" xfId="30289"/>
    <cellStyle name="Процентный 6 2 92 6" xfId="30290"/>
    <cellStyle name="Обычный 7 2 92 6" xfId="30291"/>
    <cellStyle name="Процентный 7 2 92 6" xfId="30292"/>
    <cellStyle name="Обычный 8 88 6" xfId="30293"/>
    <cellStyle name="Процентный 8 88 6" xfId="30294"/>
    <cellStyle name="Обычный 9 54 6" xfId="30295"/>
    <cellStyle name="Процентный 9 55 6" xfId="30296"/>
    <cellStyle name="Обычный 10 47 6" xfId="30297"/>
    <cellStyle name="Процентный 10 47 6" xfId="30298"/>
    <cellStyle name="Обычный 11 35 6" xfId="30299"/>
    <cellStyle name="Процентный 11 35 6" xfId="30300"/>
    <cellStyle name="Обычный 4 147 6" xfId="30301"/>
    <cellStyle name="Процентный 4 147 6" xfId="30302"/>
    <cellStyle name="Обычный 5 140 6" xfId="30303"/>
    <cellStyle name="Процентный 5 140 6" xfId="30304"/>
    <cellStyle name="Обычный 4 2 134 6" xfId="30305"/>
    <cellStyle name="Процентный 4 2 134 6" xfId="30306"/>
    <cellStyle name="Обычный 5 2 134 6" xfId="30307"/>
    <cellStyle name="Процентный 5 2 134 6" xfId="30308"/>
    <cellStyle name="Обычный 6 131 6" xfId="30309"/>
    <cellStyle name="Процентный 6 131 6" xfId="30310"/>
    <cellStyle name="Обычный 7 101 6" xfId="30311"/>
    <cellStyle name="Процентный 7 101 6" xfId="30312"/>
    <cellStyle name="Обычный 4 3 93 6" xfId="30313"/>
    <cellStyle name="Процентный 4 3 93 6" xfId="30314"/>
    <cellStyle name="Обычный 5 3 93 6" xfId="30315"/>
    <cellStyle name="Процентный 5 3 93 6" xfId="30316"/>
    <cellStyle name="Обычный 4 2 2 93 6" xfId="30317"/>
    <cellStyle name="Процентный 4 2 2 93 6" xfId="30318"/>
    <cellStyle name="Обычный 5 2 2 93 6" xfId="30319"/>
    <cellStyle name="Процентный 5 2 2 93 6" xfId="30320"/>
    <cellStyle name="Обычный 6 2 93 6" xfId="30321"/>
    <cellStyle name="Процентный 6 2 93 6" xfId="30322"/>
    <cellStyle name="Обычный 7 2 93 6" xfId="30323"/>
    <cellStyle name="Процентный 7 2 93 6" xfId="30324"/>
    <cellStyle name="Обычный 8 89 6" xfId="30325"/>
    <cellStyle name="Процентный 8 89 6" xfId="30326"/>
    <cellStyle name="Обычный 9 55 6" xfId="30327"/>
    <cellStyle name="Процентный 9 56 6" xfId="30328"/>
    <cellStyle name="Обычный 10 48 6" xfId="30329"/>
    <cellStyle name="Процентный 10 48 6" xfId="30330"/>
    <cellStyle name="Обычный 11 36 6" xfId="30331"/>
    <cellStyle name="Процентный 11 36 6" xfId="30332"/>
    <cellStyle name="Обычный 4 148 6" xfId="30333"/>
    <cellStyle name="Процентный 4 148 6" xfId="30334"/>
    <cellStyle name="Обычный 5 141 6" xfId="30335"/>
    <cellStyle name="Процентный 5 141 6" xfId="30336"/>
    <cellStyle name="Обычный 4 2 135 6" xfId="30337"/>
    <cellStyle name="Процентный 4 2 135 6" xfId="30338"/>
    <cellStyle name="Обычный 5 2 135 6" xfId="30339"/>
    <cellStyle name="Процентный 5 2 135 6" xfId="30340"/>
    <cellStyle name="Обычный 6 132 6" xfId="30341"/>
    <cellStyle name="Процентный 6 132 6" xfId="30342"/>
    <cellStyle name="Обычный 7 102 6" xfId="30343"/>
    <cellStyle name="Процентный 7 102 6" xfId="30344"/>
    <cellStyle name="Обычный 4 3 94 6" xfId="30345"/>
    <cellStyle name="Процентный 4 3 94 6" xfId="30346"/>
    <cellStyle name="Обычный 5 3 94 6" xfId="30347"/>
    <cellStyle name="Процентный 5 3 94 6" xfId="30348"/>
    <cellStyle name="Обычный 4 2 2 94 6" xfId="30349"/>
    <cellStyle name="Процентный 4 2 2 94 6" xfId="30350"/>
    <cellStyle name="Обычный 5 2 2 94 6" xfId="30351"/>
    <cellStyle name="Процентный 5 2 2 94 6" xfId="30352"/>
    <cellStyle name="Обычный 6 2 94 6" xfId="30353"/>
    <cellStyle name="Процентный 6 2 94 6" xfId="30354"/>
    <cellStyle name="Обычный 7 2 94 6" xfId="30355"/>
    <cellStyle name="Процентный 7 2 94 6" xfId="30356"/>
    <cellStyle name="Обычный 8 90 6" xfId="30357"/>
    <cellStyle name="Процентный 8 90 6" xfId="30358"/>
    <cellStyle name="Обычный 9 56 6" xfId="30359"/>
    <cellStyle name="Процентный 9 57 6" xfId="30360"/>
    <cellStyle name="Обычный 10 49 6" xfId="30361"/>
    <cellStyle name="Процентный 10 49 6" xfId="30362"/>
    <cellStyle name="Обычный 11 37 6" xfId="30363"/>
    <cellStyle name="Процентный 11 37 6" xfId="30364"/>
    <cellStyle name="Обычный 4 149 6" xfId="30365"/>
    <cellStyle name="Процентный 4 149 6" xfId="30366"/>
    <cellStyle name="Обычный 5 142 6" xfId="30367"/>
    <cellStyle name="Процентный 5 142 6" xfId="30368"/>
    <cellStyle name="Обычный 4 2 136 6" xfId="30369"/>
    <cellStyle name="Процентный 4 2 136 6" xfId="30370"/>
    <cellStyle name="Обычный 5 2 136 6" xfId="30371"/>
    <cellStyle name="Процентный 5 2 136 6" xfId="30372"/>
    <cellStyle name="Обычный 6 133 6" xfId="30373"/>
    <cellStyle name="Процентный 6 133 6" xfId="30374"/>
    <cellStyle name="Обычный 7 103 6" xfId="30375"/>
    <cellStyle name="Процентный 7 103 6" xfId="30376"/>
    <cellStyle name="Обычный 4 3 95 6" xfId="30377"/>
    <cellStyle name="Процентный 4 3 95 6" xfId="30378"/>
    <cellStyle name="Обычный 5 3 95 6" xfId="30379"/>
    <cellStyle name="Процентный 5 3 95 6" xfId="30380"/>
    <cellStyle name="Обычный 4 2 2 95 6" xfId="30381"/>
    <cellStyle name="Процентный 4 2 2 95 6" xfId="30382"/>
    <cellStyle name="Обычный 5 2 2 95 6" xfId="30383"/>
    <cellStyle name="Процентный 5 2 2 95 6" xfId="30384"/>
    <cellStyle name="Обычный 6 2 95 6" xfId="30385"/>
    <cellStyle name="Процентный 6 2 95 6" xfId="30386"/>
    <cellStyle name="Обычный 7 2 95 6" xfId="30387"/>
    <cellStyle name="Процентный 7 2 95 6" xfId="30388"/>
    <cellStyle name="Обычный 8 91 6" xfId="30389"/>
    <cellStyle name="Процентный 8 91 6" xfId="30390"/>
    <cellStyle name="Обычный 9 57 6" xfId="30391"/>
    <cellStyle name="Процентный 9 58 6" xfId="30392"/>
    <cellStyle name="Обычный 10 50 6" xfId="30393"/>
    <cellStyle name="Процентный 10 50 6" xfId="30394"/>
    <cellStyle name="Обычный 11 38 6" xfId="30395"/>
    <cellStyle name="Процентный 11 38 6" xfId="30396"/>
    <cellStyle name="Обычный 4 150 6" xfId="30397"/>
    <cellStyle name="Процентный 4 150 6" xfId="30398"/>
    <cellStyle name="Обычный 5 143 6" xfId="30399"/>
    <cellStyle name="Процентный 5 143 6" xfId="30400"/>
    <cellStyle name="Обычный 4 2 137 6" xfId="30401"/>
    <cellStyle name="Процентный 4 2 137 6" xfId="30402"/>
    <cellStyle name="Обычный 5 2 137 6" xfId="30403"/>
    <cellStyle name="Процентный 5 2 137 6" xfId="30404"/>
    <cellStyle name="Обычный 6 134 6" xfId="30405"/>
    <cellStyle name="Процентный 6 134 6" xfId="30406"/>
    <cellStyle name="Обычный 7 104 6" xfId="30407"/>
    <cellStyle name="Процентный 7 104 6" xfId="30408"/>
    <cellStyle name="Обычный 4 3 96 6" xfId="30409"/>
    <cellStyle name="Процентный 4 3 96 6" xfId="30410"/>
    <cellStyle name="Обычный 5 3 96 6" xfId="30411"/>
    <cellStyle name="Процентный 5 3 96 6" xfId="30412"/>
    <cellStyle name="Обычный 4 2 2 96 6" xfId="30413"/>
    <cellStyle name="Процентный 4 2 2 96 6" xfId="30414"/>
    <cellStyle name="Обычный 5 2 2 96 6" xfId="30415"/>
    <cellStyle name="Процентный 5 2 2 96 6" xfId="30416"/>
    <cellStyle name="Обычный 6 2 96 6" xfId="30417"/>
    <cellStyle name="Процентный 6 2 96 6" xfId="30418"/>
    <cellStyle name="Обычный 7 2 96 6" xfId="30419"/>
    <cellStyle name="Процентный 7 2 96 6" xfId="30420"/>
    <cellStyle name="Обычный 8 92 6" xfId="30421"/>
    <cellStyle name="Процентный 8 92 6" xfId="30422"/>
    <cellStyle name="Обычный 9 58 6" xfId="30423"/>
    <cellStyle name="Процентный 9 59 6" xfId="30424"/>
    <cellStyle name="Обычный 10 51 6" xfId="30425"/>
    <cellStyle name="Процентный 10 51 6" xfId="30426"/>
    <cellStyle name="Обычный 11 39 6" xfId="30427"/>
    <cellStyle name="Процентный 11 39 6" xfId="30428"/>
    <cellStyle name="Обычный 4 151 6" xfId="30429"/>
    <cellStyle name="Процентный 4 151 6" xfId="30430"/>
    <cellStyle name="Обычный 5 144 6" xfId="30431"/>
    <cellStyle name="Процентный 5 144 6" xfId="30432"/>
    <cellStyle name="Обычный 4 2 138 6" xfId="30433"/>
    <cellStyle name="Процентный 4 2 138 6" xfId="30434"/>
    <cellStyle name="Обычный 5 2 138 6" xfId="30435"/>
    <cellStyle name="Процентный 5 2 138 6" xfId="30436"/>
    <cellStyle name="Обычный 6 135 6" xfId="30437"/>
    <cellStyle name="Процентный 6 135 6" xfId="30438"/>
    <cellStyle name="Обычный 7 105 6" xfId="30439"/>
    <cellStyle name="Процентный 7 105 6" xfId="30440"/>
    <cellStyle name="Обычный 4 3 97 6" xfId="30441"/>
    <cellStyle name="Процентный 4 3 97 6" xfId="30442"/>
    <cellStyle name="Обычный 5 3 97 6" xfId="30443"/>
    <cellStyle name="Процентный 5 3 97 6" xfId="30444"/>
    <cellStyle name="Обычный 4 2 2 97 6" xfId="30445"/>
    <cellStyle name="Процентный 4 2 2 97 6" xfId="30446"/>
    <cellStyle name="Обычный 5 2 2 97 6" xfId="30447"/>
    <cellStyle name="Процентный 5 2 2 97 6" xfId="30448"/>
    <cellStyle name="Обычный 6 2 97 6" xfId="30449"/>
    <cellStyle name="Процентный 6 2 97 6" xfId="30450"/>
    <cellStyle name="Обычный 7 2 97 6" xfId="30451"/>
    <cellStyle name="Процентный 7 2 97 6" xfId="30452"/>
    <cellStyle name="Обычный 8 93 6" xfId="30453"/>
    <cellStyle name="Процентный 8 93 6" xfId="30454"/>
    <cellStyle name="Обычный 9 59 6" xfId="30455"/>
    <cellStyle name="Процентный 9 60 6" xfId="30456"/>
    <cellStyle name="Обычный 10 52 6" xfId="30457"/>
    <cellStyle name="Процентный 10 52 6" xfId="30458"/>
    <cellStyle name="Обычный 11 40 6" xfId="30459"/>
    <cellStyle name="Процентный 11 40 6" xfId="30460"/>
    <cellStyle name="Обычный 4 152 6" xfId="30461"/>
    <cellStyle name="Процентный 4 152 6" xfId="30462"/>
    <cellStyle name="Обычный 5 145 6" xfId="30463"/>
    <cellStyle name="Процентный 5 145 6" xfId="30464"/>
    <cellStyle name="Обычный 4 2 139 6" xfId="30465"/>
    <cellStyle name="Процентный 4 2 139 6" xfId="30466"/>
    <cellStyle name="Обычный 5 2 139 6" xfId="30467"/>
    <cellStyle name="Процентный 5 2 139 6" xfId="30468"/>
    <cellStyle name="Обычный 6 136 6" xfId="30469"/>
    <cellStyle name="Процентный 6 136 6" xfId="30470"/>
    <cellStyle name="Обычный 7 106 6" xfId="30471"/>
    <cellStyle name="Процентный 7 106 6" xfId="30472"/>
    <cellStyle name="Обычный 4 3 98 6" xfId="30473"/>
    <cellStyle name="Процентный 4 3 98 6" xfId="30474"/>
    <cellStyle name="Обычный 5 3 98 6" xfId="30475"/>
    <cellStyle name="Процентный 5 3 98 6" xfId="30476"/>
    <cellStyle name="Обычный 4 2 2 98 6" xfId="30477"/>
    <cellStyle name="Процентный 4 2 2 98 6" xfId="30478"/>
    <cellStyle name="Обычный 5 2 2 98 6" xfId="30479"/>
    <cellStyle name="Процентный 5 2 2 98 6" xfId="30480"/>
    <cellStyle name="Обычный 6 2 98 6" xfId="30481"/>
    <cellStyle name="Процентный 6 2 98 6" xfId="30482"/>
    <cellStyle name="Обычный 7 2 98 6" xfId="30483"/>
    <cellStyle name="Процентный 7 2 98 6" xfId="30484"/>
    <cellStyle name="Обычный 8 94 6" xfId="30485"/>
    <cellStyle name="Процентный 8 94 6" xfId="30486"/>
    <cellStyle name="Обычный 9 60 6" xfId="30487"/>
    <cellStyle name="Процентный 9 61 6" xfId="30488"/>
    <cellStyle name="Обычный 10 53 6" xfId="30489"/>
    <cellStyle name="Процентный 10 53 6" xfId="30490"/>
    <cellStyle name="Обычный 11 41 6" xfId="30491"/>
    <cellStyle name="Процентный 11 41 6" xfId="30492"/>
    <cellStyle name="Обычный 4 153 6" xfId="30493"/>
    <cellStyle name="Процентный 4 153 6" xfId="30494"/>
    <cellStyle name="Обычный 5 146 6" xfId="30495"/>
    <cellStyle name="Процентный 5 146 6" xfId="30496"/>
    <cellStyle name="Обычный 4 2 140 6" xfId="30497"/>
    <cellStyle name="Процентный 4 2 140 6" xfId="30498"/>
    <cellStyle name="Обычный 5 2 140 6" xfId="30499"/>
    <cellStyle name="Процентный 5 2 140 6" xfId="30500"/>
    <cellStyle name="Обычный 6 137 6" xfId="30501"/>
    <cellStyle name="Процентный 6 137 6" xfId="30502"/>
    <cellStyle name="Обычный 7 107 6" xfId="30503"/>
    <cellStyle name="Процентный 7 107 6" xfId="30504"/>
    <cellStyle name="Обычный 4 3 99 6" xfId="30505"/>
    <cellStyle name="Процентный 4 3 99 6" xfId="30506"/>
    <cellStyle name="Обычный 5 3 99 6" xfId="30507"/>
    <cellStyle name="Процентный 5 3 99 6" xfId="30508"/>
    <cellStyle name="Обычный 4 2 2 99 6" xfId="30509"/>
    <cellStyle name="Процентный 4 2 2 99 6" xfId="30510"/>
    <cellStyle name="Обычный 5 2 2 99 6" xfId="30511"/>
    <cellStyle name="Процентный 5 2 2 99 6" xfId="30512"/>
    <cellStyle name="Обычный 6 2 99 6" xfId="30513"/>
    <cellStyle name="Процентный 6 2 99 6" xfId="30514"/>
    <cellStyle name="Обычный 7 2 99 6" xfId="30515"/>
    <cellStyle name="Процентный 7 2 99 6" xfId="30516"/>
    <cellStyle name="Обычный 8 95 6" xfId="30517"/>
    <cellStyle name="Процентный 8 95 6" xfId="30518"/>
    <cellStyle name="Обычный 9 61 6" xfId="30519"/>
    <cellStyle name="Процентный 9 62 6" xfId="30520"/>
    <cellStyle name="Обычный 10 54 6" xfId="30521"/>
    <cellStyle name="Процентный 10 54 6" xfId="30522"/>
    <cellStyle name="Обычный 11 42 6" xfId="30523"/>
    <cellStyle name="Процентный 11 42 6" xfId="30524"/>
    <cellStyle name="Обычный 4 154 6" xfId="30525"/>
    <cellStyle name="Процентный 4 154 6" xfId="30526"/>
    <cellStyle name="Обычный 5 147 6" xfId="30527"/>
    <cellStyle name="Процентный 5 147 6" xfId="30528"/>
    <cellStyle name="Обычный 4 2 141 6" xfId="30529"/>
    <cellStyle name="Процентный 4 2 141 6" xfId="30530"/>
    <cellStyle name="Обычный 5 2 141 6" xfId="30531"/>
    <cellStyle name="Процентный 5 2 141 6" xfId="30532"/>
    <cellStyle name="Обычный 6 138 6" xfId="30533"/>
    <cellStyle name="Процентный 6 138 6" xfId="30534"/>
    <cellStyle name="Обычный 7 108 6" xfId="30535"/>
    <cellStyle name="Процентный 7 108 6" xfId="30536"/>
    <cellStyle name="Обычный 4 3 100 6" xfId="30537"/>
    <cellStyle name="Процентный 4 3 100 6" xfId="30538"/>
    <cellStyle name="Обычный 5 3 100 6" xfId="30539"/>
    <cellStyle name="Процентный 5 3 100 6" xfId="30540"/>
    <cellStyle name="Обычный 4 2 2 100 6" xfId="30541"/>
    <cellStyle name="Процентный 4 2 2 100 6" xfId="30542"/>
    <cellStyle name="Обычный 5 2 2 100 6" xfId="30543"/>
    <cellStyle name="Процентный 5 2 2 100 6" xfId="30544"/>
    <cellStyle name="Обычный 6 2 100 6" xfId="30545"/>
    <cellStyle name="Процентный 6 2 100 6" xfId="30546"/>
    <cellStyle name="Обычный 7 2 100 6" xfId="30547"/>
    <cellStyle name="Процентный 7 2 100 6" xfId="30548"/>
    <cellStyle name="Обычный 8 96 6" xfId="30549"/>
    <cellStyle name="Процентный 8 96 6" xfId="30550"/>
    <cellStyle name="Обычный 9 62 6" xfId="30551"/>
    <cellStyle name="Процентный 9 63 6" xfId="30552"/>
    <cellStyle name="Обычный 10 55 6" xfId="30553"/>
    <cellStyle name="Процентный 10 55 6" xfId="30554"/>
    <cellStyle name="Обычный 11 43 6" xfId="30555"/>
    <cellStyle name="Процентный 11 43 6" xfId="30556"/>
    <cellStyle name="Обычный 4 155 6" xfId="30557"/>
    <cellStyle name="Процентный 4 155 6" xfId="30558"/>
    <cellStyle name="Обычный 5 148 6" xfId="30559"/>
    <cellStyle name="Процентный 5 148 6" xfId="30560"/>
    <cellStyle name="Обычный 4 2 142 6" xfId="30561"/>
    <cellStyle name="Процентный 4 2 142 6" xfId="30562"/>
    <cellStyle name="Обычный 5 2 142 6" xfId="30563"/>
    <cellStyle name="Процентный 5 2 142 6" xfId="30564"/>
    <cellStyle name="Обычный 6 139 6" xfId="30565"/>
    <cellStyle name="Процентный 6 139 6" xfId="30566"/>
    <cellStyle name="Обычный 7 109 6" xfId="30567"/>
    <cellStyle name="Процентный 7 109 6" xfId="30568"/>
    <cellStyle name="Обычный 4 3 101 6" xfId="30569"/>
    <cellStyle name="Процентный 4 3 101 6" xfId="30570"/>
    <cellStyle name="Обычный 5 3 101 6" xfId="30571"/>
    <cellStyle name="Процентный 5 3 101 6" xfId="30572"/>
    <cellStyle name="Обычный 4 2 2 101 6" xfId="30573"/>
    <cellStyle name="Процентный 4 2 2 101 6" xfId="30574"/>
    <cellStyle name="Обычный 5 2 2 101 6" xfId="30575"/>
    <cellStyle name="Процентный 5 2 2 101 6" xfId="30576"/>
    <cellStyle name="Обычный 6 2 101 6" xfId="30577"/>
    <cellStyle name="Процентный 6 2 101 6" xfId="30578"/>
    <cellStyle name="Обычный 7 2 101 6" xfId="30579"/>
    <cellStyle name="Процентный 7 2 101 6" xfId="30580"/>
    <cellStyle name="Обычный 8 97 6" xfId="30581"/>
    <cellStyle name="Процентный 8 97 6" xfId="30582"/>
    <cellStyle name="Обычный 9 63 6" xfId="30583"/>
    <cellStyle name="Процентный 9 64 6" xfId="30584"/>
    <cellStyle name="Обычный 10 56 6" xfId="30585"/>
    <cellStyle name="Процентный 10 56 6" xfId="30586"/>
    <cellStyle name="Обычный 11 44 6" xfId="30587"/>
    <cellStyle name="Процентный 11 44 6" xfId="30588"/>
    <cellStyle name="Обычный 4 156 6" xfId="30589"/>
    <cellStyle name="Процентный 4 156 6" xfId="30590"/>
    <cellStyle name="Обычный 5 149 6" xfId="30591"/>
    <cellStyle name="Процентный 5 149 6" xfId="30592"/>
    <cellStyle name="Обычный 4 2 143 6" xfId="30593"/>
    <cellStyle name="Процентный 4 2 143 6" xfId="30594"/>
    <cellStyle name="Обычный 5 2 143 6" xfId="30595"/>
    <cellStyle name="Процентный 5 2 143 6" xfId="30596"/>
    <cellStyle name="Обычный 6 140 6" xfId="30597"/>
    <cellStyle name="Процентный 6 140 6" xfId="30598"/>
    <cellStyle name="Обычный 7 110 6" xfId="30599"/>
    <cellStyle name="Процентный 7 110 6" xfId="30600"/>
    <cellStyle name="Обычный 4 3 102 6" xfId="30601"/>
    <cellStyle name="Процентный 4 3 102 6" xfId="30602"/>
    <cellStyle name="Обычный 5 3 102 6" xfId="30603"/>
    <cellStyle name="Процентный 5 3 102 6" xfId="30604"/>
    <cellStyle name="Обычный 4 2 2 102 6" xfId="30605"/>
    <cellStyle name="Процентный 4 2 2 102 6" xfId="30606"/>
    <cellStyle name="Обычный 5 2 2 102 6" xfId="30607"/>
    <cellStyle name="Процентный 5 2 2 102 6" xfId="30608"/>
    <cellStyle name="Обычный 6 2 102 6" xfId="30609"/>
    <cellStyle name="Процентный 6 2 102 6" xfId="30610"/>
    <cellStyle name="Обычный 7 2 102 6" xfId="30611"/>
    <cellStyle name="Процентный 7 2 102 6" xfId="30612"/>
    <cellStyle name="Обычный 8 98 6" xfId="30613"/>
    <cellStyle name="Процентный 8 98 6" xfId="30614"/>
    <cellStyle name="Обычный 9 64 6" xfId="30615"/>
    <cellStyle name="Процентный 9 65 6" xfId="30616"/>
    <cellStyle name="Обычный 10 57 6" xfId="30617"/>
    <cellStyle name="Процентный 10 57 6" xfId="30618"/>
    <cellStyle name="Обычный 11 45 6" xfId="30619"/>
    <cellStyle name="Процентный 11 45 6" xfId="30620"/>
    <cellStyle name="Обычный 4 157 6" xfId="30621"/>
    <cellStyle name="Процентный 4 157 6" xfId="30622"/>
    <cellStyle name="Обычный 5 150 6" xfId="30623"/>
    <cellStyle name="Процентный 5 150 6" xfId="30624"/>
    <cellStyle name="Обычный 4 2 144 6" xfId="30625"/>
    <cellStyle name="Процентный 4 2 144 6" xfId="30626"/>
    <cellStyle name="Обычный 5 2 144 6" xfId="30627"/>
    <cellStyle name="Процентный 5 2 144 6" xfId="30628"/>
    <cellStyle name="Обычный 6 141 6" xfId="30629"/>
    <cellStyle name="Процентный 6 141 6" xfId="30630"/>
    <cellStyle name="Обычный 7 111 6" xfId="30631"/>
    <cellStyle name="Процентный 7 111 6" xfId="30632"/>
    <cellStyle name="Обычный 4 3 103 6" xfId="30633"/>
    <cellStyle name="Процентный 4 3 103 6" xfId="30634"/>
    <cellStyle name="Обычный 5 3 103 6" xfId="30635"/>
    <cellStyle name="Процентный 5 3 103 6" xfId="30636"/>
    <cellStyle name="Обычный 4 2 2 103 6" xfId="30637"/>
    <cellStyle name="Процентный 4 2 2 103 6" xfId="30638"/>
    <cellStyle name="Обычный 5 2 2 103 6" xfId="30639"/>
    <cellStyle name="Процентный 5 2 2 103 6" xfId="30640"/>
    <cellStyle name="Обычный 6 2 103 6" xfId="30641"/>
    <cellStyle name="Процентный 6 2 103 6" xfId="30642"/>
    <cellStyle name="Обычный 7 2 103 6" xfId="30643"/>
    <cellStyle name="Процентный 7 2 103 6" xfId="30644"/>
    <cellStyle name="Обычный 8 99 6" xfId="30645"/>
    <cellStyle name="Процентный 8 99 6" xfId="30646"/>
    <cellStyle name="Обычный 9 65 6" xfId="30647"/>
    <cellStyle name="Процентный 9 66 6" xfId="30648"/>
    <cellStyle name="Обычный 10 58 6" xfId="30649"/>
    <cellStyle name="Процентный 10 58 6" xfId="30650"/>
    <cellStyle name="Обычный 11 46 6" xfId="30651"/>
    <cellStyle name="Процентный 11 46 6" xfId="30652"/>
    <cellStyle name="Обычный 4 158 6" xfId="30653"/>
    <cellStyle name="Процентный 4 158 6" xfId="30654"/>
    <cellStyle name="Обычный 5 151 6" xfId="30655"/>
    <cellStyle name="Процентный 5 151 6" xfId="30656"/>
    <cellStyle name="Обычный 4 2 145 6" xfId="30657"/>
    <cellStyle name="Процентный 4 2 145 6" xfId="30658"/>
    <cellStyle name="Обычный 5 2 145 6" xfId="30659"/>
    <cellStyle name="Процентный 5 2 145 6" xfId="30660"/>
    <cellStyle name="Обычный 6 142 6" xfId="30661"/>
    <cellStyle name="Процентный 6 142 6" xfId="30662"/>
    <cellStyle name="Обычный 7 112 6" xfId="30663"/>
    <cellStyle name="Процентный 7 112 6" xfId="30664"/>
    <cellStyle name="Обычный 4 3 104 6" xfId="30665"/>
    <cellStyle name="Процентный 4 3 104 6" xfId="30666"/>
    <cellStyle name="Обычный 5 3 104 6" xfId="30667"/>
    <cellStyle name="Процентный 5 3 104 6" xfId="30668"/>
    <cellStyle name="Обычный 4 2 2 104 6" xfId="30669"/>
    <cellStyle name="Процентный 4 2 2 104 6" xfId="30670"/>
    <cellStyle name="Обычный 5 2 2 104 6" xfId="30671"/>
    <cellStyle name="Процентный 5 2 2 104 6" xfId="30672"/>
    <cellStyle name="Обычный 6 2 104 6" xfId="30673"/>
    <cellStyle name="Процентный 6 2 104 6" xfId="30674"/>
    <cellStyle name="Обычный 7 2 104 6" xfId="30675"/>
    <cellStyle name="Процентный 7 2 104 6" xfId="30676"/>
    <cellStyle name="Обычный 8 100 6" xfId="30677"/>
    <cellStyle name="Процентный 8 100 6" xfId="30678"/>
    <cellStyle name="Обычный 9 66 6" xfId="30679"/>
    <cellStyle name="Процентный 9 67 6" xfId="30680"/>
    <cellStyle name="Обычный 10 59 6" xfId="30681"/>
    <cellStyle name="Процентный 10 59 6" xfId="30682"/>
    <cellStyle name="Обычный 11 47 6" xfId="30683"/>
    <cellStyle name="Процентный 11 47 6" xfId="30684"/>
    <cellStyle name="Обычный 4 159 6" xfId="30685"/>
    <cellStyle name="Процентный 4 159 6" xfId="30686"/>
    <cellStyle name="Обычный 5 152 6" xfId="30687"/>
    <cellStyle name="Процентный 5 152 6" xfId="30688"/>
    <cellStyle name="Обычный 4 2 146 6" xfId="30689"/>
    <cellStyle name="Процентный 4 2 146 6" xfId="30690"/>
    <cellStyle name="Обычный 5 2 146 6" xfId="30691"/>
    <cellStyle name="Процентный 5 2 146 6" xfId="30692"/>
    <cellStyle name="Обычный 6 143 6" xfId="30693"/>
    <cellStyle name="Процентный 6 143 6" xfId="30694"/>
    <cellStyle name="Обычный 7 113 6" xfId="30695"/>
    <cellStyle name="Процентный 7 113 6" xfId="30696"/>
    <cellStyle name="Обычный 4 3 105 6" xfId="30697"/>
    <cellStyle name="Процентный 4 3 105 6" xfId="30698"/>
    <cellStyle name="Обычный 5 3 105 6" xfId="30699"/>
    <cellStyle name="Процентный 5 3 105 6" xfId="30700"/>
    <cellStyle name="Обычный 4 2 2 105 6" xfId="30701"/>
    <cellStyle name="Процентный 4 2 2 105 6" xfId="30702"/>
    <cellStyle name="Обычный 5 2 2 105 6" xfId="30703"/>
    <cellStyle name="Процентный 5 2 2 105 6" xfId="30704"/>
    <cellStyle name="Обычный 6 2 105 6" xfId="30705"/>
    <cellStyle name="Процентный 6 2 105 6" xfId="30706"/>
    <cellStyle name="Обычный 7 2 105 6" xfId="30707"/>
    <cellStyle name="Процентный 7 2 105 6" xfId="30708"/>
    <cellStyle name="Обычный 8 101 6" xfId="30709"/>
    <cellStyle name="Процентный 8 101 6" xfId="30710"/>
    <cellStyle name="Обычный 9 67 6" xfId="30711"/>
    <cellStyle name="Процентный 9 68 6" xfId="30712"/>
    <cellStyle name="Обычный 10 60 6" xfId="30713"/>
    <cellStyle name="Процентный 10 60 6" xfId="30714"/>
    <cellStyle name="Обычный 11 48 6" xfId="30715"/>
    <cellStyle name="Процентный 11 48 6" xfId="30716"/>
    <cellStyle name="Обычный 4 160 6" xfId="30717"/>
    <cellStyle name="Процентный 4 160 6" xfId="30718"/>
    <cellStyle name="Обычный 5 153 6" xfId="30719"/>
    <cellStyle name="Процентный 5 153 6" xfId="30720"/>
    <cellStyle name="Обычный 4 2 147 6" xfId="30721"/>
    <cellStyle name="Процентный 4 2 147 6" xfId="30722"/>
    <cellStyle name="Обычный 5 2 147 6" xfId="30723"/>
    <cellStyle name="Процентный 5 2 147 6" xfId="30724"/>
    <cellStyle name="Обычный 6 144 6" xfId="30725"/>
    <cellStyle name="Процентный 6 144 6" xfId="30726"/>
    <cellStyle name="Обычный 7 114 6" xfId="30727"/>
    <cellStyle name="Процентный 7 114 6" xfId="30728"/>
    <cellStyle name="Обычный 4 3 106 6" xfId="30729"/>
    <cellStyle name="Процентный 4 3 106 6" xfId="30730"/>
    <cellStyle name="Обычный 5 3 106 6" xfId="30731"/>
    <cellStyle name="Процентный 5 3 106 6" xfId="30732"/>
    <cellStyle name="Обычный 4 2 2 106 6" xfId="30733"/>
    <cellStyle name="Процентный 4 2 2 106 6" xfId="30734"/>
    <cellStyle name="Обычный 5 2 2 106 6" xfId="30735"/>
    <cellStyle name="Процентный 5 2 2 106 6" xfId="30736"/>
    <cellStyle name="Обычный 6 2 106 6" xfId="30737"/>
    <cellStyle name="Процентный 6 2 106 6" xfId="30738"/>
    <cellStyle name="Обычный 7 2 106 6" xfId="30739"/>
    <cellStyle name="Процентный 7 2 106 6" xfId="30740"/>
    <cellStyle name="Обычный 8 102 6" xfId="30741"/>
    <cellStyle name="Процентный 8 102 6" xfId="30742"/>
    <cellStyle name="Обычный 9 68 6" xfId="30743"/>
    <cellStyle name="Процентный 9 69 6" xfId="30744"/>
    <cellStyle name="Обычный 10 61 6" xfId="30745"/>
    <cellStyle name="Процентный 10 61 6" xfId="30746"/>
    <cellStyle name="Обычный 11 49 6" xfId="30747"/>
    <cellStyle name="Процентный 11 49 6" xfId="30748"/>
    <cellStyle name="Обычный 4 161 6" xfId="30749"/>
    <cellStyle name="Процентный 4 161 6" xfId="30750"/>
    <cellStyle name="Обычный 5 154 6" xfId="30751"/>
    <cellStyle name="Процентный 5 154 6" xfId="30752"/>
    <cellStyle name="Обычный 4 2 148 6" xfId="30753"/>
    <cellStyle name="Процентный 4 2 148 6" xfId="30754"/>
    <cellStyle name="Обычный 5 2 148 6" xfId="30755"/>
    <cellStyle name="Процентный 5 2 148 6" xfId="30756"/>
    <cellStyle name="Обычный 6 145 6" xfId="30757"/>
    <cellStyle name="Процентный 6 145 6" xfId="30758"/>
    <cellStyle name="Обычный 7 115 6" xfId="30759"/>
    <cellStyle name="Процентный 7 115 6" xfId="30760"/>
    <cellStyle name="Обычный 4 3 107 6" xfId="30761"/>
    <cellStyle name="Процентный 4 3 107 6" xfId="30762"/>
    <cellStyle name="Обычный 5 3 107 6" xfId="30763"/>
    <cellStyle name="Процентный 5 3 107 6" xfId="30764"/>
    <cellStyle name="Обычный 4 2 2 107 6" xfId="30765"/>
    <cellStyle name="Процентный 4 2 2 107 6" xfId="30766"/>
    <cellStyle name="Обычный 5 2 2 107 6" xfId="30767"/>
    <cellStyle name="Процентный 5 2 2 107 6" xfId="30768"/>
    <cellStyle name="Обычный 6 2 107 6" xfId="30769"/>
    <cellStyle name="Процентный 6 2 107 6" xfId="30770"/>
    <cellStyle name="Обычный 7 2 107 6" xfId="30771"/>
    <cellStyle name="Процентный 7 2 107 6" xfId="30772"/>
    <cellStyle name="Обычный 8 103 6" xfId="30773"/>
    <cellStyle name="Процентный 8 103 6" xfId="30774"/>
    <cellStyle name="Обычный 9 69 6" xfId="30775"/>
    <cellStyle name="Процентный 9 70 6" xfId="30776"/>
    <cellStyle name="Обычный 10 62 6" xfId="30777"/>
    <cellStyle name="Процентный 10 62 6" xfId="30778"/>
    <cellStyle name="Обычный 11 50 6" xfId="30779"/>
    <cellStyle name="Процентный 11 50 6" xfId="30780"/>
    <cellStyle name="Обычный 4 162 6" xfId="30781"/>
    <cellStyle name="Процентный 4 162 6" xfId="30782"/>
    <cellStyle name="Обычный 5 155 6" xfId="30783"/>
    <cellStyle name="Процентный 5 155 6" xfId="30784"/>
    <cellStyle name="Обычный 4 2 149 6" xfId="30785"/>
    <cellStyle name="Процентный 4 2 149 6" xfId="30786"/>
    <cellStyle name="Обычный 5 2 149 6" xfId="30787"/>
    <cellStyle name="Процентный 5 2 149 6" xfId="30788"/>
    <cellStyle name="Обычный 6 146 6" xfId="30789"/>
    <cellStyle name="Процентный 6 146 6" xfId="30790"/>
    <cellStyle name="Обычный 7 116 6" xfId="30791"/>
    <cellStyle name="Процентный 7 116 6" xfId="30792"/>
    <cellStyle name="Обычный 4 3 108 6" xfId="30793"/>
    <cellStyle name="Процентный 4 3 108 6" xfId="30794"/>
    <cellStyle name="Обычный 5 3 108 6" xfId="30795"/>
    <cellStyle name="Процентный 5 3 108 6" xfId="30796"/>
    <cellStyle name="Обычный 4 2 2 108 6" xfId="30797"/>
    <cellStyle name="Процентный 4 2 2 108 6" xfId="30798"/>
    <cellStyle name="Обычный 5 2 2 108 6" xfId="30799"/>
    <cellStyle name="Процентный 5 2 2 108 6" xfId="30800"/>
    <cellStyle name="Обычный 6 2 108 6" xfId="30801"/>
    <cellStyle name="Процентный 6 2 108 6" xfId="30802"/>
    <cellStyle name="Обычный 7 2 108 6" xfId="30803"/>
    <cellStyle name="Процентный 7 2 108 6" xfId="30804"/>
    <cellStyle name="Обычный 8 104 6" xfId="30805"/>
    <cellStyle name="Процентный 8 104 6" xfId="30806"/>
    <cellStyle name="Обычный 9 70 6" xfId="30807"/>
    <cellStyle name="Процентный 9 71 6" xfId="30808"/>
    <cellStyle name="Обычный 10 63 6" xfId="30809"/>
    <cellStyle name="Процентный 10 63 6" xfId="30810"/>
    <cellStyle name="Обычный 11 51 6" xfId="30811"/>
    <cellStyle name="Процентный 11 51 6" xfId="30812"/>
    <cellStyle name="Обычный 4 163 6" xfId="30813"/>
    <cellStyle name="Процентный 4 163 6" xfId="30814"/>
    <cellStyle name="Обычный 5 156 6" xfId="30815"/>
    <cellStyle name="Процентный 5 156 6" xfId="30816"/>
    <cellStyle name="Обычный 4 2 150 6" xfId="30817"/>
    <cellStyle name="Процентный 4 2 150 6" xfId="30818"/>
    <cellStyle name="Обычный 5 2 150 6" xfId="30819"/>
    <cellStyle name="Процентный 5 2 150 6" xfId="30820"/>
    <cellStyle name="Обычный 6 147 6" xfId="30821"/>
    <cellStyle name="Процентный 6 147 6" xfId="30822"/>
    <cellStyle name="Обычный 7 117 6" xfId="30823"/>
    <cellStyle name="Процентный 7 117 6" xfId="30824"/>
    <cellStyle name="Обычный 4 3 109 6" xfId="30825"/>
    <cellStyle name="Процентный 4 3 109 6" xfId="30826"/>
    <cellStyle name="Обычный 5 3 109 6" xfId="30827"/>
    <cellStyle name="Процентный 5 3 109 6" xfId="30828"/>
    <cellStyle name="Обычный 4 2 2 109 6" xfId="30829"/>
    <cellStyle name="Процентный 4 2 2 109 6" xfId="30830"/>
    <cellStyle name="Обычный 5 2 2 109 6" xfId="30831"/>
    <cellStyle name="Процентный 5 2 2 109 6" xfId="30832"/>
    <cellStyle name="Обычный 6 2 109 6" xfId="30833"/>
    <cellStyle name="Процентный 6 2 109 6" xfId="30834"/>
    <cellStyle name="Обычный 7 2 109 6" xfId="30835"/>
    <cellStyle name="Процентный 7 2 109 6" xfId="30836"/>
    <cellStyle name="Обычный 8 105 6" xfId="30837"/>
    <cellStyle name="Процентный 8 105 6" xfId="30838"/>
    <cellStyle name="Обычный 9 71 6" xfId="30839"/>
    <cellStyle name="Процентный 9 72 6" xfId="30840"/>
    <cellStyle name="Обычный 10 64 6" xfId="30841"/>
    <cellStyle name="Процентный 10 64 6" xfId="30842"/>
    <cellStyle name="Обычный 11 52 6" xfId="30843"/>
    <cellStyle name="Процентный 11 52 6" xfId="30844"/>
    <cellStyle name="Обычный 4 164 6" xfId="30845"/>
    <cellStyle name="Процентный 4 164 6" xfId="30846"/>
    <cellStyle name="Обычный 5 157 6" xfId="30847"/>
    <cellStyle name="Процентный 5 157 6" xfId="30848"/>
    <cellStyle name="Обычный 4 2 151 6" xfId="30849"/>
    <cellStyle name="Процентный 4 2 151 6" xfId="30850"/>
    <cellStyle name="Обычный 5 2 151 6" xfId="30851"/>
    <cellStyle name="Процентный 5 2 151 6" xfId="30852"/>
    <cellStyle name="Обычный 6 148 6" xfId="30853"/>
    <cellStyle name="Процентный 6 148 6" xfId="30854"/>
    <cellStyle name="Обычный 7 118 6" xfId="30855"/>
    <cellStyle name="Процентный 7 118 6" xfId="30856"/>
    <cellStyle name="Обычный 4 3 110 6" xfId="30857"/>
    <cellStyle name="Процентный 4 3 110 6" xfId="30858"/>
    <cellStyle name="Обычный 5 3 110 6" xfId="30859"/>
    <cellStyle name="Процентный 5 3 110 6" xfId="30860"/>
    <cellStyle name="Обычный 4 2 2 110 6" xfId="30861"/>
    <cellStyle name="Процентный 4 2 2 110 6" xfId="30862"/>
    <cellStyle name="Обычный 5 2 2 110 6" xfId="30863"/>
    <cellStyle name="Процентный 5 2 2 110 6" xfId="30864"/>
    <cellStyle name="Обычный 6 2 110 6" xfId="30865"/>
    <cellStyle name="Процентный 6 2 110 6" xfId="30866"/>
    <cellStyle name="Обычный 7 2 110 6" xfId="30867"/>
    <cellStyle name="Процентный 7 2 110 6" xfId="30868"/>
    <cellStyle name="Обычный 8 106 6" xfId="30869"/>
    <cellStyle name="Процентный 8 106 6" xfId="30870"/>
    <cellStyle name="Обычный 9 72 6" xfId="30871"/>
    <cellStyle name="Процентный 9 73 6" xfId="30872"/>
    <cellStyle name="Обычный 10 65 6" xfId="30873"/>
    <cellStyle name="Процентный 10 65 6" xfId="30874"/>
    <cellStyle name="Обычный 11 53 6" xfId="30875"/>
    <cellStyle name="Процентный 11 53 6" xfId="30876"/>
    <cellStyle name="Обычный 4 165 6" xfId="30877"/>
    <cellStyle name="Процентный 4 165 6" xfId="30878"/>
    <cellStyle name="Обычный 5 158 6" xfId="30879"/>
    <cellStyle name="Процентный 5 158 6" xfId="30880"/>
    <cellStyle name="Обычный 4 2 152 6" xfId="30881"/>
    <cellStyle name="Процентный 4 2 152 6" xfId="30882"/>
    <cellStyle name="Обычный 5 2 152 6" xfId="30883"/>
    <cellStyle name="Процентный 5 2 152 6" xfId="30884"/>
    <cellStyle name="Обычный 6 149 6" xfId="30885"/>
    <cellStyle name="Процентный 6 149 6" xfId="30886"/>
    <cellStyle name="Обычный 7 119 6" xfId="30887"/>
    <cellStyle name="Процентный 7 119 6" xfId="30888"/>
    <cellStyle name="Обычный 4 3 111 6" xfId="30889"/>
    <cellStyle name="Процентный 4 3 111 6" xfId="30890"/>
    <cellStyle name="Обычный 5 3 111 6" xfId="30891"/>
    <cellStyle name="Процентный 5 3 111 6" xfId="30892"/>
    <cellStyle name="Обычный 4 2 2 111 6" xfId="30893"/>
    <cellStyle name="Процентный 4 2 2 111 6" xfId="30894"/>
    <cellStyle name="Обычный 5 2 2 111 6" xfId="30895"/>
    <cellStyle name="Процентный 5 2 2 111 6" xfId="30896"/>
    <cellStyle name="Обычный 6 2 111 6" xfId="30897"/>
    <cellStyle name="Процентный 6 2 111 6" xfId="30898"/>
    <cellStyle name="Обычный 7 2 111 6" xfId="30899"/>
    <cellStyle name="Процентный 7 2 111 6" xfId="30900"/>
    <cellStyle name="Обычный 8 107 6" xfId="30901"/>
    <cellStyle name="Процентный 8 107 6" xfId="30902"/>
    <cellStyle name="Обычный 9 73 6" xfId="30903"/>
    <cellStyle name="Процентный 9 74 6" xfId="30904"/>
    <cellStyle name="Обычный 10 66 6" xfId="30905"/>
    <cellStyle name="Процентный 10 66 6" xfId="30906"/>
    <cellStyle name="Обычный 11 54 6" xfId="30907"/>
    <cellStyle name="Процентный 11 54 6" xfId="30908"/>
    <cellStyle name="Обычный 4 166 6" xfId="30909"/>
    <cellStyle name="Процентный 4 166 6" xfId="30910"/>
    <cellStyle name="Обычный 5 159 6" xfId="30911"/>
    <cellStyle name="Процентный 5 159 6" xfId="30912"/>
    <cellStyle name="Обычный 4 2 153 6" xfId="30913"/>
    <cellStyle name="Процентный 4 2 153 6" xfId="30914"/>
    <cellStyle name="Обычный 5 2 153 6" xfId="30915"/>
    <cellStyle name="Процентный 5 2 153 6" xfId="30916"/>
    <cellStyle name="Обычный 6 150 6" xfId="30917"/>
    <cellStyle name="Процентный 6 150 6" xfId="30918"/>
    <cellStyle name="Обычный 7 120 6" xfId="30919"/>
    <cellStyle name="Процентный 7 120 6" xfId="30920"/>
    <cellStyle name="Обычный 4 3 112 6" xfId="30921"/>
    <cellStyle name="Процентный 4 3 112 6" xfId="30922"/>
    <cellStyle name="Обычный 5 3 112 6" xfId="30923"/>
    <cellStyle name="Процентный 5 3 112 6" xfId="30924"/>
    <cellStyle name="Обычный 4 2 2 112 6" xfId="30925"/>
    <cellStyle name="Процентный 4 2 2 112 6" xfId="30926"/>
    <cellStyle name="Обычный 5 2 2 112 6" xfId="30927"/>
    <cellStyle name="Процентный 5 2 2 112 6" xfId="30928"/>
    <cellStyle name="Обычный 6 2 112 6" xfId="30929"/>
    <cellStyle name="Процентный 6 2 112 6" xfId="30930"/>
    <cellStyle name="Обычный 7 2 112 6" xfId="30931"/>
    <cellStyle name="Процентный 7 2 112 6" xfId="30932"/>
    <cellStyle name="Обычный 8 108 6" xfId="30933"/>
    <cellStyle name="Процентный 8 108 6" xfId="30934"/>
    <cellStyle name="Обычный 9 74 6" xfId="30935"/>
    <cellStyle name="Процентный 9 75 6" xfId="30936"/>
    <cellStyle name="Обычный 10 67 6" xfId="30937"/>
    <cellStyle name="Процентный 10 67 6" xfId="30938"/>
    <cellStyle name="Обычный 11 55 6" xfId="30939"/>
    <cellStyle name="Процентный 11 55 6" xfId="30940"/>
    <cellStyle name="Обычный 4 167 6" xfId="30941"/>
    <cellStyle name="Процентный 4 167 6" xfId="30942"/>
    <cellStyle name="Обычный 5 160 6" xfId="30943"/>
    <cellStyle name="Процентный 5 160 6" xfId="30944"/>
    <cellStyle name="Обычный 4 2 154 6" xfId="30945"/>
    <cellStyle name="Процентный 4 2 154 6" xfId="30946"/>
    <cellStyle name="Обычный 5 2 154 6" xfId="30947"/>
    <cellStyle name="Процентный 5 2 154 6" xfId="30948"/>
    <cellStyle name="Обычный 6 151 6" xfId="30949"/>
    <cellStyle name="Процентный 6 151 6" xfId="30950"/>
    <cellStyle name="Обычный 7 121 6" xfId="30951"/>
    <cellStyle name="Процентный 7 121 6" xfId="30952"/>
    <cellStyle name="Обычный 4 3 113 6" xfId="30953"/>
    <cellStyle name="Процентный 4 3 113 6" xfId="30954"/>
    <cellStyle name="Обычный 5 3 113 6" xfId="30955"/>
    <cellStyle name="Процентный 5 3 113 6" xfId="30956"/>
    <cellStyle name="Обычный 4 2 2 113 6" xfId="30957"/>
    <cellStyle name="Процентный 4 2 2 113 6" xfId="30958"/>
    <cellStyle name="Обычный 5 2 2 113 6" xfId="30959"/>
    <cellStyle name="Процентный 5 2 2 113 6" xfId="30960"/>
    <cellStyle name="Обычный 6 2 113 6" xfId="30961"/>
    <cellStyle name="Процентный 6 2 113 6" xfId="30962"/>
    <cellStyle name="Обычный 7 2 113 6" xfId="30963"/>
    <cellStyle name="Процентный 7 2 113 6" xfId="30964"/>
    <cellStyle name="Обычный 8 109 6" xfId="30965"/>
    <cellStyle name="Процентный 8 109 6" xfId="30966"/>
    <cellStyle name="Обычный 9 75 6" xfId="30967"/>
    <cellStyle name="Процентный 9 76 6" xfId="30968"/>
    <cellStyle name="Обычный 10 68 6" xfId="30969"/>
    <cellStyle name="Процентный 10 68 6" xfId="30970"/>
    <cellStyle name="Обычный 11 56 6" xfId="30971"/>
    <cellStyle name="Процентный 11 56 6" xfId="30972"/>
    <cellStyle name="Обычный 4 168 6" xfId="30973"/>
    <cellStyle name="Процентный 4 168 6" xfId="30974"/>
    <cellStyle name="Обычный 5 161 6" xfId="30975"/>
    <cellStyle name="Процентный 5 161 6" xfId="30976"/>
    <cellStyle name="Обычный 4 2 155 6" xfId="30977"/>
    <cellStyle name="Процентный 4 2 155 6" xfId="30978"/>
    <cellStyle name="Обычный 5 2 155 6" xfId="30979"/>
    <cellStyle name="Процентный 5 2 155 6" xfId="30980"/>
    <cellStyle name="Обычный 6 152 6" xfId="30981"/>
    <cellStyle name="Процентный 6 152 6" xfId="30982"/>
    <cellStyle name="Обычный 7 122 6" xfId="30983"/>
    <cellStyle name="Процентный 7 122 6" xfId="30984"/>
    <cellStyle name="Обычный 4 3 114 6" xfId="30985"/>
    <cellStyle name="Процентный 4 3 114 6" xfId="30986"/>
    <cellStyle name="Обычный 5 3 114 6" xfId="30987"/>
    <cellStyle name="Процентный 5 3 114 6" xfId="30988"/>
    <cellStyle name="Обычный 4 2 2 114 6" xfId="30989"/>
    <cellStyle name="Процентный 4 2 2 114 6" xfId="30990"/>
    <cellStyle name="Обычный 5 2 2 114 6" xfId="30991"/>
    <cellStyle name="Процентный 5 2 2 114 6" xfId="30992"/>
    <cellStyle name="Обычный 6 2 114 6" xfId="30993"/>
    <cellStyle name="Процентный 6 2 114 6" xfId="30994"/>
    <cellStyle name="Обычный 7 2 114 6" xfId="30995"/>
    <cellStyle name="Процентный 7 2 114 6" xfId="30996"/>
    <cellStyle name="Обычный 8 110 6" xfId="30997"/>
    <cellStyle name="Процентный 8 110 6" xfId="30998"/>
    <cellStyle name="Обычный 9 76 6" xfId="30999"/>
    <cellStyle name="Процентный 9 77 6" xfId="31000"/>
    <cellStyle name="Обычный 10 69 6" xfId="31001"/>
    <cellStyle name="Процентный 10 69 6" xfId="31002"/>
    <cellStyle name="Обычный 11 57 6" xfId="31003"/>
    <cellStyle name="Процентный 11 57 6" xfId="31004"/>
    <cellStyle name="Обычный 4 169 6" xfId="31005"/>
    <cellStyle name="Процентный 4 169 6" xfId="31006"/>
    <cellStyle name="Обычный 5 162 6" xfId="31007"/>
    <cellStyle name="Процентный 5 162 6" xfId="31008"/>
    <cellStyle name="Обычный 4 2 156 6" xfId="31009"/>
    <cellStyle name="Процентный 4 2 156 6" xfId="31010"/>
    <cellStyle name="Обычный 5 2 156 6" xfId="31011"/>
    <cellStyle name="Процентный 5 2 156 6" xfId="31012"/>
    <cellStyle name="Обычный 6 153 6" xfId="31013"/>
    <cellStyle name="Процентный 6 153 6" xfId="31014"/>
    <cellStyle name="Обычный 7 123 6" xfId="31015"/>
    <cellStyle name="Процентный 7 123 6" xfId="31016"/>
    <cellStyle name="Обычный 4 3 115 6" xfId="31017"/>
    <cellStyle name="Процентный 4 3 115 6" xfId="31018"/>
    <cellStyle name="Обычный 5 3 115 6" xfId="31019"/>
    <cellStyle name="Процентный 5 3 115 6" xfId="31020"/>
    <cellStyle name="Обычный 4 2 2 115 6" xfId="31021"/>
    <cellStyle name="Процентный 4 2 2 115 6" xfId="31022"/>
    <cellStyle name="Обычный 5 2 2 115 6" xfId="31023"/>
    <cellStyle name="Процентный 5 2 2 115 6" xfId="31024"/>
    <cellStyle name="Обычный 6 2 115 6" xfId="31025"/>
    <cellStyle name="Процентный 6 2 115 6" xfId="31026"/>
    <cellStyle name="Обычный 7 2 115 6" xfId="31027"/>
    <cellStyle name="Процентный 7 2 115 6" xfId="31028"/>
    <cellStyle name="Обычный 8 111 6" xfId="31029"/>
    <cellStyle name="Процентный 8 111 6" xfId="31030"/>
    <cellStyle name="Обычный 9 77 6" xfId="31031"/>
    <cellStyle name="Процентный 9 78 6" xfId="31032"/>
    <cellStyle name="Обычный 10 70 6" xfId="31033"/>
    <cellStyle name="Процентный 10 70 6" xfId="31034"/>
    <cellStyle name="Обычный 11 58 6" xfId="31035"/>
    <cellStyle name="Процентный 11 58 6" xfId="31036"/>
    <cellStyle name="Обычный 4 170 6" xfId="31037"/>
    <cellStyle name="Процентный 4 170 6" xfId="31038"/>
    <cellStyle name="Обычный 5 163 6" xfId="31039"/>
    <cellStyle name="Процентный 5 163 6" xfId="31040"/>
    <cellStyle name="Обычный 4 2 157 6" xfId="31041"/>
    <cellStyle name="Процентный 4 2 157 6" xfId="31042"/>
    <cellStyle name="Обычный 5 2 157 6" xfId="31043"/>
    <cellStyle name="Процентный 5 2 157 6" xfId="31044"/>
    <cellStyle name="Обычный 6 154 6" xfId="31045"/>
    <cellStyle name="Процентный 6 154 6" xfId="31046"/>
    <cellStyle name="Обычный 7 124 6" xfId="31047"/>
    <cellStyle name="Процентный 7 124 6" xfId="31048"/>
    <cellStyle name="Обычный 4 3 116 6" xfId="31049"/>
    <cellStyle name="Процентный 4 3 116 6" xfId="31050"/>
    <cellStyle name="Обычный 5 3 116 6" xfId="31051"/>
    <cellStyle name="Процентный 5 3 116 6" xfId="31052"/>
    <cellStyle name="Обычный 4 2 2 116 6" xfId="31053"/>
    <cellStyle name="Процентный 4 2 2 116 6" xfId="31054"/>
    <cellStyle name="Обычный 5 2 2 116 6" xfId="31055"/>
    <cellStyle name="Процентный 5 2 2 116 6" xfId="31056"/>
    <cellStyle name="Обычный 6 2 116 6" xfId="31057"/>
    <cellStyle name="Процентный 6 2 116 6" xfId="31058"/>
    <cellStyle name="Обычный 7 2 116 6" xfId="31059"/>
    <cellStyle name="Процентный 7 2 116 6" xfId="31060"/>
    <cellStyle name="Обычный 8 112 6" xfId="31061"/>
    <cellStyle name="Процентный 8 112 6" xfId="31062"/>
    <cellStyle name="Обычный 9 78 6" xfId="31063"/>
    <cellStyle name="Процентный 9 79 6" xfId="31064"/>
    <cellStyle name="Обычный 10 71 6" xfId="31065"/>
    <cellStyle name="Процентный 10 71 6" xfId="31066"/>
    <cellStyle name="Обычный 11 59 6" xfId="31067"/>
    <cellStyle name="Процентный 11 59 6" xfId="31068"/>
    <cellStyle name="Обычный 4 171 6" xfId="31069"/>
    <cellStyle name="Процентный 4 171 6" xfId="31070"/>
    <cellStyle name="Обычный 5 164 6" xfId="31071"/>
    <cellStyle name="Процентный 5 164 6" xfId="31072"/>
    <cellStyle name="Обычный 4 2 158 6" xfId="31073"/>
    <cellStyle name="Процентный 4 2 158 6" xfId="31074"/>
    <cellStyle name="Обычный 5 2 158 6" xfId="31075"/>
    <cellStyle name="Процентный 5 2 158 6" xfId="31076"/>
    <cellStyle name="Обычный 6 155 6" xfId="31077"/>
    <cellStyle name="Процентный 6 155 6" xfId="31078"/>
    <cellStyle name="Обычный 7 125 6" xfId="31079"/>
    <cellStyle name="Процентный 7 125 6" xfId="31080"/>
    <cellStyle name="Обычный 4 3 117 6" xfId="31081"/>
    <cellStyle name="Процентный 4 3 117 6" xfId="31082"/>
    <cellStyle name="Обычный 5 3 117 6" xfId="31083"/>
    <cellStyle name="Процентный 5 3 117 6" xfId="31084"/>
    <cellStyle name="Обычный 4 2 2 117 6" xfId="31085"/>
    <cellStyle name="Процентный 4 2 2 117 6" xfId="31086"/>
    <cellStyle name="Обычный 5 2 2 117 6" xfId="31087"/>
    <cellStyle name="Процентный 5 2 2 117 6" xfId="31088"/>
    <cellStyle name="Обычный 6 2 117 6" xfId="31089"/>
    <cellStyle name="Процентный 6 2 117 6" xfId="31090"/>
    <cellStyle name="Обычный 7 2 117 6" xfId="31091"/>
    <cellStyle name="Процентный 7 2 117 6" xfId="31092"/>
    <cellStyle name="Обычный 8 113 6" xfId="31093"/>
    <cellStyle name="Процентный 8 113 6" xfId="31094"/>
    <cellStyle name="Обычный 9 79 6" xfId="31095"/>
    <cellStyle name="Процентный 9 80 6" xfId="31096"/>
    <cellStyle name="Обычный 10 72 6" xfId="31097"/>
    <cellStyle name="Процентный 10 72 6" xfId="31098"/>
    <cellStyle name="Обычный 11 60 6" xfId="31099"/>
    <cellStyle name="Процентный 11 60 6" xfId="31100"/>
    <cellStyle name="Обычный 4 172 6" xfId="31101"/>
    <cellStyle name="Процентный 4 172 6" xfId="31102"/>
    <cellStyle name="Обычный 5 165 6" xfId="31103"/>
    <cellStyle name="Процентный 5 165 6" xfId="31104"/>
    <cellStyle name="Обычный 4 2 159 6" xfId="31105"/>
    <cellStyle name="Процентный 4 2 159 6" xfId="31106"/>
    <cellStyle name="Обычный 5 2 159 6" xfId="31107"/>
    <cellStyle name="Процентный 5 2 159 6" xfId="31108"/>
    <cellStyle name="Обычный 6 156 6" xfId="31109"/>
    <cellStyle name="Процентный 6 156 6" xfId="31110"/>
    <cellStyle name="Обычный 7 126 6" xfId="31111"/>
    <cellStyle name="Процентный 7 126 6" xfId="31112"/>
    <cellStyle name="Обычный 4 3 118 6" xfId="31113"/>
    <cellStyle name="Процентный 4 3 118 6" xfId="31114"/>
    <cellStyle name="Обычный 5 3 118 6" xfId="31115"/>
    <cellStyle name="Процентный 5 3 118 6" xfId="31116"/>
    <cellStyle name="Обычный 4 2 2 118 6" xfId="31117"/>
    <cellStyle name="Процентный 4 2 2 118 6" xfId="31118"/>
    <cellStyle name="Обычный 5 2 2 118 6" xfId="31119"/>
    <cellStyle name="Процентный 5 2 2 118 6" xfId="31120"/>
    <cellStyle name="Обычный 6 2 118 6" xfId="31121"/>
    <cellStyle name="Процентный 6 2 118 6" xfId="31122"/>
    <cellStyle name="Обычный 7 2 118 6" xfId="31123"/>
    <cellStyle name="Процентный 7 2 118 6" xfId="31124"/>
    <cellStyle name="Обычный 8 114 6" xfId="31125"/>
    <cellStyle name="Процентный 8 114 6" xfId="31126"/>
    <cellStyle name="Обычный 9 80 6" xfId="31127"/>
    <cellStyle name="Процентный 9 81 6" xfId="31128"/>
    <cellStyle name="Обычный 10 73 6" xfId="31129"/>
    <cellStyle name="Процентный 10 73 6" xfId="31130"/>
    <cellStyle name="Обычный 11 61 6" xfId="31131"/>
    <cellStyle name="Процентный 11 61 6" xfId="31132"/>
    <cellStyle name="Обычный 4 173 6" xfId="31133"/>
    <cellStyle name="Процентный 4 173 6" xfId="31134"/>
    <cellStyle name="Обычный 5 166 6" xfId="31135"/>
    <cellStyle name="Процентный 5 166 6" xfId="31136"/>
    <cellStyle name="Обычный 4 2 160 6" xfId="31137"/>
    <cellStyle name="Процентный 4 2 160 6" xfId="31138"/>
    <cellStyle name="Обычный 5 2 160 6" xfId="31139"/>
    <cellStyle name="Процентный 5 2 160 6" xfId="31140"/>
    <cellStyle name="Обычный 6 157 6" xfId="31141"/>
    <cellStyle name="Процентный 6 157 6" xfId="31142"/>
    <cellStyle name="Обычный 7 127 6" xfId="31143"/>
    <cellStyle name="Процентный 7 127 6" xfId="31144"/>
    <cellStyle name="Обычный 4 3 119 6" xfId="31145"/>
    <cellStyle name="Процентный 4 3 119 6" xfId="31146"/>
    <cellStyle name="Обычный 5 3 119 6" xfId="31147"/>
    <cellStyle name="Процентный 5 3 119 6" xfId="31148"/>
    <cellStyle name="Обычный 4 2 2 119 6" xfId="31149"/>
    <cellStyle name="Процентный 4 2 2 119 6" xfId="31150"/>
    <cellStyle name="Обычный 5 2 2 119 6" xfId="31151"/>
    <cellStyle name="Процентный 5 2 2 119 6" xfId="31152"/>
    <cellStyle name="Обычный 6 2 119 6" xfId="31153"/>
    <cellStyle name="Процентный 6 2 119 6" xfId="31154"/>
    <cellStyle name="Обычный 7 2 119 6" xfId="31155"/>
    <cellStyle name="Процентный 7 2 119 6" xfId="31156"/>
    <cellStyle name="Обычный 8 115 6" xfId="31157"/>
    <cellStyle name="Процентный 8 115 6" xfId="31158"/>
    <cellStyle name="Обычный 9 81 6" xfId="31159"/>
    <cellStyle name="Процентный 9 82 6" xfId="31160"/>
    <cellStyle name="Обычный 10 74 6" xfId="31161"/>
    <cellStyle name="Процентный 10 74 6" xfId="31162"/>
    <cellStyle name="Обычный 11 62 6" xfId="31163"/>
    <cellStyle name="Процентный 11 62 6" xfId="31164"/>
    <cellStyle name="Обычный 4 174 6" xfId="31165"/>
    <cellStyle name="Процентный 4 174 6" xfId="31166"/>
    <cellStyle name="Обычный 5 167 6" xfId="31167"/>
    <cellStyle name="Процентный 5 167 6" xfId="31168"/>
    <cellStyle name="Обычный 4 2 161 6" xfId="31169"/>
    <cellStyle name="Процентный 4 2 161 6" xfId="31170"/>
    <cellStyle name="Обычный 5 2 161 6" xfId="31171"/>
    <cellStyle name="Процентный 5 2 161 6" xfId="31172"/>
    <cellStyle name="Обычный 6 158 6" xfId="31173"/>
    <cellStyle name="Процентный 6 158 6" xfId="31174"/>
    <cellStyle name="Обычный 7 128 6" xfId="31175"/>
    <cellStyle name="Процентный 7 128 6" xfId="31176"/>
    <cellStyle name="Обычный 4 3 120 6" xfId="31177"/>
    <cellStyle name="Процентный 4 3 120 6" xfId="31178"/>
    <cellStyle name="Обычный 5 3 120 6" xfId="31179"/>
    <cellStyle name="Процентный 5 3 120 6" xfId="31180"/>
    <cellStyle name="Обычный 4 2 2 120 6" xfId="31181"/>
    <cellStyle name="Процентный 4 2 2 120 6" xfId="31182"/>
    <cellStyle name="Обычный 5 2 2 120 6" xfId="31183"/>
    <cellStyle name="Процентный 5 2 2 120 6" xfId="31184"/>
    <cellStyle name="Обычный 6 2 120 6" xfId="31185"/>
    <cellStyle name="Процентный 6 2 120 6" xfId="31186"/>
    <cellStyle name="Обычный 7 2 120 6" xfId="31187"/>
    <cellStyle name="Процентный 7 2 120 6" xfId="31188"/>
    <cellStyle name="Обычный 8 116 6" xfId="31189"/>
    <cellStyle name="Процентный 8 116 6" xfId="31190"/>
    <cellStyle name="Обычный 9 82 6" xfId="31191"/>
    <cellStyle name="Процентный 9 83 6" xfId="31192"/>
    <cellStyle name="Обычный 10 75 6" xfId="31193"/>
    <cellStyle name="Процентный 10 75 6" xfId="31194"/>
    <cellStyle name="Обычный 11 63 6" xfId="31195"/>
    <cellStyle name="Процентный 11 63 6" xfId="31196"/>
    <cellStyle name="Обычный 4 175 6" xfId="31197"/>
    <cellStyle name="Процентный 4 175 6" xfId="31198"/>
    <cellStyle name="Обычный 5 168 6" xfId="31199"/>
    <cellStyle name="Процентный 5 168 6" xfId="31200"/>
    <cellStyle name="Обычный 4 2 162 6" xfId="31201"/>
    <cellStyle name="Процентный 4 2 162 6" xfId="31202"/>
    <cellStyle name="Обычный 5 2 162 6" xfId="31203"/>
    <cellStyle name="Процентный 5 2 162 6" xfId="31204"/>
    <cellStyle name="Обычный 6 159 6" xfId="31205"/>
    <cellStyle name="Процентный 6 159 6" xfId="31206"/>
    <cellStyle name="Обычный 7 129 6" xfId="31207"/>
    <cellStyle name="Процентный 7 129 6" xfId="31208"/>
    <cellStyle name="Обычный 4 3 121 6" xfId="31209"/>
    <cellStyle name="Процентный 4 3 121 6" xfId="31210"/>
    <cellStyle name="Обычный 5 3 121 6" xfId="31211"/>
    <cellStyle name="Процентный 5 3 121 6" xfId="31212"/>
    <cellStyle name="Обычный 4 2 2 121 6" xfId="31213"/>
    <cellStyle name="Процентный 4 2 2 121 6" xfId="31214"/>
    <cellStyle name="Обычный 5 2 2 121 6" xfId="31215"/>
    <cellStyle name="Процентный 5 2 2 121 6" xfId="31216"/>
    <cellStyle name="Обычный 6 2 121 6" xfId="31217"/>
    <cellStyle name="Процентный 6 2 121 6" xfId="31218"/>
    <cellStyle name="Обычный 7 2 121 6" xfId="31219"/>
    <cellStyle name="Процентный 7 2 121 6" xfId="31220"/>
    <cellStyle name="Обычный 8 117 6" xfId="31221"/>
    <cellStyle name="Процентный 8 117 6" xfId="31222"/>
    <cellStyle name="Обычный 9 83 6" xfId="31223"/>
    <cellStyle name="Процентный 9 84 6" xfId="31224"/>
    <cellStyle name="Обычный 10 76 6" xfId="31225"/>
    <cellStyle name="Процентный 10 76 6" xfId="31226"/>
    <cellStyle name="Обычный 11 64 6" xfId="31227"/>
    <cellStyle name="Процентный 11 64 6" xfId="31228"/>
    <cellStyle name="Обычный 4 176 6" xfId="31229"/>
    <cellStyle name="Процентный 4 176 6" xfId="31230"/>
    <cellStyle name="Обычный 5 169 6" xfId="31231"/>
    <cellStyle name="Процентный 5 169 6" xfId="31232"/>
    <cellStyle name="Обычный 4 2 163 6" xfId="31233"/>
    <cellStyle name="Процентный 4 2 163 6" xfId="31234"/>
    <cellStyle name="Обычный 5 2 163 6" xfId="31235"/>
    <cellStyle name="Процентный 5 2 163 6" xfId="31236"/>
    <cellStyle name="Обычный 6 160 6" xfId="31237"/>
    <cellStyle name="Процентный 6 160 6" xfId="31238"/>
    <cellStyle name="Обычный 7 130 6" xfId="31239"/>
    <cellStyle name="Процентный 7 130 6" xfId="31240"/>
    <cellStyle name="Обычный 4 3 122 6" xfId="31241"/>
    <cellStyle name="Процентный 4 3 122 6" xfId="31242"/>
    <cellStyle name="Обычный 5 3 122 6" xfId="31243"/>
    <cellStyle name="Процентный 5 3 122 6" xfId="31244"/>
    <cellStyle name="Обычный 4 2 2 122 6" xfId="31245"/>
    <cellStyle name="Процентный 4 2 2 122 6" xfId="31246"/>
    <cellStyle name="Обычный 5 2 2 122 6" xfId="31247"/>
    <cellStyle name="Процентный 5 2 2 122 6" xfId="31248"/>
    <cellStyle name="Обычный 6 2 122 6" xfId="31249"/>
    <cellStyle name="Процентный 6 2 122 6" xfId="31250"/>
    <cellStyle name="Обычный 7 2 122 6" xfId="31251"/>
    <cellStyle name="Процентный 7 2 122 6" xfId="31252"/>
    <cellStyle name="Обычный 8 118 6" xfId="31253"/>
    <cellStyle name="Процентный 8 118 6" xfId="31254"/>
    <cellStyle name="Обычный 9 84 6" xfId="31255"/>
    <cellStyle name="Процентный 9 85 6" xfId="31256"/>
    <cellStyle name="Обычный 10 77 6" xfId="31257"/>
    <cellStyle name="Процентный 10 77 6" xfId="31258"/>
    <cellStyle name="Обычный 11 65 6" xfId="31259"/>
    <cellStyle name="Процентный 11 65 6" xfId="31260"/>
    <cellStyle name="Обычный 4 177 6" xfId="31261"/>
    <cellStyle name="Процентный 4 177 6" xfId="31262"/>
    <cellStyle name="Обычный 5 170 6" xfId="31263"/>
    <cellStyle name="Процентный 5 170 6" xfId="31264"/>
    <cellStyle name="Обычный 4 2 164 6" xfId="31265"/>
    <cellStyle name="Процентный 4 2 164 6" xfId="31266"/>
    <cellStyle name="Обычный 5 2 164 6" xfId="31267"/>
    <cellStyle name="Процентный 5 2 164 6" xfId="31268"/>
    <cellStyle name="Обычный 6 161 6" xfId="31269"/>
    <cellStyle name="Процентный 6 161 6" xfId="31270"/>
    <cellStyle name="Обычный 7 131 6" xfId="31271"/>
    <cellStyle name="Процентный 7 131 6" xfId="31272"/>
    <cellStyle name="Обычный 4 3 123 6" xfId="31273"/>
    <cellStyle name="Процентный 4 3 123 6" xfId="31274"/>
    <cellStyle name="Обычный 5 3 123 6" xfId="31275"/>
    <cellStyle name="Процентный 5 3 123 6" xfId="31276"/>
    <cellStyle name="Обычный 4 2 2 123 6" xfId="31277"/>
    <cellStyle name="Процентный 4 2 2 123 6" xfId="31278"/>
    <cellStyle name="Обычный 5 2 2 123 6" xfId="31279"/>
    <cellStyle name="Процентный 5 2 2 123 6" xfId="31280"/>
    <cellStyle name="Обычный 6 2 123 6" xfId="31281"/>
    <cellStyle name="Процентный 6 2 123 6" xfId="31282"/>
    <cellStyle name="Обычный 7 2 123 6" xfId="31283"/>
    <cellStyle name="Процентный 7 2 123 6" xfId="31284"/>
    <cellStyle name="Обычный 8 119 6" xfId="31285"/>
    <cellStyle name="Процентный 8 119 6" xfId="31286"/>
    <cellStyle name="Обычный 9 85 6" xfId="31287"/>
    <cellStyle name="Процентный 9 86 6" xfId="31288"/>
    <cellStyle name="Обычный 10 78 6" xfId="31289"/>
    <cellStyle name="Процентный 10 78 6" xfId="31290"/>
    <cellStyle name="Обычный 11 66 6" xfId="31291"/>
    <cellStyle name="Процентный 11 66 6" xfId="31292"/>
    <cellStyle name="Обычный 4 178 6" xfId="31293"/>
    <cellStyle name="Процентный 4 178 6" xfId="31294"/>
    <cellStyle name="Обычный 5 171 6" xfId="31295"/>
    <cellStyle name="Процентный 5 171 6" xfId="31296"/>
    <cellStyle name="Обычный 4 2 165 6" xfId="31297"/>
    <cellStyle name="Процентный 4 2 165 6" xfId="31298"/>
    <cellStyle name="Обычный 5 2 165 6" xfId="31299"/>
    <cellStyle name="Процентный 5 2 165 6" xfId="31300"/>
    <cellStyle name="Обычный 6 162 6" xfId="31301"/>
    <cellStyle name="Процентный 6 162 6" xfId="31302"/>
    <cellStyle name="Обычный 7 132 6" xfId="31303"/>
    <cellStyle name="Процентный 7 132 6" xfId="31304"/>
    <cellStyle name="Обычный 4 3 124 6" xfId="31305"/>
    <cellStyle name="Процентный 4 3 124 6" xfId="31306"/>
    <cellStyle name="Обычный 5 3 124 6" xfId="31307"/>
    <cellStyle name="Процентный 5 3 124 6" xfId="31308"/>
    <cellStyle name="Обычный 4 2 2 124 6" xfId="31309"/>
    <cellStyle name="Процентный 4 2 2 124 6" xfId="31310"/>
    <cellStyle name="Обычный 5 2 2 124 6" xfId="31311"/>
    <cellStyle name="Процентный 5 2 2 124 6" xfId="31312"/>
    <cellStyle name="Обычный 6 2 124 6" xfId="31313"/>
    <cellStyle name="Процентный 6 2 124 6" xfId="31314"/>
    <cellStyle name="Обычный 7 2 124 6" xfId="31315"/>
    <cellStyle name="Процентный 7 2 124 6" xfId="31316"/>
    <cellStyle name="Обычный 8 120 6" xfId="31317"/>
    <cellStyle name="Процентный 8 120 6" xfId="31318"/>
    <cellStyle name="Обычный 9 86 6" xfId="31319"/>
    <cellStyle name="Процентный 9 87 6" xfId="31320"/>
    <cellStyle name="Обычный 10 79 6" xfId="31321"/>
    <cellStyle name="Процентный 10 79 6" xfId="31322"/>
    <cellStyle name="Обычный 11 67 6" xfId="31323"/>
    <cellStyle name="Процентный 11 67 6" xfId="31324"/>
    <cellStyle name="Обычный 4 179 6" xfId="31325"/>
    <cellStyle name="Процентный 4 179 6" xfId="31326"/>
    <cellStyle name="Обычный 5 172 6" xfId="31327"/>
    <cellStyle name="Процентный 5 172 6" xfId="31328"/>
    <cellStyle name="Обычный 4 2 166 6" xfId="31329"/>
    <cellStyle name="Процентный 4 2 166 6" xfId="31330"/>
    <cellStyle name="Обычный 5 2 166 6" xfId="31331"/>
    <cellStyle name="Процентный 5 2 166 6" xfId="31332"/>
    <cellStyle name="Обычный 6 163 6" xfId="31333"/>
    <cellStyle name="Процентный 6 163 6" xfId="31334"/>
    <cellStyle name="Обычный 7 133 6" xfId="31335"/>
    <cellStyle name="Процентный 7 133 6" xfId="31336"/>
    <cellStyle name="Обычный 4 3 125 6" xfId="31337"/>
    <cellStyle name="Процентный 4 3 125 6" xfId="31338"/>
    <cellStyle name="Обычный 5 3 125 6" xfId="31339"/>
    <cellStyle name="Процентный 5 3 125 6" xfId="31340"/>
    <cellStyle name="Обычный 4 2 2 125 6" xfId="31341"/>
    <cellStyle name="Процентный 4 2 2 125 6" xfId="31342"/>
    <cellStyle name="Обычный 5 2 2 125 6" xfId="31343"/>
    <cellStyle name="Процентный 5 2 2 125 6" xfId="31344"/>
    <cellStyle name="Обычный 6 2 125 6" xfId="31345"/>
    <cellStyle name="Процентный 6 2 125 6" xfId="31346"/>
    <cellStyle name="Обычный 7 2 125 6" xfId="31347"/>
    <cellStyle name="Процентный 7 2 125 6" xfId="31348"/>
    <cellStyle name="Обычный 8 121 6" xfId="31349"/>
    <cellStyle name="Процентный 8 121 6" xfId="31350"/>
    <cellStyle name="Обычный 9 87 6" xfId="31351"/>
    <cellStyle name="Процентный 9 88 6" xfId="31352"/>
    <cellStyle name="Обычный 10 80 6" xfId="31353"/>
    <cellStyle name="Процентный 10 80 6" xfId="31354"/>
    <cellStyle name="Обычный 11 68 6" xfId="31355"/>
    <cellStyle name="Процентный 11 68 6" xfId="31356"/>
    <cellStyle name="Обычный 4 180 6" xfId="31357"/>
    <cellStyle name="Процентный 4 180 6" xfId="31358"/>
    <cellStyle name="Обычный 5 173 6" xfId="31359"/>
    <cellStyle name="Процентный 5 173 6" xfId="31360"/>
    <cellStyle name="Обычный 4 2 167 6" xfId="31361"/>
    <cellStyle name="Процентный 4 2 167 6" xfId="31362"/>
    <cellStyle name="Обычный 5 2 167 6" xfId="31363"/>
    <cellStyle name="Процентный 5 2 167 6" xfId="31364"/>
    <cellStyle name="Обычный 6 164 6" xfId="31365"/>
    <cellStyle name="Процентный 6 164 6" xfId="31366"/>
    <cellStyle name="Обычный 7 134 6" xfId="31367"/>
    <cellStyle name="Процентный 7 134 6" xfId="31368"/>
    <cellStyle name="Обычный 4 3 126 6" xfId="31369"/>
    <cellStyle name="Процентный 4 3 126 6" xfId="31370"/>
    <cellStyle name="Обычный 5 3 126 6" xfId="31371"/>
    <cellStyle name="Процентный 5 3 126 6" xfId="31372"/>
    <cellStyle name="Обычный 4 2 2 126 6" xfId="31373"/>
    <cellStyle name="Процентный 4 2 2 126 6" xfId="31374"/>
    <cellStyle name="Обычный 5 2 2 126 6" xfId="31375"/>
    <cellStyle name="Процентный 5 2 2 126 6" xfId="31376"/>
    <cellStyle name="Обычный 6 2 126 6" xfId="31377"/>
    <cellStyle name="Процентный 6 2 126 6" xfId="31378"/>
    <cellStyle name="Обычный 7 2 126 6" xfId="31379"/>
    <cellStyle name="Процентный 7 2 126 6" xfId="31380"/>
    <cellStyle name="Обычный 8 122 6" xfId="31381"/>
    <cellStyle name="Процентный 8 122 6" xfId="31382"/>
    <cellStyle name="Обычный 9 88 6" xfId="31383"/>
    <cellStyle name="Процентный 9 89 6" xfId="31384"/>
    <cellStyle name="Обычный 10 81 6" xfId="31385"/>
    <cellStyle name="Процентный 10 81 6" xfId="31386"/>
    <cellStyle name="Обычный 11 69 6" xfId="31387"/>
    <cellStyle name="Процентный 11 69 6" xfId="31388"/>
    <cellStyle name="Обычный 4 181 6" xfId="31389"/>
    <cellStyle name="Процентный 4 181 6" xfId="31390"/>
    <cellStyle name="Обычный 5 174 6" xfId="31391"/>
    <cellStyle name="Процентный 5 174 6" xfId="31392"/>
    <cellStyle name="Обычный 4 2 168 6" xfId="31393"/>
    <cellStyle name="Процентный 4 2 168 6" xfId="31394"/>
    <cellStyle name="Обычный 5 2 168 6" xfId="31395"/>
    <cellStyle name="Процентный 5 2 168 6" xfId="31396"/>
    <cellStyle name="Обычный 6 165 6" xfId="31397"/>
    <cellStyle name="Процентный 6 165 6" xfId="31398"/>
    <cellStyle name="Обычный 7 135 6" xfId="31399"/>
    <cellStyle name="Процентный 7 135 6" xfId="31400"/>
    <cellStyle name="Обычный 4 3 127 6" xfId="31401"/>
    <cellStyle name="Процентный 4 3 127 6" xfId="31402"/>
    <cellStyle name="Обычный 5 3 127 6" xfId="31403"/>
    <cellStyle name="Процентный 5 3 127 6" xfId="31404"/>
    <cellStyle name="Обычный 4 2 2 127 6" xfId="31405"/>
    <cellStyle name="Процентный 4 2 2 127 6" xfId="31406"/>
    <cellStyle name="Обычный 5 2 2 127 6" xfId="31407"/>
    <cellStyle name="Процентный 5 2 2 127 6" xfId="31408"/>
    <cellStyle name="Обычный 6 2 127 6" xfId="31409"/>
    <cellStyle name="Процентный 6 2 127 6" xfId="31410"/>
    <cellStyle name="Обычный 7 2 127 6" xfId="31411"/>
    <cellStyle name="Процентный 7 2 127 6" xfId="31412"/>
    <cellStyle name="Обычный 8 123 6" xfId="31413"/>
    <cellStyle name="Процентный 8 123 6" xfId="31414"/>
    <cellStyle name="Обычный 9 89 6" xfId="31415"/>
    <cellStyle name="Процентный 9 90 6" xfId="31416"/>
    <cellStyle name="Обычный 10 82 6" xfId="31417"/>
    <cellStyle name="Процентный 10 82 6" xfId="31418"/>
    <cellStyle name="Обычный 11 70 6" xfId="31419"/>
    <cellStyle name="Процентный 11 70 6" xfId="31420"/>
    <cellStyle name="Обычный 14 6" xfId="31421"/>
    <cellStyle name="Процентный 14 6" xfId="31422"/>
    <cellStyle name="Обычный 4 182 6" xfId="31423"/>
    <cellStyle name="Процентный 4 182 6" xfId="31424"/>
    <cellStyle name="Обычный 5 175 6" xfId="31425"/>
    <cellStyle name="Процентный 5 175 6" xfId="31426"/>
    <cellStyle name="Обычный 4 2 169 6" xfId="31427"/>
    <cellStyle name="Процентный 4 2 169 6" xfId="31428"/>
    <cellStyle name="Обычный 5 2 169 6" xfId="31429"/>
    <cellStyle name="Процентный 5 2 169 6" xfId="31430"/>
    <cellStyle name="Обычный 6 166 6" xfId="31431"/>
    <cellStyle name="Процентный 6 166 6" xfId="31432"/>
    <cellStyle name="Обычный 7 136 6" xfId="31433"/>
    <cellStyle name="Процентный 7 136 6" xfId="31434"/>
    <cellStyle name="Обычный 4 3 128 6" xfId="31435"/>
    <cellStyle name="Процентный 4 3 128 6" xfId="31436"/>
    <cellStyle name="Обычный 5 3 128 6" xfId="31437"/>
    <cellStyle name="Процентный 5 3 128 6" xfId="31438"/>
    <cellStyle name="Обычный 4 2 2 128 6" xfId="31439"/>
    <cellStyle name="Процентный 4 2 2 128 6" xfId="31440"/>
    <cellStyle name="Обычный 5 2 2 128 6" xfId="31441"/>
    <cellStyle name="Процентный 5 2 2 128 6" xfId="31442"/>
    <cellStyle name="Обычный 6 2 128 6" xfId="31443"/>
    <cellStyle name="Процентный 6 2 128 6" xfId="31444"/>
    <cellStyle name="Обычный 7 2 128 6" xfId="31445"/>
    <cellStyle name="Процентный 7 2 128 6" xfId="31446"/>
    <cellStyle name="Обычный 8 124 6" xfId="31447"/>
    <cellStyle name="Процентный 8 124 6" xfId="31448"/>
    <cellStyle name="Обычный 9 90 6" xfId="31449"/>
    <cellStyle name="Процентный 9 91 6" xfId="31450"/>
    <cellStyle name="Обычный 10 83 6" xfId="31451"/>
    <cellStyle name="Процентный 10 83 6" xfId="31452"/>
    <cellStyle name="Обычный 11 71 6" xfId="31453"/>
    <cellStyle name="Процентный 11 71 6" xfId="31454"/>
    <cellStyle name="Обычный 4 183 6" xfId="31455"/>
    <cellStyle name="Процентный 4 183 6" xfId="31456"/>
    <cellStyle name="Обычный 5 176 6" xfId="31457"/>
    <cellStyle name="Процентный 5 176 6" xfId="31458"/>
    <cellStyle name="Обычный 4 2 170 6" xfId="31459"/>
    <cellStyle name="Процентный 4 2 170 6" xfId="31460"/>
    <cellStyle name="Обычный 5 2 170 6" xfId="31461"/>
    <cellStyle name="Процентный 5 2 170 6" xfId="31462"/>
    <cellStyle name="Обычный 6 167 6" xfId="31463"/>
    <cellStyle name="Процентный 6 167 6" xfId="31464"/>
    <cellStyle name="Обычный 7 137 6" xfId="31465"/>
    <cellStyle name="Процентный 7 137 6" xfId="31466"/>
    <cellStyle name="Обычный 4 3 129 6" xfId="31467"/>
    <cellStyle name="Процентный 4 3 129 6" xfId="31468"/>
    <cellStyle name="Обычный 5 3 129 6" xfId="31469"/>
    <cellStyle name="Процентный 5 3 129 6" xfId="31470"/>
    <cellStyle name="Обычный 4 2 2 129 6" xfId="31471"/>
    <cellStyle name="Процентный 4 2 2 129 6" xfId="31472"/>
    <cellStyle name="Обычный 5 2 2 129 6" xfId="31473"/>
    <cellStyle name="Процентный 5 2 2 129 6" xfId="31474"/>
    <cellStyle name="Обычный 6 2 129 6" xfId="31475"/>
    <cellStyle name="Процентный 6 2 129 6" xfId="31476"/>
    <cellStyle name="Обычный 7 2 129 6" xfId="31477"/>
    <cellStyle name="Процентный 7 2 129 6" xfId="31478"/>
    <cellStyle name="Обычный 8 125 6" xfId="31479"/>
    <cellStyle name="Процентный 8 125 6" xfId="31480"/>
    <cellStyle name="Обычный 9 91 6" xfId="31481"/>
    <cellStyle name="Процентный 9 92 6" xfId="31482"/>
    <cellStyle name="Обычный 10 84 6" xfId="31483"/>
    <cellStyle name="Процентный 10 84 6" xfId="31484"/>
    <cellStyle name="Обычный 11 72 6" xfId="31485"/>
    <cellStyle name="Процентный 11 72 6" xfId="31486"/>
    <cellStyle name="Обычный 4 184 6" xfId="31487"/>
    <cellStyle name="Процентный 4 184 6" xfId="31488"/>
    <cellStyle name="Обычный 5 177 6" xfId="31489"/>
    <cellStyle name="Процентный 5 177 6" xfId="31490"/>
    <cellStyle name="Обычный 4 2 171 6" xfId="31491"/>
    <cellStyle name="Процентный 4 2 171 6" xfId="31492"/>
    <cellStyle name="Обычный 5 2 171 6" xfId="31493"/>
    <cellStyle name="Процентный 5 2 171 6" xfId="31494"/>
    <cellStyle name="Обычный 6 168 6" xfId="31495"/>
    <cellStyle name="Процентный 6 168 6" xfId="31496"/>
    <cellStyle name="Обычный 7 138 6" xfId="31497"/>
    <cellStyle name="Процентный 7 138 6" xfId="31498"/>
    <cellStyle name="Обычный 4 3 130 6" xfId="31499"/>
    <cellStyle name="Процентный 4 3 130 6" xfId="31500"/>
    <cellStyle name="Обычный 5 3 130 6" xfId="31501"/>
    <cellStyle name="Процентный 5 3 130 6" xfId="31502"/>
    <cellStyle name="Обычный 4 2 2 130 6" xfId="31503"/>
    <cellStyle name="Процентный 4 2 2 130 6" xfId="31504"/>
    <cellStyle name="Обычный 5 2 2 130 6" xfId="31505"/>
    <cellStyle name="Процентный 5 2 2 130 6" xfId="31506"/>
    <cellStyle name="Обычный 6 2 130 6" xfId="31507"/>
    <cellStyle name="Процентный 6 2 130 6" xfId="31508"/>
    <cellStyle name="Обычный 7 2 130 6" xfId="31509"/>
    <cellStyle name="Процентный 7 2 130 6" xfId="31510"/>
    <cellStyle name="Обычный 8 126 6" xfId="31511"/>
    <cellStyle name="Процентный 8 126 6" xfId="31512"/>
    <cellStyle name="Обычный 9 92 6" xfId="31513"/>
    <cellStyle name="Процентный 9 93 6" xfId="31514"/>
    <cellStyle name="Обычный 10 85 6" xfId="31515"/>
    <cellStyle name="Процентный 10 85 6" xfId="31516"/>
    <cellStyle name="Обычный 11 73 6" xfId="31517"/>
    <cellStyle name="Процентный 11 73 6" xfId="31518"/>
    <cellStyle name="Обычный 4 185 6" xfId="31519"/>
    <cellStyle name="Процентный 4 185 6" xfId="31520"/>
    <cellStyle name="Обычный 5 178 6" xfId="31521"/>
    <cellStyle name="Процентный 5 178 6" xfId="31522"/>
    <cellStyle name="Обычный 4 2 172 6" xfId="31523"/>
    <cellStyle name="Процентный 4 2 172 6" xfId="31524"/>
    <cellStyle name="Обычный 5 2 172 6" xfId="31525"/>
    <cellStyle name="Процентный 5 2 172 6" xfId="31526"/>
    <cellStyle name="Обычный 6 169 6" xfId="31527"/>
    <cellStyle name="Процентный 6 169 6" xfId="31528"/>
    <cellStyle name="Обычный 7 139 6" xfId="31529"/>
    <cellStyle name="Процентный 7 139 6" xfId="31530"/>
    <cellStyle name="Обычный 4 3 131 6" xfId="31531"/>
    <cellStyle name="Процентный 4 3 131 6" xfId="31532"/>
    <cellStyle name="Обычный 5 3 131 6" xfId="31533"/>
    <cellStyle name="Процентный 5 3 131 6" xfId="31534"/>
    <cellStyle name="Обычный 4 2 2 131 6" xfId="31535"/>
    <cellStyle name="Процентный 4 2 2 131 6" xfId="31536"/>
    <cellStyle name="Обычный 5 2 2 131 6" xfId="31537"/>
    <cellStyle name="Процентный 5 2 2 131 6" xfId="31538"/>
    <cellStyle name="Обычный 6 2 131 6" xfId="31539"/>
    <cellStyle name="Процентный 6 2 131 6" xfId="31540"/>
    <cellStyle name="Обычный 7 2 131 6" xfId="31541"/>
    <cellStyle name="Процентный 7 2 131 6" xfId="31542"/>
    <cellStyle name="Обычный 8 127 6" xfId="31543"/>
    <cellStyle name="Процентный 8 127 6" xfId="31544"/>
    <cellStyle name="Обычный 9 93 6" xfId="31545"/>
    <cellStyle name="Процентный 9 94 6" xfId="31546"/>
    <cellStyle name="Обычный 10 86 6" xfId="31547"/>
    <cellStyle name="Процентный 10 86 6" xfId="31548"/>
    <cellStyle name="Обычный 11 74 6" xfId="31549"/>
    <cellStyle name="Процентный 11 74 6" xfId="31550"/>
    <cellStyle name="Обычный 4 186 6" xfId="31551"/>
    <cellStyle name="Процентный 4 186 6" xfId="31552"/>
    <cellStyle name="Обычный 5 179 6" xfId="31553"/>
    <cellStyle name="Процентный 5 179 6" xfId="31554"/>
    <cellStyle name="Обычный 4 2 173 6" xfId="31555"/>
    <cellStyle name="Процентный 4 2 173 6" xfId="31556"/>
    <cellStyle name="Обычный 5 2 173 6" xfId="31557"/>
    <cellStyle name="Процентный 5 2 173 6" xfId="31558"/>
    <cellStyle name="Обычный 6 170 6" xfId="31559"/>
    <cellStyle name="Процентный 6 170 6" xfId="31560"/>
    <cellStyle name="Обычный 7 140 6" xfId="31561"/>
    <cellStyle name="Процентный 7 140 6" xfId="31562"/>
    <cellStyle name="Обычный 4 3 132 6" xfId="31563"/>
    <cellStyle name="Процентный 4 3 132 6" xfId="31564"/>
    <cellStyle name="Обычный 5 3 132 6" xfId="31565"/>
    <cellStyle name="Процентный 5 3 132 6" xfId="31566"/>
    <cellStyle name="Обычный 4 2 2 132 6" xfId="31567"/>
    <cellStyle name="Процентный 4 2 2 132 6" xfId="31568"/>
    <cellStyle name="Обычный 5 2 2 132 6" xfId="31569"/>
    <cellStyle name="Процентный 5 2 2 132 6" xfId="31570"/>
    <cellStyle name="Обычный 6 2 132 6" xfId="31571"/>
    <cellStyle name="Процентный 6 2 132 6" xfId="31572"/>
    <cellStyle name="Обычный 7 2 132 6" xfId="31573"/>
    <cellStyle name="Процентный 7 2 132 6" xfId="31574"/>
    <cellStyle name="Обычный 8 128 6" xfId="31575"/>
    <cellStyle name="Процентный 8 128 6" xfId="31576"/>
    <cellStyle name="Обычный 9 94 6" xfId="31577"/>
    <cellStyle name="Процентный 9 95 6" xfId="31578"/>
    <cellStyle name="Обычный 10 87 6" xfId="31579"/>
    <cellStyle name="Процентный 10 87 6" xfId="31580"/>
    <cellStyle name="Обычный 11 75 6" xfId="31581"/>
    <cellStyle name="Процентный 11 75 6" xfId="31582"/>
    <cellStyle name="Обычный 4 187 6" xfId="31583"/>
    <cellStyle name="Процентный 4 187 6" xfId="31584"/>
    <cellStyle name="Обычный 5 180 6" xfId="31585"/>
    <cellStyle name="Процентный 5 180 6" xfId="31586"/>
    <cellStyle name="Обычный 4 2 174 6" xfId="31587"/>
    <cellStyle name="Процентный 4 2 174 6" xfId="31588"/>
    <cellStyle name="Обычный 5 2 174 6" xfId="31589"/>
    <cellStyle name="Процентный 5 2 174 6" xfId="31590"/>
    <cellStyle name="Обычный 6 171 6" xfId="31591"/>
    <cellStyle name="Процентный 6 171 6" xfId="31592"/>
    <cellStyle name="Обычный 7 141 6" xfId="31593"/>
    <cellStyle name="Процентный 7 141 6" xfId="31594"/>
    <cellStyle name="Обычный 4 3 133 6" xfId="31595"/>
    <cellStyle name="Процентный 4 3 133 6" xfId="31596"/>
    <cellStyle name="Обычный 5 3 133 6" xfId="31597"/>
    <cellStyle name="Процентный 5 3 133 6" xfId="31598"/>
    <cellStyle name="Обычный 4 2 2 133 6" xfId="31599"/>
    <cellStyle name="Процентный 4 2 2 133 6" xfId="31600"/>
    <cellStyle name="Обычный 5 2 2 133 6" xfId="31601"/>
    <cellStyle name="Процентный 5 2 2 133 6" xfId="31602"/>
    <cellStyle name="Обычный 6 2 133 6" xfId="31603"/>
    <cellStyle name="Процентный 6 2 133 6" xfId="31604"/>
    <cellStyle name="Обычный 7 2 133 6" xfId="31605"/>
    <cellStyle name="Процентный 7 2 133 6" xfId="31606"/>
    <cellStyle name="Обычный 8 129 6" xfId="31607"/>
    <cellStyle name="Процентный 8 129 6" xfId="31608"/>
    <cellStyle name="Обычный 9 95 6" xfId="31609"/>
    <cellStyle name="Процентный 9 96 6" xfId="31610"/>
    <cellStyle name="Обычный 10 88 6" xfId="31611"/>
    <cellStyle name="Процентный 10 88 6" xfId="31612"/>
    <cellStyle name="Обычный 11 76 6" xfId="31613"/>
    <cellStyle name="Процентный 11 76 6" xfId="31614"/>
    <cellStyle name="Обычный 4 188 6" xfId="31615"/>
    <cellStyle name="Процентный 4 188 6" xfId="31616"/>
    <cellStyle name="Обычный 5 181 6" xfId="31617"/>
    <cellStyle name="Процентный 5 181 6" xfId="31618"/>
    <cellStyle name="Обычный 4 2 175 6" xfId="31619"/>
    <cellStyle name="Процентный 4 2 175 6" xfId="31620"/>
    <cellStyle name="Обычный 5 2 175 6" xfId="31621"/>
    <cellStyle name="Процентный 5 2 175 6" xfId="31622"/>
    <cellStyle name="Обычный 6 172 6" xfId="31623"/>
    <cellStyle name="Процентный 6 172 6" xfId="31624"/>
    <cellStyle name="Обычный 7 142 6" xfId="31625"/>
    <cellStyle name="Процентный 7 142 6" xfId="31626"/>
    <cellStyle name="Обычный 4 3 134 6" xfId="31627"/>
    <cellStyle name="Процентный 4 3 134 6" xfId="31628"/>
    <cellStyle name="Обычный 5 3 134 6" xfId="31629"/>
    <cellStyle name="Процентный 5 3 134 6" xfId="31630"/>
    <cellStyle name="Обычный 4 2 2 134 6" xfId="31631"/>
    <cellStyle name="Процентный 4 2 2 134 6" xfId="31632"/>
    <cellStyle name="Обычный 5 2 2 134 6" xfId="31633"/>
    <cellStyle name="Процентный 5 2 2 134 6" xfId="31634"/>
    <cellStyle name="Обычный 6 2 134 6" xfId="31635"/>
    <cellStyle name="Процентный 6 2 134 6" xfId="31636"/>
    <cellStyle name="Обычный 7 2 134 6" xfId="31637"/>
    <cellStyle name="Процентный 7 2 134 6" xfId="31638"/>
    <cellStyle name="Обычный 8 130 6" xfId="31639"/>
    <cellStyle name="Процентный 8 130 6" xfId="31640"/>
    <cellStyle name="Обычный 9 96 6" xfId="31641"/>
    <cellStyle name="Процентный 9 97 6" xfId="31642"/>
    <cellStyle name="Обычный 10 89 6" xfId="31643"/>
    <cellStyle name="Процентный 10 89 6" xfId="31644"/>
    <cellStyle name="Обычный 11 77 6" xfId="31645"/>
    <cellStyle name="Процентный 11 77 6" xfId="31646"/>
    <cellStyle name="Обычный 4 189 6" xfId="31647"/>
    <cellStyle name="Процентный 4 189 6" xfId="31648"/>
    <cellStyle name="Обычный 5 182 6" xfId="31649"/>
    <cellStyle name="Процентный 5 182 6" xfId="31650"/>
    <cellStyle name="Обычный 4 2 176 6" xfId="31651"/>
    <cellStyle name="Процентный 4 2 176 6" xfId="31652"/>
    <cellStyle name="Обычный 5 2 176 6" xfId="31653"/>
    <cellStyle name="Процентный 5 2 176 6" xfId="31654"/>
    <cellStyle name="Обычный 6 173 6" xfId="31655"/>
    <cellStyle name="Процентный 6 173 6" xfId="31656"/>
    <cellStyle name="Обычный 7 143 6" xfId="31657"/>
    <cellStyle name="Процентный 7 143 6" xfId="31658"/>
    <cellStyle name="Обычный 4 3 135 6" xfId="31659"/>
    <cellStyle name="Процентный 4 3 135 6" xfId="31660"/>
    <cellStyle name="Обычный 5 3 135 6" xfId="31661"/>
    <cellStyle name="Процентный 5 3 135 6" xfId="31662"/>
    <cellStyle name="Обычный 4 2 2 135 6" xfId="31663"/>
    <cellStyle name="Процентный 4 2 2 135 6" xfId="31664"/>
    <cellStyle name="Обычный 5 2 2 135 6" xfId="31665"/>
    <cellStyle name="Процентный 5 2 2 135 6" xfId="31666"/>
    <cellStyle name="Обычный 6 2 135 6" xfId="31667"/>
    <cellStyle name="Процентный 6 2 135 6" xfId="31668"/>
    <cellStyle name="Обычный 7 2 135 6" xfId="31669"/>
    <cellStyle name="Процентный 7 2 135 6" xfId="31670"/>
    <cellStyle name="Обычный 8 131 6" xfId="31671"/>
    <cellStyle name="Процентный 8 131 6" xfId="31672"/>
    <cellStyle name="Обычный 9 97 6" xfId="31673"/>
    <cellStyle name="Процентный 9 98 6" xfId="31674"/>
    <cellStyle name="Обычный 10 90 6" xfId="31675"/>
    <cellStyle name="Процентный 10 90 6" xfId="31676"/>
    <cellStyle name="Обычный 11 78 6" xfId="31677"/>
    <cellStyle name="Процентный 11 78 6" xfId="31678"/>
    <cellStyle name="Обычный 4 190 6" xfId="31679"/>
    <cellStyle name="Процентный 4 190 6" xfId="31680"/>
    <cellStyle name="Обычный 5 183 6" xfId="31681"/>
    <cellStyle name="Процентный 5 183 6" xfId="31682"/>
    <cellStyle name="Обычный 4 2 177 6" xfId="31683"/>
    <cellStyle name="Процентный 4 2 177 6" xfId="31684"/>
    <cellStyle name="Обычный 5 2 177 6" xfId="31685"/>
    <cellStyle name="Процентный 5 2 177 6" xfId="31686"/>
    <cellStyle name="Обычный 6 174 6" xfId="31687"/>
    <cellStyle name="Процентный 6 174 6" xfId="31688"/>
    <cellStyle name="Обычный 7 144 6" xfId="31689"/>
    <cellStyle name="Процентный 7 144 6" xfId="31690"/>
    <cellStyle name="Обычный 4 3 136 6" xfId="31691"/>
    <cellStyle name="Процентный 4 3 136 6" xfId="31692"/>
    <cellStyle name="Обычный 5 3 136 6" xfId="31693"/>
    <cellStyle name="Процентный 5 3 136 6" xfId="31694"/>
    <cellStyle name="Обычный 4 2 2 136 6" xfId="31695"/>
    <cellStyle name="Процентный 4 2 2 136 6" xfId="31696"/>
    <cellStyle name="Обычный 5 2 2 136 6" xfId="31697"/>
    <cellStyle name="Процентный 5 2 2 136 6" xfId="31698"/>
    <cellStyle name="Обычный 6 2 136 6" xfId="31699"/>
    <cellStyle name="Процентный 6 2 136 6" xfId="31700"/>
    <cellStyle name="Обычный 7 2 136 6" xfId="31701"/>
    <cellStyle name="Процентный 7 2 136 6" xfId="31702"/>
    <cellStyle name="Обычный 8 132 6" xfId="31703"/>
    <cellStyle name="Процентный 8 132 6" xfId="31704"/>
    <cellStyle name="Обычный 9 98 6" xfId="31705"/>
    <cellStyle name="Процентный 9 99 6" xfId="31706"/>
    <cellStyle name="Обычный 10 91 6" xfId="31707"/>
    <cellStyle name="Процентный 10 91 6" xfId="31708"/>
    <cellStyle name="Обычный 11 79 6" xfId="31709"/>
    <cellStyle name="Процентный 11 79 6" xfId="31710"/>
    <cellStyle name="Обычный 4 191 6" xfId="31711"/>
    <cellStyle name="Процентный 4 191 6" xfId="31712"/>
    <cellStyle name="Обычный 5 184 6" xfId="31713"/>
    <cellStyle name="Процентный 5 184 6" xfId="31714"/>
    <cellStyle name="Обычный 4 2 178 6" xfId="31715"/>
    <cellStyle name="Процентный 4 2 178 6" xfId="31716"/>
    <cellStyle name="Обычный 5 2 178 6" xfId="31717"/>
    <cellStyle name="Процентный 5 2 178 6" xfId="31718"/>
    <cellStyle name="Обычный 6 175 6" xfId="31719"/>
    <cellStyle name="Процентный 6 175 6" xfId="31720"/>
    <cellStyle name="Обычный 7 145 6" xfId="31721"/>
    <cellStyle name="Процентный 7 145 6" xfId="31722"/>
    <cellStyle name="Обычный 4 3 137 6" xfId="31723"/>
    <cellStyle name="Процентный 4 3 137 6" xfId="31724"/>
    <cellStyle name="Обычный 5 3 137 6" xfId="31725"/>
    <cellStyle name="Процентный 5 3 137 6" xfId="31726"/>
    <cellStyle name="Обычный 4 2 2 137 6" xfId="31727"/>
    <cellStyle name="Процентный 4 2 2 137 6" xfId="31728"/>
    <cellStyle name="Обычный 5 2 2 137 6" xfId="31729"/>
    <cellStyle name="Процентный 5 2 2 137 6" xfId="31730"/>
    <cellStyle name="Обычный 6 2 137 6" xfId="31731"/>
    <cellStyle name="Процентный 6 2 137 6" xfId="31732"/>
    <cellStyle name="Обычный 7 2 137 6" xfId="31733"/>
    <cellStyle name="Процентный 7 2 137 6" xfId="31734"/>
    <cellStyle name="Обычный 8 133 6" xfId="31735"/>
    <cellStyle name="Процентный 8 133 6" xfId="31736"/>
    <cellStyle name="Обычный 9 99 6" xfId="31737"/>
    <cellStyle name="Процентный 9 100 6" xfId="31738"/>
    <cellStyle name="Обычный 10 92 6" xfId="31739"/>
    <cellStyle name="Процентный 10 92 6" xfId="31740"/>
    <cellStyle name="Обычный 11 80 6" xfId="31741"/>
    <cellStyle name="Процентный 11 80 6" xfId="31742"/>
    <cellStyle name="Обычный 4 192 6" xfId="31743"/>
    <cellStyle name="Процентный 4 192 6" xfId="31744"/>
    <cellStyle name="Обычный 5 185 6" xfId="31745"/>
    <cellStyle name="Процентный 5 185 6" xfId="31746"/>
    <cellStyle name="Обычный 4 2 179 6" xfId="31747"/>
    <cellStyle name="Процентный 4 2 179 6" xfId="31748"/>
    <cellStyle name="Обычный 5 2 179 6" xfId="31749"/>
    <cellStyle name="Процентный 5 2 179 6" xfId="31750"/>
    <cellStyle name="Обычный 6 176 6" xfId="31751"/>
    <cellStyle name="Процентный 6 176 6" xfId="31752"/>
    <cellStyle name="Обычный 7 146 6" xfId="31753"/>
    <cellStyle name="Процентный 7 146 6" xfId="31754"/>
    <cellStyle name="Обычный 4 3 138 6" xfId="31755"/>
    <cellStyle name="Процентный 4 3 138 6" xfId="31756"/>
    <cellStyle name="Обычный 5 3 138 6" xfId="31757"/>
    <cellStyle name="Процентный 5 3 138 6" xfId="31758"/>
    <cellStyle name="Обычный 4 2 2 138 6" xfId="31759"/>
    <cellStyle name="Процентный 4 2 2 138 6" xfId="31760"/>
    <cellStyle name="Обычный 5 2 2 138 6" xfId="31761"/>
    <cellStyle name="Процентный 5 2 2 138 6" xfId="31762"/>
    <cellStyle name="Обычный 6 2 138 6" xfId="31763"/>
    <cellStyle name="Процентный 6 2 138 6" xfId="31764"/>
    <cellStyle name="Обычный 7 2 138 6" xfId="31765"/>
    <cellStyle name="Процентный 7 2 138 6" xfId="31766"/>
    <cellStyle name="Обычный 8 134 6" xfId="31767"/>
    <cellStyle name="Процентный 8 134 6" xfId="31768"/>
    <cellStyle name="Обычный 9 100 6" xfId="31769"/>
    <cellStyle name="Процентный 9 101 6" xfId="31770"/>
    <cellStyle name="Обычный 10 93 6" xfId="31771"/>
    <cellStyle name="Процентный 10 93 6" xfId="31772"/>
    <cellStyle name="Обычный 11 81 6" xfId="31773"/>
    <cellStyle name="Процентный 11 81 6" xfId="31774"/>
    <cellStyle name="Обычный 4 193 6" xfId="31775"/>
    <cellStyle name="Процентный 4 193 6" xfId="31776"/>
    <cellStyle name="Обычный 5 186 6" xfId="31777"/>
    <cellStyle name="Процентный 5 186 6" xfId="31778"/>
    <cellStyle name="Обычный 4 2 180 6" xfId="31779"/>
    <cellStyle name="Процентный 4 2 180 6" xfId="31780"/>
    <cellStyle name="Обычный 5 2 180 6" xfId="31781"/>
    <cellStyle name="Процентный 5 2 180 6" xfId="31782"/>
    <cellStyle name="Обычный 6 177 6" xfId="31783"/>
    <cellStyle name="Процентный 6 177 6" xfId="31784"/>
    <cellStyle name="Обычный 7 147 6" xfId="31785"/>
    <cellStyle name="Процентный 7 147 6" xfId="31786"/>
    <cellStyle name="Обычный 4 3 139 6" xfId="31787"/>
    <cellStyle name="Процентный 4 3 139 6" xfId="31788"/>
    <cellStyle name="Обычный 5 3 139 6" xfId="31789"/>
    <cellStyle name="Процентный 5 3 139 6" xfId="31790"/>
    <cellStyle name="Обычный 4 2 2 139 6" xfId="31791"/>
    <cellStyle name="Процентный 4 2 2 139 6" xfId="31792"/>
    <cellStyle name="Обычный 5 2 2 139 6" xfId="31793"/>
    <cellStyle name="Процентный 5 2 2 139 6" xfId="31794"/>
    <cellStyle name="Обычный 6 2 139 6" xfId="31795"/>
    <cellStyle name="Процентный 6 2 139 6" xfId="31796"/>
    <cellStyle name="Обычный 7 2 139 6" xfId="31797"/>
    <cellStyle name="Процентный 7 2 139 6" xfId="31798"/>
    <cellStyle name="Обычный 8 135 6" xfId="31799"/>
    <cellStyle name="Процентный 8 135 6" xfId="31800"/>
    <cellStyle name="Обычный 9 101 6" xfId="31801"/>
    <cellStyle name="Процентный 9 102 6" xfId="31802"/>
    <cellStyle name="Обычный 10 94 6" xfId="31803"/>
    <cellStyle name="Процентный 10 94 6" xfId="31804"/>
    <cellStyle name="Обычный 11 82 6" xfId="31805"/>
    <cellStyle name="Процентный 11 82 6" xfId="31806"/>
    <cellStyle name="Обычный 4 194 6" xfId="31807"/>
    <cellStyle name="Процентный 4 194 6" xfId="31808"/>
    <cellStyle name="Обычный 5 187 6" xfId="31809"/>
    <cellStyle name="Процентный 5 187 6" xfId="31810"/>
    <cellStyle name="Обычный 4 2 181 6" xfId="31811"/>
    <cellStyle name="Процентный 4 2 181 6" xfId="31812"/>
    <cellStyle name="Обычный 5 2 181 6" xfId="31813"/>
    <cellStyle name="Процентный 5 2 181 6" xfId="31814"/>
    <cellStyle name="Обычный 6 178 6" xfId="31815"/>
    <cellStyle name="Процентный 6 178 6" xfId="31816"/>
    <cellStyle name="Обычный 7 148 6" xfId="31817"/>
    <cellStyle name="Процентный 7 148 6" xfId="31818"/>
    <cellStyle name="Обычный 4 3 140 6" xfId="31819"/>
    <cellStyle name="Процентный 4 3 140 6" xfId="31820"/>
    <cellStyle name="Обычный 5 3 140 6" xfId="31821"/>
    <cellStyle name="Процентный 5 3 140 6" xfId="31822"/>
    <cellStyle name="Обычный 4 2 2 140 6" xfId="31823"/>
    <cellStyle name="Процентный 4 2 2 140 6" xfId="31824"/>
    <cellStyle name="Обычный 5 2 2 140 6" xfId="31825"/>
    <cellStyle name="Процентный 5 2 2 140 6" xfId="31826"/>
    <cellStyle name="Обычный 6 2 140 6" xfId="31827"/>
    <cellStyle name="Процентный 6 2 140 6" xfId="31828"/>
    <cellStyle name="Обычный 7 2 140 6" xfId="31829"/>
    <cellStyle name="Процентный 7 2 140 6" xfId="31830"/>
    <cellStyle name="Обычный 8 136 6" xfId="31831"/>
    <cellStyle name="Процентный 8 136 6" xfId="31832"/>
    <cellStyle name="Обычный 9 102 6" xfId="31833"/>
    <cellStyle name="Процентный 9 103 6" xfId="31834"/>
    <cellStyle name="Обычный 10 95 6" xfId="31835"/>
    <cellStyle name="Процентный 10 95 6" xfId="31836"/>
    <cellStyle name="Обычный 11 83 6" xfId="31837"/>
    <cellStyle name="Процентный 11 83 6" xfId="31838"/>
    <cellStyle name="Обычный 4 195 6" xfId="31839"/>
    <cellStyle name="Процентный 4 195 6" xfId="31840"/>
    <cellStyle name="Обычный 5 188 6" xfId="31841"/>
    <cellStyle name="Процентный 5 188 6" xfId="31842"/>
    <cellStyle name="Обычный 4 2 182 6" xfId="31843"/>
    <cellStyle name="Процентный 4 2 182 6" xfId="31844"/>
    <cellStyle name="Обычный 5 2 182 6" xfId="31845"/>
    <cellStyle name="Процентный 5 2 182 6" xfId="31846"/>
    <cellStyle name="Обычный 6 179 6" xfId="31847"/>
    <cellStyle name="Процентный 6 179 6" xfId="31848"/>
    <cellStyle name="Обычный 7 149 6" xfId="31849"/>
    <cellStyle name="Процентный 7 149 6" xfId="31850"/>
    <cellStyle name="Обычный 4 3 141 6" xfId="31851"/>
    <cellStyle name="Процентный 4 3 141 6" xfId="31852"/>
    <cellStyle name="Обычный 5 3 141 6" xfId="31853"/>
    <cellStyle name="Процентный 5 3 141 6" xfId="31854"/>
    <cellStyle name="Обычный 4 2 2 141 6" xfId="31855"/>
    <cellStyle name="Процентный 4 2 2 141 6" xfId="31856"/>
    <cellStyle name="Обычный 5 2 2 141 6" xfId="31857"/>
    <cellStyle name="Процентный 5 2 2 141 6" xfId="31858"/>
    <cellStyle name="Обычный 6 2 141 6" xfId="31859"/>
    <cellStyle name="Процентный 6 2 141 6" xfId="31860"/>
    <cellStyle name="Обычный 7 2 141 6" xfId="31861"/>
    <cellStyle name="Процентный 7 2 141 6" xfId="31862"/>
    <cellStyle name="Обычный 8 137 6" xfId="31863"/>
    <cellStyle name="Процентный 8 137 6" xfId="31864"/>
    <cellStyle name="Обычный 9 103 6" xfId="31865"/>
    <cellStyle name="Процентный 9 104 6" xfId="31866"/>
    <cellStyle name="Обычный 10 96 6" xfId="31867"/>
    <cellStyle name="Процентный 10 96 6" xfId="31868"/>
    <cellStyle name="Обычный 11 84 6" xfId="31869"/>
    <cellStyle name="Процентный 11 84 6" xfId="31870"/>
    <cellStyle name="Обычный 4 196 6" xfId="31871"/>
    <cellStyle name="Процентный 4 196 6" xfId="31872"/>
    <cellStyle name="Обычный 5 189 6" xfId="31873"/>
    <cellStyle name="Процентный 5 189 6" xfId="31874"/>
    <cellStyle name="Обычный 4 2 183 6" xfId="31875"/>
    <cellStyle name="Процентный 4 2 183 6" xfId="31876"/>
    <cellStyle name="Обычный 5 2 183 6" xfId="31877"/>
    <cellStyle name="Процентный 5 2 183 6" xfId="31878"/>
    <cellStyle name="Обычный 6 180 6" xfId="31879"/>
    <cellStyle name="Процентный 6 180 6" xfId="31880"/>
    <cellStyle name="Обычный 7 150 6" xfId="31881"/>
    <cellStyle name="Процентный 7 150 6" xfId="31882"/>
    <cellStyle name="Обычный 4 3 142 6" xfId="31883"/>
    <cellStyle name="Процентный 4 3 142 6" xfId="31884"/>
    <cellStyle name="Обычный 5 3 142 6" xfId="31885"/>
    <cellStyle name="Процентный 5 3 142 6" xfId="31886"/>
    <cellStyle name="Обычный 4 2 2 142 6" xfId="31887"/>
    <cellStyle name="Процентный 4 2 2 142 6" xfId="31888"/>
    <cellStyle name="Обычный 5 2 2 142 6" xfId="31889"/>
    <cellStyle name="Процентный 5 2 2 142 6" xfId="31890"/>
    <cellStyle name="Обычный 6 2 142 6" xfId="31891"/>
    <cellStyle name="Процентный 6 2 142 6" xfId="31892"/>
    <cellStyle name="Обычный 7 2 142 6" xfId="31893"/>
    <cellStyle name="Процентный 7 2 142 6" xfId="31894"/>
    <cellStyle name="Обычный 8 138 6" xfId="31895"/>
    <cellStyle name="Процентный 8 138 6" xfId="31896"/>
    <cellStyle name="Обычный 9 104 6" xfId="31897"/>
    <cellStyle name="Процентный 9 105 6" xfId="31898"/>
    <cellStyle name="Обычный 10 97 6" xfId="31899"/>
    <cellStyle name="Процентный 10 97 6" xfId="31900"/>
    <cellStyle name="Обычный 11 85 6" xfId="31901"/>
    <cellStyle name="Процентный 11 85 6" xfId="31902"/>
    <cellStyle name="Обычный 4 197 6" xfId="31903"/>
    <cellStyle name="Процентный 4 197 6" xfId="31904"/>
    <cellStyle name="Обычный 5 190 6" xfId="31905"/>
    <cellStyle name="Процентный 5 190 6" xfId="31906"/>
    <cellStyle name="Обычный 4 2 184 6" xfId="31907"/>
    <cellStyle name="Процентный 4 2 184 6" xfId="31908"/>
    <cellStyle name="Обычный 5 2 184 6" xfId="31909"/>
    <cellStyle name="Процентный 5 2 184 6" xfId="31910"/>
    <cellStyle name="Обычный 6 181 6" xfId="31911"/>
    <cellStyle name="Процентный 6 181 6" xfId="31912"/>
    <cellStyle name="Обычный 7 151 6" xfId="31913"/>
    <cellStyle name="Процентный 7 151 6" xfId="31914"/>
    <cellStyle name="Обычный 4 3 143 6" xfId="31915"/>
    <cellStyle name="Процентный 4 3 143 6" xfId="31916"/>
    <cellStyle name="Обычный 5 3 143 6" xfId="31917"/>
    <cellStyle name="Процентный 5 3 143 6" xfId="31918"/>
    <cellStyle name="Обычный 4 2 2 143 6" xfId="31919"/>
    <cellStyle name="Процентный 4 2 2 143 6" xfId="31920"/>
    <cellStyle name="Обычный 5 2 2 143 6" xfId="31921"/>
    <cellStyle name="Процентный 5 2 2 143 6" xfId="31922"/>
    <cellStyle name="Обычный 6 2 143 6" xfId="31923"/>
    <cellStyle name="Процентный 6 2 143 6" xfId="31924"/>
    <cellStyle name="Обычный 7 2 143 6" xfId="31925"/>
    <cellStyle name="Процентный 7 2 143 6" xfId="31926"/>
    <cellStyle name="Обычный 8 139 6" xfId="31927"/>
    <cellStyle name="Процентный 8 139 6" xfId="31928"/>
    <cellStyle name="Обычный 9 105 6" xfId="31929"/>
    <cellStyle name="Процентный 9 106 6" xfId="31930"/>
    <cellStyle name="Обычный 10 98 6" xfId="31931"/>
    <cellStyle name="Процентный 10 98 6" xfId="31932"/>
    <cellStyle name="Обычный 11 86 6" xfId="31933"/>
    <cellStyle name="Процентный 11 86 6" xfId="31934"/>
    <cellStyle name="Обычный 4 198 6" xfId="31935"/>
    <cellStyle name="Процентный 4 198 6" xfId="31936"/>
    <cellStyle name="Обычный 5 191 6" xfId="31937"/>
    <cellStyle name="Процентный 5 191 6" xfId="31938"/>
    <cellStyle name="Обычный 4 2 185 6" xfId="31939"/>
    <cellStyle name="Процентный 4 2 185 6" xfId="31940"/>
    <cellStyle name="Обычный 5 2 185 6" xfId="31941"/>
    <cellStyle name="Процентный 5 2 185 6" xfId="31942"/>
    <cellStyle name="Обычный 6 182 6" xfId="31943"/>
    <cellStyle name="Процентный 6 182 6" xfId="31944"/>
    <cellStyle name="Обычный 7 152 6" xfId="31945"/>
    <cellStyle name="Процентный 7 152 6" xfId="31946"/>
    <cellStyle name="Обычный 4 3 144 6" xfId="31947"/>
    <cellStyle name="Процентный 4 3 144 6" xfId="31948"/>
    <cellStyle name="Обычный 5 3 144 6" xfId="31949"/>
    <cellStyle name="Процентный 5 3 144 6" xfId="31950"/>
    <cellStyle name="Обычный 4 2 2 144 6" xfId="31951"/>
    <cellStyle name="Процентный 4 2 2 144 6" xfId="31952"/>
    <cellStyle name="Обычный 5 2 2 144 6" xfId="31953"/>
    <cellStyle name="Процентный 5 2 2 144 6" xfId="31954"/>
    <cellStyle name="Обычный 6 2 144 6" xfId="31955"/>
    <cellStyle name="Процентный 6 2 144 6" xfId="31956"/>
    <cellStyle name="Обычный 7 2 144 6" xfId="31957"/>
    <cellStyle name="Процентный 7 2 144 6" xfId="31958"/>
    <cellStyle name="Обычный 8 140 6" xfId="31959"/>
    <cellStyle name="Процентный 8 140 6" xfId="31960"/>
    <cellStyle name="Обычный 9 106 6" xfId="31961"/>
    <cellStyle name="Процентный 9 107 6" xfId="31962"/>
    <cellStyle name="Обычный 10 99 6" xfId="31963"/>
    <cellStyle name="Процентный 10 99 6" xfId="31964"/>
    <cellStyle name="Обычный 11 87 6" xfId="31965"/>
    <cellStyle name="Процентный 11 87 6" xfId="31966"/>
    <cellStyle name="Обычный 4 199 6" xfId="31967"/>
    <cellStyle name="Процентный 4 199 6" xfId="31968"/>
    <cellStyle name="Обычный 5 192 6" xfId="31969"/>
    <cellStyle name="Процентный 5 192 6" xfId="31970"/>
    <cellStyle name="Обычный 4 2 186 6" xfId="31971"/>
    <cellStyle name="Процентный 4 2 186 6" xfId="31972"/>
    <cellStyle name="Обычный 5 2 186 6" xfId="31973"/>
    <cellStyle name="Процентный 5 2 186 6" xfId="31974"/>
    <cellStyle name="Обычный 6 183 6" xfId="31975"/>
    <cellStyle name="Процентный 6 183 6" xfId="31976"/>
    <cellStyle name="Обычный 7 153 6" xfId="31977"/>
    <cellStyle name="Процентный 7 153 6" xfId="31978"/>
    <cellStyle name="Обычный 4 3 145 6" xfId="31979"/>
    <cellStyle name="Процентный 4 3 145 6" xfId="31980"/>
    <cellStyle name="Обычный 5 3 145 6" xfId="31981"/>
    <cellStyle name="Процентный 5 3 145 6" xfId="31982"/>
    <cellStyle name="Обычный 4 2 2 145 6" xfId="31983"/>
    <cellStyle name="Процентный 4 2 2 145 6" xfId="31984"/>
    <cellStyle name="Обычный 5 2 2 145 6" xfId="31985"/>
    <cellStyle name="Процентный 5 2 2 145 6" xfId="31986"/>
    <cellStyle name="Обычный 6 2 145 6" xfId="31987"/>
    <cellStyle name="Процентный 6 2 145 6" xfId="31988"/>
    <cellStyle name="Обычный 7 2 145 6" xfId="31989"/>
    <cellStyle name="Процентный 7 2 145 6" xfId="31990"/>
    <cellStyle name="Обычный 8 141 6" xfId="31991"/>
    <cellStyle name="Процентный 8 141 6" xfId="31992"/>
    <cellStyle name="Обычный 9 107 6" xfId="31993"/>
    <cellStyle name="Процентный 9 108 6" xfId="31994"/>
    <cellStyle name="Обычный 10 100 6" xfId="31995"/>
    <cellStyle name="Процентный 10 100 6" xfId="31996"/>
    <cellStyle name="Обычный 11 88 6" xfId="31997"/>
    <cellStyle name="Процентный 11 88 6" xfId="31998"/>
    <cellStyle name="Обычный 4 200 6" xfId="31999"/>
    <cellStyle name="Процентный 4 200 6" xfId="32000"/>
    <cellStyle name="Обычный 5 193 6" xfId="32001"/>
    <cellStyle name="Процентный 5 193 6" xfId="32002"/>
    <cellStyle name="Обычный 4 2 187 6" xfId="32003"/>
    <cellStyle name="Процентный 4 2 187 6" xfId="32004"/>
    <cellStyle name="Обычный 5 2 187 6" xfId="32005"/>
    <cellStyle name="Процентный 5 2 187 6" xfId="32006"/>
    <cellStyle name="Обычный 6 184 6" xfId="32007"/>
    <cellStyle name="Процентный 6 184 6" xfId="32008"/>
    <cellStyle name="Обычный 7 154 6" xfId="32009"/>
    <cellStyle name="Процентный 7 154 6" xfId="32010"/>
    <cellStyle name="Обычный 4 3 146 6" xfId="32011"/>
    <cellStyle name="Процентный 4 3 146 6" xfId="32012"/>
    <cellStyle name="Обычный 5 3 146 6" xfId="32013"/>
    <cellStyle name="Процентный 5 3 146 6" xfId="32014"/>
    <cellStyle name="Обычный 4 2 2 146 6" xfId="32015"/>
    <cellStyle name="Процентный 4 2 2 146 6" xfId="32016"/>
    <cellStyle name="Обычный 5 2 2 146 6" xfId="32017"/>
    <cellStyle name="Процентный 5 2 2 146 6" xfId="32018"/>
    <cellStyle name="Обычный 6 2 146 6" xfId="32019"/>
    <cellStyle name="Процентный 6 2 146 6" xfId="32020"/>
    <cellStyle name="Обычный 7 2 146 6" xfId="32021"/>
    <cellStyle name="Процентный 7 2 146 6" xfId="32022"/>
    <cellStyle name="Обычный 8 142 6" xfId="32023"/>
    <cellStyle name="Процентный 8 142 6" xfId="32024"/>
    <cellStyle name="Обычный 9 108 6" xfId="32025"/>
    <cellStyle name="Процентный 9 109 6" xfId="32026"/>
    <cellStyle name="Обычный 10 101 6" xfId="32027"/>
    <cellStyle name="Процентный 10 101 6" xfId="32028"/>
    <cellStyle name="Обычный 11 89 6" xfId="32029"/>
    <cellStyle name="Процентный 11 89 6" xfId="32030"/>
    <cellStyle name="Обычный 4 201 6" xfId="32031"/>
    <cellStyle name="Процентный 4 201 6" xfId="32032"/>
    <cellStyle name="Обычный 5 194 6" xfId="32033"/>
    <cellStyle name="Процентный 5 194 6" xfId="32034"/>
    <cellStyle name="Обычный 4 2 188 6" xfId="32035"/>
    <cellStyle name="Процентный 4 2 188 6" xfId="32036"/>
    <cellStyle name="Обычный 5 2 188 6" xfId="32037"/>
    <cellStyle name="Процентный 5 2 188 6" xfId="32038"/>
    <cellStyle name="Обычный 6 185 6" xfId="32039"/>
    <cellStyle name="Процентный 6 185 6" xfId="32040"/>
    <cellStyle name="Обычный 7 155 6" xfId="32041"/>
    <cellStyle name="Процентный 7 155 6" xfId="32042"/>
    <cellStyle name="Обычный 4 3 147 6" xfId="32043"/>
    <cellStyle name="Процентный 4 3 147 6" xfId="32044"/>
    <cellStyle name="Обычный 5 3 147 6" xfId="32045"/>
    <cellStyle name="Процентный 5 3 147 6" xfId="32046"/>
    <cellStyle name="Обычный 4 2 2 147 6" xfId="32047"/>
    <cellStyle name="Процентный 4 2 2 147 6" xfId="32048"/>
    <cellStyle name="Обычный 5 2 2 147 6" xfId="32049"/>
    <cellStyle name="Процентный 5 2 2 147 6" xfId="32050"/>
    <cellStyle name="Обычный 6 2 147 6" xfId="32051"/>
    <cellStyle name="Процентный 6 2 147 6" xfId="32052"/>
    <cellStyle name="Обычный 7 2 147 6" xfId="32053"/>
    <cellStyle name="Процентный 7 2 147 6" xfId="32054"/>
    <cellStyle name="Обычный 8 143 6" xfId="32055"/>
    <cellStyle name="Процентный 8 143 6" xfId="32056"/>
    <cellStyle name="Обычный 9 109 6" xfId="32057"/>
    <cellStyle name="Процентный 9 110 6" xfId="32058"/>
    <cellStyle name="Обычный 10 102 6" xfId="32059"/>
    <cellStyle name="Процентный 10 102 6" xfId="32060"/>
    <cellStyle name="Обычный 11 90 6" xfId="32061"/>
    <cellStyle name="Процентный 11 90 6" xfId="32062"/>
    <cellStyle name="Обычный 4 202 6" xfId="32063"/>
    <cellStyle name="Процентный 4 202 6" xfId="32064"/>
    <cellStyle name="Обычный 5 195 6" xfId="32065"/>
    <cellStyle name="Процентный 5 195 6" xfId="32066"/>
    <cellStyle name="Обычный 4 2 189 6" xfId="32067"/>
    <cellStyle name="Процентный 4 2 189 6" xfId="32068"/>
    <cellStyle name="Обычный 5 2 189 6" xfId="32069"/>
    <cellStyle name="Процентный 5 2 189 6" xfId="32070"/>
    <cellStyle name="Обычный 6 186 6" xfId="32071"/>
    <cellStyle name="Процентный 6 186 6" xfId="32072"/>
    <cellStyle name="Обычный 7 156 6" xfId="32073"/>
    <cellStyle name="Процентный 7 156 6" xfId="32074"/>
    <cellStyle name="Обычный 4 3 148 6" xfId="32075"/>
    <cellStyle name="Процентный 4 3 148 6" xfId="32076"/>
    <cellStyle name="Обычный 5 3 148 6" xfId="32077"/>
    <cellStyle name="Процентный 5 3 148 6" xfId="32078"/>
    <cellStyle name="Обычный 4 2 2 148 6" xfId="32079"/>
    <cellStyle name="Процентный 4 2 2 148 6" xfId="32080"/>
    <cellStyle name="Обычный 5 2 2 148 6" xfId="32081"/>
    <cellStyle name="Процентный 5 2 2 148 6" xfId="32082"/>
    <cellStyle name="Обычный 6 2 148 6" xfId="32083"/>
    <cellStyle name="Процентный 6 2 148 6" xfId="32084"/>
    <cellStyle name="Обычный 7 2 148 6" xfId="32085"/>
    <cellStyle name="Процентный 7 2 148 6" xfId="32086"/>
    <cellStyle name="Обычный 8 144 6" xfId="32087"/>
    <cellStyle name="Процентный 8 144 6" xfId="32088"/>
    <cellStyle name="Обычный 9 110 6" xfId="32089"/>
    <cellStyle name="Процентный 9 111 6" xfId="32090"/>
    <cellStyle name="Обычный 10 103 6" xfId="32091"/>
    <cellStyle name="Процентный 10 103 6" xfId="32092"/>
    <cellStyle name="Обычный 11 91 6" xfId="32093"/>
    <cellStyle name="Процентный 11 91 6" xfId="32094"/>
    <cellStyle name="Обычный 3 9" xfId="32095"/>
    <cellStyle name="Обычный 4 208" xfId="32096"/>
    <cellStyle name="Процентный 4 208" xfId="32097"/>
    <cellStyle name="Обычный 4 2 195" xfId="32098"/>
    <cellStyle name="Процентный 4 2 195" xfId="32099"/>
    <cellStyle name="Обычный 4 3 154" xfId="32100"/>
    <cellStyle name="Процентный 4 3 154" xfId="32101"/>
    <cellStyle name="Обычный 5 201" xfId="32102"/>
    <cellStyle name="Процентный 5 201" xfId="32103"/>
    <cellStyle name="Обычный 4 4 8" xfId="32104"/>
    <cellStyle name="Процентный 4 4 8" xfId="32105"/>
    <cellStyle name="Обычный 4 5 8" xfId="32106"/>
    <cellStyle name="Процентный 4 5 8" xfId="32107"/>
    <cellStyle name="Обычный 4 6 8" xfId="32108"/>
    <cellStyle name="Процентный 4 6 8" xfId="32109"/>
    <cellStyle name="Обычный 4 7 8" xfId="32110"/>
    <cellStyle name="Процентный 4 7 8" xfId="32111"/>
    <cellStyle name="Обычный 4 8 8" xfId="32112"/>
    <cellStyle name="Процентный 4 8 8" xfId="32113"/>
    <cellStyle name="Обычный 4 9 8" xfId="32114"/>
    <cellStyle name="Процентный 4 9 8" xfId="32115"/>
    <cellStyle name="Обычный 5 2 195" xfId="32116"/>
    <cellStyle name="Процентный 5 2 195" xfId="32117"/>
    <cellStyle name="Обычный 4 10 8" xfId="32118"/>
    <cellStyle name="Процентный 4 10 8" xfId="32119"/>
    <cellStyle name="Обычный 5 3 154" xfId="32120"/>
    <cellStyle name="Процентный 5 3 154" xfId="32121"/>
    <cellStyle name="Обычный 4 11 8" xfId="32122"/>
    <cellStyle name="Процентный 4 11 8" xfId="32123"/>
    <cellStyle name="Обычный 5 4 8" xfId="32124"/>
    <cellStyle name="Процентный 5 4 8" xfId="32125"/>
    <cellStyle name="Обычный 4 12 8" xfId="32126"/>
    <cellStyle name="Процентный 4 12 8" xfId="32127"/>
    <cellStyle name="Обычный 5 5 8" xfId="32128"/>
    <cellStyle name="Процентный 5 5 8" xfId="32129"/>
    <cellStyle name="Обычный 4 13 8" xfId="32130"/>
    <cellStyle name="Процентный 4 13 8" xfId="32131"/>
    <cellStyle name="Обычный 5 6 8" xfId="32132"/>
    <cellStyle name="Процентный 5 6 8" xfId="32133"/>
    <cellStyle name="Обычный 4 14 8" xfId="32134"/>
    <cellStyle name="Процентный 4 14 8" xfId="32135"/>
    <cellStyle name="Обычный 5 7 8" xfId="32136"/>
    <cellStyle name="Процентный 5 7 8" xfId="32137"/>
    <cellStyle name="Обычный 4 15 8" xfId="32138"/>
    <cellStyle name="Процентный 4 15 8" xfId="32139"/>
    <cellStyle name="Обычный 5 8 8" xfId="32140"/>
    <cellStyle name="Процентный 5 8 8" xfId="32141"/>
    <cellStyle name="Обычный 4 2 2 154" xfId="32142"/>
    <cellStyle name="Процентный 4 2 2 154" xfId="32143"/>
    <cellStyle name="Обычный 5 2 2 154" xfId="32144"/>
    <cellStyle name="Процентный 5 2 2 154" xfId="32145"/>
    <cellStyle name="Обычный 4 16 8" xfId="32146"/>
    <cellStyle name="Процентный 4 16 8" xfId="32147"/>
    <cellStyle name="Обычный 5 9 8" xfId="32148"/>
    <cellStyle name="Процентный 5 9 8" xfId="32149"/>
    <cellStyle name="Обычный 4 2 3 8" xfId="32150"/>
    <cellStyle name="Процентный 4 2 3 8" xfId="32151"/>
    <cellStyle name="Обычный 5 2 3 8" xfId="32152"/>
    <cellStyle name="Процентный 5 2 3 8" xfId="32153"/>
    <cellStyle name="Обычный 4 17 8" xfId="32154"/>
    <cellStyle name="Процентный 4 17 8" xfId="32155"/>
    <cellStyle name="Обычный 5 10 8" xfId="32156"/>
    <cellStyle name="Процентный 5 10 8" xfId="32157"/>
    <cellStyle name="Обычный 4 2 4 8" xfId="32158"/>
    <cellStyle name="Процентный 4 2 4 8" xfId="32159"/>
    <cellStyle name="Обычный 5 2 4 8" xfId="32160"/>
    <cellStyle name="Процентный 5 2 4 8" xfId="32161"/>
    <cellStyle name="Обычный 6 192" xfId="32162"/>
    <cellStyle name="Процентный 6 192" xfId="32163"/>
    <cellStyle name="Обычный 4 18 8" xfId="32164"/>
    <cellStyle name="Процентный 4 18 8" xfId="32165"/>
    <cellStyle name="Обычный 5 11 8" xfId="32166"/>
    <cellStyle name="Процентный 5 11 8" xfId="32167"/>
    <cellStyle name="Обычный 4 2 5 8" xfId="32168"/>
    <cellStyle name="Процентный 4 2 5 8" xfId="32169"/>
    <cellStyle name="Обычный 5 2 5 8" xfId="32170"/>
    <cellStyle name="Процентный 5 2 5 8" xfId="32171"/>
    <cellStyle name="Обычный 6 2 154" xfId="32172"/>
    <cellStyle name="Процентный 6 2 154" xfId="32173"/>
    <cellStyle name="Обычный 4 19 8" xfId="32174"/>
    <cellStyle name="Процентный 4 19 8" xfId="32175"/>
    <cellStyle name="Обычный 5 12 8" xfId="32176"/>
    <cellStyle name="Процентный 5 12 8" xfId="32177"/>
    <cellStyle name="Обычный 4 2 6 8" xfId="32178"/>
    <cellStyle name="Процентный 4 2 6 8" xfId="32179"/>
    <cellStyle name="Обычный 5 2 6 8" xfId="32180"/>
    <cellStyle name="Процентный 5 2 6 8" xfId="32181"/>
    <cellStyle name="Обычный 6 3 8" xfId="32182"/>
    <cellStyle name="Процентный 6 3 8" xfId="32183"/>
    <cellStyle name="Обычный 4 20 8" xfId="32184"/>
    <cellStyle name="Процентный 4 20 8" xfId="32185"/>
    <cellStyle name="Обычный 5 13 8" xfId="32186"/>
    <cellStyle name="Процентный 5 13 8" xfId="32187"/>
    <cellStyle name="Обычный 4 2 7 8" xfId="32188"/>
    <cellStyle name="Процентный 4 2 7 8" xfId="32189"/>
    <cellStyle name="Обычный 5 2 7 8" xfId="32190"/>
    <cellStyle name="Процентный 5 2 7 8" xfId="32191"/>
    <cellStyle name="Обычный 6 4 8" xfId="32192"/>
    <cellStyle name="Процентный 6 4 8" xfId="32193"/>
    <cellStyle name="Обычный 4 21 8" xfId="32194"/>
    <cellStyle name="Процентный 4 21 8" xfId="32195"/>
    <cellStyle name="Обычный 5 14 8" xfId="32196"/>
    <cellStyle name="Процентный 5 14 8" xfId="32197"/>
    <cellStyle name="Обычный 4 2 8 8" xfId="32198"/>
    <cellStyle name="Процентный 4 2 8 8" xfId="32199"/>
    <cellStyle name="Обычный 5 2 8 8" xfId="32200"/>
    <cellStyle name="Процентный 5 2 8 8" xfId="32201"/>
    <cellStyle name="Обычный 6 5 8" xfId="32202"/>
    <cellStyle name="Процентный 6 5 8" xfId="32203"/>
    <cellStyle name="Обычный 4 22 8" xfId="32204"/>
    <cellStyle name="Процентный 4 22 8" xfId="32205"/>
    <cellStyle name="Обычный 5 15 8" xfId="32206"/>
    <cellStyle name="Процентный 5 15 8" xfId="32207"/>
    <cellStyle name="Обычный 4 2 9 8" xfId="32208"/>
    <cellStyle name="Процентный 4 2 9 8" xfId="32209"/>
    <cellStyle name="Обычный 5 2 9 8" xfId="32210"/>
    <cellStyle name="Процентный 5 2 9 8" xfId="32211"/>
    <cellStyle name="Обычный 6 6 8" xfId="32212"/>
    <cellStyle name="Процентный 6 6 8" xfId="32213"/>
    <cellStyle name="Обычный 4 23 8" xfId="32214"/>
    <cellStyle name="Процентный 4 23 8" xfId="32215"/>
    <cellStyle name="Обычный 5 16 8" xfId="32216"/>
    <cellStyle name="Процентный 5 16 8" xfId="32217"/>
    <cellStyle name="Обычный 4 2 10 8" xfId="32218"/>
    <cellStyle name="Процентный 4 2 10 8" xfId="32219"/>
    <cellStyle name="Обычный 5 2 10 8" xfId="32220"/>
    <cellStyle name="Процентный 5 2 10 8" xfId="32221"/>
    <cellStyle name="Обычный 6 7 8" xfId="32222"/>
    <cellStyle name="Процентный 6 7 8" xfId="32223"/>
    <cellStyle name="Обычный 4 24 8" xfId="32224"/>
    <cellStyle name="Процентный 4 24 8" xfId="32225"/>
    <cellStyle name="Обычный 5 17 8" xfId="32226"/>
    <cellStyle name="Процентный 5 17 8" xfId="32227"/>
    <cellStyle name="Обычный 4 2 11 8" xfId="32228"/>
    <cellStyle name="Процентный 4 2 11 8" xfId="32229"/>
    <cellStyle name="Обычный 5 2 11 8" xfId="32230"/>
    <cellStyle name="Процентный 5 2 11 8" xfId="32231"/>
    <cellStyle name="Обычный 6 8 8" xfId="32232"/>
    <cellStyle name="Процентный 6 8 8" xfId="32233"/>
    <cellStyle name="Обычный 4 25 8" xfId="32234"/>
    <cellStyle name="Процентный 4 25 8" xfId="32235"/>
    <cellStyle name="Обычный 5 18 8" xfId="32236"/>
    <cellStyle name="Процентный 5 18 8" xfId="32237"/>
    <cellStyle name="Обычный 4 2 12 8" xfId="32238"/>
    <cellStyle name="Процентный 4 2 12 8" xfId="32239"/>
    <cellStyle name="Обычный 5 2 12 8" xfId="32240"/>
    <cellStyle name="Процентный 5 2 12 8" xfId="32241"/>
    <cellStyle name="Обычный 6 9 8" xfId="32242"/>
    <cellStyle name="Процентный 6 9 8" xfId="32243"/>
    <cellStyle name="Обычный 4 26 8" xfId="32244"/>
    <cellStyle name="Процентный 4 26 8" xfId="32245"/>
    <cellStyle name="Обычный 5 19 8" xfId="32246"/>
    <cellStyle name="Процентный 5 19 8" xfId="32247"/>
    <cellStyle name="Обычный 4 2 13 8" xfId="32248"/>
    <cellStyle name="Процентный 4 2 13 8" xfId="32249"/>
    <cellStyle name="Обычный 5 2 13 8" xfId="32250"/>
    <cellStyle name="Процентный 5 2 13 8" xfId="32251"/>
    <cellStyle name="Обычный 6 10 8" xfId="32252"/>
    <cellStyle name="Процентный 6 10 8" xfId="32253"/>
    <cellStyle name="Обычный 4 27 8" xfId="32254"/>
    <cellStyle name="Процентный 4 27 8" xfId="32255"/>
    <cellStyle name="Обычный 5 20 8" xfId="32256"/>
    <cellStyle name="Процентный 5 20 8" xfId="32257"/>
    <cellStyle name="Обычный 4 2 14 8" xfId="32258"/>
    <cellStyle name="Процентный 4 2 14 8" xfId="32259"/>
    <cellStyle name="Обычный 5 2 14 8" xfId="32260"/>
    <cellStyle name="Процентный 5 2 14 8" xfId="32261"/>
    <cellStyle name="Обычный 6 11 8" xfId="32262"/>
    <cellStyle name="Процентный 6 11 8" xfId="32263"/>
    <cellStyle name="Обычный 4 28 8" xfId="32264"/>
    <cellStyle name="Процентный 4 28 8" xfId="32265"/>
    <cellStyle name="Обычный 5 21 8" xfId="32266"/>
    <cellStyle name="Процентный 5 21 8" xfId="32267"/>
    <cellStyle name="Обычный 4 2 15 8" xfId="32268"/>
    <cellStyle name="Процентный 4 2 15 8" xfId="32269"/>
    <cellStyle name="Обычный 5 2 15 8" xfId="32270"/>
    <cellStyle name="Процентный 5 2 15 8" xfId="32271"/>
    <cellStyle name="Обычный 6 12 8" xfId="32272"/>
    <cellStyle name="Процентный 6 12 8" xfId="32273"/>
    <cellStyle name="Обычный 4 29 8" xfId="32274"/>
    <cellStyle name="Процентный 4 29 8" xfId="32275"/>
    <cellStyle name="Обычный 5 22 8" xfId="32276"/>
    <cellStyle name="Процентный 5 22 8" xfId="32277"/>
    <cellStyle name="Обычный 4 2 16 8" xfId="32278"/>
    <cellStyle name="Процентный 4 2 16 8" xfId="32279"/>
    <cellStyle name="Обычный 5 2 16 8" xfId="32280"/>
    <cellStyle name="Процентный 5 2 16 8" xfId="32281"/>
    <cellStyle name="Обычный 6 13 8" xfId="32282"/>
    <cellStyle name="Процентный 6 13 8" xfId="32283"/>
    <cellStyle name="Обычный 4 30 8" xfId="32284"/>
    <cellStyle name="Процентный 4 30 8" xfId="32285"/>
    <cellStyle name="Обычный 5 23 8" xfId="32286"/>
    <cellStyle name="Процентный 5 23 8" xfId="32287"/>
    <cellStyle name="Обычный 4 2 17 8" xfId="32288"/>
    <cellStyle name="Процентный 4 2 17 8" xfId="32289"/>
    <cellStyle name="Обычный 5 2 17 8" xfId="32290"/>
    <cellStyle name="Процентный 5 2 17 8" xfId="32291"/>
    <cellStyle name="Обычный 6 14 8" xfId="32292"/>
    <cellStyle name="Процентный 6 14 8" xfId="32293"/>
    <cellStyle name="Обычный 4 31 8" xfId="32294"/>
    <cellStyle name="Процентный 4 31 8" xfId="32295"/>
    <cellStyle name="Обычный 5 24 8" xfId="32296"/>
    <cellStyle name="Процентный 5 24 8" xfId="32297"/>
    <cellStyle name="Обычный 4 2 18 8" xfId="32298"/>
    <cellStyle name="Процентный 4 2 18 8" xfId="32299"/>
    <cellStyle name="Обычный 5 2 18 8" xfId="32300"/>
    <cellStyle name="Процентный 5 2 18 8" xfId="32301"/>
    <cellStyle name="Обычный 6 15 8" xfId="32302"/>
    <cellStyle name="Процентный 6 15 8" xfId="32303"/>
    <cellStyle name="Обычный 4 32 8" xfId="32304"/>
    <cellStyle name="Процентный 4 32 8" xfId="32305"/>
    <cellStyle name="Обычный 5 25 8" xfId="32306"/>
    <cellStyle name="Процентный 5 25 8" xfId="32307"/>
    <cellStyle name="Обычный 4 2 19 8" xfId="32308"/>
    <cellStyle name="Процентный 4 2 19 8" xfId="32309"/>
    <cellStyle name="Обычный 5 2 19 8" xfId="32310"/>
    <cellStyle name="Процентный 5 2 19 8" xfId="32311"/>
    <cellStyle name="Обычный 6 16 8" xfId="32312"/>
    <cellStyle name="Процентный 6 16 8" xfId="32313"/>
    <cellStyle name="Обычный 4 33 8" xfId="32314"/>
    <cellStyle name="Процентный 4 33 8" xfId="32315"/>
    <cellStyle name="Обычный 5 26 8" xfId="32316"/>
    <cellStyle name="Процентный 5 26 8" xfId="32317"/>
    <cellStyle name="Обычный 4 2 20 8" xfId="32318"/>
    <cellStyle name="Процентный 4 2 20 8" xfId="32319"/>
    <cellStyle name="Обычный 5 2 20 8" xfId="32320"/>
    <cellStyle name="Процентный 5 2 20 8" xfId="32321"/>
    <cellStyle name="Обычный 6 17 8" xfId="32322"/>
    <cellStyle name="Процентный 6 17 8" xfId="32323"/>
    <cellStyle name="Обычный 4 34 8" xfId="32324"/>
    <cellStyle name="Процентный 4 34 8" xfId="32325"/>
    <cellStyle name="Обычный 5 27 8" xfId="32326"/>
    <cellStyle name="Процентный 5 27 8" xfId="32327"/>
    <cellStyle name="Обычный 4 2 21 8" xfId="32328"/>
    <cellStyle name="Процентный 4 2 21 8" xfId="32329"/>
    <cellStyle name="Обычный 5 2 21 8" xfId="32330"/>
    <cellStyle name="Процентный 5 2 21 8" xfId="32331"/>
    <cellStyle name="Обычный 6 18 8" xfId="32332"/>
    <cellStyle name="Процентный 6 18 8" xfId="32333"/>
    <cellStyle name="Обычный 4 35 8" xfId="32334"/>
    <cellStyle name="Процентный 4 35 8" xfId="32335"/>
    <cellStyle name="Обычный 5 28 8" xfId="32336"/>
    <cellStyle name="Процентный 5 28 8" xfId="32337"/>
    <cellStyle name="Обычный 4 2 22 8" xfId="32338"/>
    <cellStyle name="Процентный 4 2 22 8" xfId="32339"/>
    <cellStyle name="Обычный 5 2 22 8" xfId="32340"/>
    <cellStyle name="Процентный 5 2 22 8" xfId="32341"/>
    <cellStyle name="Обычный 6 19 8" xfId="32342"/>
    <cellStyle name="Процентный 6 19 8" xfId="32343"/>
    <cellStyle name="Обычный 4 36 8" xfId="32344"/>
    <cellStyle name="Процентный 4 36 8" xfId="32345"/>
    <cellStyle name="Обычный 5 29 8" xfId="32346"/>
    <cellStyle name="Процентный 5 29 8" xfId="32347"/>
    <cellStyle name="Обычный 4 2 23 8" xfId="32348"/>
    <cellStyle name="Процентный 4 2 23 8" xfId="32349"/>
    <cellStyle name="Обычный 5 2 23 8" xfId="32350"/>
    <cellStyle name="Процентный 5 2 23 8" xfId="32351"/>
    <cellStyle name="Обычный 6 20 8" xfId="32352"/>
    <cellStyle name="Процентный 6 20 8" xfId="32353"/>
    <cellStyle name="Обычный 4 37 8" xfId="32354"/>
    <cellStyle name="Процентный 4 37 8" xfId="32355"/>
    <cellStyle name="Обычный 5 30 8" xfId="32356"/>
    <cellStyle name="Процентный 5 30 8" xfId="32357"/>
    <cellStyle name="Обычный 4 2 24 8" xfId="32358"/>
    <cellStyle name="Процентный 4 2 24 8" xfId="32359"/>
    <cellStyle name="Обычный 5 2 24 8" xfId="32360"/>
    <cellStyle name="Процентный 5 2 24 8" xfId="32361"/>
    <cellStyle name="Обычный 6 21 8" xfId="32362"/>
    <cellStyle name="Процентный 6 21 8" xfId="32363"/>
    <cellStyle name="Обычный 4 38 8" xfId="32364"/>
    <cellStyle name="Процентный 4 38 8" xfId="32365"/>
    <cellStyle name="Обычный 5 31 8" xfId="32366"/>
    <cellStyle name="Процентный 5 31 8" xfId="32367"/>
    <cellStyle name="Обычный 4 2 25 8" xfId="32368"/>
    <cellStyle name="Процентный 4 2 25 8" xfId="32369"/>
    <cellStyle name="Обычный 5 2 25 8" xfId="32370"/>
    <cellStyle name="Процентный 5 2 25 8" xfId="32371"/>
    <cellStyle name="Обычный 6 22 8" xfId="32372"/>
    <cellStyle name="Процентный 6 22 8" xfId="32373"/>
    <cellStyle name="Обычный 4 39 8" xfId="32374"/>
    <cellStyle name="Процентный 4 39 8" xfId="32375"/>
    <cellStyle name="Обычный 5 32 8" xfId="32376"/>
    <cellStyle name="Процентный 5 32 8" xfId="32377"/>
    <cellStyle name="Обычный 4 2 26 8" xfId="32378"/>
    <cellStyle name="Процентный 4 2 26 8" xfId="32379"/>
    <cellStyle name="Обычный 5 2 26 8" xfId="32380"/>
    <cellStyle name="Процентный 5 2 26 8" xfId="32381"/>
    <cellStyle name="Обычный 6 23 8" xfId="32382"/>
    <cellStyle name="Процентный 6 23 8" xfId="32383"/>
    <cellStyle name="Обычный 4 40 8" xfId="32384"/>
    <cellStyle name="Процентный 4 40 8" xfId="32385"/>
    <cellStyle name="Обычный 5 33 8" xfId="32386"/>
    <cellStyle name="Процентный 5 33 8" xfId="32387"/>
    <cellStyle name="Обычный 4 2 27 8" xfId="32388"/>
    <cellStyle name="Процентный 4 2 27 8" xfId="32389"/>
    <cellStyle name="Обычный 5 2 27 8" xfId="32390"/>
    <cellStyle name="Процентный 5 2 27 8" xfId="32391"/>
    <cellStyle name="Обычный 6 24 8" xfId="32392"/>
    <cellStyle name="Процентный 6 24 8" xfId="32393"/>
    <cellStyle name="Обычный 4 41 8" xfId="32394"/>
    <cellStyle name="Процентный 4 41 8" xfId="32395"/>
    <cellStyle name="Обычный 5 34 8" xfId="32396"/>
    <cellStyle name="Процентный 5 34 8" xfId="32397"/>
    <cellStyle name="Обычный 4 2 28 8" xfId="32398"/>
    <cellStyle name="Процентный 4 2 28 8" xfId="32399"/>
    <cellStyle name="Обычный 5 2 28 8" xfId="32400"/>
    <cellStyle name="Процентный 5 2 28 8" xfId="32401"/>
    <cellStyle name="Обычный 6 25 8" xfId="32402"/>
    <cellStyle name="Процентный 6 25 8" xfId="32403"/>
    <cellStyle name="Обычный 4 42 8" xfId="32404"/>
    <cellStyle name="Процентный 4 42 8" xfId="32405"/>
    <cellStyle name="Обычный 5 35 8" xfId="32406"/>
    <cellStyle name="Процентный 5 35 8" xfId="32407"/>
    <cellStyle name="Обычный 4 2 29 8" xfId="32408"/>
    <cellStyle name="Процентный 4 2 29 8" xfId="32409"/>
    <cellStyle name="Обычный 5 2 29 8" xfId="32410"/>
    <cellStyle name="Процентный 5 2 29 8" xfId="32411"/>
    <cellStyle name="Обычный 6 26 8" xfId="32412"/>
    <cellStyle name="Процентный 6 26 8" xfId="32413"/>
    <cellStyle name="Обычный 4 43 8" xfId="32414"/>
    <cellStyle name="Процентный 4 43 8" xfId="32415"/>
    <cellStyle name="Обычный 5 36 8" xfId="32416"/>
    <cellStyle name="Процентный 5 36 8" xfId="32417"/>
    <cellStyle name="Обычный 4 2 30 8" xfId="32418"/>
    <cellStyle name="Процентный 4 2 30 8" xfId="32419"/>
    <cellStyle name="Обычный 5 2 30 8" xfId="32420"/>
    <cellStyle name="Процентный 5 2 30 8" xfId="32421"/>
    <cellStyle name="Обычный 6 27 8" xfId="32422"/>
    <cellStyle name="Процентный 6 27 8" xfId="32423"/>
    <cellStyle name="Обычный 4 44 8" xfId="32424"/>
    <cellStyle name="Процентный 4 44 8" xfId="32425"/>
    <cellStyle name="Обычный 5 37 8" xfId="32426"/>
    <cellStyle name="Процентный 5 37 8" xfId="32427"/>
    <cellStyle name="Обычный 4 2 31 8" xfId="32428"/>
    <cellStyle name="Процентный 4 2 31 8" xfId="32429"/>
    <cellStyle name="Обычный 5 2 31 8" xfId="32430"/>
    <cellStyle name="Процентный 5 2 31 8" xfId="32431"/>
    <cellStyle name="Обычный 6 28 8" xfId="32432"/>
    <cellStyle name="Процентный 6 28 8" xfId="32433"/>
    <cellStyle name="Обычный 4 45 8" xfId="32434"/>
    <cellStyle name="Процентный 4 45 8" xfId="32435"/>
    <cellStyle name="Обычный 5 38 8" xfId="32436"/>
    <cellStyle name="Процентный 5 38 8" xfId="32437"/>
    <cellStyle name="Обычный 4 2 32 8" xfId="32438"/>
    <cellStyle name="Процентный 4 2 32 8" xfId="32439"/>
    <cellStyle name="Обычный 5 2 32 8" xfId="32440"/>
    <cellStyle name="Процентный 5 2 32 8" xfId="32441"/>
    <cellStyle name="Обычный 6 29 8" xfId="32442"/>
    <cellStyle name="Процентный 6 29 8" xfId="32443"/>
    <cellStyle name="Обычный 4 46 8" xfId="32444"/>
    <cellStyle name="Процентный 4 46 8" xfId="32445"/>
    <cellStyle name="Обычный 5 39 8" xfId="32446"/>
    <cellStyle name="Процентный 5 39 8" xfId="32447"/>
    <cellStyle name="Обычный 4 2 33 8" xfId="32448"/>
    <cellStyle name="Процентный 4 2 33 8" xfId="32449"/>
    <cellStyle name="Обычный 5 2 33 8" xfId="32450"/>
    <cellStyle name="Процентный 5 2 33 8" xfId="32451"/>
    <cellStyle name="Обычный 6 30 8" xfId="32452"/>
    <cellStyle name="Процентный 6 30 8" xfId="32453"/>
    <cellStyle name="Обычный 4 47 8" xfId="32454"/>
    <cellStyle name="Процентный 4 47 8" xfId="32455"/>
    <cellStyle name="Обычный 5 40 8" xfId="32456"/>
    <cellStyle name="Процентный 5 40 8" xfId="32457"/>
    <cellStyle name="Обычный 4 2 34 8" xfId="32458"/>
    <cellStyle name="Процентный 4 2 34 8" xfId="32459"/>
    <cellStyle name="Обычный 5 2 34 8" xfId="32460"/>
    <cellStyle name="Процентный 5 2 34 8" xfId="32461"/>
    <cellStyle name="Обычный 6 31 8" xfId="32462"/>
    <cellStyle name="Процентный 6 31 8" xfId="32463"/>
    <cellStyle name="Обычный 7 162" xfId="32464"/>
    <cellStyle name="Процентный 7 162" xfId="32465"/>
    <cellStyle name="Обычный 4 48 8" xfId="32466"/>
    <cellStyle name="Процентный 4 48 8" xfId="32467"/>
    <cellStyle name="Обычный 5 41 8" xfId="32468"/>
    <cellStyle name="Процентный 5 41 8" xfId="32469"/>
    <cellStyle name="Обычный 4 2 35 8" xfId="32470"/>
    <cellStyle name="Процентный 4 2 35 8" xfId="32471"/>
    <cellStyle name="Обычный 5 2 35 8" xfId="32472"/>
    <cellStyle name="Процентный 5 2 35 8" xfId="32473"/>
    <cellStyle name="Обычный 6 32 8" xfId="32474"/>
    <cellStyle name="Процентный 6 32 8" xfId="32475"/>
    <cellStyle name="Обычный 7 2 154" xfId="32476"/>
    <cellStyle name="Процентный 7 2 154" xfId="32477"/>
    <cellStyle name="Обычный 4 49 8" xfId="32478"/>
    <cellStyle name="Процентный 4 49 8" xfId="32479"/>
    <cellStyle name="Обычный 5 42 8" xfId="32480"/>
    <cellStyle name="Процентный 5 42 8" xfId="32481"/>
    <cellStyle name="Обычный 4 2 36 8" xfId="32482"/>
    <cellStyle name="Процентный 4 2 36 8" xfId="32483"/>
    <cellStyle name="Обычный 5 2 36 8" xfId="32484"/>
    <cellStyle name="Процентный 5 2 36 8" xfId="32485"/>
    <cellStyle name="Обычный 6 33 8" xfId="32486"/>
    <cellStyle name="Процентный 6 33 8" xfId="32487"/>
    <cellStyle name="Обычный 7 3 8" xfId="32488"/>
    <cellStyle name="Процентный 7 3 8" xfId="32489"/>
    <cellStyle name="Обычный 4 50 8" xfId="32490"/>
    <cellStyle name="Процентный 4 50 8" xfId="32491"/>
    <cellStyle name="Обычный 5 43 8" xfId="32492"/>
    <cellStyle name="Процентный 5 43 8" xfId="32493"/>
    <cellStyle name="Обычный 4 2 37 8" xfId="32494"/>
    <cellStyle name="Процентный 4 2 37 8" xfId="32495"/>
    <cellStyle name="Обычный 5 2 37 8" xfId="32496"/>
    <cellStyle name="Процентный 5 2 37 8" xfId="32497"/>
    <cellStyle name="Обычный 6 34 8" xfId="32498"/>
    <cellStyle name="Процентный 6 34 8" xfId="32499"/>
    <cellStyle name="Обычный 7 4 8" xfId="32500"/>
    <cellStyle name="Процентный 7 4 8" xfId="32501"/>
    <cellStyle name="Обычный 4 51 8" xfId="32502"/>
    <cellStyle name="Процентный 4 51 8" xfId="32503"/>
    <cellStyle name="Обычный 5 44 8" xfId="32504"/>
    <cellStyle name="Процентный 5 44 8" xfId="32505"/>
    <cellStyle name="Обычный 4 2 38 8" xfId="32506"/>
    <cellStyle name="Процентный 4 2 38 8" xfId="32507"/>
    <cellStyle name="Обычный 5 2 38 8" xfId="32508"/>
    <cellStyle name="Процентный 5 2 38 8" xfId="32509"/>
    <cellStyle name="Обычный 6 35 8" xfId="32510"/>
    <cellStyle name="Процентный 6 35 8" xfId="32511"/>
    <cellStyle name="Обычный 7 5 8" xfId="32512"/>
    <cellStyle name="Процентный 7 5 8" xfId="32513"/>
    <cellStyle name="Обычный 4 52 8" xfId="32514"/>
    <cellStyle name="Процентный 4 52 8" xfId="32515"/>
    <cellStyle name="Обычный 5 45 8" xfId="32516"/>
    <cellStyle name="Процентный 5 45 8" xfId="32517"/>
    <cellStyle name="Обычный 4 2 39 8" xfId="32518"/>
    <cellStyle name="Процентный 4 2 39 8" xfId="32519"/>
    <cellStyle name="Обычный 5 2 39 8" xfId="32520"/>
    <cellStyle name="Процентный 5 2 39 8" xfId="32521"/>
    <cellStyle name="Обычный 6 36 8" xfId="32522"/>
    <cellStyle name="Процентный 6 36 8" xfId="32523"/>
    <cellStyle name="Обычный 7 6 8" xfId="32524"/>
    <cellStyle name="Процентный 7 6 8" xfId="32525"/>
    <cellStyle name="Обычный 4 53 8" xfId="32526"/>
    <cellStyle name="Процентный 4 53 8" xfId="32527"/>
    <cellStyle name="Обычный 5 46 8" xfId="32528"/>
    <cellStyle name="Процентный 5 46 8" xfId="32529"/>
    <cellStyle name="Обычный 4 2 40 8" xfId="32530"/>
    <cellStyle name="Процентный 4 2 40 8" xfId="32531"/>
    <cellStyle name="Обычный 5 2 40 8" xfId="32532"/>
    <cellStyle name="Процентный 5 2 40 8" xfId="32533"/>
    <cellStyle name="Обычный 6 37 8" xfId="32534"/>
    <cellStyle name="Процентный 6 37 8" xfId="32535"/>
    <cellStyle name="Обычный 7 7 8" xfId="32536"/>
    <cellStyle name="Процентный 7 7 8" xfId="32537"/>
    <cellStyle name="Обычный 4 54 8" xfId="32538"/>
    <cellStyle name="Процентный 4 54 8" xfId="32539"/>
    <cellStyle name="Обычный 5 47 8" xfId="32540"/>
    <cellStyle name="Процентный 5 47 8" xfId="32541"/>
    <cellStyle name="Обычный 4 2 41 8" xfId="32542"/>
    <cellStyle name="Процентный 4 2 41 8" xfId="32543"/>
    <cellStyle name="Обычный 5 2 41 8" xfId="32544"/>
    <cellStyle name="Процентный 5 2 41 8" xfId="32545"/>
    <cellStyle name="Обычный 6 38 8" xfId="32546"/>
    <cellStyle name="Процентный 6 38 8" xfId="32547"/>
    <cellStyle name="Обычный 7 8 8" xfId="32548"/>
    <cellStyle name="Процентный 7 8 8" xfId="32549"/>
    <cellStyle name="Обычный 4 55 8" xfId="32550"/>
    <cellStyle name="Процентный 4 55 8" xfId="32551"/>
    <cellStyle name="Обычный 5 48 8" xfId="32552"/>
    <cellStyle name="Процентный 5 48 8" xfId="32553"/>
    <cellStyle name="Обычный 4 2 42 8" xfId="32554"/>
    <cellStyle name="Процентный 4 2 42 8" xfId="32555"/>
    <cellStyle name="Обычный 5 2 42 8" xfId="32556"/>
    <cellStyle name="Процентный 5 2 42 8" xfId="32557"/>
    <cellStyle name="Обычный 6 39 8" xfId="32558"/>
    <cellStyle name="Процентный 6 39 8" xfId="32559"/>
    <cellStyle name="Обычный 7 9 8" xfId="32560"/>
    <cellStyle name="Процентный 7 9 8" xfId="32561"/>
    <cellStyle name="Обычный 3 3 7" xfId="32562"/>
    <cellStyle name="Обычный 4 56 7" xfId="32563"/>
    <cellStyle name="Процентный 4 56 7" xfId="32564"/>
    <cellStyle name="Обычный 4 2 43 7" xfId="32565"/>
    <cellStyle name="Процентный 4 2 43 7" xfId="32566"/>
    <cellStyle name="Обычный 4 3 2 7" xfId="32567"/>
    <cellStyle name="Процентный 4 3 2 7" xfId="32568"/>
    <cellStyle name="Обычный 5 49 7" xfId="32569"/>
    <cellStyle name="Процентный 5 49 7" xfId="32570"/>
    <cellStyle name="Обычный 4 4 2 7" xfId="32571"/>
    <cellStyle name="Процентный 4 4 2 7" xfId="32572"/>
    <cellStyle name="Обычный 4 5 2 7" xfId="32573"/>
    <cellStyle name="Процентный 4 5 2 7" xfId="32574"/>
    <cellStyle name="Обычный 4 6 2 7" xfId="32575"/>
    <cellStyle name="Процентный 4 6 2 7" xfId="32576"/>
    <cellStyle name="Обычный 4 7 2 7" xfId="32577"/>
    <cellStyle name="Процентный 4 7 2 7" xfId="32578"/>
    <cellStyle name="Обычный 4 8 2 7" xfId="32579"/>
    <cellStyle name="Процентный 4 8 2 7" xfId="32580"/>
    <cellStyle name="Обычный 4 9 2 7" xfId="32581"/>
    <cellStyle name="Процентный 4 9 2 7" xfId="32582"/>
    <cellStyle name="Обычный 5 2 43 7" xfId="32583"/>
    <cellStyle name="Процентный 5 2 43 7" xfId="32584"/>
    <cellStyle name="Обычный 4 10 2 7" xfId="32585"/>
    <cellStyle name="Процентный 4 10 2 7" xfId="32586"/>
    <cellStyle name="Обычный 5 3 2 7" xfId="32587"/>
    <cellStyle name="Процентный 5 3 2 7" xfId="32588"/>
    <cellStyle name="Обычный 4 11 2 7" xfId="32589"/>
    <cellStyle name="Процентный 4 11 2 7" xfId="32590"/>
    <cellStyle name="Обычный 5 4 2 7" xfId="32591"/>
    <cellStyle name="Процентный 5 4 2 7" xfId="32592"/>
    <cellStyle name="Обычный 4 12 2 7" xfId="32593"/>
    <cellStyle name="Процентный 4 12 2 7" xfId="32594"/>
    <cellStyle name="Обычный 5 5 2 7" xfId="32595"/>
    <cellStyle name="Процентный 5 5 2 7" xfId="32596"/>
    <cellStyle name="Обычный 4 13 2 7" xfId="32597"/>
    <cellStyle name="Процентный 4 13 2 7" xfId="32598"/>
    <cellStyle name="Обычный 5 6 2 7" xfId="32599"/>
    <cellStyle name="Процентный 5 6 2 7" xfId="32600"/>
    <cellStyle name="Обычный 4 14 2 7" xfId="32601"/>
    <cellStyle name="Процентный 4 14 2 7" xfId="32602"/>
    <cellStyle name="Обычный 5 7 2 7" xfId="32603"/>
    <cellStyle name="Процентный 5 7 2 7" xfId="32604"/>
    <cellStyle name="Обычный 4 15 2 7" xfId="32605"/>
    <cellStyle name="Процентный 4 15 2 7" xfId="32606"/>
    <cellStyle name="Обычный 5 8 2 7" xfId="32607"/>
    <cellStyle name="Процентный 5 8 2 7" xfId="32608"/>
    <cellStyle name="Обычный 4 2 2 2 7" xfId="32609"/>
    <cellStyle name="Процентный 4 2 2 2 7" xfId="32610"/>
    <cellStyle name="Обычный 5 2 2 2 7" xfId="32611"/>
    <cellStyle name="Процентный 5 2 2 2 7" xfId="32612"/>
    <cellStyle name="Обычный 4 16 2 7" xfId="32613"/>
    <cellStyle name="Процентный 4 16 2 7" xfId="32614"/>
    <cellStyle name="Обычный 5 9 2 7" xfId="32615"/>
    <cellStyle name="Процентный 5 9 2 7" xfId="32616"/>
    <cellStyle name="Обычный 4 2 3 2 7" xfId="32617"/>
    <cellStyle name="Процентный 4 2 3 2 7" xfId="32618"/>
    <cellStyle name="Обычный 5 2 3 2 7" xfId="32619"/>
    <cellStyle name="Процентный 5 2 3 2 7" xfId="32620"/>
    <cellStyle name="Обычный 4 17 2 7" xfId="32621"/>
    <cellStyle name="Процентный 4 17 2 7" xfId="32622"/>
    <cellStyle name="Обычный 5 10 2 7" xfId="32623"/>
    <cellStyle name="Процентный 5 10 2 7" xfId="32624"/>
    <cellStyle name="Обычный 4 2 4 2 7" xfId="32625"/>
    <cellStyle name="Процентный 4 2 4 2 7" xfId="32626"/>
    <cellStyle name="Обычный 5 2 4 2 7" xfId="32627"/>
    <cellStyle name="Процентный 5 2 4 2 7" xfId="32628"/>
    <cellStyle name="Обычный 6 40 7" xfId="32629"/>
    <cellStyle name="Процентный 6 40 7" xfId="32630"/>
    <cellStyle name="Обычный 4 18 2 7" xfId="32631"/>
    <cellStyle name="Процентный 4 18 2 7" xfId="32632"/>
    <cellStyle name="Обычный 5 11 2 7" xfId="32633"/>
    <cellStyle name="Процентный 5 11 2 7" xfId="32634"/>
    <cellStyle name="Обычный 4 2 5 2 7" xfId="32635"/>
    <cellStyle name="Процентный 4 2 5 2 7" xfId="32636"/>
    <cellStyle name="Обычный 5 2 5 2 7" xfId="32637"/>
    <cellStyle name="Процентный 5 2 5 2 7" xfId="32638"/>
    <cellStyle name="Обычный 6 2 2 7" xfId="32639"/>
    <cellStyle name="Процентный 6 2 2 7" xfId="32640"/>
    <cellStyle name="Обычный 4 19 2 7" xfId="32641"/>
    <cellStyle name="Процентный 4 19 2 7" xfId="32642"/>
    <cellStyle name="Обычный 5 12 2 7" xfId="32643"/>
    <cellStyle name="Процентный 5 12 2 7" xfId="32644"/>
    <cellStyle name="Обычный 4 2 6 2 7" xfId="32645"/>
    <cellStyle name="Процентный 4 2 6 2 7" xfId="32646"/>
    <cellStyle name="Обычный 5 2 6 2 7" xfId="32647"/>
    <cellStyle name="Процентный 5 2 6 2 7" xfId="32648"/>
    <cellStyle name="Обычный 6 3 2 7" xfId="32649"/>
    <cellStyle name="Процентный 6 3 2 7" xfId="32650"/>
    <cellStyle name="Обычный 4 20 2 7" xfId="32651"/>
    <cellStyle name="Процентный 4 20 2 7" xfId="32652"/>
    <cellStyle name="Обычный 5 13 2 7" xfId="32653"/>
    <cellStyle name="Процентный 5 13 2 7" xfId="32654"/>
    <cellStyle name="Обычный 4 2 7 2 7" xfId="32655"/>
    <cellStyle name="Процентный 4 2 7 2 7" xfId="32656"/>
    <cellStyle name="Обычный 5 2 7 2 7" xfId="32657"/>
    <cellStyle name="Процентный 5 2 7 2 7" xfId="32658"/>
    <cellStyle name="Обычный 6 4 2 7" xfId="32659"/>
    <cellStyle name="Процентный 6 4 2 7" xfId="32660"/>
    <cellStyle name="Обычный 4 21 2 7" xfId="32661"/>
    <cellStyle name="Процентный 4 21 2 7" xfId="32662"/>
    <cellStyle name="Обычный 5 14 2 7" xfId="32663"/>
    <cellStyle name="Процентный 5 14 2 7" xfId="32664"/>
    <cellStyle name="Обычный 4 2 8 2 7" xfId="32665"/>
    <cellStyle name="Процентный 4 2 8 2 7" xfId="32666"/>
    <cellStyle name="Обычный 5 2 8 2 7" xfId="32667"/>
    <cellStyle name="Процентный 5 2 8 2 7" xfId="32668"/>
    <cellStyle name="Обычный 6 5 2 7" xfId="32669"/>
    <cellStyle name="Процентный 6 5 2 7" xfId="32670"/>
    <cellStyle name="Обычный 4 22 2 7" xfId="32671"/>
    <cellStyle name="Процентный 4 22 2 7" xfId="32672"/>
    <cellStyle name="Обычный 5 15 2 7" xfId="32673"/>
    <cellStyle name="Процентный 5 15 2 7" xfId="32674"/>
    <cellStyle name="Обычный 4 2 9 2 7" xfId="32675"/>
    <cellStyle name="Процентный 4 2 9 2 7" xfId="32676"/>
    <cellStyle name="Обычный 5 2 9 2 7" xfId="32677"/>
    <cellStyle name="Процентный 5 2 9 2 7" xfId="32678"/>
    <cellStyle name="Обычный 6 6 2 7" xfId="32679"/>
    <cellStyle name="Процентный 6 6 2 7" xfId="32680"/>
    <cellStyle name="Обычный 4 23 2 7" xfId="32681"/>
    <cellStyle name="Процентный 4 23 2 7" xfId="32682"/>
    <cellStyle name="Обычный 5 16 2 7" xfId="32683"/>
    <cellStyle name="Процентный 5 16 2 7" xfId="32684"/>
    <cellStyle name="Обычный 4 2 10 2 7" xfId="32685"/>
    <cellStyle name="Процентный 4 2 10 2 7" xfId="32686"/>
    <cellStyle name="Обычный 5 2 10 2 7" xfId="32687"/>
    <cellStyle name="Процентный 5 2 10 2 7" xfId="32688"/>
    <cellStyle name="Обычный 6 7 2 7" xfId="32689"/>
    <cellStyle name="Процентный 6 7 2 7" xfId="32690"/>
    <cellStyle name="Обычный 4 24 2 7" xfId="32691"/>
    <cellStyle name="Процентный 4 24 2 7" xfId="32692"/>
    <cellStyle name="Обычный 5 17 2 7" xfId="32693"/>
    <cellStyle name="Процентный 5 17 2 7" xfId="32694"/>
    <cellStyle name="Обычный 4 2 11 2 7" xfId="32695"/>
    <cellStyle name="Процентный 4 2 11 2 7" xfId="32696"/>
    <cellStyle name="Обычный 5 2 11 2 7" xfId="32697"/>
    <cellStyle name="Процентный 5 2 11 2 7" xfId="32698"/>
    <cellStyle name="Обычный 6 8 2 7" xfId="32699"/>
    <cellStyle name="Процентный 6 8 2 7" xfId="32700"/>
    <cellStyle name="Обычный 4 25 2 7" xfId="32701"/>
    <cellStyle name="Процентный 4 25 2 7" xfId="32702"/>
    <cellStyle name="Обычный 5 18 2 7" xfId="32703"/>
    <cellStyle name="Процентный 5 18 2 7" xfId="32704"/>
    <cellStyle name="Обычный 4 2 12 2 7" xfId="32705"/>
    <cellStyle name="Процентный 4 2 12 2 7" xfId="32706"/>
    <cellStyle name="Обычный 5 2 12 2 7" xfId="32707"/>
    <cellStyle name="Процентный 5 2 12 2 7" xfId="32708"/>
    <cellStyle name="Обычный 6 9 2 7" xfId="32709"/>
    <cellStyle name="Процентный 6 9 2 7" xfId="32710"/>
    <cellStyle name="Обычный 4 26 2 7" xfId="32711"/>
    <cellStyle name="Процентный 4 26 2 7" xfId="32712"/>
    <cellStyle name="Обычный 5 19 2 7" xfId="32713"/>
    <cellStyle name="Процентный 5 19 2 7" xfId="32714"/>
    <cellStyle name="Обычный 4 2 13 2 7" xfId="32715"/>
    <cellStyle name="Процентный 4 2 13 2 7" xfId="32716"/>
    <cellStyle name="Обычный 5 2 13 2 7" xfId="32717"/>
    <cellStyle name="Процентный 5 2 13 2 7" xfId="32718"/>
    <cellStyle name="Обычный 6 10 2 7" xfId="32719"/>
    <cellStyle name="Процентный 6 10 2 7" xfId="32720"/>
    <cellStyle name="Обычный 4 27 2 7" xfId="32721"/>
    <cellStyle name="Процентный 4 27 2 7" xfId="32722"/>
    <cellStyle name="Обычный 5 20 2 7" xfId="32723"/>
    <cellStyle name="Процентный 5 20 2 7" xfId="32724"/>
    <cellStyle name="Обычный 4 2 14 2 7" xfId="32725"/>
    <cellStyle name="Процентный 4 2 14 2 7" xfId="32726"/>
    <cellStyle name="Обычный 5 2 14 2 7" xfId="32727"/>
    <cellStyle name="Процентный 5 2 14 2 7" xfId="32728"/>
    <cellStyle name="Обычный 6 11 2 7" xfId="32729"/>
    <cellStyle name="Процентный 6 11 2 7" xfId="32730"/>
    <cellStyle name="Обычный 4 28 2 7" xfId="32731"/>
    <cellStyle name="Процентный 4 28 2 7" xfId="32732"/>
    <cellStyle name="Обычный 5 21 2 7" xfId="32733"/>
    <cellStyle name="Процентный 5 21 2 7" xfId="32734"/>
    <cellStyle name="Обычный 4 2 15 2 7" xfId="32735"/>
    <cellStyle name="Процентный 4 2 15 2 7" xfId="32736"/>
    <cellStyle name="Обычный 5 2 15 2 7" xfId="32737"/>
    <cellStyle name="Процентный 5 2 15 2 7" xfId="32738"/>
    <cellStyle name="Обычный 6 12 2 7" xfId="32739"/>
    <cellStyle name="Процентный 6 12 2 7" xfId="32740"/>
    <cellStyle name="Обычный 4 29 2 7" xfId="32741"/>
    <cellStyle name="Процентный 4 29 2 7" xfId="32742"/>
    <cellStyle name="Обычный 5 22 2 7" xfId="32743"/>
    <cellStyle name="Процентный 5 22 2 7" xfId="32744"/>
    <cellStyle name="Обычный 4 2 16 2 7" xfId="32745"/>
    <cellStyle name="Процентный 4 2 16 2 7" xfId="32746"/>
    <cellStyle name="Обычный 5 2 16 2 7" xfId="32747"/>
    <cellStyle name="Процентный 5 2 16 2 7" xfId="32748"/>
    <cellStyle name="Обычный 6 13 2 7" xfId="32749"/>
    <cellStyle name="Процентный 6 13 2 7" xfId="32750"/>
    <cellStyle name="Обычный 4 30 2 7" xfId="32751"/>
    <cellStyle name="Процентный 4 30 2 7" xfId="32752"/>
    <cellStyle name="Обычный 5 23 2 7" xfId="32753"/>
    <cellStyle name="Процентный 5 23 2 7" xfId="32754"/>
    <cellStyle name="Обычный 4 2 17 2 7" xfId="32755"/>
    <cellStyle name="Процентный 4 2 17 2 7" xfId="32756"/>
    <cellStyle name="Обычный 5 2 17 2 7" xfId="32757"/>
    <cellStyle name="Процентный 5 2 17 2 7" xfId="32758"/>
    <cellStyle name="Обычный 6 14 2 7" xfId="32759"/>
    <cellStyle name="Процентный 6 14 2 7" xfId="32760"/>
    <cellStyle name="Обычный 4 31 2 7" xfId="32761"/>
    <cellStyle name="Процентный 4 31 2 7" xfId="32762"/>
    <cellStyle name="Обычный 5 24 2 7" xfId="32763"/>
    <cellStyle name="Процентный 5 24 2 7" xfId="32764"/>
    <cellStyle name="Обычный 4 2 18 2 7" xfId="32765"/>
    <cellStyle name="Процентный 4 2 18 2 7" xfId="32766"/>
    <cellStyle name="Обычный 5 2 18 2 7" xfId="32767"/>
    <cellStyle name="Процентный 5 2 18 2 7" xfId="32768"/>
    <cellStyle name="Обычный 6 15 2 7" xfId="32769"/>
    <cellStyle name="Процентный 6 15 2 7" xfId="32770"/>
    <cellStyle name="Обычный 4 32 2 7" xfId="32771"/>
    <cellStyle name="Процентный 4 32 2 7" xfId="32772"/>
    <cellStyle name="Обычный 5 25 2 7" xfId="32773"/>
    <cellStyle name="Процентный 5 25 2 7" xfId="32774"/>
    <cellStyle name="Обычный 4 2 19 2 7" xfId="32775"/>
    <cellStyle name="Процентный 4 2 19 2 7" xfId="32776"/>
    <cellStyle name="Обычный 5 2 19 2 7" xfId="32777"/>
    <cellStyle name="Процентный 5 2 19 2 7" xfId="32778"/>
    <cellStyle name="Обычный 6 16 2 7" xfId="32779"/>
    <cellStyle name="Процентный 6 16 2 7" xfId="32780"/>
    <cellStyle name="Обычный 4 33 2 7" xfId="32781"/>
    <cellStyle name="Процентный 4 33 2 7" xfId="32782"/>
    <cellStyle name="Обычный 5 26 2 7" xfId="32783"/>
    <cellStyle name="Процентный 5 26 2 7" xfId="32784"/>
    <cellStyle name="Обычный 4 2 20 2 7" xfId="32785"/>
    <cellStyle name="Процентный 4 2 20 2 7" xfId="32786"/>
    <cellStyle name="Обычный 5 2 20 2 7" xfId="32787"/>
    <cellStyle name="Процентный 5 2 20 2 7" xfId="32788"/>
    <cellStyle name="Обычный 6 17 2 7" xfId="32789"/>
    <cellStyle name="Процентный 6 17 2 7" xfId="32790"/>
    <cellStyle name="Обычный 4 34 2 7" xfId="32791"/>
    <cellStyle name="Процентный 4 34 2 7" xfId="32792"/>
    <cellStyle name="Обычный 5 27 2 7" xfId="32793"/>
    <cellStyle name="Процентный 5 27 2 7" xfId="32794"/>
    <cellStyle name="Обычный 4 2 21 2 7" xfId="32795"/>
    <cellStyle name="Процентный 4 2 21 2 7" xfId="32796"/>
    <cellStyle name="Обычный 5 2 21 2 7" xfId="32797"/>
    <cellStyle name="Процентный 5 2 21 2 7" xfId="32798"/>
    <cellStyle name="Обычный 6 18 2 7" xfId="32799"/>
    <cellStyle name="Процентный 6 18 2 7" xfId="32800"/>
    <cellStyle name="Обычный 4 35 2 7" xfId="32801"/>
    <cellStyle name="Процентный 4 35 2 7" xfId="32802"/>
    <cellStyle name="Обычный 5 28 2 7" xfId="32803"/>
    <cellStyle name="Процентный 5 28 2 7" xfId="32804"/>
    <cellStyle name="Обычный 4 2 22 2 7" xfId="32805"/>
    <cellStyle name="Процентный 4 2 22 2 7" xfId="32806"/>
    <cellStyle name="Обычный 5 2 22 2 7" xfId="32807"/>
    <cellStyle name="Процентный 5 2 22 2 7" xfId="32808"/>
    <cellStyle name="Обычный 6 19 2 7" xfId="32809"/>
    <cellStyle name="Процентный 6 19 2 7" xfId="32810"/>
    <cellStyle name="Обычный 4 36 2 7" xfId="32811"/>
    <cellStyle name="Процентный 4 36 2 7" xfId="32812"/>
    <cellStyle name="Обычный 5 29 2 7" xfId="32813"/>
    <cellStyle name="Процентный 5 29 2 7" xfId="32814"/>
    <cellStyle name="Обычный 4 2 23 2 7" xfId="32815"/>
    <cellStyle name="Процентный 4 2 23 2 7" xfId="32816"/>
    <cellStyle name="Обычный 5 2 23 2 7" xfId="32817"/>
    <cellStyle name="Процентный 5 2 23 2 7" xfId="32818"/>
    <cellStyle name="Обычный 6 20 2 7" xfId="32819"/>
    <cellStyle name="Процентный 6 20 2 7" xfId="32820"/>
    <cellStyle name="Обычный 4 37 2 7" xfId="32821"/>
    <cellStyle name="Процентный 4 37 2 7" xfId="32822"/>
    <cellStyle name="Обычный 5 30 2 7" xfId="32823"/>
    <cellStyle name="Процентный 5 30 2 7" xfId="32824"/>
    <cellStyle name="Обычный 4 2 24 2 7" xfId="32825"/>
    <cellStyle name="Процентный 4 2 24 2 7" xfId="32826"/>
    <cellStyle name="Обычный 5 2 24 2 7" xfId="32827"/>
    <cellStyle name="Процентный 5 2 24 2 7" xfId="32828"/>
    <cellStyle name="Обычный 6 21 2 7" xfId="32829"/>
    <cellStyle name="Процентный 6 21 2 7" xfId="32830"/>
    <cellStyle name="Обычный 4 38 2 7" xfId="32831"/>
    <cellStyle name="Процентный 4 38 2 7" xfId="32832"/>
    <cellStyle name="Обычный 5 31 2 7" xfId="32833"/>
    <cellStyle name="Процентный 5 31 2 7" xfId="32834"/>
    <cellStyle name="Обычный 4 2 25 2 7" xfId="32835"/>
    <cellStyle name="Процентный 4 2 25 2 7" xfId="32836"/>
    <cellStyle name="Обычный 5 2 25 2 7" xfId="32837"/>
    <cellStyle name="Процентный 5 2 25 2 7" xfId="32838"/>
    <cellStyle name="Обычный 6 22 2 7" xfId="32839"/>
    <cellStyle name="Процентный 6 22 2 7" xfId="32840"/>
    <cellStyle name="Обычный 4 39 2 7" xfId="32841"/>
    <cellStyle name="Процентный 4 39 2 7" xfId="32842"/>
    <cellStyle name="Обычный 5 32 2 7" xfId="32843"/>
    <cellStyle name="Процентный 5 32 2 7" xfId="32844"/>
    <cellStyle name="Обычный 4 2 26 2 7" xfId="32845"/>
    <cellStyle name="Процентный 4 2 26 2 7" xfId="32846"/>
    <cellStyle name="Обычный 5 2 26 2 7" xfId="32847"/>
    <cellStyle name="Процентный 5 2 26 2 7" xfId="32848"/>
    <cellStyle name="Обычный 6 23 2 7" xfId="32849"/>
    <cellStyle name="Процентный 6 23 2 7" xfId="32850"/>
    <cellStyle name="Обычный 4 40 2 7" xfId="32851"/>
    <cellStyle name="Процентный 4 40 2 7" xfId="32852"/>
    <cellStyle name="Обычный 5 33 2 7" xfId="32853"/>
    <cellStyle name="Процентный 5 33 2 7" xfId="32854"/>
    <cellStyle name="Обычный 4 2 27 2 7" xfId="32855"/>
    <cellStyle name="Процентный 4 2 27 2 7" xfId="32856"/>
    <cellStyle name="Обычный 5 2 27 2 7" xfId="32857"/>
    <cellStyle name="Процентный 5 2 27 2 7" xfId="32858"/>
    <cellStyle name="Обычный 6 24 2 7" xfId="32859"/>
    <cellStyle name="Процентный 6 24 2 7" xfId="32860"/>
    <cellStyle name="Обычный 4 41 2 7" xfId="32861"/>
    <cellStyle name="Процентный 4 41 2 7" xfId="32862"/>
    <cellStyle name="Обычный 5 34 2 7" xfId="32863"/>
    <cellStyle name="Процентный 5 34 2 7" xfId="32864"/>
    <cellStyle name="Обычный 4 2 28 2 7" xfId="32865"/>
    <cellStyle name="Процентный 4 2 28 2 7" xfId="32866"/>
    <cellStyle name="Обычный 5 2 28 2 7" xfId="32867"/>
    <cellStyle name="Процентный 5 2 28 2 7" xfId="32868"/>
    <cellStyle name="Обычный 6 25 2 7" xfId="32869"/>
    <cellStyle name="Процентный 6 25 2 7" xfId="32870"/>
    <cellStyle name="Обычный 4 42 2 7" xfId="32871"/>
    <cellStyle name="Процентный 4 42 2 7" xfId="32872"/>
    <cellStyle name="Обычный 5 35 2 7" xfId="32873"/>
    <cellStyle name="Процентный 5 35 2 7" xfId="32874"/>
    <cellStyle name="Обычный 4 2 29 2 7" xfId="32875"/>
    <cellStyle name="Процентный 4 2 29 2 7" xfId="32876"/>
    <cellStyle name="Обычный 5 2 29 2 7" xfId="32877"/>
    <cellStyle name="Процентный 5 2 29 2 7" xfId="32878"/>
    <cellStyle name="Обычный 6 26 2 7" xfId="32879"/>
    <cellStyle name="Процентный 6 26 2 7" xfId="32880"/>
    <cellStyle name="Обычный 4 43 2 7" xfId="32881"/>
    <cellStyle name="Процентный 4 43 2 7" xfId="32882"/>
    <cellStyle name="Обычный 5 36 2 7" xfId="32883"/>
    <cellStyle name="Процентный 5 36 2 7" xfId="32884"/>
    <cellStyle name="Обычный 4 2 30 2 7" xfId="32885"/>
    <cellStyle name="Процентный 4 2 30 2 7" xfId="32886"/>
    <cellStyle name="Обычный 5 2 30 2 7" xfId="32887"/>
    <cellStyle name="Процентный 5 2 30 2 7" xfId="32888"/>
    <cellStyle name="Обычный 6 27 2 7" xfId="32889"/>
    <cellStyle name="Процентный 6 27 2 7" xfId="32890"/>
    <cellStyle name="Обычный 4 44 2 7" xfId="32891"/>
    <cellStyle name="Процентный 4 44 2 7" xfId="32892"/>
    <cellStyle name="Обычный 5 37 2 7" xfId="32893"/>
    <cellStyle name="Процентный 5 37 2 7" xfId="32894"/>
    <cellStyle name="Обычный 4 2 31 2 7" xfId="32895"/>
    <cellStyle name="Процентный 4 2 31 2 7" xfId="32896"/>
    <cellStyle name="Обычный 5 2 31 2 7" xfId="32897"/>
    <cellStyle name="Процентный 5 2 31 2 7" xfId="32898"/>
    <cellStyle name="Обычный 6 28 2 7" xfId="32899"/>
    <cellStyle name="Процентный 6 28 2 7" xfId="32900"/>
    <cellStyle name="Обычный 4 45 2 7" xfId="32901"/>
    <cellStyle name="Процентный 4 45 2 7" xfId="32902"/>
    <cellStyle name="Обычный 5 38 2 7" xfId="32903"/>
    <cellStyle name="Процентный 5 38 2 7" xfId="32904"/>
    <cellStyle name="Обычный 4 2 32 2 7" xfId="32905"/>
    <cellStyle name="Процентный 4 2 32 2 7" xfId="32906"/>
    <cellStyle name="Обычный 5 2 32 2 7" xfId="32907"/>
    <cellStyle name="Процентный 5 2 32 2 7" xfId="32908"/>
    <cellStyle name="Обычный 6 29 2 7" xfId="32909"/>
    <cellStyle name="Процентный 6 29 2 7" xfId="32910"/>
    <cellStyle name="Обычный 4 46 2 7" xfId="32911"/>
    <cellStyle name="Процентный 4 46 2 7" xfId="32912"/>
    <cellStyle name="Обычный 5 39 2 7" xfId="32913"/>
    <cellStyle name="Процентный 5 39 2 7" xfId="32914"/>
    <cellStyle name="Обычный 4 2 33 2 7" xfId="32915"/>
    <cellStyle name="Процентный 4 2 33 2 7" xfId="32916"/>
    <cellStyle name="Обычный 5 2 33 2 7" xfId="32917"/>
    <cellStyle name="Процентный 5 2 33 2 7" xfId="32918"/>
    <cellStyle name="Обычный 6 30 2 7" xfId="32919"/>
    <cellStyle name="Процентный 6 30 2 7" xfId="32920"/>
    <cellStyle name="Обычный 4 47 2 7" xfId="32921"/>
    <cellStyle name="Процентный 4 47 2 7" xfId="32922"/>
    <cellStyle name="Обычный 5 40 2 7" xfId="32923"/>
    <cellStyle name="Процентный 5 40 2 7" xfId="32924"/>
    <cellStyle name="Обычный 4 2 34 2 7" xfId="32925"/>
    <cellStyle name="Процентный 4 2 34 2 7" xfId="32926"/>
    <cellStyle name="Обычный 5 2 34 2 7" xfId="32927"/>
    <cellStyle name="Процентный 5 2 34 2 7" xfId="32928"/>
    <cellStyle name="Обычный 6 31 2 7" xfId="32929"/>
    <cellStyle name="Процентный 6 31 2 7" xfId="32930"/>
    <cellStyle name="Обычный 7 10 7" xfId="32931"/>
    <cellStyle name="Процентный 7 10 7" xfId="32932"/>
    <cellStyle name="Обычный 4 48 2 7" xfId="32933"/>
    <cellStyle name="Процентный 4 48 2 7" xfId="32934"/>
    <cellStyle name="Обычный 5 41 2 7" xfId="32935"/>
    <cellStyle name="Процентный 5 41 2 7" xfId="32936"/>
    <cellStyle name="Обычный 4 2 35 2 7" xfId="32937"/>
    <cellStyle name="Процентный 4 2 35 2 7" xfId="32938"/>
    <cellStyle name="Обычный 5 2 35 2 7" xfId="32939"/>
    <cellStyle name="Процентный 5 2 35 2 7" xfId="32940"/>
    <cellStyle name="Обычный 6 32 2 7" xfId="32941"/>
    <cellStyle name="Процентный 6 32 2 7" xfId="32942"/>
    <cellStyle name="Обычный 7 2 2 7" xfId="32943"/>
    <cellStyle name="Процентный 7 2 2 7" xfId="32944"/>
    <cellStyle name="Обычный 4 49 2 7" xfId="32945"/>
    <cellStyle name="Процентный 4 49 2 7" xfId="32946"/>
    <cellStyle name="Обычный 5 42 2 7" xfId="32947"/>
    <cellStyle name="Процентный 5 42 2 7" xfId="32948"/>
    <cellStyle name="Обычный 4 2 36 2 7" xfId="32949"/>
    <cellStyle name="Процентный 4 2 36 2 7" xfId="32950"/>
    <cellStyle name="Обычный 5 2 36 2 7" xfId="32951"/>
    <cellStyle name="Процентный 5 2 36 2 7" xfId="32952"/>
    <cellStyle name="Обычный 6 33 2 7" xfId="32953"/>
    <cellStyle name="Процентный 6 33 2 7" xfId="32954"/>
    <cellStyle name="Обычный 7 3 2 7" xfId="32955"/>
    <cellStyle name="Процентный 7 3 2 7" xfId="32956"/>
    <cellStyle name="Обычный 4 50 2 7" xfId="32957"/>
    <cellStyle name="Процентный 4 50 2 7" xfId="32958"/>
    <cellStyle name="Обычный 5 43 2 7" xfId="32959"/>
    <cellStyle name="Процентный 5 43 2 7" xfId="32960"/>
    <cellStyle name="Обычный 4 2 37 2 7" xfId="32961"/>
    <cellStyle name="Процентный 4 2 37 2 7" xfId="32962"/>
    <cellStyle name="Обычный 5 2 37 2 7" xfId="32963"/>
    <cellStyle name="Процентный 5 2 37 2 7" xfId="32964"/>
    <cellStyle name="Обычный 6 34 2 7" xfId="32965"/>
    <cellStyle name="Процентный 6 34 2 7" xfId="32966"/>
    <cellStyle name="Обычный 7 4 2 7" xfId="32967"/>
    <cellStyle name="Процентный 7 4 2 7" xfId="32968"/>
    <cellStyle name="Обычный 4 51 2 7" xfId="32969"/>
    <cellStyle name="Процентный 4 51 2 7" xfId="32970"/>
    <cellStyle name="Обычный 5 44 2 7" xfId="32971"/>
    <cellStyle name="Процентный 5 44 2 7" xfId="32972"/>
    <cellStyle name="Обычный 4 2 38 2 7" xfId="32973"/>
    <cellStyle name="Процентный 4 2 38 2 7" xfId="32974"/>
    <cellStyle name="Обычный 5 2 38 2 7" xfId="32975"/>
    <cellStyle name="Процентный 5 2 38 2 7" xfId="32976"/>
    <cellStyle name="Обычный 6 35 2 7" xfId="32977"/>
    <cellStyle name="Процентный 6 35 2 7" xfId="32978"/>
    <cellStyle name="Обычный 7 5 2 7" xfId="32979"/>
    <cellStyle name="Процентный 7 5 2 7" xfId="32980"/>
    <cellStyle name="Обычный 4 52 2 7" xfId="32981"/>
    <cellStyle name="Процентный 4 52 2 7" xfId="32982"/>
    <cellStyle name="Обычный 5 45 2 7" xfId="32983"/>
    <cellStyle name="Процентный 5 45 2 7" xfId="32984"/>
    <cellStyle name="Обычный 4 2 39 2 7" xfId="32985"/>
    <cellStyle name="Процентный 4 2 39 2 7" xfId="32986"/>
    <cellStyle name="Обычный 5 2 39 2 7" xfId="32987"/>
    <cellStyle name="Процентный 5 2 39 2 7" xfId="32988"/>
    <cellStyle name="Обычный 6 36 2 7" xfId="32989"/>
    <cellStyle name="Процентный 6 36 2 7" xfId="32990"/>
    <cellStyle name="Обычный 7 6 2 7" xfId="32991"/>
    <cellStyle name="Процентный 7 6 2 7" xfId="32992"/>
    <cellStyle name="Обычный 4 53 2 7" xfId="32993"/>
    <cellStyle name="Процентный 4 53 2 7" xfId="32994"/>
    <cellStyle name="Обычный 5 46 2 7" xfId="32995"/>
    <cellStyle name="Процентный 5 46 2 7" xfId="32996"/>
    <cellStyle name="Обычный 4 2 40 2 7" xfId="32997"/>
    <cellStyle name="Процентный 4 2 40 2 7" xfId="32998"/>
    <cellStyle name="Обычный 5 2 40 2 7" xfId="32999"/>
    <cellStyle name="Процентный 5 2 40 2 7" xfId="33000"/>
    <cellStyle name="Обычный 6 37 2 7" xfId="33001"/>
    <cellStyle name="Процентный 6 37 2 7" xfId="33002"/>
    <cellStyle name="Обычный 7 7 2 7" xfId="33003"/>
    <cellStyle name="Процентный 7 7 2 7" xfId="33004"/>
    <cellStyle name="Обычный 4 54 2 7" xfId="33005"/>
    <cellStyle name="Процентный 4 54 2 7" xfId="33006"/>
    <cellStyle name="Обычный 5 47 2 7" xfId="33007"/>
    <cellStyle name="Процентный 5 47 2 7" xfId="33008"/>
    <cellStyle name="Обычный 4 2 41 2 7" xfId="33009"/>
    <cellStyle name="Процентный 4 2 41 2 7" xfId="33010"/>
    <cellStyle name="Обычный 5 2 41 2 7" xfId="33011"/>
    <cellStyle name="Процентный 5 2 41 2 7" xfId="33012"/>
    <cellStyle name="Обычный 6 38 2 7" xfId="33013"/>
    <cellStyle name="Процентный 6 38 2 7" xfId="33014"/>
    <cellStyle name="Обычный 7 8 2 7" xfId="33015"/>
    <cellStyle name="Процентный 7 8 2 7" xfId="33016"/>
    <cellStyle name="Обычный 4 55 2 7" xfId="33017"/>
    <cellStyle name="Процентный 4 55 2 7" xfId="33018"/>
    <cellStyle name="Обычный 5 48 2 7" xfId="33019"/>
    <cellStyle name="Процентный 5 48 2 7" xfId="33020"/>
    <cellStyle name="Обычный 4 2 42 2 7" xfId="33021"/>
    <cellStyle name="Процентный 4 2 42 2 7" xfId="33022"/>
    <cellStyle name="Обычный 5 2 42 2 7" xfId="33023"/>
    <cellStyle name="Процентный 5 2 42 2 7" xfId="33024"/>
    <cellStyle name="Обычный 6 39 2 7" xfId="33025"/>
    <cellStyle name="Процентный 6 39 2 7" xfId="33026"/>
    <cellStyle name="Обычный 7 9 2 7" xfId="33027"/>
    <cellStyle name="Процентный 7 9 2 7" xfId="33028"/>
    <cellStyle name="Обычный 4 57 7" xfId="33029"/>
    <cellStyle name="Процентный 4 57 7" xfId="33030"/>
    <cellStyle name="Обычный 5 50 7" xfId="33031"/>
    <cellStyle name="Процентный 5 50 7" xfId="33032"/>
    <cellStyle name="Обычный 4 2 44 7" xfId="33033"/>
    <cellStyle name="Процентный 4 2 44 7" xfId="33034"/>
    <cellStyle name="Обычный 5 2 44 7" xfId="33035"/>
    <cellStyle name="Процентный 5 2 44 7" xfId="33036"/>
    <cellStyle name="Обычный 6 41 7" xfId="33037"/>
    <cellStyle name="Процентный 6 41 7" xfId="33038"/>
    <cellStyle name="Обычный 7 11 7" xfId="33039"/>
    <cellStyle name="Процентный 7 11 7" xfId="33040"/>
    <cellStyle name="Обычный 4 3 3 7" xfId="33041"/>
    <cellStyle name="Процентный 4 3 3 7" xfId="33042"/>
    <cellStyle name="Обычный 5 3 3 7" xfId="33043"/>
    <cellStyle name="Процентный 5 3 3 7" xfId="33044"/>
    <cellStyle name="Обычный 4 2 2 3 7" xfId="33045"/>
    <cellStyle name="Процентный 4 2 2 3 7" xfId="33046"/>
    <cellStyle name="Обычный 5 2 2 3 7" xfId="33047"/>
    <cellStyle name="Процентный 5 2 2 3 7" xfId="33048"/>
    <cellStyle name="Обычный 6 2 3 7" xfId="33049"/>
    <cellStyle name="Процентный 6 2 3 7" xfId="33050"/>
    <cellStyle name="Обычный 7 2 3 7" xfId="33051"/>
    <cellStyle name="Процентный 7 2 3 7" xfId="33052"/>
    <cellStyle name="Обычный 4 58 7" xfId="33053"/>
    <cellStyle name="Процентный 4 58 7" xfId="33054"/>
    <cellStyle name="Обычный 5 51 7" xfId="33055"/>
    <cellStyle name="Процентный 5 51 7" xfId="33056"/>
    <cellStyle name="Обычный 4 2 45 7" xfId="33057"/>
    <cellStyle name="Процентный 4 2 45 7" xfId="33058"/>
    <cellStyle name="Обычный 5 2 45 7" xfId="33059"/>
    <cellStyle name="Процентный 5 2 45 7" xfId="33060"/>
    <cellStyle name="Обычный 6 42 7" xfId="33061"/>
    <cellStyle name="Процентный 6 42 7" xfId="33062"/>
    <cellStyle name="Обычный 7 12 7" xfId="33063"/>
    <cellStyle name="Процентный 7 12 7" xfId="33064"/>
    <cellStyle name="Обычный 4 3 4 7" xfId="33065"/>
    <cellStyle name="Процентный 4 3 4 7" xfId="33066"/>
    <cellStyle name="Обычный 5 3 4 7" xfId="33067"/>
    <cellStyle name="Процентный 5 3 4 7" xfId="33068"/>
    <cellStyle name="Обычный 4 2 2 4 7" xfId="33069"/>
    <cellStyle name="Процентный 4 2 2 4 7" xfId="33070"/>
    <cellStyle name="Обычный 5 2 2 4 7" xfId="33071"/>
    <cellStyle name="Процентный 5 2 2 4 7" xfId="33072"/>
    <cellStyle name="Обычный 6 2 4 7" xfId="33073"/>
    <cellStyle name="Процентный 6 2 4 7" xfId="33074"/>
    <cellStyle name="Обычный 7 2 4 7" xfId="33075"/>
    <cellStyle name="Процентный 7 2 4 7" xfId="33076"/>
    <cellStyle name="Обычный 4 59 7" xfId="33077"/>
    <cellStyle name="Процентный 4 59 7" xfId="33078"/>
    <cellStyle name="Обычный 5 52 7" xfId="33079"/>
    <cellStyle name="Процентный 5 52 7" xfId="33080"/>
    <cellStyle name="Обычный 4 2 46 7" xfId="33081"/>
    <cellStyle name="Процентный 4 2 46 7" xfId="33082"/>
    <cellStyle name="Обычный 5 2 46 7" xfId="33083"/>
    <cellStyle name="Процентный 5 2 46 7" xfId="33084"/>
    <cellStyle name="Обычный 6 43 7" xfId="33085"/>
    <cellStyle name="Процентный 6 43 7" xfId="33086"/>
    <cellStyle name="Обычный 7 13 7" xfId="33087"/>
    <cellStyle name="Процентный 7 13 7" xfId="33088"/>
    <cellStyle name="Обычный 4 3 5 7" xfId="33089"/>
    <cellStyle name="Процентный 4 3 5 7" xfId="33090"/>
    <cellStyle name="Обычный 5 3 5 7" xfId="33091"/>
    <cellStyle name="Процентный 5 3 5 7" xfId="33092"/>
    <cellStyle name="Обычный 4 2 2 5 7" xfId="33093"/>
    <cellStyle name="Процентный 4 2 2 5 7" xfId="33094"/>
    <cellStyle name="Обычный 5 2 2 5 7" xfId="33095"/>
    <cellStyle name="Процентный 5 2 2 5 7" xfId="33096"/>
    <cellStyle name="Обычный 6 2 5 7" xfId="33097"/>
    <cellStyle name="Процентный 6 2 5 7" xfId="33098"/>
    <cellStyle name="Обычный 7 2 5 7" xfId="33099"/>
    <cellStyle name="Процентный 7 2 5 7" xfId="33100"/>
    <cellStyle name="Обычный 8 150" xfId="33101"/>
    <cellStyle name="Процентный 8 150" xfId="33102"/>
    <cellStyle name="Обычный 4 60 7" xfId="33103"/>
    <cellStyle name="Процентный 4 60 7" xfId="33104"/>
    <cellStyle name="Обычный 5 53 7" xfId="33105"/>
    <cellStyle name="Процентный 5 53 7" xfId="33106"/>
    <cellStyle name="Обычный 4 2 47 7" xfId="33107"/>
    <cellStyle name="Процентный 4 2 47 7" xfId="33108"/>
    <cellStyle name="Обычный 5 2 47 7" xfId="33109"/>
    <cellStyle name="Процентный 5 2 47 7" xfId="33110"/>
    <cellStyle name="Обычный 6 44 7" xfId="33111"/>
    <cellStyle name="Процентный 6 44 7" xfId="33112"/>
    <cellStyle name="Обычный 7 14 7" xfId="33113"/>
    <cellStyle name="Процентный 7 14 7" xfId="33114"/>
    <cellStyle name="Обычный 4 3 6 7" xfId="33115"/>
    <cellStyle name="Процентный 4 3 6 7" xfId="33116"/>
    <cellStyle name="Обычный 5 3 6 7" xfId="33117"/>
    <cellStyle name="Процентный 5 3 6 7" xfId="33118"/>
    <cellStyle name="Обычный 4 2 2 6 7" xfId="33119"/>
    <cellStyle name="Процентный 4 2 2 6 7" xfId="33120"/>
    <cellStyle name="Обычный 5 2 2 6 7" xfId="33121"/>
    <cellStyle name="Процентный 5 2 2 6 7" xfId="33122"/>
    <cellStyle name="Обычный 6 2 6 7" xfId="33123"/>
    <cellStyle name="Процентный 6 2 6 7" xfId="33124"/>
    <cellStyle name="Обычный 7 2 6 7" xfId="33125"/>
    <cellStyle name="Процентный 7 2 6 7" xfId="33126"/>
    <cellStyle name="Обычный 8 2 7" xfId="33127"/>
    <cellStyle name="Процентный 8 2 7" xfId="33128"/>
    <cellStyle name="Обычный 4 61 7" xfId="33129"/>
    <cellStyle name="Процентный 4 61 7" xfId="33130"/>
    <cellStyle name="Обычный 5 54 7" xfId="33131"/>
    <cellStyle name="Процентный 5 54 7" xfId="33132"/>
    <cellStyle name="Обычный 4 2 48 7" xfId="33133"/>
    <cellStyle name="Процентный 4 2 48 7" xfId="33134"/>
    <cellStyle name="Обычный 5 2 48 7" xfId="33135"/>
    <cellStyle name="Процентный 5 2 48 7" xfId="33136"/>
    <cellStyle name="Обычный 6 45 7" xfId="33137"/>
    <cellStyle name="Процентный 6 45 7" xfId="33138"/>
    <cellStyle name="Обычный 7 15 7" xfId="33139"/>
    <cellStyle name="Процентный 7 15 7" xfId="33140"/>
    <cellStyle name="Обычный 4 3 7 7" xfId="33141"/>
    <cellStyle name="Процентный 4 3 7 7" xfId="33142"/>
    <cellStyle name="Обычный 5 3 7 7" xfId="33143"/>
    <cellStyle name="Процентный 5 3 7 7" xfId="33144"/>
    <cellStyle name="Обычный 4 2 2 7 7" xfId="33145"/>
    <cellStyle name="Процентный 4 2 2 7 7" xfId="33146"/>
    <cellStyle name="Обычный 5 2 2 7 7" xfId="33147"/>
    <cellStyle name="Процентный 5 2 2 7 7" xfId="33148"/>
    <cellStyle name="Обычный 6 2 7 7" xfId="33149"/>
    <cellStyle name="Процентный 6 2 7 7" xfId="33150"/>
    <cellStyle name="Обычный 7 2 7 7" xfId="33151"/>
    <cellStyle name="Процентный 7 2 7 7" xfId="33152"/>
    <cellStyle name="Обычный 8 3 7" xfId="33153"/>
    <cellStyle name="Процентный 8 3 7" xfId="33154"/>
    <cellStyle name="Обычный 4 62 7" xfId="33155"/>
    <cellStyle name="Процентный 4 62 7" xfId="33156"/>
    <cellStyle name="Обычный 5 55 7" xfId="33157"/>
    <cellStyle name="Процентный 5 55 7" xfId="33158"/>
    <cellStyle name="Обычный 4 2 49 7" xfId="33159"/>
    <cellStyle name="Процентный 4 2 49 7" xfId="33160"/>
    <cellStyle name="Обычный 5 2 49 7" xfId="33161"/>
    <cellStyle name="Процентный 5 2 49 7" xfId="33162"/>
    <cellStyle name="Обычный 6 46 7" xfId="33163"/>
    <cellStyle name="Процентный 6 46 7" xfId="33164"/>
    <cellStyle name="Обычный 7 16 7" xfId="33165"/>
    <cellStyle name="Процентный 7 16 7" xfId="33166"/>
    <cellStyle name="Обычный 4 3 8 7" xfId="33167"/>
    <cellStyle name="Процентный 4 3 8 7" xfId="33168"/>
    <cellStyle name="Обычный 5 3 8 7" xfId="33169"/>
    <cellStyle name="Процентный 5 3 8 7" xfId="33170"/>
    <cellStyle name="Обычный 4 2 2 8 7" xfId="33171"/>
    <cellStyle name="Процентный 4 2 2 8 7" xfId="33172"/>
    <cellStyle name="Обычный 5 2 2 8 7" xfId="33173"/>
    <cellStyle name="Процентный 5 2 2 8 7" xfId="33174"/>
    <cellStyle name="Обычный 6 2 8 7" xfId="33175"/>
    <cellStyle name="Процентный 6 2 8 7" xfId="33176"/>
    <cellStyle name="Обычный 7 2 8 7" xfId="33177"/>
    <cellStyle name="Процентный 7 2 8 7" xfId="33178"/>
    <cellStyle name="Обычный 8 4 7" xfId="33179"/>
    <cellStyle name="Процентный 8 4 7" xfId="33180"/>
    <cellStyle name="Обычный 4 63 7" xfId="33181"/>
    <cellStyle name="Процентный 4 63 7" xfId="33182"/>
    <cellStyle name="Обычный 5 56 7" xfId="33183"/>
    <cellStyle name="Процентный 5 56 7" xfId="33184"/>
    <cellStyle name="Обычный 4 2 50 7" xfId="33185"/>
    <cellStyle name="Процентный 4 2 50 7" xfId="33186"/>
    <cellStyle name="Обычный 5 2 50 7" xfId="33187"/>
    <cellStyle name="Процентный 5 2 50 7" xfId="33188"/>
    <cellStyle name="Обычный 6 47 7" xfId="33189"/>
    <cellStyle name="Процентный 6 47 7" xfId="33190"/>
    <cellStyle name="Обычный 7 17 7" xfId="33191"/>
    <cellStyle name="Процентный 7 17 7" xfId="33192"/>
    <cellStyle name="Обычный 4 3 9 7" xfId="33193"/>
    <cellStyle name="Процентный 4 3 9 7" xfId="33194"/>
    <cellStyle name="Обычный 5 3 9 7" xfId="33195"/>
    <cellStyle name="Процентный 5 3 9 7" xfId="33196"/>
    <cellStyle name="Обычный 4 2 2 9 7" xfId="33197"/>
    <cellStyle name="Процентный 4 2 2 9 7" xfId="33198"/>
    <cellStyle name="Обычный 5 2 2 9 7" xfId="33199"/>
    <cellStyle name="Процентный 5 2 2 9 7" xfId="33200"/>
    <cellStyle name="Обычный 6 2 9 7" xfId="33201"/>
    <cellStyle name="Процентный 6 2 9 7" xfId="33202"/>
    <cellStyle name="Обычный 7 2 9 7" xfId="33203"/>
    <cellStyle name="Процентный 7 2 9 7" xfId="33204"/>
    <cellStyle name="Обычный 8 5 7" xfId="33205"/>
    <cellStyle name="Процентный 8 5 7" xfId="33206"/>
    <cellStyle name="Обычный 4 64 7" xfId="33207"/>
    <cellStyle name="Процентный 4 64 7" xfId="33208"/>
    <cellStyle name="Обычный 5 57 7" xfId="33209"/>
    <cellStyle name="Процентный 5 57 7" xfId="33210"/>
    <cellStyle name="Обычный 4 2 51 7" xfId="33211"/>
    <cellStyle name="Процентный 4 2 51 7" xfId="33212"/>
    <cellStyle name="Обычный 5 2 51 7" xfId="33213"/>
    <cellStyle name="Процентный 5 2 51 7" xfId="33214"/>
    <cellStyle name="Обычный 6 48 7" xfId="33215"/>
    <cellStyle name="Процентный 6 48 7" xfId="33216"/>
    <cellStyle name="Обычный 7 18 7" xfId="33217"/>
    <cellStyle name="Процентный 7 18 7" xfId="33218"/>
    <cellStyle name="Обычный 4 3 10 7" xfId="33219"/>
    <cellStyle name="Процентный 4 3 10 7" xfId="33220"/>
    <cellStyle name="Обычный 5 3 10 7" xfId="33221"/>
    <cellStyle name="Процентный 5 3 10 7" xfId="33222"/>
    <cellStyle name="Обычный 4 2 2 10 7" xfId="33223"/>
    <cellStyle name="Процентный 4 2 2 10 7" xfId="33224"/>
    <cellStyle name="Обычный 5 2 2 10 7" xfId="33225"/>
    <cellStyle name="Процентный 5 2 2 10 7" xfId="33226"/>
    <cellStyle name="Обычный 6 2 10 7" xfId="33227"/>
    <cellStyle name="Процентный 6 2 10 7" xfId="33228"/>
    <cellStyle name="Обычный 7 2 10 7" xfId="33229"/>
    <cellStyle name="Процентный 7 2 10 7" xfId="33230"/>
    <cellStyle name="Обычный 8 6 7" xfId="33231"/>
    <cellStyle name="Процентный 8 6 7" xfId="33232"/>
    <cellStyle name="Обычный 4 65 7" xfId="33233"/>
    <cellStyle name="Процентный 4 65 7" xfId="33234"/>
    <cellStyle name="Обычный 5 58 7" xfId="33235"/>
    <cellStyle name="Процентный 5 58 7" xfId="33236"/>
    <cellStyle name="Обычный 4 2 52 7" xfId="33237"/>
    <cellStyle name="Процентный 4 2 52 7" xfId="33238"/>
    <cellStyle name="Обычный 5 2 52 7" xfId="33239"/>
    <cellStyle name="Процентный 5 2 52 7" xfId="33240"/>
    <cellStyle name="Обычный 6 49 7" xfId="33241"/>
    <cellStyle name="Процентный 6 49 7" xfId="33242"/>
    <cellStyle name="Обычный 7 19 7" xfId="33243"/>
    <cellStyle name="Процентный 7 19 7" xfId="33244"/>
    <cellStyle name="Обычный 4 3 11 7" xfId="33245"/>
    <cellStyle name="Процентный 4 3 11 7" xfId="33246"/>
    <cellStyle name="Обычный 5 3 11 7" xfId="33247"/>
    <cellStyle name="Процентный 5 3 11 7" xfId="33248"/>
    <cellStyle name="Обычный 4 2 2 11 7" xfId="33249"/>
    <cellStyle name="Процентный 4 2 2 11 7" xfId="33250"/>
    <cellStyle name="Обычный 5 2 2 11 7" xfId="33251"/>
    <cellStyle name="Процентный 5 2 2 11 7" xfId="33252"/>
    <cellStyle name="Обычный 6 2 11 7" xfId="33253"/>
    <cellStyle name="Процентный 6 2 11 7" xfId="33254"/>
    <cellStyle name="Обычный 7 2 11 7" xfId="33255"/>
    <cellStyle name="Процентный 7 2 11 7" xfId="33256"/>
    <cellStyle name="Обычный 8 7 7" xfId="33257"/>
    <cellStyle name="Процентный 8 7 7" xfId="33258"/>
    <cellStyle name="Обычный 4 66 7" xfId="33259"/>
    <cellStyle name="Процентный 4 66 7" xfId="33260"/>
    <cellStyle name="Обычный 5 59 7" xfId="33261"/>
    <cellStyle name="Процентный 5 59 7" xfId="33262"/>
    <cellStyle name="Обычный 4 2 53 7" xfId="33263"/>
    <cellStyle name="Процентный 4 2 53 7" xfId="33264"/>
    <cellStyle name="Обычный 5 2 53 7" xfId="33265"/>
    <cellStyle name="Процентный 5 2 53 7" xfId="33266"/>
    <cellStyle name="Обычный 6 50 7" xfId="33267"/>
    <cellStyle name="Процентный 6 50 7" xfId="33268"/>
    <cellStyle name="Обычный 7 20 7" xfId="33269"/>
    <cellStyle name="Процентный 7 20 7" xfId="33270"/>
    <cellStyle name="Обычный 4 3 12 7" xfId="33271"/>
    <cellStyle name="Процентный 4 3 12 7" xfId="33272"/>
    <cellStyle name="Обычный 5 3 12 7" xfId="33273"/>
    <cellStyle name="Процентный 5 3 12 7" xfId="33274"/>
    <cellStyle name="Обычный 4 2 2 12 7" xfId="33275"/>
    <cellStyle name="Процентный 4 2 2 12 7" xfId="33276"/>
    <cellStyle name="Обычный 5 2 2 12 7" xfId="33277"/>
    <cellStyle name="Процентный 5 2 2 12 7" xfId="33278"/>
    <cellStyle name="Обычный 6 2 12 7" xfId="33279"/>
    <cellStyle name="Процентный 6 2 12 7" xfId="33280"/>
    <cellStyle name="Обычный 7 2 12 7" xfId="33281"/>
    <cellStyle name="Процентный 7 2 12 7" xfId="33282"/>
    <cellStyle name="Обычный 8 8 7" xfId="33283"/>
    <cellStyle name="Процентный 8 8 7" xfId="33284"/>
    <cellStyle name="Обычный 4 67 7" xfId="33285"/>
    <cellStyle name="Процентный 4 67 7" xfId="33286"/>
    <cellStyle name="Обычный 5 60 7" xfId="33287"/>
    <cellStyle name="Процентный 5 60 7" xfId="33288"/>
    <cellStyle name="Обычный 4 2 54 7" xfId="33289"/>
    <cellStyle name="Процентный 4 2 54 7" xfId="33290"/>
    <cellStyle name="Обычный 5 2 54 7" xfId="33291"/>
    <cellStyle name="Процентный 5 2 54 7" xfId="33292"/>
    <cellStyle name="Обычный 6 51 7" xfId="33293"/>
    <cellStyle name="Процентный 6 51 7" xfId="33294"/>
    <cellStyle name="Обычный 7 21 7" xfId="33295"/>
    <cellStyle name="Процентный 7 21 7" xfId="33296"/>
    <cellStyle name="Обычный 4 3 13 7" xfId="33297"/>
    <cellStyle name="Процентный 4 3 13 7" xfId="33298"/>
    <cellStyle name="Обычный 5 3 13 7" xfId="33299"/>
    <cellStyle name="Процентный 5 3 13 7" xfId="33300"/>
    <cellStyle name="Обычный 4 2 2 13 7" xfId="33301"/>
    <cellStyle name="Процентный 4 2 2 13 7" xfId="33302"/>
    <cellStyle name="Обычный 5 2 2 13 7" xfId="33303"/>
    <cellStyle name="Процентный 5 2 2 13 7" xfId="33304"/>
    <cellStyle name="Обычный 6 2 13 7" xfId="33305"/>
    <cellStyle name="Процентный 6 2 13 7" xfId="33306"/>
    <cellStyle name="Обычный 7 2 13 7" xfId="33307"/>
    <cellStyle name="Процентный 7 2 13 7" xfId="33308"/>
    <cellStyle name="Обычный 8 9 7" xfId="33309"/>
    <cellStyle name="Процентный 8 9 7" xfId="33310"/>
    <cellStyle name="Обычный 4 68 7" xfId="33311"/>
    <cellStyle name="Процентный 4 68 7" xfId="33312"/>
    <cellStyle name="Обычный 5 61 7" xfId="33313"/>
    <cellStyle name="Процентный 5 61 7" xfId="33314"/>
    <cellStyle name="Обычный 4 2 55 7" xfId="33315"/>
    <cellStyle name="Процентный 4 2 55 7" xfId="33316"/>
    <cellStyle name="Обычный 5 2 55 7" xfId="33317"/>
    <cellStyle name="Процентный 5 2 55 7" xfId="33318"/>
    <cellStyle name="Обычный 6 52 7" xfId="33319"/>
    <cellStyle name="Процентный 6 52 7" xfId="33320"/>
    <cellStyle name="Обычный 7 22 7" xfId="33321"/>
    <cellStyle name="Процентный 7 22 7" xfId="33322"/>
    <cellStyle name="Обычный 4 3 14 7" xfId="33323"/>
    <cellStyle name="Процентный 4 3 14 7" xfId="33324"/>
    <cellStyle name="Обычный 5 3 14 7" xfId="33325"/>
    <cellStyle name="Процентный 5 3 14 7" xfId="33326"/>
    <cellStyle name="Обычный 4 2 2 14 7" xfId="33327"/>
    <cellStyle name="Процентный 4 2 2 14 7" xfId="33328"/>
    <cellStyle name="Обычный 5 2 2 14 7" xfId="33329"/>
    <cellStyle name="Процентный 5 2 2 14 7" xfId="33330"/>
    <cellStyle name="Обычный 6 2 14 7" xfId="33331"/>
    <cellStyle name="Процентный 6 2 14 7" xfId="33332"/>
    <cellStyle name="Обычный 7 2 14 7" xfId="33333"/>
    <cellStyle name="Процентный 7 2 14 7" xfId="33334"/>
    <cellStyle name="Обычный 8 10 7" xfId="33335"/>
    <cellStyle name="Процентный 8 10 7" xfId="33336"/>
    <cellStyle name="Обычный 4 69 7" xfId="33337"/>
    <cellStyle name="Процентный 4 69 7" xfId="33338"/>
    <cellStyle name="Обычный 5 62 7" xfId="33339"/>
    <cellStyle name="Процентный 5 62 7" xfId="33340"/>
    <cellStyle name="Обычный 4 2 56 7" xfId="33341"/>
    <cellStyle name="Процентный 4 2 56 7" xfId="33342"/>
    <cellStyle name="Обычный 5 2 56 7" xfId="33343"/>
    <cellStyle name="Процентный 5 2 56 7" xfId="33344"/>
    <cellStyle name="Обычный 6 53 7" xfId="33345"/>
    <cellStyle name="Процентный 6 53 7" xfId="33346"/>
    <cellStyle name="Обычный 7 23 7" xfId="33347"/>
    <cellStyle name="Процентный 7 23 7" xfId="33348"/>
    <cellStyle name="Обычный 4 3 15 7" xfId="33349"/>
    <cellStyle name="Процентный 4 3 15 7" xfId="33350"/>
    <cellStyle name="Обычный 5 3 15 7" xfId="33351"/>
    <cellStyle name="Процентный 5 3 15 7" xfId="33352"/>
    <cellStyle name="Обычный 4 2 2 15 7" xfId="33353"/>
    <cellStyle name="Процентный 4 2 2 15 7" xfId="33354"/>
    <cellStyle name="Обычный 5 2 2 15 7" xfId="33355"/>
    <cellStyle name="Процентный 5 2 2 15 7" xfId="33356"/>
    <cellStyle name="Обычный 6 2 15 7" xfId="33357"/>
    <cellStyle name="Процентный 6 2 15 7" xfId="33358"/>
    <cellStyle name="Обычный 7 2 15 7" xfId="33359"/>
    <cellStyle name="Процентный 7 2 15 7" xfId="33360"/>
    <cellStyle name="Обычный 8 11 7" xfId="33361"/>
    <cellStyle name="Процентный 8 11 7" xfId="33362"/>
    <cellStyle name="Обычный 4 70 7" xfId="33363"/>
    <cellStyle name="Процентный 4 70 7" xfId="33364"/>
    <cellStyle name="Обычный 5 63 7" xfId="33365"/>
    <cellStyle name="Процентный 5 63 7" xfId="33366"/>
    <cellStyle name="Обычный 4 2 57 7" xfId="33367"/>
    <cellStyle name="Процентный 4 2 57 7" xfId="33368"/>
    <cellStyle name="Обычный 5 2 57 7" xfId="33369"/>
    <cellStyle name="Процентный 5 2 57 7" xfId="33370"/>
    <cellStyle name="Обычный 6 54 7" xfId="33371"/>
    <cellStyle name="Процентный 6 54 7" xfId="33372"/>
    <cellStyle name="Обычный 7 24 7" xfId="33373"/>
    <cellStyle name="Процентный 7 24 7" xfId="33374"/>
    <cellStyle name="Обычный 4 3 16 7" xfId="33375"/>
    <cellStyle name="Процентный 4 3 16 7" xfId="33376"/>
    <cellStyle name="Обычный 5 3 16 7" xfId="33377"/>
    <cellStyle name="Процентный 5 3 16 7" xfId="33378"/>
    <cellStyle name="Обычный 4 2 2 16 7" xfId="33379"/>
    <cellStyle name="Процентный 4 2 2 16 7" xfId="33380"/>
    <cellStyle name="Обычный 5 2 2 16 7" xfId="33381"/>
    <cellStyle name="Процентный 5 2 2 16 7" xfId="33382"/>
    <cellStyle name="Обычный 6 2 16 7" xfId="33383"/>
    <cellStyle name="Процентный 6 2 16 7" xfId="33384"/>
    <cellStyle name="Обычный 7 2 16 7" xfId="33385"/>
    <cellStyle name="Процентный 7 2 16 7" xfId="33386"/>
    <cellStyle name="Обычный 8 12 7" xfId="33387"/>
    <cellStyle name="Процентный 8 12 7" xfId="33388"/>
    <cellStyle name="Обычный 4 71 7" xfId="33389"/>
    <cellStyle name="Процентный 4 71 7" xfId="33390"/>
    <cellStyle name="Обычный 5 64 7" xfId="33391"/>
    <cellStyle name="Процентный 5 64 7" xfId="33392"/>
    <cellStyle name="Обычный 4 2 58 7" xfId="33393"/>
    <cellStyle name="Процентный 4 2 58 7" xfId="33394"/>
    <cellStyle name="Обычный 5 2 58 7" xfId="33395"/>
    <cellStyle name="Процентный 5 2 58 7" xfId="33396"/>
    <cellStyle name="Обычный 6 55 7" xfId="33397"/>
    <cellStyle name="Процентный 6 55 7" xfId="33398"/>
    <cellStyle name="Обычный 7 25 7" xfId="33399"/>
    <cellStyle name="Процентный 7 25 7" xfId="33400"/>
    <cellStyle name="Обычный 4 3 17 7" xfId="33401"/>
    <cellStyle name="Процентный 4 3 17 7" xfId="33402"/>
    <cellStyle name="Обычный 5 3 17 7" xfId="33403"/>
    <cellStyle name="Процентный 5 3 17 7" xfId="33404"/>
    <cellStyle name="Обычный 4 2 2 17 7" xfId="33405"/>
    <cellStyle name="Процентный 4 2 2 17 7" xfId="33406"/>
    <cellStyle name="Обычный 5 2 2 17 7" xfId="33407"/>
    <cellStyle name="Процентный 5 2 2 17 7" xfId="33408"/>
    <cellStyle name="Обычный 6 2 17 7" xfId="33409"/>
    <cellStyle name="Процентный 6 2 17 7" xfId="33410"/>
    <cellStyle name="Обычный 7 2 17 7" xfId="33411"/>
    <cellStyle name="Процентный 7 2 17 7" xfId="33412"/>
    <cellStyle name="Обычный 8 13 7" xfId="33413"/>
    <cellStyle name="Процентный 8 13 7" xfId="33414"/>
    <cellStyle name="Обычный 4 72 7" xfId="33415"/>
    <cellStyle name="Процентный 4 72 7" xfId="33416"/>
    <cellStyle name="Обычный 5 65 7" xfId="33417"/>
    <cellStyle name="Процентный 5 65 7" xfId="33418"/>
    <cellStyle name="Обычный 4 2 59 7" xfId="33419"/>
    <cellStyle name="Процентный 4 2 59 7" xfId="33420"/>
    <cellStyle name="Обычный 5 2 59 7" xfId="33421"/>
    <cellStyle name="Процентный 5 2 59 7" xfId="33422"/>
    <cellStyle name="Обычный 6 56 7" xfId="33423"/>
    <cellStyle name="Процентный 6 56 7" xfId="33424"/>
    <cellStyle name="Обычный 7 26 7" xfId="33425"/>
    <cellStyle name="Процентный 7 26 7" xfId="33426"/>
    <cellStyle name="Обычный 4 3 18 7" xfId="33427"/>
    <cellStyle name="Процентный 4 3 18 7" xfId="33428"/>
    <cellStyle name="Обычный 5 3 18 7" xfId="33429"/>
    <cellStyle name="Процентный 5 3 18 7" xfId="33430"/>
    <cellStyle name="Обычный 4 2 2 18 7" xfId="33431"/>
    <cellStyle name="Процентный 4 2 2 18 7" xfId="33432"/>
    <cellStyle name="Обычный 5 2 2 18 7" xfId="33433"/>
    <cellStyle name="Процентный 5 2 2 18 7" xfId="33434"/>
    <cellStyle name="Обычный 6 2 18 7" xfId="33435"/>
    <cellStyle name="Процентный 6 2 18 7" xfId="33436"/>
    <cellStyle name="Обычный 7 2 18 7" xfId="33437"/>
    <cellStyle name="Процентный 7 2 18 7" xfId="33438"/>
    <cellStyle name="Обычный 8 14 7" xfId="33439"/>
    <cellStyle name="Процентный 8 14 7" xfId="33440"/>
    <cellStyle name="Обычный 4 73 7" xfId="33441"/>
    <cellStyle name="Процентный 4 73 7" xfId="33442"/>
    <cellStyle name="Обычный 5 66 7" xfId="33443"/>
    <cellStyle name="Процентный 5 66 7" xfId="33444"/>
    <cellStyle name="Обычный 4 2 60 7" xfId="33445"/>
    <cellStyle name="Процентный 4 2 60 7" xfId="33446"/>
    <cellStyle name="Обычный 5 2 60 7" xfId="33447"/>
    <cellStyle name="Процентный 5 2 60 7" xfId="33448"/>
    <cellStyle name="Обычный 6 57 7" xfId="33449"/>
    <cellStyle name="Процентный 6 57 7" xfId="33450"/>
    <cellStyle name="Обычный 7 27 7" xfId="33451"/>
    <cellStyle name="Процентный 7 27 7" xfId="33452"/>
    <cellStyle name="Обычный 4 3 19 7" xfId="33453"/>
    <cellStyle name="Процентный 4 3 19 7" xfId="33454"/>
    <cellStyle name="Обычный 5 3 19 7" xfId="33455"/>
    <cellStyle name="Процентный 5 3 19 7" xfId="33456"/>
    <cellStyle name="Обычный 4 2 2 19 7" xfId="33457"/>
    <cellStyle name="Процентный 4 2 2 19 7" xfId="33458"/>
    <cellStyle name="Обычный 5 2 2 19 7" xfId="33459"/>
    <cellStyle name="Процентный 5 2 2 19 7" xfId="33460"/>
    <cellStyle name="Обычный 6 2 19 7" xfId="33461"/>
    <cellStyle name="Процентный 6 2 19 7" xfId="33462"/>
    <cellStyle name="Обычный 7 2 19 7" xfId="33463"/>
    <cellStyle name="Процентный 7 2 19 7" xfId="33464"/>
    <cellStyle name="Обычный 8 15 7" xfId="33465"/>
    <cellStyle name="Процентный 8 15 7" xfId="33466"/>
    <cellStyle name="Обычный 4 74 7" xfId="33467"/>
    <cellStyle name="Процентный 4 74 7" xfId="33468"/>
    <cellStyle name="Обычный 5 67 7" xfId="33469"/>
    <cellStyle name="Процентный 5 67 7" xfId="33470"/>
    <cellStyle name="Обычный 4 2 61 7" xfId="33471"/>
    <cellStyle name="Процентный 4 2 61 7" xfId="33472"/>
    <cellStyle name="Обычный 5 2 61 7" xfId="33473"/>
    <cellStyle name="Процентный 5 2 61 7" xfId="33474"/>
    <cellStyle name="Обычный 6 58 7" xfId="33475"/>
    <cellStyle name="Процентный 6 58 7" xfId="33476"/>
    <cellStyle name="Обычный 7 28 7" xfId="33477"/>
    <cellStyle name="Процентный 7 28 7" xfId="33478"/>
    <cellStyle name="Обычный 4 3 20 7" xfId="33479"/>
    <cellStyle name="Процентный 4 3 20 7" xfId="33480"/>
    <cellStyle name="Обычный 5 3 20 7" xfId="33481"/>
    <cellStyle name="Процентный 5 3 20 7" xfId="33482"/>
    <cellStyle name="Обычный 4 2 2 20 7" xfId="33483"/>
    <cellStyle name="Процентный 4 2 2 20 7" xfId="33484"/>
    <cellStyle name="Обычный 5 2 2 20 7" xfId="33485"/>
    <cellStyle name="Процентный 5 2 2 20 7" xfId="33486"/>
    <cellStyle name="Обычный 6 2 20 7" xfId="33487"/>
    <cellStyle name="Процентный 6 2 20 7" xfId="33488"/>
    <cellStyle name="Обычный 7 2 20 7" xfId="33489"/>
    <cellStyle name="Процентный 7 2 20 7" xfId="33490"/>
    <cellStyle name="Обычный 8 16 7" xfId="33491"/>
    <cellStyle name="Процентный 8 16 7" xfId="33492"/>
    <cellStyle name="Обычный 4 75 7" xfId="33493"/>
    <cellStyle name="Процентный 4 75 7" xfId="33494"/>
    <cellStyle name="Обычный 5 68 7" xfId="33495"/>
    <cellStyle name="Процентный 5 68 7" xfId="33496"/>
    <cellStyle name="Обычный 4 2 62 7" xfId="33497"/>
    <cellStyle name="Процентный 4 2 62 7" xfId="33498"/>
    <cellStyle name="Обычный 5 2 62 7" xfId="33499"/>
    <cellStyle name="Процентный 5 2 62 7" xfId="33500"/>
    <cellStyle name="Обычный 6 59 7" xfId="33501"/>
    <cellStyle name="Процентный 6 59 7" xfId="33502"/>
    <cellStyle name="Обычный 7 29 7" xfId="33503"/>
    <cellStyle name="Процентный 7 29 7" xfId="33504"/>
    <cellStyle name="Обычный 4 3 21 7" xfId="33505"/>
    <cellStyle name="Процентный 4 3 21 7" xfId="33506"/>
    <cellStyle name="Обычный 5 3 21 7" xfId="33507"/>
    <cellStyle name="Процентный 5 3 21 7" xfId="33508"/>
    <cellStyle name="Обычный 4 2 2 21 7" xfId="33509"/>
    <cellStyle name="Процентный 4 2 2 21 7" xfId="33510"/>
    <cellStyle name="Обычный 5 2 2 21 7" xfId="33511"/>
    <cellStyle name="Процентный 5 2 2 21 7" xfId="33512"/>
    <cellStyle name="Обычный 6 2 21 7" xfId="33513"/>
    <cellStyle name="Процентный 6 2 21 7" xfId="33514"/>
    <cellStyle name="Обычный 7 2 21 7" xfId="33515"/>
    <cellStyle name="Процентный 7 2 21 7" xfId="33516"/>
    <cellStyle name="Обычный 8 17 7" xfId="33517"/>
    <cellStyle name="Процентный 8 17 7" xfId="33518"/>
    <cellStyle name="Обычный 4 76 7" xfId="33519"/>
    <cellStyle name="Процентный 4 76 7" xfId="33520"/>
    <cellStyle name="Обычный 5 69 7" xfId="33521"/>
    <cellStyle name="Процентный 5 69 7" xfId="33522"/>
    <cellStyle name="Обычный 4 2 63 7" xfId="33523"/>
    <cellStyle name="Процентный 4 2 63 7" xfId="33524"/>
    <cellStyle name="Обычный 5 2 63 7" xfId="33525"/>
    <cellStyle name="Процентный 5 2 63 7" xfId="33526"/>
    <cellStyle name="Обычный 6 60 7" xfId="33527"/>
    <cellStyle name="Процентный 6 60 7" xfId="33528"/>
    <cellStyle name="Обычный 7 30 7" xfId="33529"/>
    <cellStyle name="Процентный 7 30 7" xfId="33530"/>
    <cellStyle name="Обычный 4 3 22 7" xfId="33531"/>
    <cellStyle name="Процентный 4 3 22 7" xfId="33532"/>
    <cellStyle name="Обычный 5 3 22 7" xfId="33533"/>
    <cellStyle name="Процентный 5 3 22 7" xfId="33534"/>
    <cellStyle name="Обычный 4 2 2 22 7" xfId="33535"/>
    <cellStyle name="Процентный 4 2 2 22 7" xfId="33536"/>
    <cellStyle name="Обычный 5 2 2 22 7" xfId="33537"/>
    <cellStyle name="Процентный 5 2 2 22 7" xfId="33538"/>
    <cellStyle name="Обычный 6 2 22 7" xfId="33539"/>
    <cellStyle name="Процентный 6 2 22 7" xfId="33540"/>
    <cellStyle name="Обычный 7 2 22 7" xfId="33541"/>
    <cellStyle name="Процентный 7 2 22 7" xfId="33542"/>
    <cellStyle name="Обычный 8 18 7" xfId="33543"/>
    <cellStyle name="Процентный 8 18 7" xfId="33544"/>
    <cellStyle name="Обычный 4 77 7" xfId="33545"/>
    <cellStyle name="Процентный 4 77 7" xfId="33546"/>
    <cellStyle name="Обычный 5 70 7" xfId="33547"/>
    <cellStyle name="Процентный 5 70 7" xfId="33548"/>
    <cellStyle name="Обычный 4 2 64 7" xfId="33549"/>
    <cellStyle name="Процентный 4 2 64 7" xfId="33550"/>
    <cellStyle name="Обычный 5 2 64 7" xfId="33551"/>
    <cellStyle name="Процентный 5 2 64 7" xfId="33552"/>
    <cellStyle name="Обычный 6 61 7" xfId="33553"/>
    <cellStyle name="Процентный 6 61 7" xfId="33554"/>
    <cellStyle name="Обычный 7 31 7" xfId="33555"/>
    <cellStyle name="Процентный 7 31 7" xfId="33556"/>
    <cellStyle name="Обычный 4 3 23 7" xfId="33557"/>
    <cellStyle name="Процентный 4 3 23 7" xfId="33558"/>
    <cellStyle name="Обычный 5 3 23 7" xfId="33559"/>
    <cellStyle name="Процентный 5 3 23 7" xfId="33560"/>
    <cellStyle name="Обычный 4 2 2 23 7" xfId="33561"/>
    <cellStyle name="Процентный 4 2 2 23 7" xfId="33562"/>
    <cellStyle name="Обычный 5 2 2 23 7" xfId="33563"/>
    <cellStyle name="Процентный 5 2 2 23 7" xfId="33564"/>
    <cellStyle name="Обычный 6 2 23 7" xfId="33565"/>
    <cellStyle name="Процентный 6 2 23 7" xfId="33566"/>
    <cellStyle name="Обычный 7 2 23 7" xfId="33567"/>
    <cellStyle name="Процентный 7 2 23 7" xfId="33568"/>
    <cellStyle name="Обычный 8 19 7" xfId="33569"/>
    <cellStyle name="Процентный 8 19 7" xfId="33570"/>
    <cellStyle name="Обычный 4 78 7" xfId="33571"/>
    <cellStyle name="Процентный 4 78 7" xfId="33572"/>
    <cellStyle name="Обычный 5 71 7" xfId="33573"/>
    <cellStyle name="Процентный 5 71 7" xfId="33574"/>
    <cellStyle name="Обычный 4 2 65 7" xfId="33575"/>
    <cellStyle name="Процентный 4 2 65 7" xfId="33576"/>
    <cellStyle name="Обычный 5 2 65 7" xfId="33577"/>
    <cellStyle name="Процентный 5 2 65 7" xfId="33578"/>
    <cellStyle name="Обычный 6 62 7" xfId="33579"/>
    <cellStyle name="Процентный 6 62 7" xfId="33580"/>
    <cellStyle name="Обычный 7 32 7" xfId="33581"/>
    <cellStyle name="Процентный 7 32 7" xfId="33582"/>
    <cellStyle name="Обычный 4 3 24 7" xfId="33583"/>
    <cellStyle name="Процентный 4 3 24 7" xfId="33584"/>
    <cellStyle name="Обычный 5 3 24 7" xfId="33585"/>
    <cellStyle name="Процентный 5 3 24 7" xfId="33586"/>
    <cellStyle name="Обычный 4 2 2 24 7" xfId="33587"/>
    <cellStyle name="Процентный 4 2 2 24 7" xfId="33588"/>
    <cellStyle name="Обычный 5 2 2 24 7" xfId="33589"/>
    <cellStyle name="Процентный 5 2 2 24 7" xfId="33590"/>
    <cellStyle name="Обычный 6 2 24 7" xfId="33591"/>
    <cellStyle name="Процентный 6 2 24 7" xfId="33592"/>
    <cellStyle name="Обычный 7 2 24 7" xfId="33593"/>
    <cellStyle name="Процентный 7 2 24 7" xfId="33594"/>
    <cellStyle name="Обычный 8 20 7" xfId="33595"/>
    <cellStyle name="Процентный 8 20 7" xfId="33596"/>
    <cellStyle name="Обычный 4 79 7" xfId="33597"/>
    <cellStyle name="Процентный 4 79 7" xfId="33598"/>
    <cellStyle name="Обычный 5 72 7" xfId="33599"/>
    <cellStyle name="Процентный 5 72 7" xfId="33600"/>
    <cellStyle name="Обычный 4 2 66 7" xfId="33601"/>
    <cellStyle name="Процентный 4 2 66 7" xfId="33602"/>
    <cellStyle name="Обычный 5 2 66 7" xfId="33603"/>
    <cellStyle name="Процентный 5 2 66 7" xfId="33604"/>
    <cellStyle name="Обычный 6 63 7" xfId="33605"/>
    <cellStyle name="Процентный 6 63 7" xfId="33606"/>
    <cellStyle name="Обычный 7 33 7" xfId="33607"/>
    <cellStyle name="Процентный 7 33 7" xfId="33608"/>
    <cellStyle name="Обычный 4 3 25 7" xfId="33609"/>
    <cellStyle name="Процентный 4 3 25 7" xfId="33610"/>
    <cellStyle name="Обычный 5 3 25 7" xfId="33611"/>
    <cellStyle name="Процентный 5 3 25 7" xfId="33612"/>
    <cellStyle name="Обычный 4 2 2 25 7" xfId="33613"/>
    <cellStyle name="Процентный 4 2 2 25 7" xfId="33614"/>
    <cellStyle name="Обычный 5 2 2 25 7" xfId="33615"/>
    <cellStyle name="Процентный 5 2 2 25 7" xfId="33616"/>
    <cellStyle name="Обычный 6 2 25 7" xfId="33617"/>
    <cellStyle name="Процентный 6 2 25 7" xfId="33618"/>
    <cellStyle name="Обычный 7 2 25 7" xfId="33619"/>
    <cellStyle name="Процентный 7 2 25 7" xfId="33620"/>
    <cellStyle name="Обычный 8 21 7" xfId="33621"/>
    <cellStyle name="Процентный 8 21 7" xfId="33622"/>
    <cellStyle name="Обычный 4 80 7" xfId="33623"/>
    <cellStyle name="Процентный 4 80 7" xfId="33624"/>
    <cellStyle name="Обычный 5 73 7" xfId="33625"/>
    <cellStyle name="Процентный 5 73 7" xfId="33626"/>
    <cellStyle name="Обычный 4 2 67 7" xfId="33627"/>
    <cellStyle name="Процентный 4 2 67 7" xfId="33628"/>
    <cellStyle name="Обычный 5 2 67 7" xfId="33629"/>
    <cellStyle name="Процентный 5 2 67 7" xfId="33630"/>
    <cellStyle name="Обычный 6 64 7" xfId="33631"/>
    <cellStyle name="Процентный 6 64 7" xfId="33632"/>
    <cellStyle name="Обычный 7 34 7" xfId="33633"/>
    <cellStyle name="Процентный 7 34 7" xfId="33634"/>
    <cellStyle name="Обычный 4 3 26 7" xfId="33635"/>
    <cellStyle name="Процентный 4 3 26 7" xfId="33636"/>
    <cellStyle name="Обычный 5 3 26 7" xfId="33637"/>
    <cellStyle name="Процентный 5 3 26 7" xfId="33638"/>
    <cellStyle name="Обычный 4 2 2 26 7" xfId="33639"/>
    <cellStyle name="Процентный 4 2 2 26 7" xfId="33640"/>
    <cellStyle name="Обычный 5 2 2 26 7" xfId="33641"/>
    <cellStyle name="Процентный 5 2 2 26 7" xfId="33642"/>
    <cellStyle name="Обычный 6 2 26 7" xfId="33643"/>
    <cellStyle name="Процентный 6 2 26 7" xfId="33644"/>
    <cellStyle name="Обычный 7 2 26 7" xfId="33645"/>
    <cellStyle name="Процентный 7 2 26 7" xfId="33646"/>
    <cellStyle name="Обычный 8 22 7" xfId="33647"/>
    <cellStyle name="Процентный 8 22 7" xfId="33648"/>
    <cellStyle name="Обычный 4 81 7" xfId="33649"/>
    <cellStyle name="Процентный 4 81 7" xfId="33650"/>
    <cellStyle name="Обычный 5 74 7" xfId="33651"/>
    <cellStyle name="Процентный 5 74 7" xfId="33652"/>
    <cellStyle name="Обычный 4 2 68 7" xfId="33653"/>
    <cellStyle name="Процентный 4 2 68 7" xfId="33654"/>
    <cellStyle name="Обычный 5 2 68 7" xfId="33655"/>
    <cellStyle name="Процентный 5 2 68 7" xfId="33656"/>
    <cellStyle name="Обычный 6 65 7" xfId="33657"/>
    <cellStyle name="Процентный 6 65 7" xfId="33658"/>
    <cellStyle name="Обычный 7 35 7" xfId="33659"/>
    <cellStyle name="Процентный 7 35 7" xfId="33660"/>
    <cellStyle name="Обычный 4 3 27 7" xfId="33661"/>
    <cellStyle name="Процентный 4 3 27 7" xfId="33662"/>
    <cellStyle name="Обычный 5 3 27 7" xfId="33663"/>
    <cellStyle name="Процентный 5 3 27 7" xfId="33664"/>
    <cellStyle name="Обычный 4 2 2 27 7" xfId="33665"/>
    <cellStyle name="Процентный 4 2 2 27 7" xfId="33666"/>
    <cellStyle name="Обычный 5 2 2 27 7" xfId="33667"/>
    <cellStyle name="Процентный 5 2 2 27 7" xfId="33668"/>
    <cellStyle name="Обычный 6 2 27 7" xfId="33669"/>
    <cellStyle name="Процентный 6 2 27 7" xfId="33670"/>
    <cellStyle name="Обычный 7 2 27 7" xfId="33671"/>
    <cellStyle name="Процентный 7 2 27 7" xfId="33672"/>
    <cellStyle name="Обычный 8 23 7" xfId="33673"/>
    <cellStyle name="Процентный 8 23 7" xfId="33674"/>
    <cellStyle name="Обычный 4 82 7" xfId="33675"/>
    <cellStyle name="Процентный 4 82 7" xfId="33676"/>
    <cellStyle name="Обычный 5 75 7" xfId="33677"/>
    <cellStyle name="Процентный 5 75 7" xfId="33678"/>
    <cellStyle name="Обычный 4 2 69 7" xfId="33679"/>
    <cellStyle name="Процентный 4 2 69 7" xfId="33680"/>
    <cellStyle name="Обычный 5 2 69 7" xfId="33681"/>
    <cellStyle name="Процентный 5 2 69 7" xfId="33682"/>
    <cellStyle name="Обычный 6 66 7" xfId="33683"/>
    <cellStyle name="Процентный 6 66 7" xfId="33684"/>
    <cellStyle name="Обычный 7 36 7" xfId="33685"/>
    <cellStyle name="Процентный 7 36 7" xfId="33686"/>
    <cellStyle name="Обычный 4 3 28 7" xfId="33687"/>
    <cellStyle name="Процентный 4 3 28 7" xfId="33688"/>
    <cellStyle name="Обычный 5 3 28 7" xfId="33689"/>
    <cellStyle name="Процентный 5 3 28 7" xfId="33690"/>
    <cellStyle name="Обычный 4 2 2 28 7" xfId="33691"/>
    <cellStyle name="Процентный 4 2 2 28 7" xfId="33692"/>
    <cellStyle name="Обычный 5 2 2 28 7" xfId="33693"/>
    <cellStyle name="Процентный 5 2 2 28 7" xfId="33694"/>
    <cellStyle name="Обычный 6 2 28 7" xfId="33695"/>
    <cellStyle name="Процентный 6 2 28 7" xfId="33696"/>
    <cellStyle name="Обычный 7 2 28 7" xfId="33697"/>
    <cellStyle name="Процентный 7 2 28 7" xfId="33698"/>
    <cellStyle name="Обычный 8 24 7" xfId="33699"/>
    <cellStyle name="Процентный 8 24 7" xfId="33700"/>
    <cellStyle name="Обычный 4 83 7" xfId="33701"/>
    <cellStyle name="Процентный 4 83 7" xfId="33702"/>
    <cellStyle name="Обычный 5 76 7" xfId="33703"/>
    <cellStyle name="Процентный 5 76 7" xfId="33704"/>
    <cellStyle name="Обычный 4 2 70 7" xfId="33705"/>
    <cellStyle name="Процентный 4 2 70 7" xfId="33706"/>
    <cellStyle name="Обычный 5 2 70 7" xfId="33707"/>
    <cellStyle name="Процентный 5 2 70 7" xfId="33708"/>
    <cellStyle name="Обычный 6 67 7" xfId="33709"/>
    <cellStyle name="Процентный 6 67 7" xfId="33710"/>
    <cellStyle name="Обычный 7 37 7" xfId="33711"/>
    <cellStyle name="Процентный 7 37 7" xfId="33712"/>
    <cellStyle name="Обычный 4 3 29 7" xfId="33713"/>
    <cellStyle name="Процентный 4 3 29 7" xfId="33714"/>
    <cellStyle name="Обычный 5 3 29 7" xfId="33715"/>
    <cellStyle name="Процентный 5 3 29 7" xfId="33716"/>
    <cellStyle name="Обычный 4 2 2 29 7" xfId="33717"/>
    <cellStyle name="Процентный 4 2 2 29 7" xfId="33718"/>
    <cellStyle name="Обычный 5 2 2 29 7" xfId="33719"/>
    <cellStyle name="Процентный 5 2 2 29 7" xfId="33720"/>
    <cellStyle name="Обычный 6 2 29 7" xfId="33721"/>
    <cellStyle name="Процентный 6 2 29 7" xfId="33722"/>
    <cellStyle name="Обычный 7 2 29 7" xfId="33723"/>
    <cellStyle name="Процентный 7 2 29 7" xfId="33724"/>
    <cellStyle name="Обычный 8 25 7" xfId="33725"/>
    <cellStyle name="Процентный 8 25 7" xfId="33726"/>
    <cellStyle name="Обычный 4 84 7" xfId="33727"/>
    <cellStyle name="Процентный 4 84 7" xfId="33728"/>
    <cellStyle name="Обычный 5 77 7" xfId="33729"/>
    <cellStyle name="Процентный 5 77 7" xfId="33730"/>
    <cellStyle name="Обычный 4 2 71 7" xfId="33731"/>
    <cellStyle name="Процентный 4 2 71 7" xfId="33732"/>
    <cellStyle name="Обычный 5 2 71 7" xfId="33733"/>
    <cellStyle name="Процентный 5 2 71 7" xfId="33734"/>
    <cellStyle name="Обычный 6 68 7" xfId="33735"/>
    <cellStyle name="Процентный 6 68 7" xfId="33736"/>
    <cellStyle name="Обычный 7 38 7" xfId="33737"/>
    <cellStyle name="Процентный 7 38 7" xfId="33738"/>
    <cellStyle name="Обычный 4 3 30 7" xfId="33739"/>
    <cellStyle name="Процентный 4 3 30 7" xfId="33740"/>
    <cellStyle name="Обычный 5 3 30 7" xfId="33741"/>
    <cellStyle name="Процентный 5 3 30 7" xfId="33742"/>
    <cellStyle name="Обычный 4 2 2 30 7" xfId="33743"/>
    <cellStyle name="Процентный 4 2 2 30 7" xfId="33744"/>
    <cellStyle name="Обычный 5 2 2 30 7" xfId="33745"/>
    <cellStyle name="Процентный 5 2 2 30 7" xfId="33746"/>
    <cellStyle name="Обычный 6 2 30 7" xfId="33747"/>
    <cellStyle name="Процентный 6 2 30 7" xfId="33748"/>
    <cellStyle name="Обычный 7 2 30 7" xfId="33749"/>
    <cellStyle name="Процентный 7 2 30 7" xfId="33750"/>
    <cellStyle name="Обычный 8 26 7" xfId="33751"/>
    <cellStyle name="Процентный 8 26 7" xfId="33752"/>
    <cellStyle name="Обычный 4 85 7" xfId="33753"/>
    <cellStyle name="Процентный 4 85 7" xfId="33754"/>
    <cellStyle name="Обычный 5 78 7" xfId="33755"/>
    <cellStyle name="Процентный 5 78 7" xfId="33756"/>
    <cellStyle name="Обычный 4 2 72 7" xfId="33757"/>
    <cellStyle name="Процентный 4 2 72 7" xfId="33758"/>
    <cellStyle name="Обычный 5 2 72 7" xfId="33759"/>
    <cellStyle name="Процентный 5 2 72 7" xfId="33760"/>
    <cellStyle name="Обычный 6 69 7" xfId="33761"/>
    <cellStyle name="Процентный 6 69 7" xfId="33762"/>
    <cellStyle name="Обычный 7 39 7" xfId="33763"/>
    <cellStyle name="Процентный 7 39 7" xfId="33764"/>
    <cellStyle name="Обычный 4 3 31 7" xfId="33765"/>
    <cellStyle name="Процентный 4 3 31 7" xfId="33766"/>
    <cellStyle name="Обычный 5 3 31 7" xfId="33767"/>
    <cellStyle name="Процентный 5 3 31 7" xfId="33768"/>
    <cellStyle name="Обычный 4 2 2 31 7" xfId="33769"/>
    <cellStyle name="Процентный 4 2 2 31 7" xfId="33770"/>
    <cellStyle name="Обычный 5 2 2 31 7" xfId="33771"/>
    <cellStyle name="Процентный 5 2 2 31 7" xfId="33772"/>
    <cellStyle name="Обычный 6 2 31 7" xfId="33773"/>
    <cellStyle name="Процентный 6 2 31 7" xfId="33774"/>
    <cellStyle name="Обычный 7 2 31 7" xfId="33775"/>
    <cellStyle name="Процентный 7 2 31 7" xfId="33776"/>
    <cellStyle name="Обычный 8 27 7" xfId="33777"/>
    <cellStyle name="Процентный 8 27 7" xfId="33778"/>
    <cellStyle name="Обычный 4 86 7" xfId="33779"/>
    <cellStyle name="Процентный 4 86 7" xfId="33780"/>
    <cellStyle name="Обычный 5 79 7" xfId="33781"/>
    <cellStyle name="Процентный 5 79 7" xfId="33782"/>
    <cellStyle name="Обычный 4 2 73 7" xfId="33783"/>
    <cellStyle name="Процентный 4 2 73 7" xfId="33784"/>
    <cellStyle name="Обычный 5 2 73 7" xfId="33785"/>
    <cellStyle name="Процентный 5 2 73 7" xfId="33786"/>
    <cellStyle name="Обычный 6 70 7" xfId="33787"/>
    <cellStyle name="Процентный 6 70 7" xfId="33788"/>
    <cellStyle name="Обычный 7 40 7" xfId="33789"/>
    <cellStyle name="Процентный 7 40 7" xfId="33790"/>
    <cellStyle name="Обычный 4 3 32 7" xfId="33791"/>
    <cellStyle name="Процентный 4 3 32 7" xfId="33792"/>
    <cellStyle name="Обычный 5 3 32 7" xfId="33793"/>
    <cellStyle name="Процентный 5 3 32 7" xfId="33794"/>
    <cellStyle name="Обычный 4 2 2 32 7" xfId="33795"/>
    <cellStyle name="Процентный 4 2 2 32 7" xfId="33796"/>
    <cellStyle name="Обычный 5 2 2 32 7" xfId="33797"/>
    <cellStyle name="Процентный 5 2 2 32 7" xfId="33798"/>
    <cellStyle name="Обычный 6 2 32 7" xfId="33799"/>
    <cellStyle name="Процентный 6 2 32 7" xfId="33800"/>
    <cellStyle name="Обычный 7 2 32 7" xfId="33801"/>
    <cellStyle name="Процентный 7 2 32 7" xfId="33802"/>
    <cellStyle name="Обычный 8 28 7" xfId="33803"/>
    <cellStyle name="Процентный 8 28 7" xfId="33804"/>
    <cellStyle name="Обычный 4 87 7" xfId="33805"/>
    <cellStyle name="Процентный 4 87 7" xfId="33806"/>
    <cellStyle name="Обычный 5 80 7" xfId="33807"/>
    <cellStyle name="Процентный 5 80 7" xfId="33808"/>
    <cellStyle name="Обычный 4 2 74 7" xfId="33809"/>
    <cellStyle name="Процентный 4 2 74 7" xfId="33810"/>
    <cellStyle name="Обычный 5 2 74 7" xfId="33811"/>
    <cellStyle name="Процентный 5 2 74 7" xfId="33812"/>
    <cellStyle name="Обычный 6 71 7" xfId="33813"/>
    <cellStyle name="Процентный 6 71 7" xfId="33814"/>
    <cellStyle name="Обычный 7 41 7" xfId="33815"/>
    <cellStyle name="Процентный 7 41 7" xfId="33816"/>
    <cellStyle name="Обычный 4 3 33 7" xfId="33817"/>
    <cellStyle name="Процентный 4 3 33 7" xfId="33818"/>
    <cellStyle name="Обычный 5 3 33 7" xfId="33819"/>
    <cellStyle name="Процентный 5 3 33 7" xfId="33820"/>
    <cellStyle name="Обычный 4 2 2 33 7" xfId="33821"/>
    <cellStyle name="Процентный 4 2 2 33 7" xfId="33822"/>
    <cellStyle name="Обычный 5 2 2 33 7" xfId="33823"/>
    <cellStyle name="Процентный 5 2 2 33 7" xfId="33824"/>
    <cellStyle name="Обычный 6 2 33 7" xfId="33825"/>
    <cellStyle name="Процентный 6 2 33 7" xfId="33826"/>
    <cellStyle name="Обычный 7 2 33 7" xfId="33827"/>
    <cellStyle name="Процентный 7 2 33 7" xfId="33828"/>
    <cellStyle name="Обычный 8 29 7" xfId="33829"/>
    <cellStyle name="Процентный 8 29 7" xfId="33830"/>
    <cellStyle name="Обычный 4 88 7" xfId="33831"/>
    <cellStyle name="Процентный 4 88 7" xfId="33832"/>
    <cellStyle name="Обычный 5 81 7" xfId="33833"/>
    <cellStyle name="Процентный 5 81 7" xfId="33834"/>
    <cellStyle name="Обычный 4 2 75 7" xfId="33835"/>
    <cellStyle name="Процентный 4 2 75 7" xfId="33836"/>
    <cellStyle name="Обычный 5 2 75 7" xfId="33837"/>
    <cellStyle name="Процентный 5 2 75 7" xfId="33838"/>
    <cellStyle name="Обычный 6 72 7" xfId="33839"/>
    <cellStyle name="Процентный 6 72 7" xfId="33840"/>
    <cellStyle name="Обычный 7 42 7" xfId="33841"/>
    <cellStyle name="Процентный 7 42 7" xfId="33842"/>
    <cellStyle name="Обычный 4 3 34 7" xfId="33843"/>
    <cellStyle name="Процентный 4 3 34 7" xfId="33844"/>
    <cellStyle name="Обычный 5 3 34 7" xfId="33845"/>
    <cellStyle name="Процентный 5 3 34 7" xfId="33846"/>
    <cellStyle name="Обычный 4 2 2 34 7" xfId="33847"/>
    <cellStyle name="Процентный 4 2 2 34 7" xfId="33848"/>
    <cellStyle name="Обычный 5 2 2 34 7" xfId="33849"/>
    <cellStyle name="Процентный 5 2 2 34 7" xfId="33850"/>
    <cellStyle name="Обычный 6 2 34 7" xfId="33851"/>
    <cellStyle name="Процентный 6 2 34 7" xfId="33852"/>
    <cellStyle name="Обычный 7 2 34 7" xfId="33853"/>
    <cellStyle name="Процентный 7 2 34 7" xfId="33854"/>
    <cellStyle name="Обычный 8 30 7" xfId="33855"/>
    <cellStyle name="Процентный 8 30 7" xfId="33856"/>
    <cellStyle name="Обычный 4 89 7" xfId="33857"/>
    <cellStyle name="Процентный 4 89 7" xfId="33858"/>
    <cellStyle name="Обычный 5 82 7" xfId="33859"/>
    <cellStyle name="Процентный 5 82 7" xfId="33860"/>
    <cellStyle name="Обычный 4 2 76 7" xfId="33861"/>
    <cellStyle name="Процентный 4 2 76 7" xfId="33862"/>
    <cellStyle name="Обычный 5 2 76 7" xfId="33863"/>
    <cellStyle name="Процентный 5 2 76 7" xfId="33864"/>
    <cellStyle name="Обычный 6 73 7" xfId="33865"/>
    <cellStyle name="Процентный 6 73 7" xfId="33866"/>
    <cellStyle name="Обычный 7 43 7" xfId="33867"/>
    <cellStyle name="Процентный 7 43 7" xfId="33868"/>
    <cellStyle name="Обычный 4 3 35 7" xfId="33869"/>
    <cellStyle name="Процентный 4 3 35 7" xfId="33870"/>
    <cellStyle name="Обычный 5 3 35 7" xfId="33871"/>
    <cellStyle name="Процентный 5 3 35 7" xfId="33872"/>
    <cellStyle name="Обычный 4 2 2 35 7" xfId="33873"/>
    <cellStyle name="Процентный 4 2 2 35 7" xfId="33874"/>
    <cellStyle name="Обычный 5 2 2 35 7" xfId="33875"/>
    <cellStyle name="Процентный 5 2 2 35 7" xfId="33876"/>
    <cellStyle name="Обычный 6 2 35 7" xfId="33877"/>
    <cellStyle name="Процентный 6 2 35 7" xfId="33878"/>
    <cellStyle name="Обычный 7 2 35 7" xfId="33879"/>
    <cellStyle name="Процентный 7 2 35 7" xfId="33880"/>
    <cellStyle name="Обычный 8 31 7" xfId="33881"/>
    <cellStyle name="Процентный 8 31 7" xfId="33882"/>
    <cellStyle name="Обычный 4 90 7" xfId="33883"/>
    <cellStyle name="Процентный 4 90 7" xfId="33884"/>
    <cellStyle name="Обычный 5 83 7" xfId="33885"/>
    <cellStyle name="Процентный 5 83 7" xfId="33886"/>
    <cellStyle name="Обычный 4 2 77 7" xfId="33887"/>
    <cellStyle name="Процентный 4 2 77 7" xfId="33888"/>
    <cellStyle name="Обычный 5 2 77 7" xfId="33889"/>
    <cellStyle name="Процентный 5 2 77 7" xfId="33890"/>
    <cellStyle name="Обычный 6 74 7" xfId="33891"/>
    <cellStyle name="Процентный 6 74 7" xfId="33892"/>
    <cellStyle name="Обычный 7 44 7" xfId="33893"/>
    <cellStyle name="Процентный 7 44 7" xfId="33894"/>
    <cellStyle name="Обычный 4 3 36 7" xfId="33895"/>
    <cellStyle name="Процентный 4 3 36 7" xfId="33896"/>
    <cellStyle name="Обычный 5 3 36 7" xfId="33897"/>
    <cellStyle name="Процентный 5 3 36 7" xfId="33898"/>
    <cellStyle name="Обычный 4 2 2 36 7" xfId="33899"/>
    <cellStyle name="Процентный 4 2 2 36 7" xfId="33900"/>
    <cellStyle name="Обычный 5 2 2 36 7" xfId="33901"/>
    <cellStyle name="Процентный 5 2 2 36 7" xfId="33902"/>
    <cellStyle name="Обычный 6 2 36 7" xfId="33903"/>
    <cellStyle name="Процентный 6 2 36 7" xfId="33904"/>
    <cellStyle name="Обычный 7 2 36 7" xfId="33905"/>
    <cellStyle name="Процентный 7 2 36 7" xfId="33906"/>
    <cellStyle name="Обычный 8 32 7" xfId="33907"/>
    <cellStyle name="Процентный 8 32 7" xfId="33908"/>
    <cellStyle name="Обычный 4 91 7" xfId="33909"/>
    <cellStyle name="Процентный 4 91 7" xfId="33910"/>
    <cellStyle name="Обычный 5 84 7" xfId="33911"/>
    <cellStyle name="Процентный 5 84 7" xfId="33912"/>
    <cellStyle name="Обычный 4 2 78 7" xfId="33913"/>
    <cellStyle name="Процентный 4 2 78 7" xfId="33914"/>
    <cellStyle name="Обычный 5 2 78 7" xfId="33915"/>
    <cellStyle name="Процентный 5 2 78 7" xfId="33916"/>
    <cellStyle name="Обычный 6 75 7" xfId="33917"/>
    <cellStyle name="Процентный 6 75 7" xfId="33918"/>
    <cellStyle name="Обычный 7 45 7" xfId="33919"/>
    <cellStyle name="Процентный 7 45 7" xfId="33920"/>
    <cellStyle name="Обычный 4 3 37 7" xfId="33921"/>
    <cellStyle name="Процентный 4 3 37 7" xfId="33922"/>
    <cellStyle name="Обычный 5 3 37 7" xfId="33923"/>
    <cellStyle name="Процентный 5 3 37 7" xfId="33924"/>
    <cellStyle name="Обычный 4 2 2 37 7" xfId="33925"/>
    <cellStyle name="Процентный 4 2 2 37 7" xfId="33926"/>
    <cellStyle name="Обычный 5 2 2 37 7" xfId="33927"/>
    <cellStyle name="Процентный 5 2 2 37 7" xfId="33928"/>
    <cellStyle name="Обычный 6 2 37 7" xfId="33929"/>
    <cellStyle name="Процентный 6 2 37 7" xfId="33930"/>
    <cellStyle name="Обычный 7 2 37 7" xfId="33931"/>
    <cellStyle name="Процентный 7 2 37 7" xfId="33932"/>
    <cellStyle name="Обычный 8 33 7" xfId="33933"/>
    <cellStyle name="Процентный 8 33 7" xfId="33934"/>
    <cellStyle name="Обычный 4 92 7" xfId="33935"/>
    <cellStyle name="Процентный 4 92 7" xfId="33936"/>
    <cellStyle name="Обычный 5 85 7" xfId="33937"/>
    <cellStyle name="Процентный 5 85 7" xfId="33938"/>
    <cellStyle name="Обычный 4 2 79 7" xfId="33939"/>
    <cellStyle name="Процентный 4 2 79 7" xfId="33940"/>
    <cellStyle name="Обычный 5 2 79 7" xfId="33941"/>
    <cellStyle name="Процентный 5 2 79 7" xfId="33942"/>
    <cellStyle name="Обычный 6 76 7" xfId="33943"/>
    <cellStyle name="Процентный 6 76 7" xfId="33944"/>
    <cellStyle name="Обычный 7 46 7" xfId="33945"/>
    <cellStyle name="Процентный 7 46 7" xfId="33946"/>
    <cellStyle name="Обычный 4 3 38 7" xfId="33947"/>
    <cellStyle name="Процентный 4 3 38 7" xfId="33948"/>
    <cellStyle name="Обычный 5 3 38 7" xfId="33949"/>
    <cellStyle name="Процентный 5 3 38 7" xfId="33950"/>
    <cellStyle name="Обычный 4 2 2 38 7" xfId="33951"/>
    <cellStyle name="Процентный 4 2 2 38 7" xfId="33952"/>
    <cellStyle name="Обычный 5 2 2 38 7" xfId="33953"/>
    <cellStyle name="Процентный 5 2 2 38 7" xfId="33954"/>
    <cellStyle name="Обычный 6 2 38 7" xfId="33955"/>
    <cellStyle name="Процентный 6 2 38 7" xfId="33956"/>
    <cellStyle name="Обычный 7 2 38 7" xfId="33957"/>
    <cellStyle name="Процентный 7 2 38 7" xfId="33958"/>
    <cellStyle name="Обычный 8 34 7" xfId="33959"/>
    <cellStyle name="Процентный 8 34 7" xfId="33960"/>
    <cellStyle name="Обычный 4 93 7" xfId="33961"/>
    <cellStyle name="Процентный 4 93 7" xfId="33962"/>
    <cellStyle name="Обычный 5 86 7" xfId="33963"/>
    <cellStyle name="Процентный 5 86 7" xfId="33964"/>
    <cellStyle name="Обычный 4 2 80 7" xfId="33965"/>
    <cellStyle name="Процентный 4 2 80 7" xfId="33966"/>
    <cellStyle name="Обычный 5 2 80 7" xfId="33967"/>
    <cellStyle name="Процентный 5 2 80 7" xfId="33968"/>
    <cellStyle name="Обычный 6 77 7" xfId="33969"/>
    <cellStyle name="Процентный 6 77 7" xfId="33970"/>
    <cellStyle name="Обычный 7 47 7" xfId="33971"/>
    <cellStyle name="Процентный 7 47 7" xfId="33972"/>
    <cellStyle name="Обычный 4 3 39 7" xfId="33973"/>
    <cellStyle name="Процентный 4 3 39 7" xfId="33974"/>
    <cellStyle name="Обычный 5 3 39 7" xfId="33975"/>
    <cellStyle name="Процентный 5 3 39 7" xfId="33976"/>
    <cellStyle name="Обычный 4 2 2 39 7" xfId="33977"/>
    <cellStyle name="Процентный 4 2 2 39 7" xfId="33978"/>
    <cellStyle name="Обычный 5 2 2 39 7" xfId="33979"/>
    <cellStyle name="Процентный 5 2 2 39 7" xfId="33980"/>
    <cellStyle name="Обычный 6 2 39 7" xfId="33981"/>
    <cellStyle name="Процентный 6 2 39 7" xfId="33982"/>
    <cellStyle name="Обычный 7 2 39 7" xfId="33983"/>
    <cellStyle name="Процентный 7 2 39 7" xfId="33984"/>
    <cellStyle name="Обычный 8 35 7" xfId="33985"/>
    <cellStyle name="Процентный 8 35 7" xfId="33986"/>
    <cellStyle name="Обычный 9 116" xfId="33987"/>
    <cellStyle name="Процентный 9 2 7" xfId="33988"/>
    <cellStyle name="Обычный 4 94 7" xfId="33989"/>
    <cellStyle name="Процентный 4 94 7" xfId="33990"/>
    <cellStyle name="Обычный 5 87 7" xfId="33991"/>
    <cellStyle name="Процентный 5 87 7" xfId="33992"/>
    <cellStyle name="Обычный 4 2 81 7" xfId="33993"/>
    <cellStyle name="Процентный 4 2 81 7" xfId="33994"/>
    <cellStyle name="Обычный 5 2 81 7" xfId="33995"/>
    <cellStyle name="Процентный 5 2 81 7" xfId="33996"/>
    <cellStyle name="Обычный 6 78 7" xfId="33997"/>
    <cellStyle name="Процентный 6 78 7" xfId="33998"/>
    <cellStyle name="Обычный 7 48 7" xfId="33999"/>
    <cellStyle name="Процентный 7 48 7" xfId="34000"/>
    <cellStyle name="Обычный 4 3 40 7" xfId="34001"/>
    <cellStyle name="Процентный 4 3 40 7" xfId="34002"/>
    <cellStyle name="Обычный 5 3 40 7" xfId="34003"/>
    <cellStyle name="Процентный 5 3 40 7" xfId="34004"/>
    <cellStyle name="Обычный 4 2 2 40 7" xfId="34005"/>
    <cellStyle name="Процентный 4 2 2 40 7" xfId="34006"/>
    <cellStyle name="Обычный 5 2 2 40 7" xfId="34007"/>
    <cellStyle name="Процентный 5 2 2 40 7" xfId="34008"/>
    <cellStyle name="Обычный 6 2 40 7" xfId="34009"/>
    <cellStyle name="Процентный 6 2 40 7" xfId="34010"/>
    <cellStyle name="Обычный 7 2 40 7" xfId="34011"/>
    <cellStyle name="Процентный 7 2 40 7" xfId="34012"/>
    <cellStyle name="Обычный 8 36 7" xfId="34013"/>
    <cellStyle name="Процентный 8 36 7" xfId="34014"/>
    <cellStyle name="Обычный 9 2 7" xfId="34015"/>
    <cellStyle name="Процентный 9 3 7" xfId="34016"/>
    <cellStyle name="Обычный 4 95 7" xfId="34017"/>
    <cellStyle name="Процентный 4 95 7" xfId="34018"/>
    <cellStyle name="Обычный 5 88 7" xfId="34019"/>
    <cellStyle name="Процентный 5 88 7" xfId="34020"/>
    <cellStyle name="Обычный 4 2 82 7" xfId="34021"/>
    <cellStyle name="Процентный 4 2 82 7" xfId="34022"/>
    <cellStyle name="Обычный 5 2 82 7" xfId="34023"/>
    <cellStyle name="Процентный 5 2 82 7" xfId="34024"/>
    <cellStyle name="Обычный 6 79 7" xfId="34025"/>
    <cellStyle name="Процентный 6 79 7" xfId="34026"/>
    <cellStyle name="Обычный 7 49 7" xfId="34027"/>
    <cellStyle name="Процентный 7 49 7" xfId="34028"/>
    <cellStyle name="Обычный 4 3 41 7" xfId="34029"/>
    <cellStyle name="Процентный 4 3 41 7" xfId="34030"/>
    <cellStyle name="Обычный 5 3 41 7" xfId="34031"/>
    <cellStyle name="Процентный 5 3 41 7" xfId="34032"/>
    <cellStyle name="Обычный 4 2 2 41 7" xfId="34033"/>
    <cellStyle name="Процентный 4 2 2 41 7" xfId="34034"/>
    <cellStyle name="Обычный 5 2 2 41 7" xfId="34035"/>
    <cellStyle name="Процентный 5 2 2 41 7" xfId="34036"/>
    <cellStyle name="Обычный 6 2 41 7" xfId="34037"/>
    <cellStyle name="Процентный 6 2 41 7" xfId="34038"/>
    <cellStyle name="Обычный 7 2 41 7" xfId="34039"/>
    <cellStyle name="Процентный 7 2 41 7" xfId="34040"/>
    <cellStyle name="Обычный 8 37 7" xfId="34041"/>
    <cellStyle name="Процентный 8 37 7" xfId="34042"/>
    <cellStyle name="Обычный 9 3 7" xfId="34043"/>
    <cellStyle name="Процентный 9 4 7" xfId="34044"/>
    <cellStyle name="Обычный 4 96 7" xfId="34045"/>
    <cellStyle name="Процентный 4 96 7" xfId="34046"/>
    <cellStyle name="Обычный 5 89 7" xfId="34047"/>
    <cellStyle name="Процентный 5 89 7" xfId="34048"/>
    <cellStyle name="Обычный 4 2 83 7" xfId="34049"/>
    <cellStyle name="Процентный 4 2 83 7" xfId="34050"/>
    <cellStyle name="Обычный 5 2 83 7" xfId="34051"/>
    <cellStyle name="Процентный 5 2 83 7" xfId="34052"/>
    <cellStyle name="Обычный 6 80 7" xfId="34053"/>
    <cellStyle name="Процентный 6 80 7" xfId="34054"/>
    <cellStyle name="Обычный 7 50 7" xfId="34055"/>
    <cellStyle name="Процентный 7 50 7" xfId="34056"/>
    <cellStyle name="Обычный 4 3 42 7" xfId="34057"/>
    <cellStyle name="Процентный 4 3 42 7" xfId="34058"/>
    <cellStyle name="Обычный 5 3 42 7" xfId="34059"/>
    <cellStyle name="Процентный 5 3 42 7" xfId="34060"/>
    <cellStyle name="Обычный 4 2 2 42 7" xfId="34061"/>
    <cellStyle name="Процентный 4 2 2 42 7" xfId="34062"/>
    <cellStyle name="Обычный 5 2 2 42 7" xfId="34063"/>
    <cellStyle name="Процентный 5 2 2 42 7" xfId="34064"/>
    <cellStyle name="Обычный 6 2 42 7" xfId="34065"/>
    <cellStyle name="Процентный 6 2 42 7" xfId="34066"/>
    <cellStyle name="Обычный 7 2 42 7" xfId="34067"/>
    <cellStyle name="Процентный 7 2 42 7" xfId="34068"/>
    <cellStyle name="Обычный 8 38 7" xfId="34069"/>
    <cellStyle name="Процентный 8 38 7" xfId="34070"/>
    <cellStyle name="Обычный 9 4 7" xfId="34071"/>
    <cellStyle name="Процентный 9 5 7" xfId="34072"/>
    <cellStyle name="Обычный 4 97 7" xfId="34073"/>
    <cellStyle name="Процентный 4 97 7" xfId="34074"/>
    <cellStyle name="Обычный 5 90 7" xfId="34075"/>
    <cellStyle name="Процентный 5 90 7" xfId="34076"/>
    <cellStyle name="Обычный 4 2 84 7" xfId="34077"/>
    <cellStyle name="Процентный 4 2 84 7" xfId="34078"/>
    <cellStyle name="Обычный 5 2 84 7" xfId="34079"/>
    <cellStyle name="Процентный 5 2 84 7" xfId="34080"/>
    <cellStyle name="Обычный 6 81 7" xfId="34081"/>
    <cellStyle name="Процентный 6 81 7" xfId="34082"/>
    <cellStyle name="Обычный 7 51 7" xfId="34083"/>
    <cellStyle name="Процентный 7 51 7" xfId="34084"/>
    <cellStyle name="Обычный 4 3 43 7" xfId="34085"/>
    <cellStyle name="Процентный 4 3 43 7" xfId="34086"/>
    <cellStyle name="Обычный 5 3 43 7" xfId="34087"/>
    <cellStyle name="Процентный 5 3 43 7" xfId="34088"/>
    <cellStyle name="Обычный 4 2 2 43 7" xfId="34089"/>
    <cellStyle name="Процентный 4 2 2 43 7" xfId="34090"/>
    <cellStyle name="Обычный 5 2 2 43 7" xfId="34091"/>
    <cellStyle name="Процентный 5 2 2 43 7" xfId="34092"/>
    <cellStyle name="Обычный 6 2 43 7" xfId="34093"/>
    <cellStyle name="Процентный 6 2 43 7" xfId="34094"/>
    <cellStyle name="Обычный 7 2 43 7" xfId="34095"/>
    <cellStyle name="Процентный 7 2 43 7" xfId="34096"/>
    <cellStyle name="Обычный 8 39 7" xfId="34097"/>
    <cellStyle name="Процентный 8 39 7" xfId="34098"/>
    <cellStyle name="Обычный 9 5 7" xfId="34099"/>
    <cellStyle name="Процентный 9 6 7" xfId="34100"/>
    <cellStyle name="Обычный 4 98 7" xfId="34101"/>
    <cellStyle name="Процентный 4 98 7" xfId="34102"/>
    <cellStyle name="Обычный 5 91 7" xfId="34103"/>
    <cellStyle name="Процентный 5 91 7" xfId="34104"/>
    <cellStyle name="Обычный 4 2 85 7" xfId="34105"/>
    <cellStyle name="Процентный 4 2 85 7" xfId="34106"/>
    <cellStyle name="Обычный 5 2 85 7" xfId="34107"/>
    <cellStyle name="Процентный 5 2 85 7" xfId="34108"/>
    <cellStyle name="Обычный 6 82 7" xfId="34109"/>
    <cellStyle name="Процентный 6 82 7" xfId="34110"/>
    <cellStyle name="Обычный 7 52 7" xfId="34111"/>
    <cellStyle name="Процентный 7 52 7" xfId="34112"/>
    <cellStyle name="Обычный 4 3 44 7" xfId="34113"/>
    <cellStyle name="Процентный 4 3 44 7" xfId="34114"/>
    <cellStyle name="Обычный 5 3 44 7" xfId="34115"/>
    <cellStyle name="Процентный 5 3 44 7" xfId="34116"/>
    <cellStyle name="Обычный 4 2 2 44 7" xfId="34117"/>
    <cellStyle name="Процентный 4 2 2 44 7" xfId="34118"/>
    <cellStyle name="Обычный 5 2 2 44 7" xfId="34119"/>
    <cellStyle name="Процентный 5 2 2 44 7" xfId="34120"/>
    <cellStyle name="Обычный 6 2 44 7" xfId="34121"/>
    <cellStyle name="Процентный 6 2 44 7" xfId="34122"/>
    <cellStyle name="Обычный 7 2 44 7" xfId="34123"/>
    <cellStyle name="Процентный 7 2 44 7" xfId="34124"/>
    <cellStyle name="Обычный 8 40 7" xfId="34125"/>
    <cellStyle name="Процентный 8 40 7" xfId="34126"/>
    <cellStyle name="Обычный 9 6 7" xfId="34127"/>
    <cellStyle name="Процентный 9 7 7" xfId="34128"/>
    <cellStyle name="Обычный 4 99 7" xfId="34129"/>
    <cellStyle name="Процентный 4 99 7" xfId="34130"/>
    <cellStyle name="Обычный 5 92 7" xfId="34131"/>
    <cellStyle name="Процентный 5 92 7" xfId="34132"/>
    <cellStyle name="Обычный 4 2 86 7" xfId="34133"/>
    <cellStyle name="Процентный 4 2 86 7" xfId="34134"/>
    <cellStyle name="Обычный 5 2 86 7" xfId="34135"/>
    <cellStyle name="Процентный 5 2 86 7" xfId="34136"/>
    <cellStyle name="Обычный 6 83 7" xfId="34137"/>
    <cellStyle name="Процентный 6 83 7" xfId="34138"/>
    <cellStyle name="Обычный 7 53 7" xfId="34139"/>
    <cellStyle name="Процентный 7 53 7" xfId="34140"/>
    <cellStyle name="Обычный 4 3 45 7" xfId="34141"/>
    <cellStyle name="Процентный 4 3 45 7" xfId="34142"/>
    <cellStyle name="Обычный 5 3 45 7" xfId="34143"/>
    <cellStyle name="Процентный 5 3 45 7" xfId="34144"/>
    <cellStyle name="Обычный 4 2 2 45 7" xfId="34145"/>
    <cellStyle name="Процентный 4 2 2 45 7" xfId="34146"/>
    <cellStyle name="Обычный 5 2 2 45 7" xfId="34147"/>
    <cellStyle name="Процентный 5 2 2 45 7" xfId="34148"/>
    <cellStyle name="Обычный 6 2 45 7" xfId="34149"/>
    <cellStyle name="Процентный 6 2 45 7" xfId="34150"/>
    <cellStyle name="Обычный 7 2 45 7" xfId="34151"/>
    <cellStyle name="Процентный 7 2 45 7" xfId="34152"/>
    <cellStyle name="Обычный 8 41 7" xfId="34153"/>
    <cellStyle name="Процентный 8 41 7" xfId="34154"/>
    <cellStyle name="Обычный 9 7 7" xfId="34155"/>
    <cellStyle name="Процентный 9 8 7" xfId="34156"/>
    <cellStyle name="Обычный 4 100 7" xfId="34157"/>
    <cellStyle name="Процентный 4 100 7" xfId="34158"/>
    <cellStyle name="Обычный 5 93 7" xfId="34159"/>
    <cellStyle name="Процентный 5 93 7" xfId="34160"/>
    <cellStyle name="Обычный 4 2 87 7" xfId="34161"/>
    <cellStyle name="Процентный 4 2 87 7" xfId="34162"/>
    <cellStyle name="Обычный 5 2 87 7" xfId="34163"/>
    <cellStyle name="Процентный 5 2 87 7" xfId="34164"/>
    <cellStyle name="Обычный 6 84 7" xfId="34165"/>
    <cellStyle name="Процентный 6 84 7" xfId="34166"/>
    <cellStyle name="Обычный 7 54 7" xfId="34167"/>
    <cellStyle name="Процентный 7 54 7" xfId="34168"/>
    <cellStyle name="Обычный 4 3 46 7" xfId="34169"/>
    <cellStyle name="Процентный 4 3 46 7" xfId="34170"/>
    <cellStyle name="Обычный 5 3 46 7" xfId="34171"/>
    <cellStyle name="Процентный 5 3 46 7" xfId="34172"/>
    <cellStyle name="Обычный 4 2 2 46 7" xfId="34173"/>
    <cellStyle name="Процентный 4 2 2 46 7" xfId="34174"/>
    <cellStyle name="Обычный 5 2 2 46 7" xfId="34175"/>
    <cellStyle name="Процентный 5 2 2 46 7" xfId="34176"/>
    <cellStyle name="Обычный 6 2 46 7" xfId="34177"/>
    <cellStyle name="Процентный 6 2 46 7" xfId="34178"/>
    <cellStyle name="Обычный 7 2 46 7" xfId="34179"/>
    <cellStyle name="Процентный 7 2 46 7" xfId="34180"/>
    <cellStyle name="Обычный 8 42 7" xfId="34181"/>
    <cellStyle name="Процентный 8 42 7" xfId="34182"/>
    <cellStyle name="Обычный 9 8 7" xfId="34183"/>
    <cellStyle name="Процентный 9 9 7" xfId="34184"/>
    <cellStyle name="Обычный 10 109" xfId="34185"/>
    <cellStyle name="Процентный 10 109" xfId="34186"/>
    <cellStyle name="Обычный 4 101 7" xfId="34187"/>
    <cellStyle name="Процентный 4 101 7" xfId="34188"/>
    <cellStyle name="Обычный 5 94 7" xfId="34189"/>
    <cellStyle name="Процентный 5 94 7" xfId="34190"/>
    <cellStyle name="Обычный 4 2 88 7" xfId="34191"/>
    <cellStyle name="Процентный 4 2 88 7" xfId="34192"/>
    <cellStyle name="Обычный 5 2 88 7" xfId="34193"/>
    <cellStyle name="Процентный 5 2 88 7" xfId="34194"/>
    <cellStyle name="Обычный 6 85 7" xfId="34195"/>
    <cellStyle name="Процентный 6 85 7" xfId="34196"/>
    <cellStyle name="Обычный 7 55 7" xfId="34197"/>
    <cellStyle name="Процентный 7 55 7" xfId="34198"/>
    <cellStyle name="Обычный 4 3 47 7" xfId="34199"/>
    <cellStyle name="Процентный 4 3 47 7" xfId="34200"/>
    <cellStyle name="Обычный 5 3 47 7" xfId="34201"/>
    <cellStyle name="Процентный 5 3 47 7" xfId="34202"/>
    <cellStyle name="Обычный 4 2 2 47 7" xfId="34203"/>
    <cellStyle name="Процентный 4 2 2 47 7" xfId="34204"/>
    <cellStyle name="Обычный 5 2 2 47 7" xfId="34205"/>
    <cellStyle name="Процентный 5 2 2 47 7" xfId="34206"/>
    <cellStyle name="Обычный 6 2 47 7" xfId="34207"/>
    <cellStyle name="Процентный 6 2 47 7" xfId="34208"/>
    <cellStyle name="Обычный 7 2 47 7" xfId="34209"/>
    <cellStyle name="Процентный 7 2 47 7" xfId="34210"/>
    <cellStyle name="Обычный 8 43 7" xfId="34211"/>
    <cellStyle name="Процентный 8 43 7" xfId="34212"/>
    <cellStyle name="Обычный 9 9 7" xfId="34213"/>
    <cellStyle name="Процентный 9 10 7" xfId="34214"/>
    <cellStyle name="Обычный 10 2 7" xfId="34215"/>
    <cellStyle name="Процентный 10 2 7" xfId="34216"/>
    <cellStyle name="Обычный 4 102 7" xfId="34217"/>
    <cellStyle name="Процентный 4 102 7" xfId="34218"/>
    <cellStyle name="Обычный 5 95 7" xfId="34219"/>
    <cellStyle name="Процентный 5 95 7" xfId="34220"/>
    <cellStyle name="Обычный 4 2 89 7" xfId="34221"/>
    <cellStyle name="Процентный 4 2 89 7" xfId="34222"/>
    <cellStyle name="Обычный 5 2 89 7" xfId="34223"/>
    <cellStyle name="Процентный 5 2 89 7" xfId="34224"/>
    <cellStyle name="Обычный 6 86 7" xfId="34225"/>
    <cellStyle name="Процентный 6 86 7" xfId="34226"/>
    <cellStyle name="Обычный 7 56 7" xfId="34227"/>
    <cellStyle name="Процентный 7 56 7" xfId="34228"/>
    <cellStyle name="Обычный 4 3 48 7" xfId="34229"/>
    <cellStyle name="Процентный 4 3 48 7" xfId="34230"/>
    <cellStyle name="Обычный 5 3 48 7" xfId="34231"/>
    <cellStyle name="Процентный 5 3 48 7" xfId="34232"/>
    <cellStyle name="Обычный 4 2 2 48 7" xfId="34233"/>
    <cellStyle name="Процентный 4 2 2 48 7" xfId="34234"/>
    <cellStyle name="Обычный 5 2 2 48 7" xfId="34235"/>
    <cellStyle name="Процентный 5 2 2 48 7" xfId="34236"/>
    <cellStyle name="Обычный 6 2 48 7" xfId="34237"/>
    <cellStyle name="Процентный 6 2 48 7" xfId="34238"/>
    <cellStyle name="Обычный 7 2 48 7" xfId="34239"/>
    <cellStyle name="Процентный 7 2 48 7" xfId="34240"/>
    <cellStyle name="Обычный 8 44 7" xfId="34241"/>
    <cellStyle name="Процентный 8 44 7" xfId="34242"/>
    <cellStyle name="Обычный 9 10 7" xfId="34243"/>
    <cellStyle name="Процентный 9 11 7" xfId="34244"/>
    <cellStyle name="Обычный 10 3 7" xfId="34245"/>
    <cellStyle name="Процентный 10 3 7" xfId="34246"/>
    <cellStyle name="Обычный 4 103 7" xfId="34247"/>
    <cellStyle name="Процентный 4 103 7" xfId="34248"/>
    <cellStyle name="Обычный 5 96 7" xfId="34249"/>
    <cellStyle name="Процентный 5 96 7" xfId="34250"/>
    <cellStyle name="Обычный 4 2 90 7" xfId="34251"/>
    <cellStyle name="Процентный 4 2 90 7" xfId="34252"/>
    <cellStyle name="Обычный 5 2 90 7" xfId="34253"/>
    <cellStyle name="Процентный 5 2 90 7" xfId="34254"/>
    <cellStyle name="Обычный 6 87 7" xfId="34255"/>
    <cellStyle name="Процентный 6 87 7" xfId="34256"/>
    <cellStyle name="Обычный 7 57 7" xfId="34257"/>
    <cellStyle name="Процентный 7 57 7" xfId="34258"/>
    <cellStyle name="Обычный 4 3 49 7" xfId="34259"/>
    <cellStyle name="Процентный 4 3 49 7" xfId="34260"/>
    <cellStyle name="Обычный 5 3 49 7" xfId="34261"/>
    <cellStyle name="Процентный 5 3 49 7" xfId="34262"/>
    <cellStyle name="Обычный 4 2 2 49 7" xfId="34263"/>
    <cellStyle name="Процентный 4 2 2 49 7" xfId="34264"/>
    <cellStyle name="Обычный 5 2 2 49 7" xfId="34265"/>
    <cellStyle name="Процентный 5 2 2 49 7" xfId="34266"/>
    <cellStyle name="Обычный 6 2 49 7" xfId="34267"/>
    <cellStyle name="Процентный 6 2 49 7" xfId="34268"/>
    <cellStyle name="Обычный 7 2 49 7" xfId="34269"/>
    <cellStyle name="Процентный 7 2 49 7" xfId="34270"/>
    <cellStyle name="Обычный 8 45 7" xfId="34271"/>
    <cellStyle name="Процентный 8 45 7" xfId="34272"/>
    <cellStyle name="Обычный 9 11 7" xfId="34273"/>
    <cellStyle name="Процентный 9 12 7" xfId="34274"/>
    <cellStyle name="Обычный 10 4 7" xfId="34275"/>
    <cellStyle name="Процентный 10 4 7" xfId="34276"/>
    <cellStyle name="Обычный 4 104 7" xfId="34277"/>
    <cellStyle name="Процентный 4 104 7" xfId="34278"/>
    <cellStyle name="Обычный 5 97 7" xfId="34279"/>
    <cellStyle name="Процентный 5 97 7" xfId="34280"/>
    <cellStyle name="Обычный 4 2 91 7" xfId="34281"/>
    <cellStyle name="Процентный 4 2 91 7" xfId="34282"/>
    <cellStyle name="Обычный 5 2 91 7" xfId="34283"/>
    <cellStyle name="Процентный 5 2 91 7" xfId="34284"/>
    <cellStyle name="Обычный 6 88 7" xfId="34285"/>
    <cellStyle name="Процентный 6 88 7" xfId="34286"/>
    <cellStyle name="Обычный 7 58 7" xfId="34287"/>
    <cellStyle name="Процентный 7 58 7" xfId="34288"/>
    <cellStyle name="Обычный 4 3 50 7" xfId="34289"/>
    <cellStyle name="Процентный 4 3 50 7" xfId="34290"/>
    <cellStyle name="Обычный 5 3 50 7" xfId="34291"/>
    <cellStyle name="Процентный 5 3 50 7" xfId="34292"/>
    <cellStyle name="Обычный 4 2 2 50 7" xfId="34293"/>
    <cellStyle name="Процентный 4 2 2 50 7" xfId="34294"/>
    <cellStyle name="Обычный 5 2 2 50 7" xfId="34295"/>
    <cellStyle name="Процентный 5 2 2 50 7" xfId="34296"/>
    <cellStyle name="Обычный 6 2 50 7" xfId="34297"/>
    <cellStyle name="Процентный 6 2 50 7" xfId="34298"/>
    <cellStyle name="Обычный 7 2 50 7" xfId="34299"/>
    <cellStyle name="Процентный 7 2 50 7" xfId="34300"/>
    <cellStyle name="Обычный 8 46 7" xfId="34301"/>
    <cellStyle name="Процентный 8 46 7" xfId="34302"/>
    <cellStyle name="Обычный 9 12 7" xfId="34303"/>
    <cellStyle name="Процентный 9 13 7" xfId="34304"/>
    <cellStyle name="Обычный 10 5 7" xfId="34305"/>
    <cellStyle name="Процентный 10 5 7" xfId="34306"/>
    <cellStyle name="Обычный 4 105 7" xfId="34307"/>
    <cellStyle name="Процентный 4 105 7" xfId="34308"/>
    <cellStyle name="Обычный 5 98 7" xfId="34309"/>
    <cellStyle name="Процентный 5 98 7" xfId="34310"/>
    <cellStyle name="Обычный 4 2 92 7" xfId="34311"/>
    <cellStyle name="Процентный 4 2 92 7" xfId="34312"/>
    <cellStyle name="Обычный 5 2 92 7" xfId="34313"/>
    <cellStyle name="Процентный 5 2 92 7" xfId="34314"/>
    <cellStyle name="Обычный 6 89 7" xfId="34315"/>
    <cellStyle name="Процентный 6 89 7" xfId="34316"/>
    <cellStyle name="Обычный 7 59 7" xfId="34317"/>
    <cellStyle name="Процентный 7 59 7" xfId="34318"/>
    <cellStyle name="Обычный 4 3 51 7" xfId="34319"/>
    <cellStyle name="Процентный 4 3 51 7" xfId="34320"/>
    <cellStyle name="Обычный 5 3 51 7" xfId="34321"/>
    <cellStyle name="Процентный 5 3 51 7" xfId="34322"/>
    <cellStyle name="Обычный 4 2 2 51 7" xfId="34323"/>
    <cellStyle name="Процентный 4 2 2 51 7" xfId="34324"/>
    <cellStyle name="Обычный 5 2 2 51 7" xfId="34325"/>
    <cellStyle name="Процентный 5 2 2 51 7" xfId="34326"/>
    <cellStyle name="Обычный 6 2 51 7" xfId="34327"/>
    <cellStyle name="Процентный 6 2 51 7" xfId="34328"/>
    <cellStyle name="Обычный 7 2 51 7" xfId="34329"/>
    <cellStyle name="Процентный 7 2 51 7" xfId="34330"/>
    <cellStyle name="Обычный 8 47 7" xfId="34331"/>
    <cellStyle name="Процентный 8 47 7" xfId="34332"/>
    <cellStyle name="Обычный 9 13 7" xfId="34333"/>
    <cellStyle name="Процентный 9 14 7" xfId="34334"/>
    <cellStyle name="Обычный 10 6 7" xfId="34335"/>
    <cellStyle name="Процентный 10 6 7" xfId="34336"/>
    <cellStyle name="Обычный 4 106 7" xfId="34337"/>
    <cellStyle name="Процентный 4 106 7" xfId="34338"/>
    <cellStyle name="Обычный 5 99 7" xfId="34339"/>
    <cellStyle name="Процентный 5 99 7" xfId="34340"/>
    <cellStyle name="Обычный 4 2 93 7" xfId="34341"/>
    <cellStyle name="Процентный 4 2 93 7" xfId="34342"/>
    <cellStyle name="Обычный 5 2 93 7" xfId="34343"/>
    <cellStyle name="Процентный 5 2 93 7" xfId="34344"/>
    <cellStyle name="Обычный 6 90 7" xfId="34345"/>
    <cellStyle name="Процентный 6 90 7" xfId="34346"/>
    <cellStyle name="Обычный 7 60 7" xfId="34347"/>
    <cellStyle name="Процентный 7 60 7" xfId="34348"/>
    <cellStyle name="Обычный 4 3 52 7" xfId="34349"/>
    <cellStyle name="Процентный 4 3 52 7" xfId="34350"/>
    <cellStyle name="Обычный 5 3 52 7" xfId="34351"/>
    <cellStyle name="Процентный 5 3 52 7" xfId="34352"/>
    <cellStyle name="Обычный 4 2 2 52 7" xfId="34353"/>
    <cellStyle name="Процентный 4 2 2 52 7" xfId="34354"/>
    <cellStyle name="Обычный 5 2 2 52 7" xfId="34355"/>
    <cellStyle name="Процентный 5 2 2 52 7" xfId="34356"/>
    <cellStyle name="Обычный 6 2 52 7" xfId="34357"/>
    <cellStyle name="Процентный 6 2 52 7" xfId="34358"/>
    <cellStyle name="Обычный 7 2 52 7" xfId="34359"/>
    <cellStyle name="Процентный 7 2 52 7" xfId="34360"/>
    <cellStyle name="Обычный 8 48 7" xfId="34361"/>
    <cellStyle name="Процентный 8 48 7" xfId="34362"/>
    <cellStyle name="Обычный 9 14 7" xfId="34363"/>
    <cellStyle name="Процентный 9 15 7" xfId="34364"/>
    <cellStyle name="Обычный 10 7 7" xfId="34365"/>
    <cellStyle name="Процентный 10 7 7" xfId="34366"/>
    <cellStyle name="Обычный 4 107 7" xfId="34367"/>
    <cellStyle name="Процентный 4 107 7" xfId="34368"/>
    <cellStyle name="Обычный 5 100 7" xfId="34369"/>
    <cellStyle name="Процентный 5 100 7" xfId="34370"/>
    <cellStyle name="Обычный 4 2 94 7" xfId="34371"/>
    <cellStyle name="Процентный 4 2 94 7" xfId="34372"/>
    <cellStyle name="Обычный 5 2 94 7" xfId="34373"/>
    <cellStyle name="Процентный 5 2 94 7" xfId="34374"/>
    <cellStyle name="Обычный 6 91 7" xfId="34375"/>
    <cellStyle name="Процентный 6 91 7" xfId="34376"/>
    <cellStyle name="Обычный 7 61 7" xfId="34377"/>
    <cellStyle name="Процентный 7 61 7" xfId="34378"/>
    <cellStyle name="Обычный 4 3 53 7" xfId="34379"/>
    <cellStyle name="Процентный 4 3 53 7" xfId="34380"/>
    <cellStyle name="Обычный 5 3 53 7" xfId="34381"/>
    <cellStyle name="Процентный 5 3 53 7" xfId="34382"/>
    <cellStyle name="Обычный 4 2 2 53 7" xfId="34383"/>
    <cellStyle name="Процентный 4 2 2 53 7" xfId="34384"/>
    <cellStyle name="Обычный 5 2 2 53 7" xfId="34385"/>
    <cellStyle name="Процентный 5 2 2 53 7" xfId="34386"/>
    <cellStyle name="Обычный 6 2 53 7" xfId="34387"/>
    <cellStyle name="Процентный 6 2 53 7" xfId="34388"/>
    <cellStyle name="Обычный 7 2 53 7" xfId="34389"/>
    <cellStyle name="Процентный 7 2 53 7" xfId="34390"/>
    <cellStyle name="Обычный 8 49 7" xfId="34391"/>
    <cellStyle name="Процентный 8 49 7" xfId="34392"/>
    <cellStyle name="Обычный 9 15 7" xfId="34393"/>
    <cellStyle name="Процентный 9 16 7" xfId="34394"/>
    <cellStyle name="Обычный 10 8 7" xfId="34395"/>
    <cellStyle name="Процентный 10 8 7" xfId="34396"/>
    <cellStyle name="Обычный 4 108 7" xfId="34397"/>
    <cellStyle name="Процентный 4 108 7" xfId="34398"/>
    <cellStyle name="Обычный 5 101 7" xfId="34399"/>
    <cellStyle name="Процентный 5 101 7" xfId="34400"/>
    <cellStyle name="Обычный 4 2 95 7" xfId="34401"/>
    <cellStyle name="Процентный 4 2 95 7" xfId="34402"/>
    <cellStyle name="Обычный 5 2 95 7" xfId="34403"/>
    <cellStyle name="Процентный 5 2 95 7" xfId="34404"/>
    <cellStyle name="Обычный 6 92 7" xfId="34405"/>
    <cellStyle name="Процентный 6 92 7" xfId="34406"/>
    <cellStyle name="Обычный 7 62 7" xfId="34407"/>
    <cellStyle name="Процентный 7 62 7" xfId="34408"/>
    <cellStyle name="Обычный 4 3 54 7" xfId="34409"/>
    <cellStyle name="Процентный 4 3 54 7" xfId="34410"/>
    <cellStyle name="Обычный 5 3 54 7" xfId="34411"/>
    <cellStyle name="Процентный 5 3 54 7" xfId="34412"/>
    <cellStyle name="Обычный 4 2 2 54 7" xfId="34413"/>
    <cellStyle name="Процентный 4 2 2 54 7" xfId="34414"/>
    <cellStyle name="Обычный 5 2 2 54 7" xfId="34415"/>
    <cellStyle name="Процентный 5 2 2 54 7" xfId="34416"/>
    <cellStyle name="Обычный 6 2 54 7" xfId="34417"/>
    <cellStyle name="Процентный 6 2 54 7" xfId="34418"/>
    <cellStyle name="Обычный 7 2 54 7" xfId="34419"/>
    <cellStyle name="Процентный 7 2 54 7" xfId="34420"/>
    <cellStyle name="Обычный 8 50 7" xfId="34421"/>
    <cellStyle name="Процентный 8 50 7" xfId="34422"/>
    <cellStyle name="Обычный 9 16 7" xfId="34423"/>
    <cellStyle name="Процентный 9 17 7" xfId="34424"/>
    <cellStyle name="Обычный 10 9 7" xfId="34425"/>
    <cellStyle name="Процентный 10 9 7" xfId="34426"/>
    <cellStyle name="Обычный 4 109 7" xfId="34427"/>
    <cellStyle name="Процентный 4 109 7" xfId="34428"/>
    <cellStyle name="Обычный 5 102 7" xfId="34429"/>
    <cellStyle name="Процентный 5 102 7" xfId="34430"/>
    <cellStyle name="Обычный 4 2 96 7" xfId="34431"/>
    <cellStyle name="Процентный 4 2 96 7" xfId="34432"/>
    <cellStyle name="Обычный 5 2 96 7" xfId="34433"/>
    <cellStyle name="Процентный 5 2 96 7" xfId="34434"/>
    <cellStyle name="Обычный 6 93 7" xfId="34435"/>
    <cellStyle name="Процентный 6 93 7" xfId="34436"/>
    <cellStyle name="Обычный 7 63 7" xfId="34437"/>
    <cellStyle name="Процентный 7 63 7" xfId="34438"/>
    <cellStyle name="Обычный 4 3 55 7" xfId="34439"/>
    <cellStyle name="Процентный 4 3 55 7" xfId="34440"/>
    <cellStyle name="Обычный 5 3 55 7" xfId="34441"/>
    <cellStyle name="Процентный 5 3 55 7" xfId="34442"/>
    <cellStyle name="Обычный 4 2 2 55 7" xfId="34443"/>
    <cellStyle name="Процентный 4 2 2 55 7" xfId="34444"/>
    <cellStyle name="Обычный 5 2 2 55 7" xfId="34445"/>
    <cellStyle name="Процентный 5 2 2 55 7" xfId="34446"/>
    <cellStyle name="Обычный 6 2 55 7" xfId="34447"/>
    <cellStyle name="Процентный 6 2 55 7" xfId="34448"/>
    <cellStyle name="Обычный 7 2 55 7" xfId="34449"/>
    <cellStyle name="Процентный 7 2 55 7" xfId="34450"/>
    <cellStyle name="Обычный 8 51 7" xfId="34451"/>
    <cellStyle name="Процентный 8 51 7" xfId="34452"/>
    <cellStyle name="Обычный 9 17 7" xfId="34453"/>
    <cellStyle name="Процентный 9 18 7" xfId="34454"/>
    <cellStyle name="Обычный 10 10 7" xfId="34455"/>
    <cellStyle name="Процентный 10 10 7" xfId="34456"/>
    <cellStyle name="Обычный 4 110 7" xfId="34457"/>
    <cellStyle name="Процентный 4 110 7" xfId="34458"/>
    <cellStyle name="Обычный 5 103 7" xfId="34459"/>
    <cellStyle name="Процентный 5 103 7" xfId="34460"/>
    <cellStyle name="Обычный 4 2 97 7" xfId="34461"/>
    <cellStyle name="Процентный 4 2 97 7" xfId="34462"/>
    <cellStyle name="Обычный 5 2 97 7" xfId="34463"/>
    <cellStyle name="Процентный 5 2 97 7" xfId="34464"/>
    <cellStyle name="Обычный 6 94 7" xfId="34465"/>
    <cellStyle name="Процентный 6 94 7" xfId="34466"/>
    <cellStyle name="Обычный 7 64 7" xfId="34467"/>
    <cellStyle name="Процентный 7 64 7" xfId="34468"/>
    <cellStyle name="Обычный 4 3 56 7" xfId="34469"/>
    <cellStyle name="Процентный 4 3 56 7" xfId="34470"/>
    <cellStyle name="Обычный 5 3 56 7" xfId="34471"/>
    <cellStyle name="Процентный 5 3 56 7" xfId="34472"/>
    <cellStyle name="Обычный 4 2 2 56 7" xfId="34473"/>
    <cellStyle name="Процентный 4 2 2 56 7" xfId="34474"/>
    <cellStyle name="Обычный 5 2 2 56 7" xfId="34475"/>
    <cellStyle name="Процентный 5 2 2 56 7" xfId="34476"/>
    <cellStyle name="Обычный 6 2 56 7" xfId="34477"/>
    <cellStyle name="Процентный 6 2 56 7" xfId="34478"/>
    <cellStyle name="Обычный 7 2 56 7" xfId="34479"/>
    <cellStyle name="Процентный 7 2 56 7" xfId="34480"/>
    <cellStyle name="Обычный 8 52 7" xfId="34481"/>
    <cellStyle name="Процентный 8 52 7" xfId="34482"/>
    <cellStyle name="Обычный 9 18 7" xfId="34483"/>
    <cellStyle name="Процентный 9 19 7" xfId="34484"/>
    <cellStyle name="Обычный 10 11 7" xfId="34485"/>
    <cellStyle name="Процентный 10 11 7" xfId="34486"/>
    <cellStyle name="Обычный 4 111 7" xfId="34487"/>
    <cellStyle name="Процентный 4 111 7" xfId="34488"/>
    <cellStyle name="Обычный 5 104 7" xfId="34489"/>
    <cellStyle name="Процентный 5 104 7" xfId="34490"/>
    <cellStyle name="Обычный 4 2 98 7" xfId="34491"/>
    <cellStyle name="Процентный 4 2 98 7" xfId="34492"/>
    <cellStyle name="Обычный 5 2 98 7" xfId="34493"/>
    <cellStyle name="Процентный 5 2 98 7" xfId="34494"/>
    <cellStyle name="Обычный 6 95 7" xfId="34495"/>
    <cellStyle name="Процентный 6 95 7" xfId="34496"/>
    <cellStyle name="Обычный 7 65 7" xfId="34497"/>
    <cellStyle name="Процентный 7 65 7" xfId="34498"/>
    <cellStyle name="Обычный 4 3 57 7" xfId="34499"/>
    <cellStyle name="Процентный 4 3 57 7" xfId="34500"/>
    <cellStyle name="Обычный 5 3 57 7" xfId="34501"/>
    <cellStyle name="Процентный 5 3 57 7" xfId="34502"/>
    <cellStyle name="Обычный 4 2 2 57 7" xfId="34503"/>
    <cellStyle name="Процентный 4 2 2 57 7" xfId="34504"/>
    <cellStyle name="Обычный 5 2 2 57 7" xfId="34505"/>
    <cellStyle name="Процентный 5 2 2 57 7" xfId="34506"/>
    <cellStyle name="Обычный 6 2 57 7" xfId="34507"/>
    <cellStyle name="Процентный 6 2 57 7" xfId="34508"/>
    <cellStyle name="Обычный 7 2 57 7" xfId="34509"/>
    <cellStyle name="Процентный 7 2 57 7" xfId="34510"/>
    <cellStyle name="Обычный 8 53 7" xfId="34511"/>
    <cellStyle name="Процентный 8 53 7" xfId="34512"/>
    <cellStyle name="Обычный 9 19 7" xfId="34513"/>
    <cellStyle name="Процентный 9 20 7" xfId="34514"/>
    <cellStyle name="Обычный 10 12 7" xfId="34515"/>
    <cellStyle name="Процентный 10 12 7" xfId="34516"/>
    <cellStyle name="Обычный 4 112 7" xfId="34517"/>
    <cellStyle name="Процентный 4 112 7" xfId="34518"/>
    <cellStyle name="Обычный 5 105 7" xfId="34519"/>
    <cellStyle name="Процентный 5 105 7" xfId="34520"/>
    <cellStyle name="Обычный 4 2 99 7" xfId="34521"/>
    <cellStyle name="Процентный 4 2 99 7" xfId="34522"/>
    <cellStyle name="Обычный 5 2 99 7" xfId="34523"/>
    <cellStyle name="Процентный 5 2 99 7" xfId="34524"/>
    <cellStyle name="Обычный 6 96 7" xfId="34525"/>
    <cellStyle name="Процентный 6 96 7" xfId="34526"/>
    <cellStyle name="Обычный 7 66 7" xfId="34527"/>
    <cellStyle name="Процентный 7 66 7" xfId="34528"/>
    <cellStyle name="Обычный 4 3 58 7" xfId="34529"/>
    <cellStyle name="Процентный 4 3 58 7" xfId="34530"/>
    <cellStyle name="Обычный 5 3 58 7" xfId="34531"/>
    <cellStyle name="Процентный 5 3 58 7" xfId="34532"/>
    <cellStyle name="Обычный 4 2 2 58 7" xfId="34533"/>
    <cellStyle name="Процентный 4 2 2 58 7" xfId="34534"/>
    <cellStyle name="Обычный 5 2 2 58 7" xfId="34535"/>
    <cellStyle name="Процентный 5 2 2 58 7" xfId="34536"/>
    <cellStyle name="Обычный 6 2 58 7" xfId="34537"/>
    <cellStyle name="Процентный 6 2 58 7" xfId="34538"/>
    <cellStyle name="Обычный 7 2 58 7" xfId="34539"/>
    <cellStyle name="Процентный 7 2 58 7" xfId="34540"/>
    <cellStyle name="Обычный 8 54 7" xfId="34541"/>
    <cellStyle name="Процентный 8 54 7" xfId="34542"/>
    <cellStyle name="Обычный 9 20 7" xfId="34543"/>
    <cellStyle name="Процентный 9 21 7" xfId="34544"/>
    <cellStyle name="Обычный 10 13 7" xfId="34545"/>
    <cellStyle name="Процентный 10 13 7" xfId="34546"/>
    <cellStyle name="Обычный 11 97" xfId="34547"/>
    <cellStyle name="Процентный 11 97" xfId="34548"/>
    <cellStyle name="Обычный 4 113 7" xfId="34549"/>
    <cellStyle name="Процентный 4 113 7" xfId="34550"/>
    <cellStyle name="Обычный 5 106 7" xfId="34551"/>
    <cellStyle name="Процентный 5 106 7" xfId="34552"/>
    <cellStyle name="Обычный 4 2 100 7" xfId="34553"/>
    <cellStyle name="Процентный 4 2 100 7" xfId="34554"/>
    <cellStyle name="Обычный 5 2 100 7" xfId="34555"/>
    <cellStyle name="Процентный 5 2 100 7" xfId="34556"/>
    <cellStyle name="Обычный 6 97 7" xfId="34557"/>
    <cellStyle name="Процентный 6 97 7" xfId="34558"/>
    <cellStyle name="Обычный 7 67 7" xfId="34559"/>
    <cellStyle name="Процентный 7 67 7" xfId="34560"/>
    <cellStyle name="Обычный 4 3 59 7" xfId="34561"/>
    <cellStyle name="Процентный 4 3 59 7" xfId="34562"/>
    <cellStyle name="Обычный 5 3 59 7" xfId="34563"/>
    <cellStyle name="Процентный 5 3 59 7" xfId="34564"/>
    <cellStyle name="Обычный 4 2 2 59 7" xfId="34565"/>
    <cellStyle name="Процентный 4 2 2 59 7" xfId="34566"/>
    <cellStyle name="Обычный 5 2 2 59 7" xfId="34567"/>
    <cellStyle name="Процентный 5 2 2 59 7" xfId="34568"/>
    <cellStyle name="Обычный 6 2 59 7" xfId="34569"/>
    <cellStyle name="Процентный 6 2 59 7" xfId="34570"/>
    <cellStyle name="Обычный 7 2 59 7" xfId="34571"/>
    <cellStyle name="Процентный 7 2 59 7" xfId="34572"/>
    <cellStyle name="Обычный 8 55 7" xfId="34573"/>
    <cellStyle name="Процентный 8 55 7" xfId="34574"/>
    <cellStyle name="Обычный 9 21 7" xfId="34575"/>
    <cellStyle name="Процентный 9 22 7" xfId="34576"/>
    <cellStyle name="Обычный 10 14 7" xfId="34577"/>
    <cellStyle name="Процентный 10 14 7" xfId="34578"/>
    <cellStyle name="Обычный 11 2 7" xfId="34579"/>
    <cellStyle name="Процентный 11 2 7" xfId="34580"/>
    <cellStyle name="Обычный 12 7" xfId="34581"/>
    <cellStyle name="Процентный 12 7" xfId="34582"/>
    <cellStyle name="Обычный 4 114 7" xfId="34583"/>
    <cellStyle name="Процентный 4 114 7" xfId="34584"/>
    <cellStyle name="Обычный 5 107 7" xfId="34585"/>
    <cellStyle name="Процентный 5 107 7" xfId="34586"/>
    <cellStyle name="Обычный 4 2 101 7" xfId="34587"/>
    <cellStyle name="Процентный 4 2 101 7" xfId="34588"/>
    <cellStyle name="Обычный 5 2 101 7" xfId="34589"/>
    <cellStyle name="Процентный 5 2 101 7" xfId="34590"/>
    <cellStyle name="Обычный 6 98 7" xfId="34591"/>
    <cellStyle name="Процентный 6 98 7" xfId="34592"/>
    <cellStyle name="Обычный 7 68 7" xfId="34593"/>
    <cellStyle name="Процентный 7 68 7" xfId="34594"/>
    <cellStyle name="Обычный 4 3 60 7" xfId="34595"/>
    <cellStyle name="Процентный 4 3 60 7" xfId="34596"/>
    <cellStyle name="Обычный 5 3 60 7" xfId="34597"/>
    <cellStyle name="Процентный 5 3 60 7" xfId="34598"/>
    <cellStyle name="Обычный 4 2 2 60 7" xfId="34599"/>
    <cellStyle name="Процентный 4 2 2 60 7" xfId="34600"/>
    <cellStyle name="Обычный 5 2 2 60 7" xfId="34601"/>
    <cellStyle name="Процентный 5 2 2 60 7" xfId="34602"/>
    <cellStyle name="Обычный 6 2 60 7" xfId="34603"/>
    <cellStyle name="Процентный 6 2 60 7" xfId="34604"/>
    <cellStyle name="Обычный 7 2 60 7" xfId="34605"/>
    <cellStyle name="Процентный 7 2 60 7" xfId="34606"/>
    <cellStyle name="Обычный 8 56 7" xfId="34607"/>
    <cellStyle name="Процентный 8 56 7" xfId="34608"/>
    <cellStyle name="Обычный 9 22 7" xfId="34609"/>
    <cellStyle name="Процентный 9 23 7" xfId="34610"/>
    <cellStyle name="Обычный 10 15 7" xfId="34611"/>
    <cellStyle name="Процентный 10 15 7" xfId="34612"/>
    <cellStyle name="Обычный 11 3 7" xfId="34613"/>
    <cellStyle name="Процентный 11 3 7" xfId="34614"/>
    <cellStyle name="Обычный 4 115 7" xfId="34615"/>
    <cellStyle name="Процентный 4 115 7" xfId="34616"/>
    <cellStyle name="Обычный 5 108 7" xfId="34617"/>
    <cellStyle name="Процентный 5 108 7" xfId="34618"/>
    <cellStyle name="Обычный 4 2 102 7" xfId="34619"/>
    <cellStyle name="Процентный 4 2 102 7" xfId="34620"/>
    <cellStyle name="Обычный 5 2 102 7" xfId="34621"/>
    <cellStyle name="Процентный 5 2 102 7" xfId="34622"/>
    <cellStyle name="Обычный 6 99 7" xfId="34623"/>
    <cellStyle name="Процентный 6 99 7" xfId="34624"/>
    <cellStyle name="Обычный 7 69 7" xfId="34625"/>
    <cellStyle name="Процентный 7 69 7" xfId="34626"/>
    <cellStyle name="Обычный 4 3 61 7" xfId="34627"/>
    <cellStyle name="Процентный 4 3 61 7" xfId="34628"/>
    <cellStyle name="Обычный 5 3 61 7" xfId="34629"/>
    <cellStyle name="Процентный 5 3 61 7" xfId="34630"/>
    <cellStyle name="Обычный 4 2 2 61 7" xfId="34631"/>
    <cellStyle name="Процентный 4 2 2 61 7" xfId="34632"/>
    <cellStyle name="Обычный 5 2 2 61 7" xfId="34633"/>
    <cellStyle name="Процентный 5 2 2 61 7" xfId="34634"/>
    <cellStyle name="Обычный 6 2 61 7" xfId="34635"/>
    <cellStyle name="Процентный 6 2 61 7" xfId="34636"/>
    <cellStyle name="Обычный 7 2 61 7" xfId="34637"/>
    <cellStyle name="Процентный 7 2 61 7" xfId="34638"/>
    <cellStyle name="Обычный 8 57 7" xfId="34639"/>
    <cellStyle name="Процентный 8 57 7" xfId="34640"/>
    <cellStyle name="Обычный 9 23 7" xfId="34641"/>
    <cellStyle name="Процентный 9 24 7" xfId="34642"/>
    <cellStyle name="Обычный 10 16 7" xfId="34643"/>
    <cellStyle name="Процентный 10 16 7" xfId="34644"/>
    <cellStyle name="Обычный 11 4 7" xfId="34645"/>
    <cellStyle name="Процентный 11 4 7" xfId="34646"/>
    <cellStyle name="Обычный 4 116 7" xfId="34647"/>
    <cellStyle name="Процентный 4 116 7" xfId="34648"/>
    <cellStyle name="Обычный 5 109 7" xfId="34649"/>
    <cellStyle name="Процентный 5 109 7" xfId="34650"/>
    <cellStyle name="Обычный 4 2 103 7" xfId="34651"/>
    <cellStyle name="Процентный 4 2 103 7" xfId="34652"/>
    <cellStyle name="Обычный 5 2 103 7" xfId="34653"/>
    <cellStyle name="Процентный 5 2 103 7" xfId="34654"/>
    <cellStyle name="Обычный 6 100 7" xfId="34655"/>
    <cellStyle name="Процентный 6 100 7" xfId="34656"/>
    <cellStyle name="Обычный 7 70 7" xfId="34657"/>
    <cellStyle name="Процентный 7 70 7" xfId="34658"/>
    <cellStyle name="Обычный 4 3 62 7" xfId="34659"/>
    <cellStyle name="Процентный 4 3 62 7" xfId="34660"/>
    <cellStyle name="Обычный 5 3 62 7" xfId="34661"/>
    <cellStyle name="Процентный 5 3 62 7" xfId="34662"/>
    <cellStyle name="Обычный 4 2 2 62 7" xfId="34663"/>
    <cellStyle name="Процентный 4 2 2 62 7" xfId="34664"/>
    <cellStyle name="Обычный 5 2 2 62 7" xfId="34665"/>
    <cellStyle name="Процентный 5 2 2 62 7" xfId="34666"/>
    <cellStyle name="Обычный 6 2 62 7" xfId="34667"/>
    <cellStyle name="Процентный 6 2 62 7" xfId="34668"/>
    <cellStyle name="Обычный 7 2 62 7" xfId="34669"/>
    <cellStyle name="Процентный 7 2 62 7" xfId="34670"/>
    <cellStyle name="Обычный 8 58 7" xfId="34671"/>
    <cellStyle name="Процентный 8 58 7" xfId="34672"/>
    <cellStyle name="Обычный 9 24 7" xfId="34673"/>
    <cellStyle name="Процентный 9 25 7" xfId="34674"/>
    <cellStyle name="Обычный 10 17 7" xfId="34675"/>
    <cellStyle name="Процентный 10 17 7" xfId="34676"/>
    <cellStyle name="Обычный 11 5 7" xfId="34677"/>
    <cellStyle name="Процентный 11 5 7" xfId="34678"/>
    <cellStyle name="Обычный 4 117 7" xfId="34679"/>
    <cellStyle name="Процентный 4 117 7" xfId="34680"/>
    <cellStyle name="Обычный 5 110 7" xfId="34681"/>
    <cellStyle name="Процентный 5 110 7" xfId="34682"/>
    <cellStyle name="Обычный 4 2 104 7" xfId="34683"/>
    <cellStyle name="Процентный 4 2 104 7" xfId="34684"/>
    <cellStyle name="Обычный 5 2 104 7" xfId="34685"/>
    <cellStyle name="Процентный 5 2 104 7" xfId="34686"/>
    <cellStyle name="Обычный 6 101 7" xfId="34687"/>
    <cellStyle name="Процентный 6 101 7" xfId="34688"/>
    <cellStyle name="Обычный 7 71 7" xfId="34689"/>
    <cellStyle name="Процентный 7 71 7" xfId="34690"/>
    <cellStyle name="Обычный 4 3 63 7" xfId="34691"/>
    <cellStyle name="Процентный 4 3 63 7" xfId="34692"/>
    <cellStyle name="Обычный 5 3 63 7" xfId="34693"/>
    <cellStyle name="Процентный 5 3 63 7" xfId="34694"/>
    <cellStyle name="Обычный 4 2 2 63 7" xfId="34695"/>
    <cellStyle name="Процентный 4 2 2 63 7" xfId="34696"/>
    <cellStyle name="Обычный 5 2 2 63 7" xfId="34697"/>
    <cellStyle name="Процентный 5 2 2 63 7" xfId="34698"/>
    <cellStyle name="Обычный 6 2 63 7" xfId="34699"/>
    <cellStyle name="Процентный 6 2 63 7" xfId="34700"/>
    <cellStyle name="Обычный 7 2 63 7" xfId="34701"/>
    <cellStyle name="Процентный 7 2 63 7" xfId="34702"/>
    <cellStyle name="Обычный 8 59 7" xfId="34703"/>
    <cellStyle name="Процентный 8 59 7" xfId="34704"/>
    <cellStyle name="Обычный 9 25 7" xfId="34705"/>
    <cellStyle name="Процентный 9 26 7" xfId="34706"/>
    <cellStyle name="Обычный 10 18 7" xfId="34707"/>
    <cellStyle name="Процентный 10 18 7" xfId="34708"/>
    <cellStyle name="Обычный 11 6 7" xfId="34709"/>
    <cellStyle name="Процентный 11 6 7" xfId="34710"/>
    <cellStyle name="Обычный 4 118 7" xfId="34711"/>
    <cellStyle name="Процентный 4 118 7" xfId="34712"/>
    <cellStyle name="Обычный 5 111 7" xfId="34713"/>
    <cellStyle name="Процентный 5 111 7" xfId="34714"/>
    <cellStyle name="Обычный 4 2 105 7" xfId="34715"/>
    <cellStyle name="Процентный 4 2 105 7" xfId="34716"/>
    <cellStyle name="Обычный 5 2 105 7" xfId="34717"/>
    <cellStyle name="Процентный 5 2 105 7" xfId="34718"/>
    <cellStyle name="Обычный 6 102 7" xfId="34719"/>
    <cellStyle name="Процентный 6 102 7" xfId="34720"/>
    <cellStyle name="Обычный 7 72 7" xfId="34721"/>
    <cellStyle name="Процентный 7 72 7" xfId="34722"/>
    <cellStyle name="Обычный 4 3 64 7" xfId="34723"/>
    <cellStyle name="Процентный 4 3 64 7" xfId="34724"/>
    <cellStyle name="Обычный 5 3 64 7" xfId="34725"/>
    <cellStyle name="Процентный 5 3 64 7" xfId="34726"/>
    <cellStyle name="Обычный 4 2 2 64 7" xfId="34727"/>
    <cellStyle name="Процентный 4 2 2 64 7" xfId="34728"/>
    <cellStyle name="Обычный 5 2 2 64 7" xfId="34729"/>
    <cellStyle name="Процентный 5 2 2 64 7" xfId="34730"/>
    <cellStyle name="Обычный 6 2 64 7" xfId="34731"/>
    <cellStyle name="Процентный 6 2 64 7" xfId="34732"/>
    <cellStyle name="Обычный 7 2 64 7" xfId="34733"/>
    <cellStyle name="Процентный 7 2 64 7" xfId="34734"/>
    <cellStyle name="Обычный 8 60 7" xfId="34735"/>
    <cellStyle name="Процентный 8 60 7" xfId="34736"/>
    <cellStyle name="Обычный 9 26 7" xfId="34737"/>
    <cellStyle name="Процентный 9 27 7" xfId="34738"/>
    <cellStyle name="Обычный 10 19 7" xfId="34739"/>
    <cellStyle name="Процентный 10 19 7" xfId="34740"/>
    <cellStyle name="Обычный 11 7 7" xfId="34741"/>
    <cellStyle name="Процентный 11 7 7" xfId="34742"/>
    <cellStyle name="Обычный 4 119 7" xfId="34743"/>
    <cellStyle name="Процентный 4 119 7" xfId="34744"/>
    <cellStyle name="Обычный 5 112 7" xfId="34745"/>
    <cellStyle name="Процентный 5 112 7" xfId="34746"/>
    <cellStyle name="Обычный 4 2 106 7" xfId="34747"/>
    <cellStyle name="Процентный 4 2 106 7" xfId="34748"/>
    <cellStyle name="Обычный 5 2 106 7" xfId="34749"/>
    <cellStyle name="Процентный 5 2 106 7" xfId="34750"/>
    <cellStyle name="Обычный 6 103 7" xfId="34751"/>
    <cellStyle name="Процентный 6 103 7" xfId="34752"/>
    <cellStyle name="Обычный 7 73 7" xfId="34753"/>
    <cellStyle name="Процентный 7 73 7" xfId="34754"/>
    <cellStyle name="Обычный 4 3 65 7" xfId="34755"/>
    <cellStyle name="Процентный 4 3 65 7" xfId="34756"/>
    <cellStyle name="Обычный 5 3 65 7" xfId="34757"/>
    <cellStyle name="Процентный 5 3 65 7" xfId="34758"/>
    <cellStyle name="Обычный 4 2 2 65 7" xfId="34759"/>
    <cellStyle name="Процентный 4 2 2 65 7" xfId="34760"/>
    <cellStyle name="Обычный 5 2 2 65 7" xfId="34761"/>
    <cellStyle name="Процентный 5 2 2 65 7" xfId="34762"/>
    <cellStyle name="Обычный 6 2 65 7" xfId="34763"/>
    <cellStyle name="Процентный 6 2 65 7" xfId="34764"/>
    <cellStyle name="Обычный 7 2 65 7" xfId="34765"/>
    <cellStyle name="Процентный 7 2 65 7" xfId="34766"/>
    <cellStyle name="Обычный 8 61 7" xfId="34767"/>
    <cellStyle name="Процентный 8 61 7" xfId="34768"/>
    <cellStyle name="Обычный 9 27 7" xfId="34769"/>
    <cellStyle name="Процентный 9 28 7" xfId="34770"/>
    <cellStyle name="Обычный 10 20 7" xfId="34771"/>
    <cellStyle name="Процентный 10 20 7" xfId="34772"/>
    <cellStyle name="Обычный 11 8 7" xfId="34773"/>
    <cellStyle name="Процентный 11 8 7" xfId="34774"/>
    <cellStyle name="Обычный 4 120 7" xfId="34775"/>
    <cellStyle name="Процентный 4 120 7" xfId="34776"/>
    <cellStyle name="Обычный 5 113 7" xfId="34777"/>
    <cellStyle name="Процентный 5 113 7" xfId="34778"/>
    <cellStyle name="Обычный 4 2 107 7" xfId="34779"/>
    <cellStyle name="Процентный 4 2 107 7" xfId="34780"/>
    <cellStyle name="Обычный 5 2 107 7" xfId="34781"/>
    <cellStyle name="Процентный 5 2 107 7" xfId="34782"/>
    <cellStyle name="Обычный 6 104 7" xfId="34783"/>
    <cellStyle name="Процентный 6 104 7" xfId="34784"/>
    <cellStyle name="Обычный 7 74 7" xfId="34785"/>
    <cellStyle name="Процентный 7 74 7" xfId="34786"/>
    <cellStyle name="Обычный 4 3 66 7" xfId="34787"/>
    <cellStyle name="Процентный 4 3 66 7" xfId="34788"/>
    <cellStyle name="Обычный 5 3 66 7" xfId="34789"/>
    <cellStyle name="Процентный 5 3 66 7" xfId="34790"/>
    <cellStyle name="Обычный 4 2 2 66 7" xfId="34791"/>
    <cellStyle name="Процентный 4 2 2 66 7" xfId="34792"/>
    <cellStyle name="Обычный 5 2 2 66 7" xfId="34793"/>
    <cellStyle name="Процентный 5 2 2 66 7" xfId="34794"/>
    <cellStyle name="Обычный 6 2 66 7" xfId="34795"/>
    <cellStyle name="Процентный 6 2 66 7" xfId="34796"/>
    <cellStyle name="Обычный 7 2 66 7" xfId="34797"/>
    <cellStyle name="Процентный 7 2 66 7" xfId="34798"/>
    <cellStyle name="Обычный 8 62 7" xfId="34799"/>
    <cellStyle name="Процентный 8 62 7" xfId="34800"/>
    <cellStyle name="Обычный 9 28 7" xfId="34801"/>
    <cellStyle name="Процентный 9 29 7" xfId="34802"/>
    <cellStyle name="Обычный 10 21 7" xfId="34803"/>
    <cellStyle name="Процентный 10 21 7" xfId="34804"/>
    <cellStyle name="Обычный 11 9 7" xfId="34805"/>
    <cellStyle name="Процентный 11 9 7" xfId="34806"/>
    <cellStyle name="Обычный 13 7" xfId="34807"/>
    <cellStyle name="Процентный 13 7" xfId="34808"/>
    <cellStyle name="Обычный 4 121 7" xfId="34809"/>
    <cellStyle name="Процентный 4 121 7" xfId="34810"/>
    <cellStyle name="Обычный 5 114 7" xfId="34811"/>
    <cellStyle name="Процентный 5 114 7" xfId="34812"/>
    <cellStyle name="Обычный 4 2 108 7" xfId="34813"/>
    <cellStyle name="Процентный 4 2 108 7" xfId="34814"/>
    <cellStyle name="Обычный 5 2 108 7" xfId="34815"/>
    <cellStyle name="Процентный 5 2 108 7" xfId="34816"/>
    <cellStyle name="Обычный 6 105 7" xfId="34817"/>
    <cellStyle name="Процентный 6 105 7" xfId="34818"/>
    <cellStyle name="Обычный 7 75 7" xfId="34819"/>
    <cellStyle name="Процентный 7 75 7" xfId="34820"/>
    <cellStyle name="Обычный 4 3 67 7" xfId="34821"/>
    <cellStyle name="Процентный 4 3 67 7" xfId="34822"/>
    <cellStyle name="Обычный 5 3 67 7" xfId="34823"/>
    <cellStyle name="Процентный 5 3 67 7" xfId="34824"/>
    <cellStyle name="Обычный 4 2 2 67 7" xfId="34825"/>
    <cellStyle name="Процентный 4 2 2 67 7" xfId="34826"/>
    <cellStyle name="Обычный 5 2 2 67 7" xfId="34827"/>
    <cellStyle name="Процентный 5 2 2 67 7" xfId="34828"/>
    <cellStyle name="Обычный 6 2 67 7" xfId="34829"/>
    <cellStyle name="Процентный 6 2 67 7" xfId="34830"/>
    <cellStyle name="Обычный 7 2 67 7" xfId="34831"/>
    <cellStyle name="Процентный 7 2 67 7" xfId="34832"/>
    <cellStyle name="Обычный 8 63 7" xfId="34833"/>
    <cellStyle name="Процентный 8 63 7" xfId="34834"/>
    <cellStyle name="Обычный 9 29 7" xfId="34835"/>
    <cellStyle name="Процентный 9 30 7" xfId="34836"/>
    <cellStyle name="Обычный 10 22 7" xfId="34837"/>
    <cellStyle name="Процентный 10 22 7" xfId="34838"/>
    <cellStyle name="Обычный 11 10 7" xfId="34839"/>
    <cellStyle name="Процентный 11 10 7" xfId="34840"/>
    <cellStyle name="Обычный 4 122 7" xfId="34841"/>
    <cellStyle name="Процентный 4 122 7" xfId="34842"/>
    <cellStyle name="Обычный 5 115 7" xfId="34843"/>
    <cellStyle name="Процентный 5 115 7" xfId="34844"/>
    <cellStyle name="Обычный 4 2 109 7" xfId="34845"/>
    <cellStyle name="Процентный 4 2 109 7" xfId="34846"/>
    <cellStyle name="Обычный 5 2 109 7" xfId="34847"/>
    <cellStyle name="Процентный 5 2 109 7" xfId="34848"/>
    <cellStyle name="Обычный 6 106 7" xfId="34849"/>
    <cellStyle name="Процентный 6 106 7" xfId="34850"/>
    <cellStyle name="Обычный 7 76 7" xfId="34851"/>
    <cellStyle name="Процентный 7 76 7" xfId="34852"/>
    <cellStyle name="Обычный 4 3 68 7" xfId="34853"/>
    <cellStyle name="Процентный 4 3 68 7" xfId="34854"/>
    <cellStyle name="Обычный 5 3 68 7" xfId="34855"/>
    <cellStyle name="Процентный 5 3 68 7" xfId="34856"/>
    <cellStyle name="Обычный 4 2 2 68 7" xfId="34857"/>
    <cellStyle name="Процентный 4 2 2 68 7" xfId="34858"/>
    <cellStyle name="Обычный 5 2 2 68 7" xfId="34859"/>
    <cellStyle name="Процентный 5 2 2 68 7" xfId="34860"/>
    <cellStyle name="Обычный 6 2 68 7" xfId="34861"/>
    <cellStyle name="Процентный 6 2 68 7" xfId="34862"/>
    <cellStyle name="Обычный 7 2 68 7" xfId="34863"/>
    <cellStyle name="Процентный 7 2 68 7" xfId="34864"/>
    <cellStyle name="Обычный 8 64 7" xfId="34865"/>
    <cellStyle name="Процентный 8 64 7" xfId="34866"/>
    <cellStyle name="Обычный 9 30 7" xfId="34867"/>
    <cellStyle name="Процентный 9 31 7" xfId="34868"/>
    <cellStyle name="Обычный 10 23 7" xfId="34869"/>
    <cellStyle name="Процентный 10 23 7" xfId="34870"/>
    <cellStyle name="Обычный 11 11 7" xfId="34871"/>
    <cellStyle name="Процентный 11 11 7" xfId="34872"/>
    <cellStyle name="Обычный 4 123 7" xfId="34873"/>
    <cellStyle name="Процентный 4 123 7" xfId="34874"/>
    <cellStyle name="Обычный 5 116 7" xfId="34875"/>
    <cellStyle name="Процентный 5 116 7" xfId="34876"/>
    <cellStyle name="Обычный 4 2 110 7" xfId="34877"/>
    <cellStyle name="Процентный 4 2 110 7" xfId="34878"/>
    <cellStyle name="Обычный 5 2 110 7" xfId="34879"/>
    <cellStyle name="Процентный 5 2 110 7" xfId="34880"/>
    <cellStyle name="Обычный 6 107 7" xfId="34881"/>
    <cellStyle name="Процентный 6 107 7" xfId="34882"/>
    <cellStyle name="Обычный 7 77 7" xfId="34883"/>
    <cellStyle name="Процентный 7 77 7" xfId="34884"/>
    <cellStyle name="Обычный 4 3 69 7" xfId="34885"/>
    <cellStyle name="Процентный 4 3 69 7" xfId="34886"/>
    <cellStyle name="Обычный 5 3 69 7" xfId="34887"/>
    <cellStyle name="Процентный 5 3 69 7" xfId="34888"/>
    <cellStyle name="Обычный 4 2 2 69 7" xfId="34889"/>
    <cellStyle name="Процентный 4 2 2 69 7" xfId="34890"/>
    <cellStyle name="Обычный 5 2 2 69 7" xfId="34891"/>
    <cellStyle name="Процентный 5 2 2 69 7" xfId="34892"/>
    <cellStyle name="Обычный 6 2 69 7" xfId="34893"/>
    <cellStyle name="Процентный 6 2 69 7" xfId="34894"/>
    <cellStyle name="Обычный 7 2 69 7" xfId="34895"/>
    <cellStyle name="Процентный 7 2 69 7" xfId="34896"/>
    <cellStyle name="Обычный 8 65 7" xfId="34897"/>
    <cellStyle name="Процентный 8 65 7" xfId="34898"/>
    <cellStyle name="Обычный 9 31 7" xfId="34899"/>
    <cellStyle name="Процентный 9 32 7" xfId="34900"/>
    <cellStyle name="Обычный 10 24 7" xfId="34901"/>
    <cellStyle name="Процентный 10 24 7" xfId="34902"/>
    <cellStyle name="Обычный 11 12 7" xfId="34903"/>
    <cellStyle name="Процентный 11 12 7" xfId="34904"/>
    <cellStyle name="Обычный 4 124 7" xfId="34905"/>
    <cellStyle name="Процентный 4 124 7" xfId="34906"/>
    <cellStyle name="Обычный 5 117 7" xfId="34907"/>
    <cellStyle name="Процентный 5 117 7" xfId="34908"/>
    <cellStyle name="Обычный 4 2 111 7" xfId="34909"/>
    <cellStyle name="Процентный 4 2 111 7" xfId="34910"/>
    <cellStyle name="Обычный 5 2 111 7" xfId="34911"/>
    <cellStyle name="Процентный 5 2 111 7" xfId="34912"/>
    <cellStyle name="Обычный 6 108 7" xfId="34913"/>
    <cellStyle name="Процентный 6 108 7" xfId="34914"/>
    <cellStyle name="Обычный 7 78 7" xfId="34915"/>
    <cellStyle name="Процентный 7 78 7" xfId="34916"/>
    <cellStyle name="Обычный 4 3 70 7" xfId="34917"/>
    <cellStyle name="Процентный 4 3 70 7" xfId="34918"/>
    <cellStyle name="Обычный 5 3 70 7" xfId="34919"/>
    <cellStyle name="Процентный 5 3 70 7" xfId="34920"/>
    <cellStyle name="Обычный 4 2 2 70 7" xfId="34921"/>
    <cellStyle name="Процентный 4 2 2 70 7" xfId="34922"/>
    <cellStyle name="Обычный 5 2 2 70 7" xfId="34923"/>
    <cellStyle name="Процентный 5 2 2 70 7" xfId="34924"/>
    <cellStyle name="Обычный 6 2 70 7" xfId="34925"/>
    <cellStyle name="Процентный 6 2 70 7" xfId="34926"/>
    <cellStyle name="Обычный 7 2 70 7" xfId="34927"/>
    <cellStyle name="Процентный 7 2 70 7" xfId="34928"/>
    <cellStyle name="Обычный 8 66 7" xfId="34929"/>
    <cellStyle name="Процентный 8 66 7" xfId="34930"/>
    <cellStyle name="Обычный 9 32 7" xfId="34931"/>
    <cellStyle name="Процентный 9 33 7" xfId="34932"/>
    <cellStyle name="Обычный 10 25 7" xfId="34933"/>
    <cellStyle name="Процентный 10 25 7" xfId="34934"/>
    <cellStyle name="Обычный 11 13 7" xfId="34935"/>
    <cellStyle name="Процентный 11 13 7" xfId="34936"/>
    <cellStyle name="Обычный 4 125 7" xfId="34937"/>
    <cellStyle name="Процентный 4 125 7" xfId="34938"/>
    <cellStyle name="Обычный 5 118 7" xfId="34939"/>
    <cellStyle name="Процентный 5 118 7" xfId="34940"/>
    <cellStyle name="Обычный 4 2 112 7" xfId="34941"/>
    <cellStyle name="Процентный 4 2 112 7" xfId="34942"/>
    <cellStyle name="Обычный 5 2 112 7" xfId="34943"/>
    <cellStyle name="Процентный 5 2 112 7" xfId="34944"/>
    <cellStyle name="Обычный 6 109 7" xfId="34945"/>
    <cellStyle name="Процентный 6 109 7" xfId="34946"/>
    <cellStyle name="Обычный 7 79 7" xfId="34947"/>
    <cellStyle name="Процентный 7 79 7" xfId="34948"/>
    <cellStyle name="Обычный 4 3 71 7" xfId="34949"/>
    <cellStyle name="Процентный 4 3 71 7" xfId="34950"/>
    <cellStyle name="Обычный 5 3 71 7" xfId="34951"/>
    <cellStyle name="Процентный 5 3 71 7" xfId="34952"/>
    <cellStyle name="Обычный 4 2 2 71 7" xfId="34953"/>
    <cellStyle name="Процентный 4 2 2 71 7" xfId="34954"/>
    <cellStyle name="Обычный 5 2 2 71 7" xfId="34955"/>
    <cellStyle name="Процентный 5 2 2 71 7" xfId="34956"/>
    <cellStyle name="Обычный 6 2 71 7" xfId="34957"/>
    <cellStyle name="Процентный 6 2 71 7" xfId="34958"/>
    <cellStyle name="Обычный 7 2 71 7" xfId="34959"/>
    <cellStyle name="Процентный 7 2 71 7" xfId="34960"/>
    <cellStyle name="Обычный 8 67 7" xfId="34961"/>
    <cellStyle name="Процентный 8 67 7" xfId="34962"/>
    <cellStyle name="Обычный 9 33 7" xfId="34963"/>
    <cellStyle name="Процентный 9 34 7" xfId="34964"/>
    <cellStyle name="Обычный 10 26 7" xfId="34965"/>
    <cellStyle name="Процентный 10 26 7" xfId="34966"/>
    <cellStyle name="Обычный 11 14 7" xfId="34967"/>
    <cellStyle name="Процентный 11 14 7" xfId="34968"/>
    <cellStyle name="Обычный 4 126 7" xfId="34969"/>
    <cellStyle name="Процентный 4 126 7" xfId="34970"/>
    <cellStyle name="Обычный 5 119 7" xfId="34971"/>
    <cellStyle name="Процентный 5 119 7" xfId="34972"/>
    <cellStyle name="Обычный 4 2 113 7" xfId="34973"/>
    <cellStyle name="Процентный 4 2 113 7" xfId="34974"/>
    <cellStyle name="Обычный 5 2 113 7" xfId="34975"/>
    <cellStyle name="Процентный 5 2 113 7" xfId="34976"/>
    <cellStyle name="Обычный 6 110 7" xfId="34977"/>
    <cellStyle name="Процентный 6 110 7" xfId="34978"/>
    <cellStyle name="Обычный 7 80 7" xfId="34979"/>
    <cellStyle name="Процентный 7 80 7" xfId="34980"/>
    <cellStyle name="Обычный 4 3 72 7" xfId="34981"/>
    <cellStyle name="Процентный 4 3 72 7" xfId="34982"/>
    <cellStyle name="Обычный 5 3 72 7" xfId="34983"/>
    <cellStyle name="Процентный 5 3 72 7" xfId="34984"/>
    <cellStyle name="Обычный 4 2 2 72 7" xfId="34985"/>
    <cellStyle name="Процентный 4 2 2 72 7" xfId="34986"/>
    <cellStyle name="Обычный 5 2 2 72 7" xfId="34987"/>
    <cellStyle name="Процентный 5 2 2 72 7" xfId="34988"/>
    <cellStyle name="Обычный 6 2 72 7" xfId="34989"/>
    <cellStyle name="Процентный 6 2 72 7" xfId="34990"/>
    <cellStyle name="Обычный 7 2 72 7" xfId="34991"/>
    <cellStyle name="Процентный 7 2 72 7" xfId="34992"/>
    <cellStyle name="Обычный 8 68 7" xfId="34993"/>
    <cellStyle name="Процентный 8 68 7" xfId="34994"/>
    <cellStyle name="Обычный 9 34 7" xfId="34995"/>
    <cellStyle name="Процентный 9 35 7" xfId="34996"/>
    <cellStyle name="Обычный 10 27 7" xfId="34997"/>
    <cellStyle name="Процентный 10 27 7" xfId="34998"/>
    <cellStyle name="Обычный 11 15 7" xfId="34999"/>
    <cellStyle name="Процентный 11 15 7" xfId="35000"/>
    <cellStyle name="Обычный 4 127 7" xfId="35001"/>
    <cellStyle name="Процентный 4 127 7" xfId="35002"/>
    <cellStyle name="Обычный 5 120 7" xfId="35003"/>
    <cellStyle name="Процентный 5 120 7" xfId="35004"/>
    <cellStyle name="Обычный 4 2 114 7" xfId="35005"/>
    <cellStyle name="Процентный 4 2 114 7" xfId="35006"/>
    <cellStyle name="Обычный 5 2 114 7" xfId="35007"/>
    <cellStyle name="Процентный 5 2 114 7" xfId="35008"/>
    <cellStyle name="Обычный 6 111 7" xfId="35009"/>
    <cellStyle name="Процентный 6 111 7" xfId="35010"/>
    <cellStyle name="Обычный 7 81 7" xfId="35011"/>
    <cellStyle name="Процентный 7 81 7" xfId="35012"/>
    <cellStyle name="Обычный 4 3 73 7" xfId="35013"/>
    <cellStyle name="Процентный 4 3 73 7" xfId="35014"/>
    <cellStyle name="Обычный 5 3 73 7" xfId="35015"/>
    <cellStyle name="Процентный 5 3 73 7" xfId="35016"/>
    <cellStyle name="Обычный 4 2 2 73 7" xfId="35017"/>
    <cellStyle name="Процентный 4 2 2 73 7" xfId="35018"/>
    <cellStyle name="Обычный 5 2 2 73 7" xfId="35019"/>
    <cellStyle name="Процентный 5 2 2 73 7" xfId="35020"/>
    <cellStyle name="Обычный 6 2 73 7" xfId="35021"/>
    <cellStyle name="Процентный 6 2 73 7" xfId="35022"/>
    <cellStyle name="Обычный 7 2 73 7" xfId="35023"/>
    <cellStyle name="Процентный 7 2 73 7" xfId="35024"/>
    <cellStyle name="Обычный 8 69 7" xfId="35025"/>
    <cellStyle name="Процентный 8 69 7" xfId="35026"/>
    <cellStyle name="Обычный 9 35 7" xfId="35027"/>
    <cellStyle name="Процентный 9 36 7" xfId="35028"/>
    <cellStyle name="Обычный 10 28 7" xfId="35029"/>
    <cellStyle name="Процентный 10 28 7" xfId="35030"/>
    <cellStyle name="Обычный 11 16 7" xfId="35031"/>
    <cellStyle name="Процентный 11 16 7" xfId="35032"/>
    <cellStyle name="Обычный 4 128 7" xfId="35033"/>
    <cellStyle name="Процентный 4 128 7" xfId="35034"/>
    <cellStyle name="Обычный 5 121 7" xfId="35035"/>
    <cellStyle name="Процентный 5 121 7" xfId="35036"/>
    <cellStyle name="Обычный 4 2 115 7" xfId="35037"/>
    <cellStyle name="Процентный 4 2 115 7" xfId="35038"/>
    <cellStyle name="Обычный 5 2 115 7" xfId="35039"/>
    <cellStyle name="Процентный 5 2 115 7" xfId="35040"/>
    <cellStyle name="Обычный 6 112 7" xfId="35041"/>
    <cellStyle name="Процентный 6 112 7" xfId="35042"/>
    <cellStyle name="Обычный 7 82 7" xfId="35043"/>
    <cellStyle name="Процентный 7 82 7" xfId="35044"/>
    <cellStyle name="Обычный 4 3 74 7" xfId="35045"/>
    <cellStyle name="Процентный 4 3 74 7" xfId="35046"/>
    <cellStyle name="Обычный 5 3 74 7" xfId="35047"/>
    <cellStyle name="Процентный 5 3 74 7" xfId="35048"/>
    <cellStyle name="Обычный 4 2 2 74 7" xfId="35049"/>
    <cellStyle name="Процентный 4 2 2 74 7" xfId="35050"/>
    <cellStyle name="Обычный 5 2 2 74 7" xfId="35051"/>
    <cellStyle name="Процентный 5 2 2 74 7" xfId="35052"/>
    <cellStyle name="Обычный 6 2 74 7" xfId="35053"/>
    <cellStyle name="Процентный 6 2 74 7" xfId="35054"/>
    <cellStyle name="Обычный 7 2 74 7" xfId="35055"/>
    <cellStyle name="Процентный 7 2 74 7" xfId="35056"/>
    <cellStyle name="Обычный 8 70 7" xfId="35057"/>
    <cellStyle name="Процентный 8 70 7" xfId="35058"/>
    <cellStyle name="Обычный 9 36 7" xfId="35059"/>
    <cellStyle name="Процентный 9 37 7" xfId="35060"/>
    <cellStyle name="Обычный 10 29 7" xfId="35061"/>
    <cellStyle name="Процентный 10 29 7" xfId="35062"/>
    <cellStyle name="Обычный 11 17 7" xfId="35063"/>
    <cellStyle name="Процентный 11 17 7" xfId="35064"/>
    <cellStyle name="Обычный 4 129 7" xfId="35065"/>
    <cellStyle name="Процентный 4 129 7" xfId="35066"/>
    <cellStyle name="Обычный 5 122 7" xfId="35067"/>
    <cellStyle name="Процентный 5 122 7" xfId="35068"/>
    <cellStyle name="Обычный 4 2 116 7" xfId="35069"/>
    <cellStyle name="Процентный 4 2 116 7" xfId="35070"/>
    <cellStyle name="Обычный 5 2 116 7" xfId="35071"/>
    <cellStyle name="Процентный 5 2 116 7" xfId="35072"/>
    <cellStyle name="Обычный 6 113 7" xfId="35073"/>
    <cellStyle name="Процентный 6 113 7" xfId="35074"/>
    <cellStyle name="Обычный 7 83 7" xfId="35075"/>
    <cellStyle name="Процентный 7 83 7" xfId="35076"/>
    <cellStyle name="Обычный 4 3 75 7" xfId="35077"/>
    <cellStyle name="Процентный 4 3 75 7" xfId="35078"/>
    <cellStyle name="Обычный 5 3 75 7" xfId="35079"/>
    <cellStyle name="Процентный 5 3 75 7" xfId="35080"/>
    <cellStyle name="Обычный 4 2 2 75 7" xfId="35081"/>
    <cellStyle name="Процентный 4 2 2 75 7" xfId="35082"/>
    <cellStyle name="Обычный 5 2 2 75 7" xfId="35083"/>
    <cellStyle name="Процентный 5 2 2 75 7" xfId="35084"/>
    <cellStyle name="Обычный 6 2 75 7" xfId="35085"/>
    <cellStyle name="Процентный 6 2 75 7" xfId="35086"/>
    <cellStyle name="Обычный 7 2 75 7" xfId="35087"/>
    <cellStyle name="Процентный 7 2 75 7" xfId="35088"/>
    <cellStyle name="Обычный 8 71 7" xfId="35089"/>
    <cellStyle name="Процентный 8 71 7" xfId="35090"/>
    <cellStyle name="Обычный 9 37 7" xfId="35091"/>
    <cellStyle name="Процентный 9 38 7" xfId="35092"/>
    <cellStyle name="Обычный 10 30 7" xfId="35093"/>
    <cellStyle name="Процентный 10 30 7" xfId="35094"/>
    <cellStyle name="Обычный 11 18 7" xfId="35095"/>
    <cellStyle name="Процентный 11 18 7" xfId="35096"/>
    <cellStyle name="Обычный 4 130 7" xfId="35097"/>
    <cellStyle name="Процентный 4 130 7" xfId="35098"/>
    <cellStyle name="Обычный 5 123 7" xfId="35099"/>
    <cellStyle name="Процентный 5 123 7" xfId="35100"/>
    <cellStyle name="Обычный 4 2 117 7" xfId="35101"/>
    <cellStyle name="Процентный 4 2 117 7" xfId="35102"/>
    <cellStyle name="Обычный 5 2 117 7" xfId="35103"/>
    <cellStyle name="Процентный 5 2 117 7" xfId="35104"/>
    <cellStyle name="Обычный 6 114 7" xfId="35105"/>
    <cellStyle name="Процентный 6 114 7" xfId="35106"/>
    <cellStyle name="Обычный 7 84 7" xfId="35107"/>
    <cellStyle name="Процентный 7 84 7" xfId="35108"/>
    <cellStyle name="Обычный 4 3 76 7" xfId="35109"/>
    <cellStyle name="Процентный 4 3 76 7" xfId="35110"/>
    <cellStyle name="Обычный 5 3 76 7" xfId="35111"/>
    <cellStyle name="Процентный 5 3 76 7" xfId="35112"/>
    <cellStyle name="Обычный 4 2 2 76 7" xfId="35113"/>
    <cellStyle name="Процентный 4 2 2 76 7" xfId="35114"/>
    <cellStyle name="Обычный 5 2 2 76 7" xfId="35115"/>
    <cellStyle name="Процентный 5 2 2 76 7" xfId="35116"/>
    <cellStyle name="Обычный 6 2 76 7" xfId="35117"/>
    <cellStyle name="Процентный 6 2 76 7" xfId="35118"/>
    <cellStyle name="Обычный 7 2 76 7" xfId="35119"/>
    <cellStyle name="Процентный 7 2 76 7" xfId="35120"/>
    <cellStyle name="Обычный 8 72 7" xfId="35121"/>
    <cellStyle name="Процентный 8 72 7" xfId="35122"/>
    <cellStyle name="Обычный 9 38 7" xfId="35123"/>
    <cellStyle name="Процентный 9 39 7" xfId="35124"/>
    <cellStyle name="Обычный 10 31 7" xfId="35125"/>
    <cellStyle name="Процентный 10 31 7" xfId="35126"/>
    <cellStyle name="Обычный 11 19 7" xfId="35127"/>
    <cellStyle name="Процентный 11 19 7" xfId="35128"/>
    <cellStyle name="Обычный 4 131 7" xfId="35129"/>
    <cellStyle name="Процентный 4 131 7" xfId="35130"/>
    <cellStyle name="Обычный 5 124 7" xfId="35131"/>
    <cellStyle name="Процентный 5 124 7" xfId="35132"/>
    <cellStyle name="Обычный 4 2 118 7" xfId="35133"/>
    <cellStyle name="Процентный 4 2 118 7" xfId="35134"/>
    <cellStyle name="Обычный 5 2 118 7" xfId="35135"/>
    <cellStyle name="Процентный 5 2 118 7" xfId="35136"/>
    <cellStyle name="Обычный 6 115 7" xfId="35137"/>
    <cellStyle name="Процентный 6 115 7" xfId="35138"/>
    <cellStyle name="Обычный 7 85 7" xfId="35139"/>
    <cellStyle name="Процентный 7 85 7" xfId="35140"/>
    <cellStyle name="Обычный 4 3 77 7" xfId="35141"/>
    <cellStyle name="Процентный 4 3 77 7" xfId="35142"/>
    <cellStyle name="Обычный 5 3 77 7" xfId="35143"/>
    <cellStyle name="Процентный 5 3 77 7" xfId="35144"/>
    <cellStyle name="Обычный 4 2 2 77 7" xfId="35145"/>
    <cellStyle name="Процентный 4 2 2 77 7" xfId="35146"/>
    <cellStyle name="Обычный 5 2 2 77 7" xfId="35147"/>
    <cellStyle name="Процентный 5 2 2 77 7" xfId="35148"/>
    <cellStyle name="Обычный 6 2 77 7" xfId="35149"/>
    <cellStyle name="Процентный 6 2 77 7" xfId="35150"/>
    <cellStyle name="Обычный 7 2 77 7" xfId="35151"/>
    <cellStyle name="Процентный 7 2 77 7" xfId="35152"/>
    <cellStyle name="Обычный 8 73 7" xfId="35153"/>
    <cellStyle name="Процентный 8 73 7" xfId="35154"/>
    <cellStyle name="Обычный 9 39 7" xfId="35155"/>
    <cellStyle name="Процентный 9 40 7" xfId="35156"/>
    <cellStyle name="Обычный 10 32 7" xfId="35157"/>
    <cellStyle name="Процентный 10 32 7" xfId="35158"/>
    <cellStyle name="Обычный 11 20 7" xfId="35159"/>
    <cellStyle name="Процентный 11 20 7" xfId="35160"/>
    <cellStyle name="Обычный 4 132 7" xfId="35161"/>
    <cellStyle name="Процентный 4 132 7" xfId="35162"/>
    <cellStyle name="Обычный 5 125 7" xfId="35163"/>
    <cellStyle name="Процентный 5 125 7" xfId="35164"/>
    <cellStyle name="Обычный 4 2 119 7" xfId="35165"/>
    <cellStyle name="Процентный 4 2 119 7" xfId="35166"/>
    <cellStyle name="Обычный 5 2 119 7" xfId="35167"/>
    <cellStyle name="Процентный 5 2 119 7" xfId="35168"/>
    <cellStyle name="Обычный 6 116 7" xfId="35169"/>
    <cellStyle name="Процентный 6 116 7" xfId="35170"/>
    <cellStyle name="Обычный 7 86 7" xfId="35171"/>
    <cellStyle name="Процентный 7 86 7" xfId="35172"/>
    <cellStyle name="Обычный 4 3 78 7" xfId="35173"/>
    <cellStyle name="Процентный 4 3 78 7" xfId="35174"/>
    <cellStyle name="Обычный 5 3 78 7" xfId="35175"/>
    <cellStyle name="Процентный 5 3 78 7" xfId="35176"/>
    <cellStyle name="Обычный 4 2 2 78 7" xfId="35177"/>
    <cellStyle name="Процентный 4 2 2 78 7" xfId="35178"/>
    <cellStyle name="Обычный 5 2 2 78 7" xfId="35179"/>
    <cellStyle name="Процентный 5 2 2 78 7" xfId="35180"/>
    <cellStyle name="Обычный 6 2 78 7" xfId="35181"/>
    <cellStyle name="Процентный 6 2 78 7" xfId="35182"/>
    <cellStyle name="Обычный 7 2 78 7" xfId="35183"/>
    <cellStyle name="Процентный 7 2 78 7" xfId="35184"/>
    <cellStyle name="Обычный 8 74 7" xfId="35185"/>
    <cellStyle name="Процентный 8 74 7" xfId="35186"/>
    <cellStyle name="Обычный 9 40 7" xfId="35187"/>
    <cellStyle name="Процентный 9 41 7" xfId="35188"/>
    <cellStyle name="Обычный 10 33 7" xfId="35189"/>
    <cellStyle name="Процентный 10 33 7" xfId="35190"/>
    <cellStyle name="Обычный 11 21 7" xfId="35191"/>
    <cellStyle name="Процентный 11 21 7" xfId="35192"/>
    <cellStyle name="Обычный 4 133 7" xfId="35193"/>
    <cellStyle name="Процентный 4 133 7" xfId="35194"/>
    <cellStyle name="Обычный 5 126 7" xfId="35195"/>
    <cellStyle name="Процентный 5 126 7" xfId="35196"/>
    <cellStyle name="Обычный 4 2 120 7" xfId="35197"/>
    <cellStyle name="Процентный 4 2 120 7" xfId="35198"/>
    <cellStyle name="Обычный 5 2 120 7" xfId="35199"/>
    <cellStyle name="Процентный 5 2 120 7" xfId="35200"/>
    <cellStyle name="Обычный 6 117 7" xfId="35201"/>
    <cellStyle name="Процентный 6 117 7" xfId="35202"/>
    <cellStyle name="Обычный 7 87 7" xfId="35203"/>
    <cellStyle name="Процентный 7 87 7" xfId="35204"/>
    <cellStyle name="Обычный 4 3 79 7" xfId="35205"/>
    <cellStyle name="Процентный 4 3 79 7" xfId="35206"/>
    <cellStyle name="Обычный 5 3 79 7" xfId="35207"/>
    <cellStyle name="Процентный 5 3 79 7" xfId="35208"/>
    <cellStyle name="Обычный 4 2 2 79 7" xfId="35209"/>
    <cellStyle name="Процентный 4 2 2 79 7" xfId="35210"/>
    <cellStyle name="Обычный 5 2 2 79 7" xfId="35211"/>
    <cellStyle name="Процентный 5 2 2 79 7" xfId="35212"/>
    <cellStyle name="Обычный 6 2 79 7" xfId="35213"/>
    <cellStyle name="Процентный 6 2 79 7" xfId="35214"/>
    <cellStyle name="Обычный 7 2 79 7" xfId="35215"/>
    <cellStyle name="Процентный 7 2 79 7" xfId="35216"/>
    <cellStyle name="Обычный 8 75 7" xfId="35217"/>
    <cellStyle name="Процентный 8 75 7" xfId="35218"/>
    <cellStyle name="Обычный 9 41 7" xfId="35219"/>
    <cellStyle name="Процентный 9 42 7" xfId="35220"/>
    <cellStyle name="Обычный 10 34 7" xfId="35221"/>
    <cellStyle name="Процентный 10 34 7" xfId="35222"/>
    <cellStyle name="Обычный 11 22 7" xfId="35223"/>
    <cellStyle name="Процентный 11 22 7" xfId="35224"/>
    <cellStyle name="Обычный 4 134 7" xfId="35225"/>
    <cellStyle name="Процентный 4 134 7" xfId="35226"/>
    <cellStyle name="Обычный 5 127 7" xfId="35227"/>
    <cellStyle name="Процентный 5 127 7" xfId="35228"/>
    <cellStyle name="Обычный 4 2 121 7" xfId="35229"/>
    <cellStyle name="Процентный 4 2 121 7" xfId="35230"/>
    <cellStyle name="Обычный 5 2 121 7" xfId="35231"/>
    <cellStyle name="Процентный 5 2 121 7" xfId="35232"/>
    <cellStyle name="Обычный 6 118 7" xfId="35233"/>
    <cellStyle name="Процентный 6 118 7" xfId="35234"/>
    <cellStyle name="Обычный 7 88 7" xfId="35235"/>
    <cellStyle name="Процентный 7 88 7" xfId="35236"/>
    <cellStyle name="Обычный 4 3 80 7" xfId="35237"/>
    <cellStyle name="Процентный 4 3 80 7" xfId="35238"/>
    <cellStyle name="Обычный 5 3 80 7" xfId="35239"/>
    <cellStyle name="Процентный 5 3 80 7" xfId="35240"/>
    <cellStyle name="Обычный 4 2 2 80 7" xfId="35241"/>
    <cellStyle name="Процентный 4 2 2 80 7" xfId="35242"/>
    <cellStyle name="Обычный 5 2 2 80 7" xfId="35243"/>
    <cellStyle name="Процентный 5 2 2 80 7" xfId="35244"/>
    <cellStyle name="Обычный 6 2 80 7" xfId="35245"/>
    <cellStyle name="Процентный 6 2 80 7" xfId="35246"/>
    <cellStyle name="Обычный 7 2 80 7" xfId="35247"/>
    <cellStyle name="Процентный 7 2 80 7" xfId="35248"/>
    <cellStyle name="Обычный 8 76 7" xfId="35249"/>
    <cellStyle name="Процентный 8 76 7" xfId="35250"/>
    <cellStyle name="Обычный 9 42 7" xfId="35251"/>
    <cellStyle name="Процентный 9 43 7" xfId="35252"/>
    <cellStyle name="Обычный 10 35 7" xfId="35253"/>
    <cellStyle name="Процентный 10 35 7" xfId="35254"/>
    <cellStyle name="Обычный 11 23 7" xfId="35255"/>
    <cellStyle name="Процентный 11 23 7" xfId="35256"/>
    <cellStyle name="Обычный 4 135 7" xfId="35257"/>
    <cellStyle name="Процентный 4 135 7" xfId="35258"/>
    <cellStyle name="Обычный 5 128 7" xfId="35259"/>
    <cellStyle name="Процентный 5 128 7" xfId="35260"/>
    <cellStyle name="Обычный 4 2 122 7" xfId="35261"/>
    <cellStyle name="Процентный 4 2 122 7" xfId="35262"/>
    <cellStyle name="Обычный 5 2 122 7" xfId="35263"/>
    <cellStyle name="Процентный 5 2 122 7" xfId="35264"/>
    <cellStyle name="Обычный 6 119 7" xfId="35265"/>
    <cellStyle name="Процентный 6 119 7" xfId="35266"/>
    <cellStyle name="Обычный 7 89 7" xfId="35267"/>
    <cellStyle name="Процентный 7 89 7" xfId="35268"/>
    <cellStyle name="Обычный 4 3 81 7" xfId="35269"/>
    <cellStyle name="Процентный 4 3 81 7" xfId="35270"/>
    <cellStyle name="Обычный 5 3 81 7" xfId="35271"/>
    <cellStyle name="Процентный 5 3 81 7" xfId="35272"/>
    <cellStyle name="Обычный 4 2 2 81 7" xfId="35273"/>
    <cellStyle name="Процентный 4 2 2 81 7" xfId="35274"/>
    <cellStyle name="Обычный 5 2 2 81 7" xfId="35275"/>
    <cellStyle name="Процентный 5 2 2 81 7" xfId="35276"/>
    <cellStyle name="Обычный 6 2 81 7" xfId="35277"/>
    <cellStyle name="Процентный 6 2 81 7" xfId="35278"/>
    <cellStyle name="Обычный 7 2 81 7" xfId="35279"/>
    <cellStyle name="Процентный 7 2 81 7" xfId="35280"/>
    <cellStyle name="Обычный 8 77 7" xfId="35281"/>
    <cellStyle name="Процентный 8 77 7" xfId="35282"/>
    <cellStyle name="Обычный 9 43 7" xfId="35283"/>
    <cellStyle name="Процентный 9 44 7" xfId="35284"/>
    <cellStyle name="Обычный 10 36 7" xfId="35285"/>
    <cellStyle name="Процентный 10 36 7" xfId="35286"/>
    <cellStyle name="Обычный 11 24 7" xfId="35287"/>
    <cellStyle name="Процентный 11 24 7" xfId="35288"/>
    <cellStyle name="Обычный 4 136 7" xfId="35289"/>
    <cellStyle name="Процентный 4 136 7" xfId="35290"/>
    <cellStyle name="Обычный 5 129 7" xfId="35291"/>
    <cellStyle name="Процентный 5 129 7" xfId="35292"/>
    <cellStyle name="Обычный 4 2 123 7" xfId="35293"/>
    <cellStyle name="Процентный 4 2 123 7" xfId="35294"/>
    <cellStyle name="Обычный 5 2 123 7" xfId="35295"/>
    <cellStyle name="Процентный 5 2 123 7" xfId="35296"/>
    <cellStyle name="Обычный 6 120 7" xfId="35297"/>
    <cellStyle name="Процентный 6 120 7" xfId="35298"/>
    <cellStyle name="Обычный 7 90 7" xfId="35299"/>
    <cellStyle name="Процентный 7 90 7" xfId="35300"/>
    <cellStyle name="Обычный 4 3 82 7" xfId="35301"/>
    <cellStyle name="Процентный 4 3 82 7" xfId="35302"/>
    <cellStyle name="Обычный 5 3 82 7" xfId="35303"/>
    <cellStyle name="Процентный 5 3 82 7" xfId="35304"/>
    <cellStyle name="Обычный 4 2 2 82 7" xfId="35305"/>
    <cellStyle name="Процентный 4 2 2 82 7" xfId="35306"/>
    <cellStyle name="Обычный 5 2 2 82 7" xfId="35307"/>
    <cellStyle name="Процентный 5 2 2 82 7" xfId="35308"/>
    <cellStyle name="Обычный 6 2 82 7" xfId="35309"/>
    <cellStyle name="Процентный 6 2 82 7" xfId="35310"/>
    <cellStyle name="Обычный 7 2 82 7" xfId="35311"/>
    <cellStyle name="Процентный 7 2 82 7" xfId="35312"/>
    <cellStyle name="Обычный 8 78 7" xfId="35313"/>
    <cellStyle name="Процентный 8 78 7" xfId="35314"/>
    <cellStyle name="Обычный 9 44 7" xfId="35315"/>
    <cellStyle name="Процентный 9 45 7" xfId="35316"/>
    <cellStyle name="Обычный 10 37 7" xfId="35317"/>
    <cellStyle name="Процентный 10 37 7" xfId="35318"/>
    <cellStyle name="Обычный 11 25 7" xfId="35319"/>
    <cellStyle name="Процентный 11 25 7" xfId="35320"/>
    <cellStyle name="Обычный 4 137 7" xfId="35321"/>
    <cellStyle name="Процентный 4 137 7" xfId="35322"/>
    <cellStyle name="Обычный 5 130 7" xfId="35323"/>
    <cellStyle name="Процентный 5 130 7" xfId="35324"/>
    <cellStyle name="Обычный 4 2 124 7" xfId="35325"/>
    <cellStyle name="Процентный 4 2 124 7" xfId="35326"/>
    <cellStyle name="Обычный 5 2 124 7" xfId="35327"/>
    <cellStyle name="Процентный 5 2 124 7" xfId="35328"/>
    <cellStyle name="Обычный 6 121 7" xfId="35329"/>
    <cellStyle name="Процентный 6 121 7" xfId="35330"/>
    <cellStyle name="Обычный 7 91 7" xfId="35331"/>
    <cellStyle name="Процентный 7 91 7" xfId="35332"/>
    <cellStyle name="Обычный 4 3 83 7" xfId="35333"/>
    <cellStyle name="Процентный 4 3 83 7" xfId="35334"/>
    <cellStyle name="Обычный 5 3 83 7" xfId="35335"/>
    <cellStyle name="Процентный 5 3 83 7" xfId="35336"/>
    <cellStyle name="Обычный 4 2 2 83 7" xfId="35337"/>
    <cellStyle name="Процентный 4 2 2 83 7" xfId="35338"/>
    <cellStyle name="Обычный 5 2 2 83 7" xfId="35339"/>
    <cellStyle name="Процентный 5 2 2 83 7" xfId="35340"/>
    <cellStyle name="Обычный 6 2 83 7" xfId="35341"/>
    <cellStyle name="Процентный 6 2 83 7" xfId="35342"/>
    <cellStyle name="Обычный 7 2 83 7" xfId="35343"/>
    <cellStyle name="Процентный 7 2 83 7" xfId="35344"/>
    <cellStyle name="Обычный 8 79 7" xfId="35345"/>
    <cellStyle name="Процентный 8 79 7" xfId="35346"/>
    <cellStyle name="Обычный 9 45 7" xfId="35347"/>
    <cellStyle name="Процентный 9 46 7" xfId="35348"/>
    <cellStyle name="Обычный 10 38 7" xfId="35349"/>
    <cellStyle name="Процентный 10 38 7" xfId="35350"/>
    <cellStyle name="Обычный 11 26 7" xfId="35351"/>
    <cellStyle name="Процентный 11 26 7" xfId="35352"/>
    <cellStyle name="Обычный 4 138 7" xfId="35353"/>
    <cellStyle name="Процентный 4 138 7" xfId="35354"/>
    <cellStyle name="Обычный 5 131 7" xfId="35355"/>
    <cellStyle name="Процентный 5 131 7" xfId="35356"/>
    <cellStyle name="Обычный 4 2 125 7" xfId="35357"/>
    <cellStyle name="Процентный 4 2 125 7" xfId="35358"/>
    <cellStyle name="Обычный 5 2 125 7" xfId="35359"/>
    <cellStyle name="Процентный 5 2 125 7" xfId="35360"/>
    <cellStyle name="Обычный 6 122 7" xfId="35361"/>
    <cellStyle name="Процентный 6 122 7" xfId="35362"/>
    <cellStyle name="Обычный 7 92 7" xfId="35363"/>
    <cellStyle name="Процентный 7 92 7" xfId="35364"/>
    <cellStyle name="Обычный 4 3 84 7" xfId="35365"/>
    <cellStyle name="Процентный 4 3 84 7" xfId="35366"/>
    <cellStyle name="Обычный 5 3 84 7" xfId="35367"/>
    <cellStyle name="Процентный 5 3 84 7" xfId="35368"/>
    <cellStyle name="Обычный 4 2 2 84 7" xfId="35369"/>
    <cellStyle name="Процентный 4 2 2 84 7" xfId="35370"/>
    <cellStyle name="Обычный 5 2 2 84 7" xfId="35371"/>
    <cellStyle name="Процентный 5 2 2 84 7" xfId="35372"/>
    <cellStyle name="Обычный 6 2 84 7" xfId="35373"/>
    <cellStyle name="Процентный 6 2 84 7" xfId="35374"/>
    <cellStyle name="Обычный 7 2 84 7" xfId="35375"/>
    <cellStyle name="Процентный 7 2 84 7" xfId="35376"/>
    <cellStyle name="Обычный 8 80 7" xfId="35377"/>
    <cellStyle name="Процентный 8 80 7" xfId="35378"/>
    <cellStyle name="Обычный 9 46 7" xfId="35379"/>
    <cellStyle name="Процентный 9 47 7" xfId="35380"/>
    <cellStyle name="Обычный 10 39 7" xfId="35381"/>
    <cellStyle name="Процентный 10 39 7" xfId="35382"/>
    <cellStyle name="Обычный 11 27 7" xfId="35383"/>
    <cellStyle name="Процентный 11 27 7" xfId="35384"/>
    <cellStyle name="Обычный 4 139 7" xfId="35385"/>
    <cellStyle name="Процентный 4 139 7" xfId="35386"/>
    <cellStyle name="Обычный 5 132 7" xfId="35387"/>
    <cellStyle name="Процентный 5 132 7" xfId="35388"/>
    <cellStyle name="Обычный 4 2 126 7" xfId="35389"/>
    <cellStyle name="Процентный 4 2 126 7" xfId="35390"/>
    <cellStyle name="Обычный 5 2 126 7" xfId="35391"/>
    <cellStyle name="Процентный 5 2 126 7" xfId="35392"/>
    <cellStyle name="Обычный 6 123 7" xfId="35393"/>
    <cellStyle name="Процентный 6 123 7" xfId="35394"/>
    <cellStyle name="Обычный 7 93 7" xfId="35395"/>
    <cellStyle name="Процентный 7 93 7" xfId="35396"/>
    <cellStyle name="Обычный 4 3 85 7" xfId="35397"/>
    <cellStyle name="Процентный 4 3 85 7" xfId="35398"/>
    <cellStyle name="Обычный 5 3 85 7" xfId="35399"/>
    <cellStyle name="Процентный 5 3 85 7" xfId="35400"/>
    <cellStyle name="Обычный 4 2 2 85 7" xfId="35401"/>
    <cellStyle name="Процентный 4 2 2 85 7" xfId="35402"/>
    <cellStyle name="Обычный 5 2 2 85 7" xfId="35403"/>
    <cellStyle name="Процентный 5 2 2 85 7" xfId="35404"/>
    <cellStyle name="Обычный 6 2 85 7" xfId="35405"/>
    <cellStyle name="Процентный 6 2 85 7" xfId="35406"/>
    <cellStyle name="Обычный 7 2 85 7" xfId="35407"/>
    <cellStyle name="Процентный 7 2 85 7" xfId="35408"/>
    <cellStyle name="Обычный 8 81 7" xfId="35409"/>
    <cellStyle name="Процентный 8 81 7" xfId="35410"/>
    <cellStyle name="Обычный 9 47 7" xfId="35411"/>
    <cellStyle name="Процентный 9 48 7" xfId="35412"/>
    <cellStyle name="Обычный 10 40 7" xfId="35413"/>
    <cellStyle name="Процентный 10 40 7" xfId="35414"/>
    <cellStyle name="Обычный 11 28 7" xfId="35415"/>
    <cellStyle name="Процентный 11 28 7" xfId="35416"/>
    <cellStyle name="Обычный 4 140 7" xfId="35417"/>
    <cellStyle name="Процентный 4 140 7" xfId="35418"/>
    <cellStyle name="Обычный 5 133 7" xfId="35419"/>
    <cellStyle name="Процентный 5 133 7" xfId="35420"/>
    <cellStyle name="Обычный 4 2 127 7" xfId="35421"/>
    <cellStyle name="Процентный 4 2 127 7" xfId="35422"/>
    <cellStyle name="Обычный 5 2 127 7" xfId="35423"/>
    <cellStyle name="Процентный 5 2 127 7" xfId="35424"/>
    <cellStyle name="Обычный 6 124 7" xfId="35425"/>
    <cellStyle name="Процентный 6 124 7" xfId="35426"/>
    <cellStyle name="Обычный 7 94 7" xfId="35427"/>
    <cellStyle name="Процентный 7 94 7" xfId="35428"/>
    <cellStyle name="Обычный 4 3 86 7" xfId="35429"/>
    <cellStyle name="Процентный 4 3 86 7" xfId="35430"/>
    <cellStyle name="Обычный 5 3 86 7" xfId="35431"/>
    <cellStyle name="Процентный 5 3 86 7" xfId="35432"/>
    <cellStyle name="Обычный 4 2 2 86 7" xfId="35433"/>
    <cellStyle name="Процентный 4 2 2 86 7" xfId="35434"/>
    <cellStyle name="Обычный 5 2 2 86 7" xfId="35435"/>
    <cellStyle name="Процентный 5 2 2 86 7" xfId="35436"/>
    <cellStyle name="Обычный 6 2 86 7" xfId="35437"/>
    <cellStyle name="Процентный 6 2 86 7" xfId="35438"/>
    <cellStyle name="Обычный 7 2 86 7" xfId="35439"/>
    <cellStyle name="Процентный 7 2 86 7" xfId="35440"/>
    <cellStyle name="Обычный 8 82 7" xfId="35441"/>
    <cellStyle name="Процентный 8 82 7" xfId="35442"/>
    <cellStyle name="Обычный 9 48 7" xfId="35443"/>
    <cellStyle name="Процентный 9 49 7" xfId="35444"/>
    <cellStyle name="Обычный 10 41 7" xfId="35445"/>
    <cellStyle name="Процентный 10 41 7" xfId="35446"/>
    <cellStyle name="Обычный 11 29 7" xfId="35447"/>
    <cellStyle name="Процентный 11 29 7" xfId="35448"/>
    <cellStyle name="Обычный 4 141 7" xfId="35449"/>
    <cellStyle name="Процентный 4 141 7" xfId="35450"/>
    <cellStyle name="Обычный 5 134 7" xfId="35451"/>
    <cellStyle name="Процентный 5 134 7" xfId="35452"/>
    <cellStyle name="Обычный 4 2 128 7" xfId="35453"/>
    <cellStyle name="Процентный 4 2 128 7" xfId="35454"/>
    <cellStyle name="Обычный 5 2 128 7" xfId="35455"/>
    <cellStyle name="Процентный 5 2 128 7" xfId="35456"/>
    <cellStyle name="Обычный 6 125 7" xfId="35457"/>
    <cellStyle name="Процентный 6 125 7" xfId="35458"/>
    <cellStyle name="Обычный 7 95 7" xfId="35459"/>
    <cellStyle name="Процентный 7 95 7" xfId="35460"/>
    <cellStyle name="Обычный 4 3 87 7" xfId="35461"/>
    <cellStyle name="Процентный 4 3 87 7" xfId="35462"/>
    <cellStyle name="Обычный 5 3 87 7" xfId="35463"/>
    <cellStyle name="Процентный 5 3 87 7" xfId="35464"/>
    <cellStyle name="Обычный 4 2 2 87 7" xfId="35465"/>
    <cellStyle name="Процентный 4 2 2 87 7" xfId="35466"/>
    <cellStyle name="Обычный 5 2 2 87 7" xfId="35467"/>
    <cellStyle name="Процентный 5 2 2 87 7" xfId="35468"/>
    <cellStyle name="Обычный 6 2 87 7" xfId="35469"/>
    <cellStyle name="Процентный 6 2 87 7" xfId="35470"/>
    <cellStyle name="Обычный 7 2 87 7" xfId="35471"/>
    <cellStyle name="Процентный 7 2 87 7" xfId="35472"/>
    <cellStyle name="Обычный 8 83 7" xfId="35473"/>
    <cellStyle name="Процентный 8 83 7" xfId="35474"/>
    <cellStyle name="Обычный 9 49 7" xfId="35475"/>
    <cellStyle name="Процентный 9 50 7" xfId="35476"/>
    <cellStyle name="Обычный 10 42 7" xfId="35477"/>
    <cellStyle name="Процентный 10 42 7" xfId="35478"/>
    <cellStyle name="Обычный 11 30 7" xfId="35479"/>
    <cellStyle name="Процентный 11 30 7" xfId="35480"/>
    <cellStyle name="Обычный 4 142 7" xfId="35481"/>
    <cellStyle name="Процентный 4 142 7" xfId="35482"/>
    <cellStyle name="Обычный 5 135 7" xfId="35483"/>
    <cellStyle name="Процентный 5 135 7" xfId="35484"/>
    <cellStyle name="Обычный 4 2 129 7" xfId="35485"/>
    <cellStyle name="Процентный 4 2 129 7" xfId="35486"/>
    <cellStyle name="Обычный 5 2 129 7" xfId="35487"/>
    <cellStyle name="Процентный 5 2 129 7" xfId="35488"/>
    <cellStyle name="Обычный 6 126 7" xfId="35489"/>
    <cellStyle name="Процентный 6 126 7" xfId="35490"/>
    <cellStyle name="Обычный 7 96 7" xfId="35491"/>
    <cellStyle name="Процентный 7 96 7" xfId="35492"/>
    <cellStyle name="Обычный 4 3 88 7" xfId="35493"/>
    <cellStyle name="Процентный 4 3 88 7" xfId="35494"/>
    <cellStyle name="Обычный 5 3 88 7" xfId="35495"/>
    <cellStyle name="Процентный 5 3 88 7" xfId="35496"/>
    <cellStyle name="Обычный 4 2 2 88 7" xfId="35497"/>
    <cellStyle name="Процентный 4 2 2 88 7" xfId="35498"/>
    <cellStyle name="Обычный 5 2 2 88 7" xfId="35499"/>
    <cellStyle name="Процентный 5 2 2 88 7" xfId="35500"/>
    <cellStyle name="Обычный 6 2 88 7" xfId="35501"/>
    <cellStyle name="Процентный 6 2 88 7" xfId="35502"/>
    <cellStyle name="Обычный 7 2 88 7" xfId="35503"/>
    <cellStyle name="Процентный 7 2 88 7" xfId="35504"/>
    <cellStyle name="Обычный 8 84 7" xfId="35505"/>
    <cellStyle name="Процентный 8 84 7" xfId="35506"/>
    <cellStyle name="Обычный 9 50 7" xfId="35507"/>
    <cellStyle name="Процентный 9 51 7" xfId="35508"/>
    <cellStyle name="Обычный 10 43 7" xfId="35509"/>
    <cellStyle name="Процентный 10 43 7" xfId="35510"/>
    <cellStyle name="Обычный 11 31 7" xfId="35511"/>
    <cellStyle name="Процентный 11 31 7" xfId="35512"/>
    <cellStyle name="Обычный 4 143 7" xfId="35513"/>
    <cellStyle name="Процентный 4 143 7" xfId="35514"/>
    <cellStyle name="Обычный 5 136 7" xfId="35515"/>
    <cellStyle name="Процентный 5 136 7" xfId="35516"/>
    <cellStyle name="Обычный 4 2 130 7" xfId="35517"/>
    <cellStyle name="Процентный 4 2 130 7" xfId="35518"/>
    <cellStyle name="Обычный 5 2 130 7" xfId="35519"/>
    <cellStyle name="Процентный 5 2 130 7" xfId="35520"/>
    <cellStyle name="Обычный 6 127 7" xfId="35521"/>
    <cellStyle name="Процентный 6 127 7" xfId="35522"/>
    <cellStyle name="Обычный 7 97 7" xfId="35523"/>
    <cellStyle name="Процентный 7 97 7" xfId="35524"/>
    <cellStyle name="Обычный 4 3 89 7" xfId="35525"/>
    <cellStyle name="Процентный 4 3 89 7" xfId="35526"/>
    <cellStyle name="Обычный 5 3 89 7" xfId="35527"/>
    <cellStyle name="Процентный 5 3 89 7" xfId="35528"/>
    <cellStyle name="Обычный 4 2 2 89 7" xfId="35529"/>
    <cellStyle name="Процентный 4 2 2 89 7" xfId="35530"/>
    <cellStyle name="Обычный 5 2 2 89 7" xfId="35531"/>
    <cellStyle name="Процентный 5 2 2 89 7" xfId="35532"/>
    <cellStyle name="Обычный 6 2 89 7" xfId="35533"/>
    <cellStyle name="Процентный 6 2 89 7" xfId="35534"/>
    <cellStyle name="Обычный 7 2 89 7" xfId="35535"/>
    <cellStyle name="Процентный 7 2 89 7" xfId="35536"/>
    <cellStyle name="Обычный 8 85 7" xfId="35537"/>
    <cellStyle name="Процентный 8 85 7" xfId="35538"/>
    <cellStyle name="Обычный 9 51 7" xfId="35539"/>
    <cellStyle name="Процентный 9 52 7" xfId="35540"/>
    <cellStyle name="Обычный 10 44 7" xfId="35541"/>
    <cellStyle name="Процентный 10 44 7" xfId="35542"/>
    <cellStyle name="Обычный 11 32 7" xfId="35543"/>
    <cellStyle name="Процентный 11 32 7" xfId="35544"/>
    <cellStyle name="Обычный 4 144 7" xfId="35545"/>
    <cellStyle name="Процентный 4 144 7" xfId="35546"/>
    <cellStyle name="Обычный 5 137 7" xfId="35547"/>
    <cellStyle name="Процентный 5 137 7" xfId="35548"/>
    <cellStyle name="Обычный 4 2 131 7" xfId="35549"/>
    <cellStyle name="Процентный 4 2 131 7" xfId="35550"/>
    <cellStyle name="Обычный 5 2 131 7" xfId="35551"/>
    <cellStyle name="Процентный 5 2 131 7" xfId="35552"/>
    <cellStyle name="Обычный 6 128 7" xfId="35553"/>
    <cellStyle name="Процентный 6 128 7" xfId="35554"/>
    <cellStyle name="Обычный 7 98 7" xfId="35555"/>
    <cellStyle name="Процентный 7 98 7" xfId="35556"/>
    <cellStyle name="Обычный 4 3 90 7" xfId="35557"/>
    <cellStyle name="Процентный 4 3 90 7" xfId="35558"/>
    <cellStyle name="Обычный 5 3 90 7" xfId="35559"/>
    <cellStyle name="Процентный 5 3 90 7" xfId="35560"/>
    <cellStyle name="Обычный 4 2 2 90 7" xfId="35561"/>
    <cellStyle name="Процентный 4 2 2 90 7" xfId="35562"/>
    <cellStyle name="Обычный 5 2 2 90 7" xfId="35563"/>
    <cellStyle name="Процентный 5 2 2 90 7" xfId="35564"/>
    <cellStyle name="Обычный 6 2 90 7" xfId="35565"/>
    <cellStyle name="Процентный 6 2 90 7" xfId="35566"/>
    <cellStyle name="Обычный 7 2 90 7" xfId="35567"/>
    <cellStyle name="Процентный 7 2 90 7" xfId="35568"/>
    <cellStyle name="Обычный 8 86 7" xfId="35569"/>
    <cellStyle name="Процентный 8 86 7" xfId="35570"/>
    <cellStyle name="Обычный 9 52 7" xfId="35571"/>
    <cellStyle name="Процентный 9 53 7" xfId="35572"/>
    <cellStyle name="Обычный 10 45 7" xfId="35573"/>
    <cellStyle name="Процентный 10 45 7" xfId="35574"/>
    <cellStyle name="Обычный 11 33 7" xfId="35575"/>
    <cellStyle name="Процентный 11 33 7" xfId="35576"/>
    <cellStyle name="Обычный 4 145 7" xfId="35577"/>
    <cellStyle name="Процентный 4 145 7" xfId="35578"/>
    <cellStyle name="Обычный 5 138 7" xfId="35579"/>
    <cellStyle name="Процентный 5 138 7" xfId="35580"/>
    <cellStyle name="Обычный 4 2 132 7" xfId="35581"/>
    <cellStyle name="Процентный 4 2 132 7" xfId="35582"/>
    <cellStyle name="Обычный 5 2 132 7" xfId="35583"/>
    <cellStyle name="Процентный 5 2 132 7" xfId="35584"/>
    <cellStyle name="Обычный 6 129 7" xfId="35585"/>
    <cellStyle name="Процентный 6 129 7" xfId="35586"/>
    <cellStyle name="Обычный 7 99 7" xfId="35587"/>
    <cellStyle name="Процентный 7 99 7" xfId="35588"/>
    <cellStyle name="Обычный 4 3 91 7" xfId="35589"/>
    <cellStyle name="Процентный 4 3 91 7" xfId="35590"/>
    <cellStyle name="Обычный 5 3 91 7" xfId="35591"/>
    <cellStyle name="Процентный 5 3 91 7" xfId="35592"/>
    <cellStyle name="Обычный 4 2 2 91 7" xfId="35593"/>
    <cellStyle name="Процентный 4 2 2 91 7" xfId="35594"/>
    <cellStyle name="Обычный 5 2 2 91 7" xfId="35595"/>
    <cellStyle name="Процентный 5 2 2 91 7" xfId="35596"/>
    <cellStyle name="Обычный 6 2 91 7" xfId="35597"/>
    <cellStyle name="Процентный 6 2 91 7" xfId="35598"/>
    <cellStyle name="Обычный 7 2 91 7" xfId="35599"/>
    <cellStyle name="Процентный 7 2 91 7" xfId="35600"/>
    <cellStyle name="Обычный 8 87 7" xfId="35601"/>
    <cellStyle name="Процентный 8 87 7" xfId="35602"/>
    <cellStyle name="Обычный 9 53 7" xfId="35603"/>
    <cellStyle name="Процентный 9 54 7" xfId="35604"/>
    <cellStyle name="Обычный 10 46 7" xfId="35605"/>
    <cellStyle name="Процентный 10 46 7" xfId="35606"/>
    <cellStyle name="Обычный 11 34 7" xfId="35607"/>
    <cellStyle name="Процентный 11 34 7" xfId="35608"/>
    <cellStyle name="Обычный 4 146 7" xfId="35609"/>
    <cellStyle name="Процентный 4 146 7" xfId="35610"/>
    <cellStyle name="Обычный 5 139 7" xfId="35611"/>
    <cellStyle name="Процентный 5 139 7" xfId="35612"/>
    <cellStyle name="Обычный 4 2 133 7" xfId="35613"/>
    <cellStyle name="Процентный 4 2 133 7" xfId="35614"/>
    <cellStyle name="Обычный 5 2 133 7" xfId="35615"/>
    <cellStyle name="Процентный 5 2 133 7" xfId="35616"/>
    <cellStyle name="Обычный 6 130 7" xfId="35617"/>
    <cellStyle name="Процентный 6 130 7" xfId="35618"/>
    <cellStyle name="Обычный 7 100 7" xfId="35619"/>
    <cellStyle name="Процентный 7 100 7" xfId="35620"/>
    <cellStyle name="Обычный 4 3 92 7" xfId="35621"/>
    <cellStyle name="Процентный 4 3 92 7" xfId="35622"/>
    <cellStyle name="Обычный 5 3 92 7" xfId="35623"/>
    <cellStyle name="Процентный 5 3 92 7" xfId="35624"/>
    <cellStyle name="Обычный 4 2 2 92 7" xfId="35625"/>
    <cellStyle name="Процентный 4 2 2 92 7" xfId="35626"/>
    <cellStyle name="Обычный 5 2 2 92 7" xfId="35627"/>
    <cellStyle name="Процентный 5 2 2 92 7" xfId="35628"/>
    <cellStyle name="Обычный 6 2 92 7" xfId="35629"/>
    <cellStyle name="Процентный 6 2 92 7" xfId="35630"/>
    <cellStyle name="Обычный 7 2 92 7" xfId="35631"/>
    <cellStyle name="Процентный 7 2 92 7" xfId="35632"/>
    <cellStyle name="Обычный 8 88 7" xfId="35633"/>
    <cellStyle name="Процентный 8 88 7" xfId="35634"/>
    <cellStyle name="Обычный 9 54 7" xfId="35635"/>
    <cellStyle name="Процентный 9 55 7" xfId="35636"/>
    <cellStyle name="Обычный 10 47 7" xfId="35637"/>
    <cellStyle name="Процентный 10 47 7" xfId="35638"/>
    <cellStyle name="Обычный 11 35 7" xfId="35639"/>
    <cellStyle name="Процентный 11 35 7" xfId="35640"/>
    <cellStyle name="Обычный 4 147 7" xfId="35641"/>
    <cellStyle name="Процентный 4 147 7" xfId="35642"/>
    <cellStyle name="Обычный 5 140 7" xfId="35643"/>
    <cellStyle name="Процентный 5 140 7" xfId="35644"/>
    <cellStyle name="Обычный 4 2 134 7" xfId="35645"/>
    <cellStyle name="Процентный 4 2 134 7" xfId="35646"/>
    <cellStyle name="Обычный 5 2 134 7" xfId="35647"/>
    <cellStyle name="Процентный 5 2 134 7" xfId="35648"/>
    <cellStyle name="Обычный 6 131 7" xfId="35649"/>
    <cellStyle name="Процентный 6 131 7" xfId="35650"/>
    <cellStyle name="Обычный 7 101 7" xfId="35651"/>
    <cellStyle name="Процентный 7 101 7" xfId="35652"/>
    <cellStyle name="Обычный 4 3 93 7" xfId="35653"/>
    <cellStyle name="Процентный 4 3 93 7" xfId="35654"/>
    <cellStyle name="Обычный 5 3 93 7" xfId="35655"/>
    <cellStyle name="Процентный 5 3 93 7" xfId="35656"/>
    <cellStyle name="Обычный 4 2 2 93 7" xfId="35657"/>
    <cellStyle name="Процентный 4 2 2 93 7" xfId="35658"/>
    <cellStyle name="Обычный 5 2 2 93 7" xfId="35659"/>
    <cellStyle name="Процентный 5 2 2 93 7" xfId="35660"/>
    <cellStyle name="Обычный 6 2 93 7" xfId="35661"/>
    <cellStyle name="Процентный 6 2 93 7" xfId="35662"/>
    <cellStyle name="Обычный 7 2 93 7" xfId="35663"/>
    <cellStyle name="Процентный 7 2 93 7" xfId="35664"/>
    <cellStyle name="Обычный 8 89 7" xfId="35665"/>
    <cellStyle name="Процентный 8 89 7" xfId="35666"/>
    <cellStyle name="Обычный 9 55 7" xfId="35667"/>
    <cellStyle name="Процентный 9 56 7" xfId="35668"/>
    <cellStyle name="Обычный 10 48 7" xfId="35669"/>
    <cellStyle name="Процентный 10 48 7" xfId="35670"/>
    <cellStyle name="Обычный 11 36 7" xfId="35671"/>
    <cellStyle name="Процентный 11 36 7" xfId="35672"/>
    <cellStyle name="Обычный 4 148 7" xfId="35673"/>
    <cellStyle name="Процентный 4 148 7" xfId="35674"/>
    <cellStyle name="Обычный 5 141 7" xfId="35675"/>
    <cellStyle name="Процентный 5 141 7" xfId="35676"/>
    <cellStyle name="Обычный 4 2 135 7" xfId="35677"/>
    <cellStyle name="Процентный 4 2 135 7" xfId="35678"/>
    <cellStyle name="Обычный 5 2 135 7" xfId="35679"/>
    <cellStyle name="Процентный 5 2 135 7" xfId="35680"/>
    <cellStyle name="Обычный 6 132 7" xfId="35681"/>
    <cellStyle name="Процентный 6 132 7" xfId="35682"/>
    <cellStyle name="Обычный 7 102 7" xfId="35683"/>
    <cellStyle name="Процентный 7 102 7" xfId="35684"/>
    <cellStyle name="Обычный 4 3 94 7" xfId="35685"/>
    <cellStyle name="Процентный 4 3 94 7" xfId="35686"/>
    <cellStyle name="Обычный 5 3 94 7" xfId="35687"/>
    <cellStyle name="Процентный 5 3 94 7" xfId="35688"/>
    <cellStyle name="Обычный 4 2 2 94 7" xfId="35689"/>
    <cellStyle name="Процентный 4 2 2 94 7" xfId="35690"/>
    <cellStyle name="Обычный 5 2 2 94 7" xfId="35691"/>
    <cellStyle name="Процентный 5 2 2 94 7" xfId="35692"/>
    <cellStyle name="Обычный 6 2 94 7" xfId="35693"/>
    <cellStyle name="Процентный 6 2 94 7" xfId="35694"/>
    <cellStyle name="Обычный 7 2 94 7" xfId="35695"/>
    <cellStyle name="Процентный 7 2 94 7" xfId="35696"/>
    <cellStyle name="Обычный 8 90 7" xfId="35697"/>
    <cellStyle name="Процентный 8 90 7" xfId="35698"/>
    <cellStyle name="Обычный 9 56 7" xfId="35699"/>
    <cellStyle name="Процентный 9 57 7" xfId="35700"/>
    <cellStyle name="Обычный 10 49 7" xfId="35701"/>
    <cellStyle name="Процентный 10 49 7" xfId="35702"/>
    <cellStyle name="Обычный 11 37 7" xfId="35703"/>
    <cellStyle name="Процентный 11 37 7" xfId="35704"/>
    <cellStyle name="Обычный 4 149 7" xfId="35705"/>
    <cellStyle name="Процентный 4 149 7" xfId="35706"/>
    <cellStyle name="Обычный 5 142 7" xfId="35707"/>
    <cellStyle name="Процентный 5 142 7" xfId="35708"/>
    <cellStyle name="Обычный 4 2 136 7" xfId="35709"/>
    <cellStyle name="Процентный 4 2 136 7" xfId="35710"/>
    <cellStyle name="Обычный 5 2 136 7" xfId="35711"/>
    <cellStyle name="Процентный 5 2 136 7" xfId="35712"/>
    <cellStyle name="Обычный 6 133 7" xfId="35713"/>
    <cellStyle name="Процентный 6 133 7" xfId="35714"/>
    <cellStyle name="Обычный 7 103 7" xfId="35715"/>
    <cellStyle name="Процентный 7 103 7" xfId="35716"/>
    <cellStyle name="Обычный 4 3 95 7" xfId="35717"/>
    <cellStyle name="Процентный 4 3 95 7" xfId="35718"/>
    <cellStyle name="Обычный 5 3 95 7" xfId="35719"/>
    <cellStyle name="Процентный 5 3 95 7" xfId="35720"/>
    <cellStyle name="Обычный 4 2 2 95 7" xfId="35721"/>
    <cellStyle name="Процентный 4 2 2 95 7" xfId="35722"/>
    <cellStyle name="Обычный 5 2 2 95 7" xfId="35723"/>
    <cellStyle name="Процентный 5 2 2 95 7" xfId="35724"/>
    <cellStyle name="Обычный 6 2 95 7" xfId="35725"/>
    <cellStyle name="Процентный 6 2 95 7" xfId="35726"/>
    <cellStyle name="Обычный 7 2 95 7" xfId="35727"/>
    <cellStyle name="Процентный 7 2 95 7" xfId="35728"/>
    <cellStyle name="Обычный 8 91 7" xfId="35729"/>
    <cellStyle name="Процентный 8 91 7" xfId="35730"/>
    <cellStyle name="Обычный 9 57 7" xfId="35731"/>
    <cellStyle name="Процентный 9 58 7" xfId="35732"/>
    <cellStyle name="Обычный 10 50 7" xfId="35733"/>
    <cellStyle name="Процентный 10 50 7" xfId="35734"/>
    <cellStyle name="Обычный 11 38 7" xfId="35735"/>
    <cellStyle name="Процентный 11 38 7" xfId="35736"/>
    <cellStyle name="Обычный 4 150 7" xfId="35737"/>
    <cellStyle name="Процентный 4 150 7" xfId="35738"/>
    <cellStyle name="Обычный 5 143 7" xfId="35739"/>
    <cellStyle name="Процентный 5 143 7" xfId="35740"/>
    <cellStyle name="Обычный 4 2 137 7" xfId="35741"/>
    <cellStyle name="Процентный 4 2 137 7" xfId="35742"/>
    <cellStyle name="Обычный 5 2 137 7" xfId="35743"/>
    <cellStyle name="Процентный 5 2 137 7" xfId="35744"/>
    <cellStyle name="Обычный 6 134 7" xfId="35745"/>
    <cellStyle name="Процентный 6 134 7" xfId="35746"/>
    <cellStyle name="Обычный 7 104 7" xfId="35747"/>
    <cellStyle name="Процентный 7 104 7" xfId="35748"/>
    <cellStyle name="Обычный 4 3 96 7" xfId="35749"/>
    <cellStyle name="Процентный 4 3 96 7" xfId="35750"/>
    <cellStyle name="Обычный 5 3 96 7" xfId="35751"/>
    <cellStyle name="Процентный 5 3 96 7" xfId="35752"/>
    <cellStyle name="Обычный 4 2 2 96 7" xfId="35753"/>
    <cellStyle name="Процентный 4 2 2 96 7" xfId="35754"/>
    <cellStyle name="Обычный 5 2 2 96 7" xfId="35755"/>
    <cellStyle name="Процентный 5 2 2 96 7" xfId="35756"/>
    <cellStyle name="Обычный 6 2 96 7" xfId="35757"/>
    <cellStyle name="Процентный 6 2 96 7" xfId="35758"/>
    <cellStyle name="Обычный 7 2 96 7" xfId="35759"/>
    <cellStyle name="Процентный 7 2 96 7" xfId="35760"/>
    <cellStyle name="Обычный 8 92 7" xfId="35761"/>
    <cellStyle name="Процентный 8 92 7" xfId="35762"/>
    <cellStyle name="Обычный 9 58 7" xfId="35763"/>
    <cellStyle name="Процентный 9 59 7" xfId="35764"/>
    <cellStyle name="Обычный 10 51 7" xfId="35765"/>
    <cellStyle name="Процентный 10 51 7" xfId="35766"/>
    <cellStyle name="Обычный 11 39 7" xfId="35767"/>
    <cellStyle name="Процентный 11 39 7" xfId="35768"/>
    <cellStyle name="Обычный 4 151 7" xfId="35769"/>
    <cellStyle name="Процентный 4 151 7" xfId="35770"/>
    <cellStyle name="Обычный 5 144 7" xfId="35771"/>
    <cellStyle name="Процентный 5 144 7" xfId="35772"/>
    <cellStyle name="Обычный 4 2 138 7" xfId="35773"/>
    <cellStyle name="Процентный 4 2 138 7" xfId="35774"/>
    <cellStyle name="Обычный 5 2 138 7" xfId="35775"/>
    <cellStyle name="Процентный 5 2 138 7" xfId="35776"/>
    <cellStyle name="Обычный 6 135 7" xfId="35777"/>
    <cellStyle name="Процентный 6 135 7" xfId="35778"/>
    <cellStyle name="Обычный 7 105 7" xfId="35779"/>
    <cellStyle name="Процентный 7 105 7" xfId="35780"/>
    <cellStyle name="Обычный 4 3 97 7" xfId="35781"/>
    <cellStyle name="Процентный 4 3 97 7" xfId="35782"/>
    <cellStyle name="Обычный 5 3 97 7" xfId="35783"/>
    <cellStyle name="Процентный 5 3 97 7" xfId="35784"/>
    <cellStyle name="Обычный 4 2 2 97 7" xfId="35785"/>
    <cellStyle name="Процентный 4 2 2 97 7" xfId="35786"/>
    <cellStyle name="Обычный 5 2 2 97 7" xfId="35787"/>
    <cellStyle name="Процентный 5 2 2 97 7" xfId="35788"/>
    <cellStyle name="Обычный 6 2 97 7" xfId="35789"/>
    <cellStyle name="Процентный 6 2 97 7" xfId="35790"/>
    <cellStyle name="Обычный 7 2 97 7" xfId="35791"/>
    <cellStyle name="Процентный 7 2 97 7" xfId="35792"/>
    <cellStyle name="Обычный 8 93 7" xfId="35793"/>
    <cellStyle name="Процентный 8 93 7" xfId="35794"/>
    <cellStyle name="Обычный 9 59 7" xfId="35795"/>
    <cellStyle name="Процентный 9 60 7" xfId="35796"/>
    <cellStyle name="Обычный 10 52 7" xfId="35797"/>
    <cellStyle name="Процентный 10 52 7" xfId="35798"/>
    <cellStyle name="Обычный 11 40 7" xfId="35799"/>
    <cellStyle name="Процентный 11 40 7" xfId="35800"/>
    <cellStyle name="Обычный 4 152 7" xfId="35801"/>
    <cellStyle name="Процентный 4 152 7" xfId="35802"/>
    <cellStyle name="Обычный 5 145 7" xfId="35803"/>
    <cellStyle name="Процентный 5 145 7" xfId="35804"/>
    <cellStyle name="Обычный 4 2 139 7" xfId="35805"/>
    <cellStyle name="Процентный 4 2 139 7" xfId="35806"/>
    <cellStyle name="Обычный 5 2 139 7" xfId="35807"/>
    <cellStyle name="Процентный 5 2 139 7" xfId="35808"/>
    <cellStyle name="Обычный 6 136 7" xfId="35809"/>
    <cellStyle name="Процентный 6 136 7" xfId="35810"/>
    <cellStyle name="Обычный 7 106 7" xfId="35811"/>
    <cellStyle name="Процентный 7 106 7" xfId="35812"/>
    <cellStyle name="Обычный 4 3 98 7" xfId="35813"/>
    <cellStyle name="Процентный 4 3 98 7" xfId="35814"/>
    <cellStyle name="Обычный 5 3 98 7" xfId="35815"/>
    <cellStyle name="Процентный 5 3 98 7" xfId="35816"/>
    <cellStyle name="Обычный 4 2 2 98 7" xfId="35817"/>
    <cellStyle name="Процентный 4 2 2 98 7" xfId="35818"/>
    <cellStyle name="Обычный 5 2 2 98 7" xfId="35819"/>
    <cellStyle name="Процентный 5 2 2 98 7" xfId="35820"/>
    <cellStyle name="Обычный 6 2 98 7" xfId="35821"/>
    <cellStyle name="Процентный 6 2 98 7" xfId="35822"/>
    <cellStyle name="Обычный 7 2 98 7" xfId="35823"/>
    <cellStyle name="Процентный 7 2 98 7" xfId="35824"/>
    <cellStyle name="Обычный 8 94 7" xfId="35825"/>
    <cellStyle name="Процентный 8 94 7" xfId="35826"/>
    <cellStyle name="Обычный 9 60 7" xfId="35827"/>
    <cellStyle name="Процентный 9 61 7" xfId="35828"/>
    <cellStyle name="Обычный 10 53 7" xfId="35829"/>
    <cellStyle name="Процентный 10 53 7" xfId="35830"/>
    <cellStyle name="Обычный 11 41 7" xfId="35831"/>
    <cellStyle name="Процентный 11 41 7" xfId="35832"/>
    <cellStyle name="Обычный 4 153 7" xfId="35833"/>
    <cellStyle name="Процентный 4 153 7" xfId="35834"/>
    <cellStyle name="Обычный 5 146 7" xfId="35835"/>
    <cellStyle name="Процентный 5 146 7" xfId="35836"/>
    <cellStyle name="Обычный 4 2 140 7" xfId="35837"/>
    <cellStyle name="Процентный 4 2 140 7" xfId="35838"/>
    <cellStyle name="Обычный 5 2 140 7" xfId="35839"/>
    <cellStyle name="Процентный 5 2 140 7" xfId="35840"/>
    <cellStyle name="Обычный 6 137 7" xfId="35841"/>
    <cellStyle name="Процентный 6 137 7" xfId="35842"/>
    <cellStyle name="Обычный 7 107 7" xfId="35843"/>
    <cellStyle name="Процентный 7 107 7" xfId="35844"/>
    <cellStyle name="Обычный 4 3 99 7" xfId="35845"/>
    <cellStyle name="Процентный 4 3 99 7" xfId="35846"/>
    <cellStyle name="Обычный 5 3 99 7" xfId="35847"/>
    <cellStyle name="Процентный 5 3 99 7" xfId="35848"/>
    <cellStyle name="Обычный 4 2 2 99 7" xfId="35849"/>
    <cellStyle name="Процентный 4 2 2 99 7" xfId="35850"/>
    <cellStyle name="Обычный 5 2 2 99 7" xfId="35851"/>
    <cellStyle name="Процентный 5 2 2 99 7" xfId="35852"/>
    <cellStyle name="Обычный 6 2 99 7" xfId="35853"/>
    <cellStyle name="Процентный 6 2 99 7" xfId="35854"/>
    <cellStyle name="Обычный 7 2 99 7" xfId="35855"/>
    <cellStyle name="Процентный 7 2 99 7" xfId="35856"/>
    <cellStyle name="Обычный 8 95 7" xfId="35857"/>
    <cellStyle name="Процентный 8 95 7" xfId="35858"/>
    <cellStyle name="Обычный 9 61 7" xfId="35859"/>
    <cellStyle name="Процентный 9 62 7" xfId="35860"/>
    <cellStyle name="Обычный 10 54 7" xfId="35861"/>
    <cellStyle name="Процентный 10 54 7" xfId="35862"/>
    <cellStyle name="Обычный 11 42 7" xfId="35863"/>
    <cellStyle name="Процентный 11 42 7" xfId="35864"/>
    <cellStyle name="Обычный 4 154 7" xfId="35865"/>
    <cellStyle name="Процентный 4 154 7" xfId="35866"/>
    <cellStyle name="Обычный 5 147 7" xfId="35867"/>
    <cellStyle name="Процентный 5 147 7" xfId="35868"/>
    <cellStyle name="Обычный 4 2 141 7" xfId="35869"/>
    <cellStyle name="Процентный 4 2 141 7" xfId="35870"/>
    <cellStyle name="Обычный 5 2 141 7" xfId="35871"/>
    <cellStyle name="Процентный 5 2 141 7" xfId="35872"/>
    <cellStyle name="Обычный 6 138 7" xfId="35873"/>
    <cellStyle name="Процентный 6 138 7" xfId="35874"/>
    <cellStyle name="Обычный 7 108 7" xfId="35875"/>
    <cellStyle name="Процентный 7 108 7" xfId="35876"/>
    <cellStyle name="Обычный 4 3 100 7" xfId="35877"/>
    <cellStyle name="Процентный 4 3 100 7" xfId="35878"/>
    <cellStyle name="Обычный 5 3 100 7" xfId="35879"/>
    <cellStyle name="Процентный 5 3 100 7" xfId="35880"/>
    <cellStyle name="Обычный 4 2 2 100 7" xfId="35881"/>
    <cellStyle name="Процентный 4 2 2 100 7" xfId="35882"/>
    <cellStyle name="Обычный 5 2 2 100 7" xfId="35883"/>
    <cellStyle name="Процентный 5 2 2 100 7" xfId="35884"/>
    <cellStyle name="Обычный 6 2 100 7" xfId="35885"/>
    <cellStyle name="Процентный 6 2 100 7" xfId="35886"/>
    <cellStyle name="Обычный 7 2 100 7" xfId="35887"/>
    <cellStyle name="Процентный 7 2 100 7" xfId="35888"/>
    <cellStyle name="Обычный 8 96 7" xfId="35889"/>
    <cellStyle name="Процентный 8 96 7" xfId="35890"/>
    <cellStyle name="Обычный 9 62 7" xfId="35891"/>
    <cellStyle name="Процентный 9 63 7" xfId="35892"/>
    <cellStyle name="Обычный 10 55 7" xfId="35893"/>
    <cellStyle name="Процентный 10 55 7" xfId="35894"/>
    <cellStyle name="Обычный 11 43 7" xfId="35895"/>
    <cellStyle name="Процентный 11 43 7" xfId="35896"/>
    <cellStyle name="Обычный 4 155 7" xfId="35897"/>
    <cellStyle name="Процентный 4 155 7" xfId="35898"/>
    <cellStyle name="Обычный 5 148 7" xfId="35899"/>
    <cellStyle name="Процентный 5 148 7" xfId="35900"/>
    <cellStyle name="Обычный 4 2 142 7" xfId="35901"/>
    <cellStyle name="Процентный 4 2 142 7" xfId="35902"/>
    <cellStyle name="Обычный 5 2 142 7" xfId="35903"/>
    <cellStyle name="Процентный 5 2 142 7" xfId="35904"/>
    <cellStyle name="Обычный 6 139 7" xfId="35905"/>
    <cellStyle name="Процентный 6 139 7" xfId="35906"/>
    <cellStyle name="Обычный 7 109 7" xfId="35907"/>
    <cellStyle name="Процентный 7 109 7" xfId="35908"/>
    <cellStyle name="Обычный 4 3 101 7" xfId="35909"/>
    <cellStyle name="Процентный 4 3 101 7" xfId="35910"/>
    <cellStyle name="Обычный 5 3 101 7" xfId="35911"/>
    <cellStyle name="Процентный 5 3 101 7" xfId="35912"/>
    <cellStyle name="Обычный 4 2 2 101 7" xfId="35913"/>
    <cellStyle name="Процентный 4 2 2 101 7" xfId="35914"/>
    <cellStyle name="Обычный 5 2 2 101 7" xfId="35915"/>
    <cellStyle name="Процентный 5 2 2 101 7" xfId="35916"/>
    <cellStyle name="Обычный 6 2 101 7" xfId="35917"/>
    <cellStyle name="Процентный 6 2 101 7" xfId="35918"/>
    <cellStyle name="Обычный 7 2 101 7" xfId="35919"/>
    <cellStyle name="Процентный 7 2 101 7" xfId="35920"/>
    <cellStyle name="Обычный 8 97 7" xfId="35921"/>
    <cellStyle name="Процентный 8 97 7" xfId="35922"/>
    <cellStyle name="Обычный 9 63 7" xfId="35923"/>
    <cellStyle name="Процентный 9 64 7" xfId="35924"/>
    <cellStyle name="Обычный 10 56 7" xfId="35925"/>
    <cellStyle name="Процентный 10 56 7" xfId="35926"/>
    <cellStyle name="Обычный 11 44 7" xfId="35927"/>
    <cellStyle name="Процентный 11 44 7" xfId="35928"/>
    <cellStyle name="Обычный 4 156 7" xfId="35929"/>
    <cellStyle name="Процентный 4 156 7" xfId="35930"/>
    <cellStyle name="Обычный 5 149 7" xfId="35931"/>
    <cellStyle name="Процентный 5 149 7" xfId="35932"/>
    <cellStyle name="Обычный 4 2 143 7" xfId="35933"/>
    <cellStyle name="Процентный 4 2 143 7" xfId="35934"/>
    <cellStyle name="Обычный 5 2 143 7" xfId="35935"/>
    <cellStyle name="Процентный 5 2 143 7" xfId="35936"/>
    <cellStyle name="Обычный 6 140 7" xfId="35937"/>
    <cellStyle name="Процентный 6 140 7" xfId="35938"/>
    <cellStyle name="Обычный 7 110 7" xfId="35939"/>
    <cellStyle name="Процентный 7 110 7" xfId="35940"/>
    <cellStyle name="Обычный 4 3 102 7" xfId="35941"/>
    <cellStyle name="Процентный 4 3 102 7" xfId="35942"/>
    <cellStyle name="Обычный 5 3 102 7" xfId="35943"/>
    <cellStyle name="Процентный 5 3 102 7" xfId="35944"/>
    <cellStyle name="Обычный 4 2 2 102 7" xfId="35945"/>
    <cellStyle name="Процентный 4 2 2 102 7" xfId="35946"/>
    <cellStyle name="Обычный 5 2 2 102 7" xfId="35947"/>
    <cellStyle name="Процентный 5 2 2 102 7" xfId="35948"/>
    <cellStyle name="Обычный 6 2 102 7" xfId="35949"/>
    <cellStyle name="Процентный 6 2 102 7" xfId="35950"/>
    <cellStyle name="Обычный 7 2 102 7" xfId="35951"/>
    <cellStyle name="Процентный 7 2 102 7" xfId="35952"/>
    <cellStyle name="Обычный 8 98 7" xfId="35953"/>
    <cellStyle name="Процентный 8 98 7" xfId="35954"/>
    <cellStyle name="Обычный 9 64 7" xfId="35955"/>
    <cellStyle name="Процентный 9 65 7" xfId="35956"/>
    <cellStyle name="Обычный 10 57 7" xfId="35957"/>
    <cellStyle name="Процентный 10 57 7" xfId="35958"/>
    <cellStyle name="Обычный 11 45 7" xfId="35959"/>
    <cellStyle name="Процентный 11 45 7" xfId="35960"/>
    <cellStyle name="Обычный 4 157 7" xfId="35961"/>
    <cellStyle name="Процентный 4 157 7" xfId="35962"/>
    <cellStyle name="Обычный 5 150 7" xfId="35963"/>
    <cellStyle name="Процентный 5 150 7" xfId="35964"/>
    <cellStyle name="Обычный 4 2 144 7" xfId="35965"/>
    <cellStyle name="Процентный 4 2 144 7" xfId="35966"/>
    <cellStyle name="Обычный 5 2 144 7" xfId="35967"/>
    <cellStyle name="Процентный 5 2 144 7" xfId="35968"/>
    <cellStyle name="Обычный 6 141 7" xfId="35969"/>
    <cellStyle name="Процентный 6 141 7" xfId="35970"/>
    <cellStyle name="Обычный 7 111 7" xfId="35971"/>
    <cellStyle name="Процентный 7 111 7" xfId="35972"/>
    <cellStyle name="Обычный 4 3 103 7" xfId="35973"/>
    <cellStyle name="Процентный 4 3 103 7" xfId="35974"/>
    <cellStyle name="Обычный 5 3 103 7" xfId="35975"/>
    <cellStyle name="Процентный 5 3 103 7" xfId="35976"/>
    <cellStyle name="Обычный 4 2 2 103 7" xfId="35977"/>
    <cellStyle name="Процентный 4 2 2 103 7" xfId="35978"/>
    <cellStyle name="Обычный 5 2 2 103 7" xfId="35979"/>
    <cellStyle name="Процентный 5 2 2 103 7" xfId="35980"/>
    <cellStyle name="Обычный 6 2 103 7" xfId="35981"/>
    <cellStyle name="Процентный 6 2 103 7" xfId="35982"/>
    <cellStyle name="Обычный 7 2 103 7" xfId="35983"/>
    <cellStyle name="Процентный 7 2 103 7" xfId="35984"/>
    <cellStyle name="Обычный 8 99 7" xfId="35985"/>
    <cellStyle name="Процентный 8 99 7" xfId="35986"/>
    <cellStyle name="Обычный 9 65 7" xfId="35987"/>
    <cellStyle name="Процентный 9 66 7" xfId="35988"/>
    <cellStyle name="Обычный 10 58 7" xfId="35989"/>
    <cellStyle name="Процентный 10 58 7" xfId="35990"/>
    <cellStyle name="Обычный 11 46 7" xfId="35991"/>
    <cellStyle name="Процентный 11 46 7" xfId="35992"/>
    <cellStyle name="Обычный 4 158 7" xfId="35993"/>
    <cellStyle name="Процентный 4 158 7" xfId="35994"/>
    <cellStyle name="Обычный 5 151 7" xfId="35995"/>
    <cellStyle name="Процентный 5 151 7" xfId="35996"/>
    <cellStyle name="Обычный 4 2 145 7" xfId="35997"/>
    <cellStyle name="Процентный 4 2 145 7" xfId="35998"/>
    <cellStyle name="Обычный 5 2 145 7" xfId="35999"/>
    <cellStyle name="Процентный 5 2 145 7" xfId="36000"/>
    <cellStyle name="Обычный 6 142 7" xfId="36001"/>
    <cellStyle name="Процентный 6 142 7" xfId="36002"/>
    <cellStyle name="Обычный 7 112 7" xfId="36003"/>
    <cellStyle name="Процентный 7 112 7" xfId="36004"/>
    <cellStyle name="Обычный 4 3 104 7" xfId="36005"/>
    <cellStyle name="Процентный 4 3 104 7" xfId="36006"/>
    <cellStyle name="Обычный 5 3 104 7" xfId="36007"/>
    <cellStyle name="Процентный 5 3 104 7" xfId="36008"/>
    <cellStyle name="Обычный 4 2 2 104 7" xfId="36009"/>
    <cellStyle name="Процентный 4 2 2 104 7" xfId="36010"/>
    <cellStyle name="Обычный 5 2 2 104 7" xfId="36011"/>
    <cellStyle name="Процентный 5 2 2 104 7" xfId="36012"/>
    <cellStyle name="Обычный 6 2 104 7" xfId="36013"/>
    <cellStyle name="Процентный 6 2 104 7" xfId="36014"/>
    <cellStyle name="Обычный 7 2 104 7" xfId="36015"/>
    <cellStyle name="Процентный 7 2 104 7" xfId="36016"/>
    <cellStyle name="Обычный 8 100 7" xfId="36017"/>
    <cellStyle name="Процентный 8 100 7" xfId="36018"/>
    <cellStyle name="Обычный 9 66 7" xfId="36019"/>
    <cellStyle name="Процентный 9 67 7" xfId="36020"/>
    <cellStyle name="Обычный 10 59 7" xfId="36021"/>
    <cellStyle name="Процентный 10 59 7" xfId="36022"/>
    <cellStyle name="Обычный 11 47 7" xfId="36023"/>
    <cellStyle name="Процентный 11 47 7" xfId="36024"/>
    <cellStyle name="Обычный 4 159 7" xfId="36025"/>
    <cellStyle name="Процентный 4 159 7" xfId="36026"/>
    <cellStyle name="Обычный 5 152 7" xfId="36027"/>
    <cellStyle name="Процентный 5 152 7" xfId="36028"/>
    <cellStyle name="Обычный 4 2 146 7" xfId="36029"/>
    <cellStyle name="Процентный 4 2 146 7" xfId="36030"/>
    <cellStyle name="Обычный 5 2 146 7" xfId="36031"/>
    <cellStyle name="Процентный 5 2 146 7" xfId="36032"/>
    <cellStyle name="Обычный 6 143 7" xfId="36033"/>
    <cellStyle name="Процентный 6 143 7" xfId="36034"/>
    <cellStyle name="Обычный 7 113 7" xfId="36035"/>
    <cellStyle name="Процентный 7 113 7" xfId="36036"/>
    <cellStyle name="Обычный 4 3 105 7" xfId="36037"/>
    <cellStyle name="Процентный 4 3 105 7" xfId="36038"/>
    <cellStyle name="Обычный 5 3 105 7" xfId="36039"/>
    <cellStyle name="Процентный 5 3 105 7" xfId="36040"/>
    <cellStyle name="Обычный 4 2 2 105 7" xfId="36041"/>
    <cellStyle name="Процентный 4 2 2 105 7" xfId="36042"/>
    <cellStyle name="Обычный 5 2 2 105 7" xfId="36043"/>
    <cellStyle name="Процентный 5 2 2 105 7" xfId="36044"/>
    <cellStyle name="Обычный 6 2 105 7" xfId="36045"/>
    <cellStyle name="Процентный 6 2 105 7" xfId="36046"/>
    <cellStyle name="Обычный 7 2 105 7" xfId="36047"/>
    <cellStyle name="Процентный 7 2 105 7" xfId="36048"/>
    <cellStyle name="Обычный 8 101 7" xfId="36049"/>
    <cellStyle name="Процентный 8 101 7" xfId="36050"/>
    <cellStyle name="Обычный 9 67 7" xfId="36051"/>
    <cellStyle name="Процентный 9 68 7" xfId="36052"/>
    <cellStyle name="Обычный 10 60 7" xfId="36053"/>
    <cellStyle name="Процентный 10 60 7" xfId="36054"/>
    <cellStyle name="Обычный 11 48 7" xfId="36055"/>
    <cellStyle name="Процентный 11 48 7" xfId="36056"/>
    <cellStyle name="Обычный 4 160 7" xfId="36057"/>
    <cellStyle name="Процентный 4 160 7" xfId="36058"/>
    <cellStyle name="Обычный 5 153 7" xfId="36059"/>
    <cellStyle name="Процентный 5 153 7" xfId="36060"/>
    <cellStyle name="Обычный 4 2 147 7" xfId="36061"/>
    <cellStyle name="Процентный 4 2 147 7" xfId="36062"/>
    <cellStyle name="Обычный 5 2 147 7" xfId="36063"/>
    <cellStyle name="Процентный 5 2 147 7" xfId="36064"/>
    <cellStyle name="Обычный 6 144 7" xfId="36065"/>
    <cellStyle name="Процентный 6 144 7" xfId="36066"/>
    <cellStyle name="Обычный 7 114 7" xfId="36067"/>
    <cellStyle name="Процентный 7 114 7" xfId="36068"/>
    <cellStyle name="Обычный 4 3 106 7" xfId="36069"/>
    <cellStyle name="Процентный 4 3 106 7" xfId="36070"/>
    <cellStyle name="Обычный 5 3 106 7" xfId="36071"/>
    <cellStyle name="Процентный 5 3 106 7" xfId="36072"/>
    <cellStyle name="Обычный 4 2 2 106 7" xfId="36073"/>
    <cellStyle name="Процентный 4 2 2 106 7" xfId="36074"/>
    <cellStyle name="Обычный 5 2 2 106 7" xfId="36075"/>
    <cellStyle name="Процентный 5 2 2 106 7" xfId="36076"/>
    <cellStyle name="Обычный 6 2 106 7" xfId="36077"/>
    <cellStyle name="Процентный 6 2 106 7" xfId="36078"/>
    <cellStyle name="Обычный 7 2 106 7" xfId="36079"/>
    <cellStyle name="Процентный 7 2 106 7" xfId="36080"/>
    <cellStyle name="Обычный 8 102 7" xfId="36081"/>
    <cellStyle name="Процентный 8 102 7" xfId="36082"/>
    <cellStyle name="Обычный 9 68 7" xfId="36083"/>
    <cellStyle name="Процентный 9 69 7" xfId="36084"/>
    <cellStyle name="Обычный 10 61 7" xfId="36085"/>
    <cellStyle name="Процентный 10 61 7" xfId="36086"/>
    <cellStyle name="Обычный 11 49 7" xfId="36087"/>
    <cellStyle name="Процентный 11 49 7" xfId="36088"/>
    <cellStyle name="Обычный 4 161 7" xfId="36089"/>
    <cellStyle name="Процентный 4 161 7" xfId="36090"/>
    <cellStyle name="Обычный 5 154 7" xfId="36091"/>
    <cellStyle name="Процентный 5 154 7" xfId="36092"/>
    <cellStyle name="Обычный 4 2 148 7" xfId="36093"/>
    <cellStyle name="Процентный 4 2 148 7" xfId="36094"/>
    <cellStyle name="Обычный 5 2 148 7" xfId="36095"/>
    <cellStyle name="Процентный 5 2 148 7" xfId="36096"/>
    <cellStyle name="Обычный 6 145 7" xfId="36097"/>
    <cellStyle name="Процентный 6 145 7" xfId="36098"/>
    <cellStyle name="Обычный 7 115 7" xfId="36099"/>
    <cellStyle name="Процентный 7 115 7" xfId="36100"/>
    <cellStyle name="Обычный 4 3 107 7" xfId="36101"/>
    <cellStyle name="Процентный 4 3 107 7" xfId="36102"/>
    <cellStyle name="Обычный 5 3 107 7" xfId="36103"/>
    <cellStyle name="Процентный 5 3 107 7" xfId="36104"/>
    <cellStyle name="Обычный 4 2 2 107 7" xfId="36105"/>
    <cellStyle name="Процентный 4 2 2 107 7" xfId="36106"/>
    <cellStyle name="Обычный 5 2 2 107 7" xfId="36107"/>
    <cellStyle name="Процентный 5 2 2 107 7" xfId="36108"/>
    <cellStyle name="Обычный 6 2 107 7" xfId="36109"/>
    <cellStyle name="Процентный 6 2 107 7" xfId="36110"/>
    <cellStyle name="Обычный 7 2 107 7" xfId="36111"/>
    <cellStyle name="Процентный 7 2 107 7" xfId="36112"/>
    <cellStyle name="Обычный 8 103 7" xfId="36113"/>
    <cellStyle name="Процентный 8 103 7" xfId="36114"/>
    <cellStyle name="Обычный 9 69 7" xfId="36115"/>
    <cellStyle name="Процентный 9 70 7" xfId="36116"/>
    <cellStyle name="Обычный 10 62 7" xfId="36117"/>
    <cellStyle name="Процентный 10 62 7" xfId="36118"/>
    <cellStyle name="Обычный 11 50 7" xfId="36119"/>
    <cellStyle name="Процентный 11 50 7" xfId="36120"/>
    <cellStyle name="Обычный 4 162 7" xfId="36121"/>
    <cellStyle name="Процентный 4 162 7" xfId="36122"/>
    <cellStyle name="Обычный 5 155 7" xfId="36123"/>
    <cellStyle name="Процентный 5 155 7" xfId="36124"/>
    <cellStyle name="Обычный 4 2 149 7" xfId="36125"/>
    <cellStyle name="Процентный 4 2 149 7" xfId="36126"/>
    <cellStyle name="Обычный 5 2 149 7" xfId="36127"/>
    <cellStyle name="Процентный 5 2 149 7" xfId="36128"/>
    <cellStyle name="Обычный 6 146 7" xfId="36129"/>
    <cellStyle name="Процентный 6 146 7" xfId="36130"/>
    <cellStyle name="Обычный 7 116 7" xfId="36131"/>
    <cellStyle name="Процентный 7 116 7" xfId="36132"/>
    <cellStyle name="Обычный 4 3 108 7" xfId="36133"/>
    <cellStyle name="Процентный 4 3 108 7" xfId="36134"/>
    <cellStyle name="Обычный 5 3 108 7" xfId="36135"/>
    <cellStyle name="Процентный 5 3 108 7" xfId="36136"/>
    <cellStyle name="Обычный 4 2 2 108 7" xfId="36137"/>
    <cellStyle name="Процентный 4 2 2 108 7" xfId="36138"/>
    <cellStyle name="Обычный 5 2 2 108 7" xfId="36139"/>
    <cellStyle name="Процентный 5 2 2 108 7" xfId="36140"/>
    <cellStyle name="Обычный 6 2 108 7" xfId="36141"/>
    <cellStyle name="Процентный 6 2 108 7" xfId="36142"/>
    <cellStyle name="Обычный 7 2 108 7" xfId="36143"/>
    <cellStyle name="Процентный 7 2 108 7" xfId="36144"/>
    <cellStyle name="Обычный 8 104 7" xfId="36145"/>
    <cellStyle name="Процентный 8 104 7" xfId="36146"/>
    <cellStyle name="Обычный 9 70 7" xfId="36147"/>
    <cellStyle name="Процентный 9 71 7" xfId="36148"/>
    <cellStyle name="Обычный 10 63 7" xfId="36149"/>
    <cellStyle name="Процентный 10 63 7" xfId="36150"/>
    <cellStyle name="Обычный 11 51 7" xfId="36151"/>
    <cellStyle name="Процентный 11 51 7" xfId="36152"/>
    <cellStyle name="Обычный 4 163 7" xfId="36153"/>
    <cellStyle name="Процентный 4 163 7" xfId="36154"/>
    <cellStyle name="Обычный 5 156 7" xfId="36155"/>
    <cellStyle name="Процентный 5 156 7" xfId="36156"/>
    <cellStyle name="Обычный 4 2 150 7" xfId="36157"/>
    <cellStyle name="Процентный 4 2 150 7" xfId="36158"/>
    <cellStyle name="Обычный 5 2 150 7" xfId="36159"/>
    <cellStyle name="Процентный 5 2 150 7" xfId="36160"/>
    <cellStyle name="Обычный 6 147 7" xfId="36161"/>
    <cellStyle name="Процентный 6 147 7" xfId="36162"/>
    <cellStyle name="Обычный 7 117 7" xfId="36163"/>
    <cellStyle name="Процентный 7 117 7" xfId="36164"/>
    <cellStyle name="Обычный 4 3 109 7" xfId="36165"/>
    <cellStyle name="Процентный 4 3 109 7" xfId="36166"/>
    <cellStyle name="Обычный 5 3 109 7" xfId="36167"/>
    <cellStyle name="Процентный 5 3 109 7" xfId="36168"/>
    <cellStyle name="Обычный 4 2 2 109 7" xfId="36169"/>
    <cellStyle name="Процентный 4 2 2 109 7" xfId="36170"/>
    <cellStyle name="Обычный 5 2 2 109 7" xfId="36171"/>
    <cellStyle name="Процентный 5 2 2 109 7" xfId="36172"/>
    <cellStyle name="Обычный 6 2 109 7" xfId="36173"/>
    <cellStyle name="Процентный 6 2 109 7" xfId="36174"/>
    <cellStyle name="Обычный 7 2 109 7" xfId="36175"/>
    <cellStyle name="Процентный 7 2 109 7" xfId="36176"/>
    <cellStyle name="Обычный 8 105 7" xfId="36177"/>
    <cellStyle name="Процентный 8 105 7" xfId="36178"/>
    <cellStyle name="Обычный 9 71 7" xfId="36179"/>
    <cellStyle name="Процентный 9 72 7" xfId="36180"/>
    <cellStyle name="Обычный 10 64 7" xfId="36181"/>
    <cellStyle name="Процентный 10 64 7" xfId="36182"/>
    <cellStyle name="Обычный 11 52 7" xfId="36183"/>
    <cellStyle name="Процентный 11 52 7" xfId="36184"/>
    <cellStyle name="Обычный 4 164 7" xfId="36185"/>
    <cellStyle name="Процентный 4 164 7" xfId="36186"/>
    <cellStyle name="Обычный 5 157 7" xfId="36187"/>
    <cellStyle name="Процентный 5 157 7" xfId="36188"/>
    <cellStyle name="Обычный 4 2 151 7" xfId="36189"/>
    <cellStyle name="Процентный 4 2 151 7" xfId="36190"/>
    <cellStyle name="Обычный 5 2 151 7" xfId="36191"/>
    <cellStyle name="Процентный 5 2 151 7" xfId="36192"/>
    <cellStyle name="Обычный 6 148 7" xfId="36193"/>
    <cellStyle name="Процентный 6 148 7" xfId="36194"/>
    <cellStyle name="Обычный 7 118 7" xfId="36195"/>
    <cellStyle name="Процентный 7 118 7" xfId="36196"/>
    <cellStyle name="Обычный 4 3 110 7" xfId="36197"/>
    <cellStyle name="Процентный 4 3 110 7" xfId="36198"/>
    <cellStyle name="Обычный 5 3 110 7" xfId="36199"/>
    <cellStyle name="Процентный 5 3 110 7" xfId="36200"/>
    <cellStyle name="Обычный 4 2 2 110 7" xfId="36201"/>
    <cellStyle name="Процентный 4 2 2 110 7" xfId="36202"/>
    <cellStyle name="Обычный 5 2 2 110 7" xfId="36203"/>
    <cellStyle name="Процентный 5 2 2 110 7" xfId="36204"/>
    <cellStyle name="Обычный 6 2 110 7" xfId="36205"/>
    <cellStyle name="Процентный 6 2 110 7" xfId="36206"/>
    <cellStyle name="Обычный 7 2 110 7" xfId="36207"/>
    <cellStyle name="Процентный 7 2 110 7" xfId="36208"/>
    <cellStyle name="Обычный 8 106 7" xfId="36209"/>
    <cellStyle name="Процентный 8 106 7" xfId="36210"/>
    <cellStyle name="Обычный 9 72 7" xfId="36211"/>
    <cellStyle name="Процентный 9 73 7" xfId="36212"/>
    <cellStyle name="Обычный 10 65 7" xfId="36213"/>
    <cellStyle name="Процентный 10 65 7" xfId="36214"/>
    <cellStyle name="Обычный 11 53 7" xfId="36215"/>
    <cellStyle name="Процентный 11 53 7" xfId="36216"/>
    <cellStyle name="Обычный 4 165 7" xfId="36217"/>
    <cellStyle name="Процентный 4 165 7" xfId="36218"/>
    <cellStyle name="Обычный 5 158 7" xfId="36219"/>
    <cellStyle name="Процентный 5 158 7" xfId="36220"/>
    <cellStyle name="Обычный 4 2 152 7" xfId="36221"/>
    <cellStyle name="Процентный 4 2 152 7" xfId="36222"/>
    <cellStyle name="Обычный 5 2 152 7" xfId="36223"/>
    <cellStyle name="Процентный 5 2 152 7" xfId="36224"/>
    <cellStyle name="Обычный 6 149 7" xfId="36225"/>
    <cellStyle name="Процентный 6 149 7" xfId="36226"/>
    <cellStyle name="Обычный 7 119 7" xfId="36227"/>
    <cellStyle name="Процентный 7 119 7" xfId="36228"/>
    <cellStyle name="Обычный 4 3 111 7" xfId="36229"/>
    <cellStyle name="Процентный 4 3 111 7" xfId="36230"/>
    <cellStyle name="Обычный 5 3 111 7" xfId="36231"/>
    <cellStyle name="Процентный 5 3 111 7" xfId="36232"/>
    <cellStyle name="Обычный 4 2 2 111 7" xfId="36233"/>
    <cellStyle name="Процентный 4 2 2 111 7" xfId="36234"/>
    <cellStyle name="Обычный 5 2 2 111 7" xfId="36235"/>
    <cellStyle name="Процентный 5 2 2 111 7" xfId="36236"/>
    <cellStyle name="Обычный 6 2 111 7" xfId="36237"/>
    <cellStyle name="Процентный 6 2 111 7" xfId="36238"/>
    <cellStyle name="Обычный 7 2 111 7" xfId="36239"/>
    <cellStyle name="Процентный 7 2 111 7" xfId="36240"/>
    <cellStyle name="Обычный 8 107 7" xfId="36241"/>
    <cellStyle name="Процентный 8 107 7" xfId="36242"/>
    <cellStyle name="Обычный 9 73 7" xfId="36243"/>
    <cellStyle name="Процентный 9 74 7" xfId="36244"/>
    <cellStyle name="Обычный 10 66 7" xfId="36245"/>
    <cellStyle name="Процентный 10 66 7" xfId="36246"/>
    <cellStyle name="Обычный 11 54 7" xfId="36247"/>
    <cellStyle name="Процентный 11 54 7" xfId="36248"/>
    <cellStyle name="Обычный 4 166 7" xfId="36249"/>
    <cellStyle name="Процентный 4 166 7" xfId="36250"/>
    <cellStyle name="Обычный 5 159 7" xfId="36251"/>
    <cellStyle name="Процентный 5 159 7" xfId="36252"/>
    <cellStyle name="Обычный 4 2 153 7" xfId="36253"/>
    <cellStyle name="Процентный 4 2 153 7" xfId="36254"/>
    <cellStyle name="Обычный 5 2 153 7" xfId="36255"/>
    <cellStyle name="Процентный 5 2 153 7" xfId="36256"/>
    <cellStyle name="Обычный 6 150 7" xfId="36257"/>
    <cellStyle name="Процентный 6 150 7" xfId="36258"/>
    <cellStyle name="Обычный 7 120 7" xfId="36259"/>
    <cellStyle name="Процентный 7 120 7" xfId="36260"/>
    <cellStyle name="Обычный 4 3 112 7" xfId="36261"/>
    <cellStyle name="Процентный 4 3 112 7" xfId="36262"/>
    <cellStyle name="Обычный 5 3 112 7" xfId="36263"/>
    <cellStyle name="Процентный 5 3 112 7" xfId="36264"/>
    <cellStyle name="Обычный 4 2 2 112 7" xfId="36265"/>
    <cellStyle name="Процентный 4 2 2 112 7" xfId="36266"/>
    <cellStyle name="Обычный 5 2 2 112 7" xfId="36267"/>
    <cellStyle name="Процентный 5 2 2 112 7" xfId="36268"/>
    <cellStyle name="Обычный 6 2 112 7" xfId="36269"/>
    <cellStyle name="Процентный 6 2 112 7" xfId="36270"/>
    <cellStyle name="Обычный 7 2 112 7" xfId="36271"/>
    <cellStyle name="Процентный 7 2 112 7" xfId="36272"/>
    <cellStyle name="Обычный 8 108 7" xfId="36273"/>
    <cellStyle name="Процентный 8 108 7" xfId="36274"/>
    <cellStyle name="Обычный 9 74 7" xfId="36275"/>
    <cellStyle name="Процентный 9 75 7" xfId="36276"/>
    <cellStyle name="Обычный 10 67 7" xfId="36277"/>
    <cellStyle name="Процентный 10 67 7" xfId="36278"/>
    <cellStyle name="Обычный 11 55 7" xfId="36279"/>
    <cellStyle name="Процентный 11 55 7" xfId="36280"/>
    <cellStyle name="Обычный 4 167 7" xfId="36281"/>
    <cellStyle name="Процентный 4 167 7" xfId="36282"/>
    <cellStyle name="Обычный 5 160 7" xfId="36283"/>
    <cellStyle name="Процентный 5 160 7" xfId="36284"/>
    <cellStyle name="Обычный 4 2 154 7" xfId="36285"/>
    <cellStyle name="Процентный 4 2 154 7" xfId="36286"/>
    <cellStyle name="Обычный 5 2 154 7" xfId="36287"/>
    <cellStyle name="Процентный 5 2 154 7" xfId="36288"/>
    <cellStyle name="Обычный 6 151 7" xfId="36289"/>
    <cellStyle name="Процентный 6 151 7" xfId="36290"/>
    <cellStyle name="Обычный 7 121 7" xfId="36291"/>
    <cellStyle name="Процентный 7 121 7" xfId="36292"/>
    <cellStyle name="Обычный 4 3 113 7" xfId="36293"/>
    <cellStyle name="Процентный 4 3 113 7" xfId="36294"/>
    <cellStyle name="Обычный 5 3 113 7" xfId="36295"/>
    <cellStyle name="Процентный 5 3 113 7" xfId="36296"/>
    <cellStyle name="Обычный 4 2 2 113 7" xfId="36297"/>
    <cellStyle name="Процентный 4 2 2 113 7" xfId="36298"/>
    <cellStyle name="Обычный 5 2 2 113 7" xfId="36299"/>
    <cellStyle name="Процентный 5 2 2 113 7" xfId="36300"/>
    <cellStyle name="Обычный 6 2 113 7" xfId="36301"/>
    <cellStyle name="Процентный 6 2 113 7" xfId="36302"/>
    <cellStyle name="Обычный 7 2 113 7" xfId="36303"/>
    <cellStyle name="Процентный 7 2 113 7" xfId="36304"/>
    <cellStyle name="Обычный 8 109 7" xfId="36305"/>
    <cellStyle name="Процентный 8 109 7" xfId="36306"/>
    <cellStyle name="Обычный 9 75 7" xfId="36307"/>
    <cellStyle name="Процентный 9 76 7" xfId="36308"/>
    <cellStyle name="Обычный 10 68 7" xfId="36309"/>
    <cellStyle name="Процентный 10 68 7" xfId="36310"/>
    <cellStyle name="Обычный 11 56 7" xfId="36311"/>
    <cellStyle name="Процентный 11 56 7" xfId="36312"/>
    <cellStyle name="Обычный 4 168 7" xfId="36313"/>
    <cellStyle name="Процентный 4 168 7" xfId="36314"/>
    <cellStyle name="Обычный 5 161 7" xfId="36315"/>
    <cellStyle name="Процентный 5 161 7" xfId="36316"/>
    <cellStyle name="Обычный 4 2 155 7" xfId="36317"/>
    <cellStyle name="Процентный 4 2 155 7" xfId="36318"/>
    <cellStyle name="Обычный 5 2 155 7" xfId="36319"/>
    <cellStyle name="Процентный 5 2 155 7" xfId="36320"/>
    <cellStyle name="Обычный 6 152 7" xfId="36321"/>
    <cellStyle name="Процентный 6 152 7" xfId="36322"/>
    <cellStyle name="Обычный 7 122 7" xfId="36323"/>
    <cellStyle name="Процентный 7 122 7" xfId="36324"/>
    <cellStyle name="Обычный 4 3 114 7" xfId="36325"/>
    <cellStyle name="Процентный 4 3 114 7" xfId="36326"/>
    <cellStyle name="Обычный 5 3 114 7" xfId="36327"/>
    <cellStyle name="Процентный 5 3 114 7" xfId="36328"/>
    <cellStyle name="Обычный 4 2 2 114 7" xfId="36329"/>
    <cellStyle name="Процентный 4 2 2 114 7" xfId="36330"/>
    <cellStyle name="Обычный 5 2 2 114 7" xfId="36331"/>
    <cellStyle name="Процентный 5 2 2 114 7" xfId="36332"/>
    <cellStyle name="Обычный 6 2 114 7" xfId="36333"/>
    <cellStyle name="Процентный 6 2 114 7" xfId="36334"/>
    <cellStyle name="Обычный 7 2 114 7" xfId="36335"/>
    <cellStyle name="Процентный 7 2 114 7" xfId="36336"/>
    <cellStyle name="Обычный 8 110 7" xfId="36337"/>
    <cellStyle name="Процентный 8 110 7" xfId="36338"/>
    <cellStyle name="Обычный 9 76 7" xfId="36339"/>
    <cellStyle name="Процентный 9 77 7" xfId="36340"/>
    <cellStyle name="Обычный 10 69 7" xfId="36341"/>
    <cellStyle name="Процентный 10 69 7" xfId="36342"/>
    <cellStyle name="Обычный 11 57 7" xfId="36343"/>
    <cellStyle name="Процентный 11 57 7" xfId="36344"/>
    <cellStyle name="Обычный 4 169 7" xfId="36345"/>
    <cellStyle name="Процентный 4 169 7" xfId="36346"/>
    <cellStyle name="Обычный 5 162 7" xfId="36347"/>
    <cellStyle name="Процентный 5 162 7" xfId="36348"/>
    <cellStyle name="Обычный 4 2 156 7" xfId="36349"/>
    <cellStyle name="Процентный 4 2 156 7" xfId="36350"/>
    <cellStyle name="Обычный 5 2 156 7" xfId="36351"/>
    <cellStyle name="Процентный 5 2 156 7" xfId="36352"/>
    <cellStyle name="Обычный 6 153 7" xfId="36353"/>
    <cellStyle name="Процентный 6 153 7" xfId="36354"/>
    <cellStyle name="Обычный 7 123 7" xfId="36355"/>
    <cellStyle name="Процентный 7 123 7" xfId="36356"/>
    <cellStyle name="Обычный 4 3 115 7" xfId="36357"/>
    <cellStyle name="Процентный 4 3 115 7" xfId="36358"/>
    <cellStyle name="Обычный 5 3 115 7" xfId="36359"/>
    <cellStyle name="Процентный 5 3 115 7" xfId="36360"/>
    <cellStyle name="Обычный 4 2 2 115 7" xfId="36361"/>
    <cellStyle name="Процентный 4 2 2 115 7" xfId="36362"/>
    <cellStyle name="Обычный 5 2 2 115 7" xfId="36363"/>
    <cellStyle name="Процентный 5 2 2 115 7" xfId="36364"/>
    <cellStyle name="Обычный 6 2 115 7" xfId="36365"/>
    <cellStyle name="Процентный 6 2 115 7" xfId="36366"/>
    <cellStyle name="Обычный 7 2 115 7" xfId="36367"/>
    <cellStyle name="Процентный 7 2 115 7" xfId="36368"/>
    <cellStyle name="Обычный 8 111 7" xfId="36369"/>
    <cellStyle name="Процентный 8 111 7" xfId="36370"/>
    <cellStyle name="Обычный 9 77 7" xfId="36371"/>
    <cellStyle name="Процентный 9 78 7" xfId="36372"/>
    <cellStyle name="Обычный 10 70 7" xfId="36373"/>
    <cellStyle name="Процентный 10 70 7" xfId="36374"/>
    <cellStyle name="Обычный 11 58 7" xfId="36375"/>
    <cellStyle name="Процентный 11 58 7" xfId="36376"/>
    <cellStyle name="Обычный 4 170 7" xfId="36377"/>
    <cellStyle name="Процентный 4 170 7" xfId="36378"/>
    <cellStyle name="Обычный 5 163 7" xfId="36379"/>
    <cellStyle name="Процентный 5 163 7" xfId="36380"/>
    <cellStyle name="Обычный 4 2 157 7" xfId="36381"/>
    <cellStyle name="Процентный 4 2 157 7" xfId="36382"/>
    <cellStyle name="Обычный 5 2 157 7" xfId="36383"/>
    <cellStyle name="Процентный 5 2 157 7" xfId="36384"/>
    <cellStyle name="Обычный 6 154 7" xfId="36385"/>
    <cellStyle name="Процентный 6 154 7" xfId="36386"/>
    <cellStyle name="Обычный 7 124 7" xfId="36387"/>
    <cellStyle name="Процентный 7 124 7" xfId="36388"/>
    <cellStyle name="Обычный 4 3 116 7" xfId="36389"/>
    <cellStyle name="Процентный 4 3 116 7" xfId="36390"/>
    <cellStyle name="Обычный 5 3 116 7" xfId="36391"/>
    <cellStyle name="Процентный 5 3 116 7" xfId="36392"/>
    <cellStyle name="Обычный 4 2 2 116 7" xfId="36393"/>
    <cellStyle name="Процентный 4 2 2 116 7" xfId="36394"/>
    <cellStyle name="Обычный 5 2 2 116 7" xfId="36395"/>
    <cellStyle name="Процентный 5 2 2 116 7" xfId="36396"/>
    <cellStyle name="Обычный 6 2 116 7" xfId="36397"/>
    <cellStyle name="Процентный 6 2 116 7" xfId="36398"/>
    <cellStyle name="Обычный 7 2 116 7" xfId="36399"/>
    <cellStyle name="Процентный 7 2 116 7" xfId="36400"/>
    <cellStyle name="Обычный 8 112 7" xfId="36401"/>
    <cellStyle name="Процентный 8 112 7" xfId="36402"/>
    <cellStyle name="Обычный 9 78 7" xfId="36403"/>
    <cellStyle name="Процентный 9 79 7" xfId="36404"/>
    <cellStyle name="Обычный 10 71 7" xfId="36405"/>
    <cellStyle name="Процентный 10 71 7" xfId="36406"/>
    <cellStyle name="Обычный 11 59 7" xfId="36407"/>
    <cellStyle name="Процентный 11 59 7" xfId="36408"/>
    <cellStyle name="Обычный 4 171 7" xfId="36409"/>
    <cellStyle name="Процентный 4 171 7" xfId="36410"/>
    <cellStyle name="Обычный 5 164 7" xfId="36411"/>
    <cellStyle name="Процентный 5 164 7" xfId="36412"/>
    <cellStyle name="Обычный 4 2 158 7" xfId="36413"/>
    <cellStyle name="Процентный 4 2 158 7" xfId="36414"/>
    <cellStyle name="Обычный 5 2 158 7" xfId="36415"/>
    <cellStyle name="Процентный 5 2 158 7" xfId="36416"/>
    <cellStyle name="Обычный 6 155 7" xfId="36417"/>
    <cellStyle name="Процентный 6 155 7" xfId="36418"/>
    <cellStyle name="Обычный 7 125 7" xfId="36419"/>
    <cellStyle name="Процентный 7 125 7" xfId="36420"/>
    <cellStyle name="Обычный 4 3 117 7" xfId="36421"/>
    <cellStyle name="Процентный 4 3 117 7" xfId="36422"/>
    <cellStyle name="Обычный 5 3 117 7" xfId="36423"/>
    <cellStyle name="Процентный 5 3 117 7" xfId="36424"/>
    <cellStyle name="Обычный 4 2 2 117 7" xfId="36425"/>
    <cellStyle name="Процентный 4 2 2 117 7" xfId="36426"/>
    <cellStyle name="Обычный 5 2 2 117 7" xfId="36427"/>
    <cellStyle name="Процентный 5 2 2 117 7" xfId="36428"/>
    <cellStyle name="Обычный 6 2 117 7" xfId="36429"/>
    <cellStyle name="Процентный 6 2 117 7" xfId="36430"/>
    <cellStyle name="Обычный 7 2 117 7" xfId="36431"/>
    <cellStyle name="Процентный 7 2 117 7" xfId="36432"/>
    <cellStyle name="Обычный 8 113 7" xfId="36433"/>
    <cellStyle name="Процентный 8 113 7" xfId="36434"/>
    <cellStyle name="Обычный 9 79 7" xfId="36435"/>
    <cellStyle name="Процентный 9 80 7" xfId="36436"/>
    <cellStyle name="Обычный 10 72 7" xfId="36437"/>
    <cellStyle name="Процентный 10 72 7" xfId="36438"/>
    <cellStyle name="Обычный 11 60 7" xfId="36439"/>
    <cellStyle name="Процентный 11 60 7" xfId="36440"/>
    <cellStyle name="Обычный 4 172 7" xfId="36441"/>
    <cellStyle name="Процентный 4 172 7" xfId="36442"/>
    <cellStyle name="Обычный 5 165 7" xfId="36443"/>
    <cellStyle name="Процентный 5 165 7" xfId="36444"/>
    <cellStyle name="Обычный 4 2 159 7" xfId="36445"/>
    <cellStyle name="Процентный 4 2 159 7" xfId="36446"/>
    <cellStyle name="Обычный 5 2 159 7" xfId="36447"/>
    <cellStyle name="Процентный 5 2 159 7" xfId="36448"/>
    <cellStyle name="Обычный 6 156 7" xfId="36449"/>
    <cellStyle name="Процентный 6 156 7" xfId="36450"/>
    <cellStyle name="Обычный 7 126 7" xfId="36451"/>
    <cellStyle name="Процентный 7 126 7" xfId="36452"/>
    <cellStyle name="Обычный 4 3 118 7" xfId="36453"/>
    <cellStyle name="Процентный 4 3 118 7" xfId="36454"/>
    <cellStyle name="Обычный 5 3 118 7" xfId="36455"/>
    <cellStyle name="Процентный 5 3 118 7" xfId="36456"/>
    <cellStyle name="Обычный 4 2 2 118 7" xfId="36457"/>
    <cellStyle name="Процентный 4 2 2 118 7" xfId="36458"/>
    <cellStyle name="Обычный 5 2 2 118 7" xfId="36459"/>
    <cellStyle name="Процентный 5 2 2 118 7" xfId="36460"/>
    <cellStyle name="Обычный 6 2 118 7" xfId="36461"/>
    <cellStyle name="Процентный 6 2 118 7" xfId="36462"/>
    <cellStyle name="Обычный 7 2 118 7" xfId="36463"/>
    <cellStyle name="Процентный 7 2 118 7" xfId="36464"/>
    <cellStyle name="Обычный 8 114 7" xfId="36465"/>
    <cellStyle name="Процентный 8 114 7" xfId="36466"/>
    <cellStyle name="Обычный 9 80 7" xfId="36467"/>
    <cellStyle name="Процентный 9 81 7" xfId="36468"/>
    <cellStyle name="Обычный 10 73 7" xfId="36469"/>
    <cellStyle name="Процентный 10 73 7" xfId="36470"/>
    <cellStyle name="Обычный 11 61 7" xfId="36471"/>
    <cellStyle name="Процентный 11 61 7" xfId="36472"/>
    <cellStyle name="Обычный 4 173 7" xfId="36473"/>
    <cellStyle name="Процентный 4 173 7" xfId="36474"/>
    <cellStyle name="Обычный 5 166 7" xfId="36475"/>
    <cellStyle name="Процентный 5 166 7" xfId="36476"/>
    <cellStyle name="Обычный 4 2 160 7" xfId="36477"/>
    <cellStyle name="Процентный 4 2 160 7" xfId="36478"/>
    <cellStyle name="Обычный 5 2 160 7" xfId="36479"/>
    <cellStyle name="Процентный 5 2 160 7" xfId="36480"/>
    <cellStyle name="Обычный 6 157 7" xfId="36481"/>
    <cellStyle name="Процентный 6 157 7" xfId="36482"/>
    <cellStyle name="Обычный 7 127 7" xfId="36483"/>
    <cellStyle name="Процентный 7 127 7" xfId="36484"/>
    <cellStyle name="Обычный 4 3 119 7" xfId="36485"/>
    <cellStyle name="Процентный 4 3 119 7" xfId="36486"/>
    <cellStyle name="Обычный 5 3 119 7" xfId="36487"/>
    <cellStyle name="Процентный 5 3 119 7" xfId="36488"/>
    <cellStyle name="Обычный 4 2 2 119 7" xfId="36489"/>
    <cellStyle name="Процентный 4 2 2 119 7" xfId="36490"/>
    <cellStyle name="Обычный 5 2 2 119 7" xfId="36491"/>
    <cellStyle name="Процентный 5 2 2 119 7" xfId="36492"/>
    <cellStyle name="Обычный 6 2 119 7" xfId="36493"/>
    <cellStyle name="Процентный 6 2 119 7" xfId="36494"/>
    <cellStyle name="Обычный 7 2 119 7" xfId="36495"/>
    <cellStyle name="Процентный 7 2 119 7" xfId="36496"/>
    <cellStyle name="Обычный 8 115 7" xfId="36497"/>
    <cellStyle name="Процентный 8 115 7" xfId="36498"/>
    <cellStyle name="Обычный 9 81 7" xfId="36499"/>
    <cellStyle name="Процентный 9 82 7" xfId="36500"/>
    <cellStyle name="Обычный 10 74 7" xfId="36501"/>
    <cellStyle name="Процентный 10 74 7" xfId="36502"/>
    <cellStyle name="Обычный 11 62 7" xfId="36503"/>
    <cellStyle name="Процентный 11 62 7" xfId="36504"/>
    <cellStyle name="Обычный 4 174 7" xfId="36505"/>
    <cellStyle name="Процентный 4 174 7" xfId="36506"/>
    <cellStyle name="Обычный 5 167 7" xfId="36507"/>
    <cellStyle name="Процентный 5 167 7" xfId="36508"/>
    <cellStyle name="Обычный 4 2 161 7" xfId="36509"/>
    <cellStyle name="Процентный 4 2 161 7" xfId="36510"/>
    <cellStyle name="Обычный 5 2 161 7" xfId="36511"/>
    <cellStyle name="Процентный 5 2 161 7" xfId="36512"/>
    <cellStyle name="Обычный 6 158 7" xfId="36513"/>
    <cellStyle name="Процентный 6 158 7" xfId="36514"/>
    <cellStyle name="Обычный 7 128 7" xfId="36515"/>
    <cellStyle name="Процентный 7 128 7" xfId="36516"/>
    <cellStyle name="Обычный 4 3 120 7" xfId="36517"/>
    <cellStyle name="Процентный 4 3 120 7" xfId="36518"/>
    <cellStyle name="Обычный 5 3 120 7" xfId="36519"/>
    <cellStyle name="Процентный 5 3 120 7" xfId="36520"/>
    <cellStyle name="Обычный 4 2 2 120 7" xfId="36521"/>
    <cellStyle name="Процентный 4 2 2 120 7" xfId="36522"/>
    <cellStyle name="Обычный 5 2 2 120 7" xfId="36523"/>
    <cellStyle name="Процентный 5 2 2 120 7" xfId="36524"/>
    <cellStyle name="Обычный 6 2 120 7" xfId="36525"/>
    <cellStyle name="Процентный 6 2 120 7" xfId="36526"/>
    <cellStyle name="Обычный 7 2 120 7" xfId="36527"/>
    <cellStyle name="Процентный 7 2 120 7" xfId="36528"/>
    <cellStyle name="Обычный 8 116 7" xfId="36529"/>
    <cellStyle name="Процентный 8 116 7" xfId="36530"/>
    <cellStyle name="Обычный 9 82 7" xfId="36531"/>
    <cellStyle name="Процентный 9 83 7" xfId="36532"/>
    <cellStyle name="Обычный 10 75 7" xfId="36533"/>
    <cellStyle name="Процентный 10 75 7" xfId="36534"/>
    <cellStyle name="Обычный 11 63 7" xfId="36535"/>
    <cellStyle name="Процентный 11 63 7" xfId="36536"/>
    <cellStyle name="Обычный 4 175 7" xfId="36537"/>
    <cellStyle name="Процентный 4 175 7" xfId="36538"/>
    <cellStyle name="Обычный 5 168 7" xfId="36539"/>
    <cellStyle name="Процентный 5 168 7" xfId="36540"/>
    <cellStyle name="Обычный 4 2 162 7" xfId="36541"/>
    <cellStyle name="Процентный 4 2 162 7" xfId="36542"/>
    <cellStyle name="Обычный 5 2 162 7" xfId="36543"/>
    <cellStyle name="Процентный 5 2 162 7" xfId="36544"/>
    <cellStyle name="Обычный 6 159 7" xfId="36545"/>
    <cellStyle name="Процентный 6 159 7" xfId="36546"/>
    <cellStyle name="Обычный 7 129 7" xfId="36547"/>
    <cellStyle name="Процентный 7 129 7" xfId="36548"/>
    <cellStyle name="Обычный 4 3 121 7" xfId="36549"/>
    <cellStyle name="Процентный 4 3 121 7" xfId="36550"/>
    <cellStyle name="Обычный 5 3 121 7" xfId="36551"/>
    <cellStyle name="Процентный 5 3 121 7" xfId="36552"/>
    <cellStyle name="Обычный 4 2 2 121 7" xfId="36553"/>
    <cellStyle name="Процентный 4 2 2 121 7" xfId="36554"/>
    <cellStyle name="Обычный 5 2 2 121 7" xfId="36555"/>
    <cellStyle name="Процентный 5 2 2 121 7" xfId="36556"/>
    <cellStyle name="Обычный 6 2 121 7" xfId="36557"/>
    <cellStyle name="Процентный 6 2 121 7" xfId="36558"/>
    <cellStyle name="Обычный 7 2 121 7" xfId="36559"/>
    <cellStyle name="Процентный 7 2 121 7" xfId="36560"/>
    <cellStyle name="Обычный 8 117 7" xfId="36561"/>
    <cellStyle name="Процентный 8 117 7" xfId="36562"/>
    <cellStyle name="Обычный 9 83 7" xfId="36563"/>
    <cellStyle name="Процентный 9 84 7" xfId="36564"/>
    <cellStyle name="Обычный 10 76 7" xfId="36565"/>
    <cellStyle name="Процентный 10 76 7" xfId="36566"/>
    <cellStyle name="Обычный 11 64 7" xfId="36567"/>
    <cellStyle name="Процентный 11 64 7" xfId="36568"/>
    <cellStyle name="Обычный 4 176 7" xfId="36569"/>
    <cellStyle name="Процентный 4 176 7" xfId="36570"/>
    <cellStyle name="Обычный 5 169 7" xfId="36571"/>
    <cellStyle name="Процентный 5 169 7" xfId="36572"/>
    <cellStyle name="Обычный 4 2 163 7" xfId="36573"/>
    <cellStyle name="Процентный 4 2 163 7" xfId="36574"/>
    <cellStyle name="Обычный 5 2 163 7" xfId="36575"/>
    <cellStyle name="Процентный 5 2 163 7" xfId="36576"/>
    <cellStyle name="Обычный 6 160 7" xfId="36577"/>
    <cellStyle name="Процентный 6 160 7" xfId="36578"/>
    <cellStyle name="Обычный 7 130 7" xfId="36579"/>
    <cellStyle name="Процентный 7 130 7" xfId="36580"/>
    <cellStyle name="Обычный 4 3 122 7" xfId="36581"/>
    <cellStyle name="Процентный 4 3 122 7" xfId="36582"/>
    <cellStyle name="Обычный 5 3 122 7" xfId="36583"/>
    <cellStyle name="Процентный 5 3 122 7" xfId="36584"/>
    <cellStyle name="Обычный 4 2 2 122 7" xfId="36585"/>
    <cellStyle name="Процентный 4 2 2 122 7" xfId="36586"/>
    <cellStyle name="Обычный 5 2 2 122 7" xfId="36587"/>
    <cellStyle name="Процентный 5 2 2 122 7" xfId="36588"/>
    <cellStyle name="Обычный 6 2 122 7" xfId="36589"/>
    <cellStyle name="Процентный 6 2 122 7" xfId="36590"/>
    <cellStyle name="Обычный 7 2 122 7" xfId="36591"/>
    <cellStyle name="Процентный 7 2 122 7" xfId="36592"/>
    <cellStyle name="Обычный 8 118 7" xfId="36593"/>
    <cellStyle name="Процентный 8 118 7" xfId="36594"/>
    <cellStyle name="Обычный 9 84 7" xfId="36595"/>
    <cellStyle name="Процентный 9 85 7" xfId="36596"/>
    <cellStyle name="Обычный 10 77 7" xfId="36597"/>
    <cellStyle name="Процентный 10 77 7" xfId="36598"/>
    <cellStyle name="Обычный 11 65 7" xfId="36599"/>
    <cellStyle name="Процентный 11 65 7" xfId="36600"/>
    <cellStyle name="Обычный 4 177 7" xfId="36601"/>
    <cellStyle name="Процентный 4 177 7" xfId="36602"/>
    <cellStyle name="Обычный 5 170 7" xfId="36603"/>
    <cellStyle name="Процентный 5 170 7" xfId="36604"/>
    <cellStyle name="Обычный 4 2 164 7" xfId="36605"/>
    <cellStyle name="Процентный 4 2 164 7" xfId="36606"/>
    <cellStyle name="Обычный 5 2 164 7" xfId="36607"/>
    <cellStyle name="Процентный 5 2 164 7" xfId="36608"/>
    <cellStyle name="Обычный 6 161 7" xfId="36609"/>
    <cellStyle name="Процентный 6 161 7" xfId="36610"/>
    <cellStyle name="Обычный 7 131 7" xfId="36611"/>
    <cellStyle name="Процентный 7 131 7" xfId="36612"/>
    <cellStyle name="Обычный 4 3 123 7" xfId="36613"/>
    <cellStyle name="Процентный 4 3 123 7" xfId="36614"/>
    <cellStyle name="Обычный 5 3 123 7" xfId="36615"/>
    <cellStyle name="Процентный 5 3 123 7" xfId="36616"/>
    <cellStyle name="Обычный 4 2 2 123 7" xfId="36617"/>
    <cellStyle name="Процентный 4 2 2 123 7" xfId="36618"/>
    <cellStyle name="Обычный 5 2 2 123 7" xfId="36619"/>
    <cellStyle name="Процентный 5 2 2 123 7" xfId="36620"/>
    <cellStyle name="Обычный 6 2 123 7" xfId="36621"/>
    <cellStyle name="Процентный 6 2 123 7" xfId="36622"/>
    <cellStyle name="Обычный 7 2 123 7" xfId="36623"/>
    <cellStyle name="Процентный 7 2 123 7" xfId="36624"/>
    <cellStyle name="Обычный 8 119 7" xfId="36625"/>
    <cellStyle name="Процентный 8 119 7" xfId="36626"/>
    <cellStyle name="Обычный 9 85 7" xfId="36627"/>
    <cellStyle name="Процентный 9 86 7" xfId="36628"/>
    <cellStyle name="Обычный 10 78 7" xfId="36629"/>
    <cellStyle name="Процентный 10 78 7" xfId="36630"/>
    <cellStyle name="Обычный 11 66 7" xfId="36631"/>
    <cellStyle name="Процентный 11 66 7" xfId="36632"/>
    <cellStyle name="Обычный 4 178 7" xfId="36633"/>
    <cellStyle name="Процентный 4 178 7" xfId="36634"/>
    <cellStyle name="Обычный 5 171 7" xfId="36635"/>
    <cellStyle name="Процентный 5 171 7" xfId="36636"/>
    <cellStyle name="Обычный 4 2 165 7" xfId="36637"/>
    <cellStyle name="Процентный 4 2 165 7" xfId="36638"/>
    <cellStyle name="Обычный 5 2 165 7" xfId="36639"/>
    <cellStyle name="Процентный 5 2 165 7" xfId="36640"/>
    <cellStyle name="Обычный 6 162 7" xfId="36641"/>
    <cellStyle name="Процентный 6 162 7" xfId="36642"/>
    <cellStyle name="Обычный 7 132 7" xfId="36643"/>
    <cellStyle name="Процентный 7 132 7" xfId="36644"/>
    <cellStyle name="Обычный 4 3 124 7" xfId="36645"/>
    <cellStyle name="Процентный 4 3 124 7" xfId="36646"/>
    <cellStyle name="Обычный 5 3 124 7" xfId="36647"/>
    <cellStyle name="Процентный 5 3 124 7" xfId="36648"/>
    <cellStyle name="Обычный 4 2 2 124 7" xfId="36649"/>
    <cellStyle name="Процентный 4 2 2 124 7" xfId="36650"/>
    <cellStyle name="Обычный 5 2 2 124 7" xfId="36651"/>
    <cellStyle name="Процентный 5 2 2 124 7" xfId="36652"/>
    <cellStyle name="Обычный 6 2 124 7" xfId="36653"/>
    <cellStyle name="Процентный 6 2 124 7" xfId="36654"/>
    <cellStyle name="Обычный 7 2 124 7" xfId="36655"/>
    <cellStyle name="Процентный 7 2 124 7" xfId="36656"/>
    <cellStyle name="Обычный 8 120 7" xfId="36657"/>
    <cellStyle name="Процентный 8 120 7" xfId="36658"/>
    <cellStyle name="Обычный 9 86 7" xfId="36659"/>
    <cellStyle name="Процентный 9 87 7" xfId="36660"/>
    <cellStyle name="Обычный 10 79 7" xfId="36661"/>
    <cellStyle name="Процентный 10 79 7" xfId="36662"/>
    <cellStyle name="Обычный 11 67 7" xfId="36663"/>
    <cellStyle name="Процентный 11 67 7" xfId="36664"/>
    <cellStyle name="Обычный 4 179 7" xfId="36665"/>
    <cellStyle name="Процентный 4 179 7" xfId="36666"/>
    <cellStyle name="Обычный 5 172 7" xfId="36667"/>
    <cellStyle name="Процентный 5 172 7" xfId="36668"/>
    <cellStyle name="Обычный 4 2 166 7" xfId="36669"/>
    <cellStyle name="Процентный 4 2 166 7" xfId="36670"/>
    <cellStyle name="Обычный 5 2 166 7" xfId="36671"/>
    <cellStyle name="Процентный 5 2 166 7" xfId="36672"/>
    <cellStyle name="Обычный 6 163 7" xfId="36673"/>
    <cellStyle name="Процентный 6 163 7" xfId="36674"/>
    <cellStyle name="Обычный 7 133 7" xfId="36675"/>
    <cellStyle name="Процентный 7 133 7" xfId="36676"/>
    <cellStyle name="Обычный 4 3 125 7" xfId="36677"/>
    <cellStyle name="Процентный 4 3 125 7" xfId="36678"/>
    <cellStyle name="Обычный 5 3 125 7" xfId="36679"/>
    <cellStyle name="Процентный 5 3 125 7" xfId="36680"/>
    <cellStyle name="Обычный 4 2 2 125 7" xfId="36681"/>
    <cellStyle name="Процентный 4 2 2 125 7" xfId="36682"/>
    <cellStyle name="Обычный 5 2 2 125 7" xfId="36683"/>
    <cellStyle name="Процентный 5 2 2 125 7" xfId="36684"/>
    <cellStyle name="Обычный 6 2 125 7" xfId="36685"/>
    <cellStyle name="Процентный 6 2 125 7" xfId="36686"/>
    <cellStyle name="Обычный 7 2 125 7" xfId="36687"/>
    <cellStyle name="Процентный 7 2 125 7" xfId="36688"/>
    <cellStyle name="Обычный 8 121 7" xfId="36689"/>
    <cellStyle name="Процентный 8 121 7" xfId="36690"/>
    <cellStyle name="Обычный 9 87 7" xfId="36691"/>
    <cellStyle name="Процентный 9 88 7" xfId="36692"/>
    <cellStyle name="Обычный 10 80 7" xfId="36693"/>
    <cellStyle name="Процентный 10 80 7" xfId="36694"/>
    <cellStyle name="Обычный 11 68 7" xfId="36695"/>
    <cellStyle name="Процентный 11 68 7" xfId="36696"/>
    <cellStyle name="Обычный 4 180 7" xfId="36697"/>
    <cellStyle name="Процентный 4 180 7" xfId="36698"/>
    <cellStyle name="Обычный 5 173 7" xfId="36699"/>
    <cellStyle name="Процентный 5 173 7" xfId="36700"/>
    <cellStyle name="Обычный 4 2 167 7" xfId="36701"/>
    <cellStyle name="Процентный 4 2 167 7" xfId="36702"/>
    <cellStyle name="Обычный 5 2 167 7" xfId="36703"/>
    <cellStyle name="Процентный 5 2 167 7" xfId="36704"/>
    <cellStyle name="Обычный 6 164 7" xfId="36705"/>
    <cellStyle name="Процентный 6 164 7" xfId="36706"/>
    <cellStyle name="Обычный 7 134 7" xfId="36707"/>
    <cellStyle name="Процентный 7 134 7" xfId="36708"/>
    <cellStyle name="Обычный 4 3 126 7" xfId="36709"/>
    <cellStyle name="Процентный 4 3 126 7" xfId="36710"/>
    <cellStyle name="Обычный 5 3 126 7" xfId="36711"/>
    <cellStyle name="Процентный 5 3 126 7" xfId="36712"/>
    <cellStyle name="Обычный 4 2 2 126 7" xfId="36713"/>
    <cellStyle name="Процентный 4 2 2 126 7" xfId="36714"/>
    <cellStyle name="Обычный 5 2 2 126 7" xfId="36715"/>
    <cellStyle name="Процентный 5 2 2 126 7" xfId="36716"/>
    <cellStyle name="Обычный 6 2 126 7" xfId="36717"/>
    <cellStyle name="Процентный 6 2 126 7" xfId="36718"/>
    <cellStyle name="Обычный 7 2 126 7" xfId="36719"/>
    <cellStyle name="Процентный 7 2 126 7" xfId="36720"/>
    <cellStyle name="Обычный 8 122 7" xfId="36721"/>
    <cellStyle name="Процентный 8 122 7" xfId="36722"/>
    <cellStyle name="Обычный 9 88 7" xfId="36723"/>
    <cellStyle name="Процентный 9 89 7" xfId="36724"/>
    <cellStyle name="Обычный 10 81 7" xfId="36725"/>
    <cellStyle name="Процентный 10 81 7" xfId="36726"/>
    <cellStyle name="Обычный 11 69 7" xfId="36727"/>
    <cellStyle name="Процентный 11 69 7" xfId="36728"/>
    <cellStyle name="Обычный 4 181 7" xfId="36729"/>
    <cellStyle name="Процентный 4 181 7" xfId="36730"/>
    <cellStyle name="Обычный 5 174 7" xfId="36731"/>
    <cellStyle name="Процентный 5 174 7" xfId="36732"/>
    <cellStyle name="Обычный 4 2 168 7" xfId="36733"/>
    <cellStyle name="Процентный 4 2 168 7" xfId="36734"/>
    <cellStyle name="Обычный 5 2 168 7" xfId="36735"/>
    <cellStyle name="Процентный 5 2 168 7" xfId="36736"/>
    <cellStyle name="Обычный 6 165 7" xfId="36737"/>
    <cellStyle name="Процентный 6 165 7" xfId="36738"/>
    <cellStyle name="Обычный 7 135 7" xfId="36739"/>
    <cellStyle name="Процентный 7 135 7" xfId="36740"/>
    <cellStyle name="Обычный 4 3 127 7" xfId="36741"/>
    <cellStyle name="Процентный 4 3 127 7" xfId="36742"/>
    <cellStyle name="Обычный 5 3 127 7" xfId="36743"/>
    <cellStyle name="Процентный 5 3 127 7" xfId="36744"/>
    <cellStyle name="Обычный 4 2 2 127 7" xfId="36745"/>
    <cellStyle name="Процентный 4 2 2 127 7" xfId="36746"/>
    <cellStyle name="Обычный 5 2 2 127 7" xfId="36747"/>
    <cellStyle name="Процентный 5 2 2 127 7" xfId="36748"/>
    <cellStyle name="Обычный 6 2 127 7" xfId="36749"/>
    <cellStyle name="Процентный 6 2 127 7" xfId="36750"/>
    <cellStyle name="Обычный 7 2 127 7" xfId="36751"/>
    <cellStyle name="Процентный 7 2 127 7" xfId="36752"/>
    <cellStyle name="Обычный 8 123 7" xfId="36753"/>
    <cellStyle name="Процентный 8 123 7" xfId="36754"/>
    <cellStyle name="Обычный 9 89 7" xfId="36755"/>
    <cellStyle name="Процентный 9 90 7" xfId="36756"/>
    <cellStyle name="Обычный 10 82 7" xfId="36757"/>
    <cellStyle name="Процентный 10 82 7" xfId="36758"/>
    <cellStyle name="Обычный 11 70 7" xfId="36759"/>
    <cellStyle name="Процентный 11 70 7" xfId="36760"/>
    <cellStyle name="Обычный 14 7" xfId="36761"/>
    <cellStyle name="Процентный 14 7" xfId="36762"/>
    <cellStyle name="Обычный 4 182 7" xfId="36763"/>
    <cellStyle name="Процентный 4 182 7" xfId="36764"/>
    <cellStyle name="Обычный 5 175 7" xfId="36765"/>
    <cellStyle name="Процентный 5 175 7" xfId="36766"/>
    <cellStyle name="Обычный 4 2 169 7" xfId="36767"/>
    <cellStyle name="Процентный 4 2 169 7" xfId="36768"/>
    <cellStyle name="Обычный 5 2 169 7" xfId="36769"/>
    <cellStyle name="Процентный 5 2 169 7" xfId="36770"/>
    <cellStyle name="Обычный 6 166 7" xfId="36771"/>
    <cellStyle name="Процентный 6 166 7" xfId="36772"/>
    <cellStyle name="Обычный 7 136 7" xfId="36773"/>
    <cellStyle name="Процентный 7 136 7" xfId="36774"/>
    <cellStyle name="Обычный 4 3 128 7" xfId="36775"/>
    <cellStyle name="Процентный 4 3 128 7" xfId="36776"/>
    <cellStyle name="Обычный 5 3 128 7" xfId="36777"/>
    <cellStyle name="Процентный 5 3 128 7" xfId="36778"/>
    <cellStyle name="Обычный 4 2 2 128 7" xfId="36779"/>
    <cellStyle name="Процентный 4 2 2 128 7" xfId="36780"/>
    <cellStyle name="Обычный 5 2 2 128 7" xfId="36781"/>
    <cellStyle name="Процентный 5 2 2 128 7" xfId="36782"/>
    <cellStyle name="Обычный 6 2 128 7" xfId="36783"/>
    <cellStyle name="Процентный 6 2 128 7" xfId="36784"/>
    <cellStyle name="Обычный 7 2 128 7" xfId="36785"/>
    <cellStyle name="Процентный 7 2 128 7" xfId="36786"/>
    <cellStyle name="Обычный 8 124 7" xfId="36787"/>
    <cellStyle name="Процентный 8 124 7" xfId="36788"/>
    <cellStyle name="Обычный 9 90 7" xfId="36789"/>
    <cellStyle name="Процентный 9 91 7" xfId="36790"/>
    <cellStyle name="Обычный 10 83 7" xfId="36791"/>
    <cellStyle name="Процентный 10 83 7" xfId="36792"/>
    <cellStyle name="Обычный 11 71 7" xfId="36793"/>
    <cellStyle name="Процентный 11 71 7" xfId="36794"/>
    <cellStyle name="Обычный 4 183 7" xfId="36795"/>
    <cellStyle name="Процентный 4 183 7" xfId="36796"/>
    <cellStyle name="Обычный 5 176 7" xfId="36797"/>
    <cellStyle name="Процентный 5 176 7" xfId="36798"/>
    <cellStyle name="Обычный 4 2 170 7" xfId="36799"/>
    <cellStyle name="Процентный 4 2 170 7" xfId="36800"/>
    <cellStyle name="Обычный 5 2 170 7" xfId="36801"/>
    <cellStyle name="Процентный 5 2 170 7" xfId="36802"/>
    <cellStyle name="Обычный 6 167 7" xfId="36803"/>
    <cellStyle name="Процентный 6 167 7" xfId="36804"/>
    <cellStyle name="Обычный 7 137 7" xfId="36805"/>
    <cellStyle name="Процентный 7 137 7" xfId="36806"/>
    <cellStyle name="Обычный 4 3 129 7" xfId="36807"/>
    <cellStyle name="Процентный 4 3 129 7" xfId="36808"/>
    <cellStyle name="Обычный 5 3 129 7" xfId="36809"/>
    <cellStyle name="Процентный 5 3 129 7" xfId="36810"/>
    <cellStyle name="Обычный 4 2 2 129 7" xfId="36811"/>
    <cellStyle name="Процентный 4 2 2 129 7" xfId="36812"/>
    <cellStyle name="Обычный 5 2 2 129 7" xfId="36813"/>
    <cellStyle name="Процентный 5 2 2 129 7" xfId="36814"/>
    <cellStyle name="Обычный 6 2 129 7" xfId="36815"/>
    <cellStyle name="Процентный 6 2 129 7" xfId="36816"/>
    <cellStyle name="Обычный 7 2 129 7" xfId="36817"/>
    <cellStyle name="Процентный 7 2 129 7" xfId="36818"/>
    <cellStyle name="Обычный 8 125 7" xfId="36819"/>
    <cellStyle name="Процентный 8 125 7" xfId="36820"/>
    <cellStyle name="Обычный 9 91 7" xfId="36821"/>
    <cellStyle name="Процентный 9 92 7" xfId="36822"/>
    <cellStyle name="Обычный 10 84 7" xfId="36823"/>
    <cellStyle name="Процентный 10 84 7" xfId="36824"/>
    <cellStyle name="Обычный 11 72 7" xfId="36825"/>
    <cellStyle name="Процентный 11 72 7" xfId="36826"/>
    <cellStyle name="Обычный 4 184 7" xfId="36827"/>
    <cellStyle name="Процентный 4 184 7" xfId="36828"/>
    <cellStyle name="Обычный 5 177 7" xfId="36829"/>
    <cellStyle name="Процентный 5 177 7" xfId="36830"/>
    <cellStyle name="Обычный 4 2 171 7" xfId="36831"/>
    <cellStyle name="Процентный 4 2 171 7" xfId="36832"/>
    <cellStyle name="Обычный 5 2 171 7" xfId="36833"/>
    <cellStyle name="Процентный 5 2 171 7" xfId="36834"/>
    <cellStyle name="Обычный 6 168 7" xfId="36835"/>
    <cellStyle name="Процентный 6 168 7" xfId="36836"/>
    <cellStyle name="Обычный 7 138 7" xfId="36837"/>
    <cellStyle name="Процентный 7 138 7" xfId="36838"/>
    <cellStyle name="Обычный 4 3 130 7" xfId="36839"/>
    <cellStyle name="Процентный 4 3 130 7" xfId="36840"/>
    <cellStyle name="Обычный 5 3 130 7" xfId="36841"/>
    <cellStyle name="Процентный 5 3 130 7" xfId="36842"/>
    <cellStyle name="Обычный 4 2 2 130 7" xfId="36843"/>
    <cellStyle name="Процентный 4 2 2 130 7" xfId="36844"/>
    <cellStyle name="Обычный 5 2 2 130 7" xfId="36845"/>
    <cellStyle name="Процентный 5 2 2 130 7" xfId="36846"/>
    <cellStyle name="Обычный 6 2 130 7" xfId="36847"/>
    <cellStyle name="Процентный 6 2 130 7" xfId="36848"/>
    <cellStyle name="Обычный 7 2 130 7" xfId="36849"/>
    <cellStyle name="Процентный 7 2 130 7" xfId="36850"/>
    <cellStyle name="Обычный 8 126 7" xfId="36851"/>
    <cellStyle name="Процентный 8 126 7" xfId="36852"/>
    <cellStyle name="Обычный 9 92 7" xfId="36853"/>
    <cellStyle name="Процентный 9 93 7" xfId="36854"/>
    <cellStyle name="Обычный 10 85 7" xfId="36855"/>
    <cellStyle name="Процентный 10 85 7" xfId="36856"/>
    <cellStyle name="Обычный 11 73 7" xfId="36857"/>
    <cellStyle name="Процентный 11 73 7" xfId="36858"/>
    <cellStyle name="Обычный 4 185 7" xfId="36859"/>
    <cellStyle name="Процентный 4 185 7" xfId="36860"/>
    <cellStyle name="Обычный 5 178 7" xfId="36861"/>
    <cellStyle name="Процентный 5 178 7" xfId="36862"/>
    <cellStyle name="Обычный 4 2 172 7" xfId="36863"/>
    <cellStyle name="Процентный 4 2 172 7" xfId="36864"/>
    <cellStyle name="Обычный 5 2 172 7" xfId="36865"/>
    <cellStyle name="Процентный 5 2 172 7" xfId="36866"/>
    <cellStyle name="Обычный 6 169 7" xfId="36867"/>
    <cellStyle name="Процентный 6 169 7" xfId="36868"/>
    <cellStyle name="Обычный 7 139 7" xfId="36869"/>
    <cellStyle name="Процентный 7 139 7" xfId="36870"/>
    <cellStyle name="Обычный 4 3 131 7" xfId="36871"/>
    <cellStyle name="Процентный 4 3 131 7" xfId="36872"/>
    <cellStyle name="Обычный 5 3 131 7" xfId="36873"/>
    <cellStyle name="Процентный 5 3 131 7" xfId="36874"/>
    <cellStyle name="Обычный 4 2 2 131 7" xfId="36875"/>
    <cellStyle name="Процентный 4 2 2 131 7" xfId="36876"/>
    <cellStyle name="Обычный 5 2 2 131 7" xfId="36877"/>
    <cellStyle name="Процентный 5 2 2 131 7" xfId="36878"/>
    <cellStyle name="Обычный 6 2 131 7" xfId="36879"/>
    <cellStyle name="Процентный 6 2 131 7" xfId="36880"/>
    <cellStyle name="Обычный 7 2 131 7" xfId="36881"/>
    <cellStyle name="Процентный 7 2 131 7" xfId="36882"/>
    <cellStyle name="Обычный 8 127 7" xfId="36883"/>
    <cellStyle name="Процентный 8 127 7" xfId="36884"/>
    <cellStyle name="Обычный 9 93 7" xfId="36885"/>
    <cellStyle name="Процентный 9 94 7" xfId="36886"/>
    <cellStyle name="Обычный 10 86 7" xfId="36887"/>
    <cellStyle name="Процентный 10 86 7" xfId="36888"/>
    <cellStyle name="Обычный 11 74 7" xfId="36889"/>
    <cellStyle name="Процентный 11 74 7" xfId="36890"/>
    <cellStyle name="Обычный 4 186 7" xfId="36891"/>
    <cellStyle name="Процентный 4 186 7" xfId="36892"/>
    <cellStyle name="Обычный 5 179 7" xfId="36893"/>
    <cellStyle name="Процентный 5 179 7" xfId="36894"/>
    <cellStyle name="Обычный 4 2 173 7" xfId="36895"/>
    <cellStyle name="Процентный 4 2 173 7" xfId="36896"/>
    <cellStyle name="Обычный 5 2 173 7" xfId="36897"/>
    <cellStyle name="Процентный 5 2 173 7" xfId="36898"/>
    <cellStyle name="Обычный 6 170 7" xfId="36899"/>
    <cellStyle name="Процентный 6 170 7" xfId="36900"/>
    <cellStyle name="Обычный 7 140 7" xfId="36901"/>
    <cellStyle name="Процентный 7 140 7" xfId="36902"/>
    <cellStyle name="Обычный 4 3 132 7" xfId="36903"/>
    <cellStyle name="Процентный 4 3 132 7" xfId="36904"/>
    <cellStyle name="Обычный 5 3 132 7" xfId="36905"/>
    <cellStyle name="Процентный 5 3 132 7" xfId="36906"/>
    <cellStyle name="Обычный 4 2 2 132 7" xfId="36907"/>
    <cellStyle name="Процентный 4 2 2 132 7" xfId="36908"/>
    <cellStyle name="Обычный 5 2 2 132 7" xfId="36909"/>
    <cellStyle name="Процентный 5 2 2 132 7" xfId="36910"/>
    <cellStyle name="Обычный 6 2 132 7" xfId="36911"/>
    <cellStyle name="Процентный 6 2 132 7" xfId="36912"/>
    <cellStyle name="Обычный 7 2 132 7" xfId="36913"/>
    <cellStyle name="Процентный 7 2 132 7" xfId="36914"/>
    <cellStyle name="Обычный 8 128 7" xfId="36915"/>
    <cellStyle name="Процентный 8 128 7" xfId="36916"/>
    <cellStyle name="Обычный 9 94 7" xfId="36917"/>
    <cellStyle name="Процентный 9 95 7" xfId="36918"/>
    <cellStyle name="Обычный 10 87 7" xfId="36919"/>
    <cellStyle name="Процентный 10 87 7" xfId="36920"/>
    <cellStyle name="Обычный 11 75 7" xfId="36921"/>
    <cellStyle name="Процентный 11 75 7" xfId="36922"/>
    <cellStyle name="Обычный 4 187 7" xfId="36923"/>
    <cellStyle name="Процентный 4 187 7" xfId="36924"/>
    <cellStyle name="Обычный 5 180 7" xfId="36925"/>
    <cellStyle name="Процентный 5 180 7" xfId="36926"/>
    <cellStyle name="Обычный 4 2 174 7" xfId="36927"/>
    <cellStyle name="Процентный 4 2 174 7" xfId="36928"/>
    <cellStyle name="Обычный 5 2 174 7" xfId="36929"/>
    <cellStyle name="Процентный 5 2 174 7" xfId="36930"/>
    <cellStyle name="Обычный 6 171 7" xfId="36931"/>
    <cellStyle name="Процентный 6 171 7" xfId="36932"/>
    <cellStyle name="Обычный 7 141 7" xfId="36933"/>
    <cellStyle name="Процентный 7 141 7" xfId="36934"/>
    <cellStyle name="Обычный 4 3 133 7" xfId="36935"/>
    <cellStyle name="Процентный 4 3 133 7" xfId="36936"/>
    <cellStyle name="Обычный 5 3 133 7" xfId="36937"/>
    <cellStyle name="Процентный 5 3 133 7" xfId="36938"/>
    <cellStyle name="Обычный 4 2 2 133 7" xfId="36939"/>
    <cellStyle name="Процентный 4 2 2 133 7" xfId="36940"/>
    <cellStyle name="Обычный 5 2 2 133 7" xfId="36941"/>
    <cellStyle name="Процентный 5 2 2 133 7" xfId="36942"/>
    <cellStyle name="Обычный 6 2 133 7" xfId="36943"/>
    <cellStyle name="Процентный 6 2 133 7" xfId="36944"/>
    <cellStyle name="Обычный 7 2 133 7" xfId="36945"/>
    <cellStyle name="Процентный 7 2 133 7" xfId="36946"/>
    <cellStyle name="Обычный 8 129 7" xfId="36947"/>
    <cellStyle name="Процентный 8 129 7" xfId="36948"/>
    <cellStyle name="Обычный 9 95 7" xfId="36949"/>
    <cellStyle name="Процентный 9 96 7" xfId="36950"/>
    <cellStyle name="Обычный 10 88 7" xfId="36951"/>
    <cellStyle name="Процентный 10 88 7" xfId="36952"/>
    <cellStyle name="Обычный 11 76 7" xfId="36953"/>
    <cellStyle name="Процентный 11 76 7" xfId="36954"/>
    <cellStyle name="Обычный 4 188 7" xfId="36955"/>
    <cellStyle name="Процентный 4 188 7" xfId="36956"/>
    <cellStyle name="Обычный 5 181 7" xfId="36957"/>
    <cellStyle name="Процентный 5 181 7" xfId="36958"/>
    <cellStyle name="Обычный 4 2 175 7" xfId="36959"/>
    <cellStyle name="Процентный 4 2 175 7" xfId="36960"/>
    <cellStyle name="Обычный 5 2 175 7" xfId="36961"/>
    <cellStyle name="Процентный 5 2 175 7" xfId="36962"/>
    <cellStyle name="Обычный 6 172 7" xfId="36963"/>
    <cellStyle name="Процентный 6 172 7" xfId="36964"/>
    <cellStyle name="Обычный 7 142 7" xfId="36965"/>
    <cellStyle name="Процентный 7 142 7" xfId="36966"/>
    <cellStyle name="Обычный 4 3 134 7" xfId="36967"/>
    <cellStyle name="Процентный 4 3 134 7" xfId="36968"/>
    <cellStyle name="Обычный 5 3 134 7" xfId="36969"/>
    <cellStyle name="Процентный 5 3 134 7" xfId="36970"/>
    <cellStyle name="Обычный 4 2 2 134 7" xfId="36971"/>
    <cellStyle name="Процентный 4 2 2 134 7" xfId="36972"/>
    <cellStyle name="Обычный 5 2 2 134 7" xfId="36973"/>
    <cellStyle name="Процентный 5 2 2 134 7" xfId="36974"/>
    <cellStyle name="Обычный 6 2 134 7" xfId="36975"/>
    <cellStyle name="Процентный 6 2 134 7" xfId="36976"/>
    <cellStyle name="Обычный 7 2 134 7" xfId="36977"/>
    <cellStyle name="Процентный 7 2 134 7" xfId="36978"/>
    <cellStyle name="Обычный 8 130 7" xfId="36979"/>
    <cellStyle name="Процентный 8 130 7" xfId="36980"/>
    <cellStyle name="Обычный 9 96 7" xfId="36981"/>
    <cellStyle name="Процентный 9 97 7" xfId="36982"/>
    <cellStyle name="Обычный 10 89 7" xfId="36983"/>
    <cellStyle name="Процентный 10 89 7" xfId="36984"/>
    <cellStyle name="Обычный 11 77 7" xfId="36985"/>
    <cellStyle name="Процентный 11 77 7" xfId="36986"/>
    <cellStyle name="Обычный 4 189 7" xfId="36987"/>
    <cellStyle name="Процентный 4 189 7" xfId="36988"/>
    <cellStyle name="Обычный 5 182 7" xfId="36989"/>
    <cellStyle name="Процентный 5 182 7" xfId="36990"/>
    <cellStyle name="Обычный 4 2 176 7" xfId="36991"/>
    <cellStyle name="Процентный 4 2 176 7" xfId="36992"/>
    <cellStyle name="Обычный 5 2 176 7" xfId="36993"/>
    <cellStyle name="Процентный 5 2 176 7" xfId="36994"/>
    <cellStyle name="Обычный 6 173 7" xfId="36995"/>
    <cellStyle name="Процентный 6 173 7" xfId="36996"/>
    <cellStyle name="Обычный 7 143 7" xfId="36997"/>
    <cellStyle name="Процентный 7 143 7" xfId="36998"/>
    <cellStyle name="Обычный 4 3 135 7" xfId="36999"/>
    <cellStyle name="Процентный 4 3 135 7" xfId="37000"/>
    <cellStyle name="Обычный 5 3 135 7" xfId="37001"/>
    <cellStyle name="Процентный 5 3 135 7" xfId="37002"/>
    <cellStyle name="Обычный 4 2 2 135 7" xfId="37003"/>
    <cellStyle name="Процентный 4 2 2 135 7" xfId="37004"/>
    <cellStyle name="Обычный 5 2 2 135 7" xfId="37005"/>
    <cellStyle name="Процентный 5 2 2 135 7" xfId="37006"/>
    <cellStyle name="Обычный 6 2 135 7" xfId="37007"/>
    <cellStyle name="Процентный 6 2 135 7" xfId="37008"/>
    <cellStyle name="Обычный 7 2 135 7" xfId="37009"/>
    <cellStyle name="Процентный 7 2 135 7" xfId="37010"/>
    <cellStyle name="Обычный 8 131 7" xfId="37011"/>
    <cellStyle name="Процентный 8 131 7" xfId="37012"/>
    <cellStyle name="Обычный 9 97 7" xfId="37013"/>
    <cellStyle name="Процентный 9 98 7" xfId="37014"/>
    <cellStyle name="Обычный 10 90 7" xfId="37015"/>
    <cellStyle name="Процентный 10 90 7" xfId="37016"/>
    <cellStyle name="Обычный 11 78 7" xfId="37017"/>
    <cellStyle name="Процентный 11 78 7" xfId="37018"/>
    <cellStyle name="Обычный 4 190 7" xfId="37019"/>
    <cellStyle name="Процентный 4 190 7" xfId="37020"/>
    <cellStyle name="Обычный 5 183 7" xfId="37021"/>
    <cellStyle name="Процентный 5 183 7" xfId="37022"/>
    <cellStyle name="Обычный 4 2 177 7" xfId="37023"/>
    <cellStyle name="Процентный 4 2 177 7" xfId="37024"/>
    <cellStyle name="Обычный 5 2 177 7" xfId="37025"/>
    <cellStyle name="Процентный 5 2 177 7" xfId="37026"/>
    <cellStyle name="Обычный 6 174 7" xfId="37027"/>
    <cellStyle name="Процентный 6 174 7" xfId="37028"/>
    <cellStyle name="Обычный 7 144 7" xfId="37029"/>
    <cellStyle name="Процентный 7 144 7" xfId="37030"/>
    <cellStyle name="Обычный 4 3 136 7" xfId="37031"/>
    <cellStyle name="Процентный 4 3 136 7" xfId="37032"/>
    <cellStyle name="Обычный 5 3 136 7" xfId="37033"/>
    <cellStyle name="Процентный 5 3 136 7" xfId="37034"/>
    <cellStyle name="Обычный 4 2 2 136 7" xfId="37035"/>
    <cellStyle name="Процентный 4 2 2 136 7" xfId="37036"/>
    <cellStyle name="Обычный 5 2 2 136 7" xfId="37037"/>
    <cellStyle name="Процентный 5 2 2 136 7" xfId="37038"/>
    <cellStyle name="Обычный 6 2 136 7" xfId="37039"/>
    <cellStyle name="Процентный 6 2 136 7" xfId="37040"/>
    <cellStyle name="Обычный 7 2 136 7" xfId="37041"/>
    <cellStyle name="Процентный 7 2 136 7" xfId="37042"/>
    <cellStyle name="Обычный 8 132 7" xfId="37043"/>
    <cellStyle name="Процентный 8 132 7" xfId="37044"/>
    <cellStyle name="Обычный 9 98 7" xfId="37045"/>
    <cellStyle name="Процентный 9 99 7" xfId="37046"/>
    <cellStyle name="Обычный 10 91 7" xfId="37047"/>
    <cellStyle name="Процентный 10 91 7" xfId="37048"/>
    <cellStyle name="Обычный 11 79 7" xfId="37049"/>
    <cellStyle name="Процентный 11 79 7" xfId="37050"/>
    <cellStyle name="Обычный 4 191 7" xfId="37051"/>
    <cellStyle name="Процентный 4 191 7" xfId="37052"/>
    <cellStyle name="Обычный 5 184 7" xfId="37053"/>
    <cellStyle name="Процентный 5 184 7" xfId="37054"/>
    <cellStyle name="Обычный 4 2 178 7" xfId="37055"/>
    <cellStyle name="Процентный 4 2 178 7" xfId="37056"/>
    <cellStyle name="Обычный 5 2 178 7" xfId="37057"/>
    <cellStyle name="Процентный 5 2 178 7" xfId="37058"/>
    <cellStyle name="Обычный 6 175 7" xfId="37059"/>
    <cellStyle name="Процентный 6 175 7" xfId="37060"/>
    <cellStyle name="Обычный 7 145 7" xfId="37061"/>
    <cellStyle name="Процентный 7 145 7" xfId="37062"/>
    <cellStyle name="Обычный 4 3 137 7" xfId="37063"/>
    <cellStyle name="Процентный 4 3 137 7" xfId="37064"/>
    <cellStyle name="Обычный 5 3 137 7" xfId="37065"/>
    <cellStyle name="Процентный 5 3 137 7" xfId="37066"/>
    <cellStyle name="Обычный 4 2 2 137 7" xfId="37067"/>
    <cellStyle name="Процентный 4 2 2 137 7" xfId="37068"/>
    <cellStyle name="Обычный 5 2 2 137 7" xfId="37069"/>
    <cellStyle name="Процентный 5 2 2 137 7" xfId="37070"/>
    <cellStyle name="Обычный 6 2 137 7" xfId="37071"/>
    <cellStyle name="Процентный 6 2 137 7" xfId="37072"/>
    <cellStyle name="Обычный 7 2 137 7" xfId="37073"/>
    <cellStyle name="Процентный 7 2 137 7" xfId="37074"/>
    <cellStyle name="Обычный 8 133 7" xfId="37075"/>
    <cellStyle name="Процентный 8 133 7" xfId="37076"/>
    <cellStyle name="Обычный 9 99 7" xfId="37077"/>
    <cellStyle name="Процентный 9 100 7" xfId="37078"/>
    <cellStyle name="Обычный 10 92 7" xfId="37079"/>
    <cellStyle name="Процентный 10 92 7" xfId="37080"/>
    <cellStyle name="Обычный 11 80 7" xfId="37081"/>
    <cellStyle name="Процентный 11 80 7" xfId="37082"/>
    <cellStyle name="Обычный 4 192 7" xfId="37083"/>
    <cellStyle name="Процентный 4 192 7" xfId="37084"/>
    <cellStyle name="Обычный 5 185 7" xfId="37085"/>
    <cellStyle name="Процентный 5 185 7" xfId="37086"/>
    <cellStyle name="Обычный 4 2 179 7" xfId="37087"/>
    <cellStyle name="Процентный 4 2 179 7" xfId="37088"/>
    <cellStyle name="Обычный 5 2 179 7" xfId="37089"/>
    <cellStyle name="Процентный 5 2 179 7" xfId="37090"/>
    <cellStyle name="Обычный 6 176 7" xfId="37091"/>
    <cellStyle name="Процентный 6 176 7" xfId="37092"/>
    <cellStyle name="Обычный 7 146 7" xfId="37093"/>
    <cellStyle name="Процентный 7 146 7" xfId="37094"/>
    <cellStyle name="Обычный 4 3 138 7" xfId="37095"/>
    <cellStyle name="Процентный 4 3 138 7" xfId="37096"/>
    <cellStyle name="Обычный 5 3 138 7" xfId="37097"/>
    <cellStyle name="Процентный 5 3 138 7" xfId="37098"/>
    <cellStyle name="Обычный 4 2 2 138 7" xfId="37099"/>
    <cellStyle name="Процентный 4 2 2 138 7" xfId="37100"/>
    <cellStyle name="Обычный 5 2 2 138 7" xfId="37101"/>
    <cellStyle name="Процентный 5 2 2 138 7" xfId="37102"/>
    <cellStyle name="Обычный 6 2 138 7" xfId="37103"/>
    <cellStyle name="Процентный 6 2 138 7" xfId="37104"/>
    <cellStyle name="Обычный 7 2 138 7" xfId="37105"/>
    <cellStyle name="Процентный 7 2 138 7" xfId="37106"/>
    <cellStyle name="Обычный 8 134 7" xfId="37107"/>
    <cellStyle name="Процентный 8 134 7" xfId="37108"/>
    <cellStyle name="Обычный 9 100 7" xfId="37109"/>
    <cellStyle name="Процентный 9 101 7" xfId="37110"/>
    <cellStyle name="Обычный 10 93 7" xfId="37111"/>
    <cellStyle name="Процентный 10 93 7" xfId="37112"/>
    <cellStyle name="Обычный 11 81 7" xfId="37113"/>
    <cellStyle name="Процентный 11 81 7" xfId="37114"/>
    <cellStyle name="Обычный 4 193 7" xfId="37115"/>
    <cellStyle name="Процентный 4 193 7" xfId="37116"/>
    <cellStyle name="Обычный 5 186 7" xfId="37117"/>
    <cellStyle name="Процентный 5 186 7" xfId="37118"/>
    <cellStyle name="Обычный 4 2 180 7" xfId="37119"/>
    <cellStyle name="Процентный 4 2 180 7" xfId="37120"/>
    <cellStyle name="Обычный 5 2 180 7" xfId="37121"/>
    <cellStyle name="Процентный 5 2 180 7" xfId="37122"/>
    <cellStyle name="Обычный 6 177 7" xfId="37123"/>
    <cellStyle name="Процентный 6 177 7" xfId="37124"/>
    <cellStyle name="Обычный 7 147 7" xfId="37125"/>
    <cellStyle name="Процентный 7 147 7" xfId="37126"/>
    <cellStyle name="Обычный 4 3 139 7" xfId="37127"/>
    <cellStyle name="Процентный 4 3 139 7" xfId="37128"/>
    <cellStyle name="Обычный 5 3 139 7" xfId="37129"/>
    <cellStyle name="Процентный 5 3 139 7" xfId="37130"/>
    <cellStyle name="Обычный 4 2 2 139 7" xfId="37131"/>
    <cellStyle name="Процентный 4 2 2 139 7" xfId="37132"/>
    <cellStyle name="Обычный 5 2 2 139 7" xfId="37133"/>
    <cellStyle name="Процентный 5 2 2 139 7" xfId="37134"/>
    <cellStyle name="Обычный 6 2 139 7" xfId="37135"/>
    <cellStyle name="Процентный 6 2 139 7" xfId="37136"/>
    <cellStyle name="Обычный 7 2 139 7" xfId="37137"/>
    <cellStyle name="Процентный 7 2 139 7" xfId="37138"/>
    <cellStyle name="Обычный 8 135 7" xfId="37139"/>
    <cellStyle name="Процентный 8 135 7" xfId="37140"/>
    <cellStyle name="Обычный 9 101 7" xfId="37141"/>
    <cellStyle name="Процентный 9 102 7" xfId="37142"/>
    <cellStyle name="Обычный 10 94 7" xfId="37143"/>
    <cellStyle name="Процентный 10 94 7" xfId="37144"/>
    <cellStyle name="Обычный 11 82 7" xfId="37145"/>
    <cellStyle name="Процентный 11 82 7" xfId="37146"/>
    <cellStyle name="Обычный 4 194 7" xfId="37147"/>
    <cellStyle name="Процентный 4 194 7" xfId="37148"/>
    <cellStyle name="Обычный 5 187 7" xfId="37149"/>
    <cellStyle name="Процентный 5 187 7" xfId="37150"/>
    <cellStyle name="Обычный 4 2 181 7" xfId="37151"/>
    <cellStyle name="Процентный 4 2 181 7" xfId="37152"/>
    <cellStyle name="Обычный 5 2 181 7" xfId="37153"/>
    <cellStyle name="Процентный 5 2 181 7" xfId="37154"/>
    <cellStyle name="Обычный 6 178 7" xfId="37155"/>
    <cellStyle name="Процентный 6 178 7" xfId="37156"/>
    <cellStyle name="Обычный 7 148 7" xfId="37157"/>
    <cellStyle name="Процентный 7 148 7" xfId="37158"/>
    <cellStyle name="Обычный 4 3 140 7" xfId="37159"/>
    <cellStyle name="Процентный 4 3 140 7" xfId="37160"/>
    <cellStyle name="Обычный 5 3 140 7" xfId="37161"/>
    <cellStyle name="Процентный 5 3 140 7" xfId="37162"/>
    <cellStyle name="Обычный 4 2 2 140 7" xfId="37163"/>
    <cellStyle name="Процентный 4 2 2 140 7" xfId="37164"/>
    <cellStyle name="Обычный 5 2 2 140 7" xfId="37165"/>
    <cellStyle name="Процентный 5 2 2 140 7" xfId="37166"/>
    <cellStyle name="Обычный 6 2 140 7" xfId="37167"/>
    <cellStyle name="Процентный 6 2 140 7" xfId="37168"/>
    <cellStyle name="Обычный 7 2 140 7" xfId="37169"/>
    <cellStyle name="Процентный 7 2 140 7" xfId="37170"/>
    <cellStyle name="Обычный 8 136 7" xfId="37171"/>
    <cellStyle name="Процентный 8 136 7" xfId="37172"/>
    <cellStyle name="Обычный 9 102 7" xfId="37173"/>
    <cellStyle name="Процентный 9 103 7" xfId="37174"/>
    <cellStyle name="Обычный 10 95 7" xfId="37175"/>
    <cellStyle name="Процентный 10 95 7" xfId="37176"/>
    <cellStyle name="Обычный 11 83 7" xfId="37177"/>
    <cellStyle name="Процентный 11 83 7" xfId="37178"/>
    <cellStyle name="Обычный 4 195 7" xfId="37179"/>
    <cellStyle name="Процентный 4 195 7" xfId="37180"/>
    <cellStyle name="Обычный 5 188 7" xfId="37181"/>
    <cellStyle name="Процентный 5 188 7" xfId="37182"/>
    <cellStyle name="Обычный 4 2 182 7" xfId="37183"/>
    <cellStyle name="Процентный 4 2 182 7" xfId="37184"/>
    <cellStyle name="Обычный 5 2 182 7" xfId="37185"/>
    <cellStyle name="Процентный 5 2 182 7" xfId="37186"/>
    <cellStyle name="Обычный 6 179 7" xfId="37187"/>
    <cellStyle name="Процентный 6 179 7" xfId="37188"/>
    <cellStyle name="Обычный 7 149 7" xfId="37189"/>
    <cellStyle name="Процентный 7 149 7" xfId="37190"/>
    <cellStyle name="Обычный 4 3 141 7" xfId="37191"/>
    <cellStyle name="Процентный 4 3 141 7" xfId="37192"/>
    <cellStyle name="Обычный 5 3 141 7" xfId="37193"/>
    <cellStyle name="Процентный 5 3 141 7" xfId="37194"/>
    <cellStyle name="Обычный 4 2 2 141 7" xfId="37195"/>
    <cellStyle name="Процентный 4 2 2 141 7" xfId="37196"/>
    <cellStyle name="Обычный 5 2 2 141 7" xfId="37197"/>
    <cellStyle name="Процентный 5 2 2 141 7" xfId="37198"/>
    <cellStyle name="Обычный 6 2 141 7" xfId="37199"/>
    <cellStyle name="Процентный 6 2 141 7" xfId="37200"/>
    <cellStyle name="Обычный 7 2 141 7" xfId="37201"/>
    <cellStyle name="Процентный 7 2 141 7" xfId="37202"/>
    <cellStyle name="Обычный 8 137 7" xfId="37203"/>
    <cellStyle name="Процентный 8 137 7" xfId="37204"/>
    <cellStyle name="Обычный 9 103 7" xfId="37205"/>
    <cellStyle name="Процентный 9 104 7" xfId="37206"/>
    <cellStyle name="Обычный 10 96 7" xfId="37207"/>
    <cellStyle name="Процентный 10 96 7" xfId="37208"/>
    <cellStyle name="Обычный 11 84 7" xfId="37209"/>
    <cellStyle name="Процентный 11 84 7" xfId="37210"/>
    <cellStyle name="Обычный 4 196 7" xfId="37211"/>
    <cellStyle name="Процентный 4 196 7" xfId="37212"/>
    <cellStyle name="Обычный 5 189 7" xfId="37213"/>
    <cellStyle name="Процентный 5 189 7" xfId="37214"/>
    <cellStyle name="Обычный 4 2 183 7" xfId="37215"/>
    <cellStyle name="Процентный 4 2 183 7" xfId="37216"/>
    <cellStyle name="Обычный 5 2 183 7" xfId="37217"/>
    <cellStyle name="Процентный 5 2 183 7" xfId="37218"/>
    <cellStyle name="Обычный 6 180 7" xfId="37219"/>
    <cellStyle name="Процентный 6 180 7" xfId="37220"/>
    <cellStyle name="Обычный 7 150 7" xfId="37221"/>
    <cellStyle name="Процентный 7 150 7" xfId="37222"/>
    <cellStyle name="Обычный 4 3 142 7" xfId="37223"/>
    <cellStyle name="Процентный 4 3 142 7" xfId="37224"/>
    <cellStyle name="Обычный 5 3 142 7" xfId="37225"/>
    <cellStyle name="Процентный 5 3 142 7" xfId="37226"/>
    <cellStyle name="Обычный 4 2 2 142 7" xfId="37227"/>
    <cellStyle name="Процентный 4 2 2 142 7" xfId="37228"/>
    <cellStyle name="Обычный 5 2 2 142 7" xfId="37229"/>
    <cellStyle name="Процентный 5 2 2 142 7" xfId="37230"/>
    <cellStyle name="Обычный 6 2 142 7" xfId="37231"/>
    <cellStyle name="Процентный 6 2 142 7" xfId="37232"/>
    <cellStyle name="Обычный 7 2 142 7" xfId="37233"/>
    <cellStyle name="Процентный 7 2 142 7" xfId="37234"/>
    <cellStyle name="Обычный 8 138 7" xfId="37235"/>
    <cellStyle name="Процентный 8 138 7" xfId="37236"/>
    <cellStyle name="Обычный 9 104 7" xfId="37237"/>
    <cellStyle name="Процентный 9 105 7" xfId="37238"/>
    <cellStyle name="Обычный 10 97 7" xfId="37239"/>
    <cellStyle name="Процентный 10 97 7" xfId="37240"/>
    <cellStyle name="Обычный 11 85 7" xfId="37241"/>
    <cellStyle name="Процентный 11 85 7" xfId="37242"/>
    <cellStyle name="Обычный 4 197 7" xfId="37243"/>
    <cellStyle name="Процентный 4 197 7" xfId="37244"/>
    <cellStyle name="Обычный 5 190 7" xfId="37245"/>
    <cellStyle name="Процентный 5 190 7" xfId="37246"/>
    <cellStyle name="Обычный 4 2 184 7" xfId="37247"/>
    <cellStyle name="Процентный 4 2 184 7" xfId="37248"/>
    <cellStyle name="Обычный 5 2 184 7" xfId="37249"/>
    <cellStyle name="Процентный 5 2 184 7" xfId="37250"/>
    <cellStyle name="Обычный 6 181 7" xfId="37251"/>
    <cellStyle name="Процентный 6 181 7" xfId="37252"/>
    <cellStyle name="Обычный 7 151 7" xfId="37253"/>
    <cellStyle name="Процентный 7 151 7" xfId="37254"/>
    <cellStyle name="Обычный 4 3 143 7" xfId="37255"/>
    <cellStyle name="Процентный 4 3 143 7" xfId="37256"/>
    <cellStyle name="Обычный 5 3 143 7" xfId="37257"/>
    <cellStyle name="Процентный 5 3 143 7" xfId="37258"/>
    <cellStyle name="Обычный 4 2 2 143 7" xfId="37259"/>
    <cellStyle name="Процентный 4 2 2 143 7" xfId="37260"/>
    <cellStyle name="Обычный 5 2 2 143 7" xfId="37261"/>
    <cellStyle name="Процентный 5 2 2 143 7" xfId="37262"/>
    <cellStyle name="Обычный 6 2 143 7" xfId="37263"/>
    <cellStyle name="Процентный 6 2 143 7" xfId="37264"/>
    <cellStyle name="Обычный 7 2 143 7" xfId="37265"/>
    <cellStyle name="Процентный 7 2 143 7" xfId="37266"/>
    <cellStyle name="Обычный 8 139 7" xfId="37267"/>
    <cellStyle name="Процентный 8 139 7" xfId="37268"/>
    <cellStyle name="Обычный 9 105 7" xfId="37269"/>
    <cellStyle name="Процентный 9 106 7" xfId="37270"/>
    <cellStyle name="Обычный 10 98 7" xfId="37271"/>
    <cellStyle name="Процентный 10 98 7" xfId="37272"/>
    <cellStyle name="Обычный 11 86 7" xfId="37273"/>
    <cellStyle name="Процентный 11 86 7" xfId="37274"/>
    <cellStyle name="Обычный 4 198 7" xfId="37275"/>
    <cellStyle name="Процентный 4 198 7" xfId="37276"/>
    <cellStyle name="Обычный 5 191 7" xfId="37277"/>
    <cellStyle name="Процентный 5 191 7" xfId="37278"/>
    <cellStyle name="Обычный 4 2 185 7" xfId="37279"/>
    <cellStyle name="Процентный 4 2 185 7" xfId="37280"/>
    <cellStyle name="Обычный 5 2 185 7" xfId="37281"/>
    <cellStyle name="Процентный 5 2 185 7" xfId="37282"/>
    <cellStyle name="Обычный 6 182 7" xfId="37283"/>
    <cellStyle name="Процентный 6 182 7" xfId="37284"/>
    <cellStyle name="Обычный 7 152 7" xfId="37285"/>
    <cellStyle name="Процентный 7 152 7" xfId="37286"/>
    <cellStyle name="Обычный 4 3 144 7" xfId="37287"/>
    <cellStyle name="Процентный 4 3 144 7" xfId="37288"/>
    <cellStyle name="Обычный 5 3 144 7" xfId="37289"/>
    <cellStyle name="Процентный 5 3 144 7" xfId="37290"/>
    <cellStyle name="Обычный 4 2 2 144 7" xfId="37291"/>
    <cellStyle name="Процентный 4 2 2 144 7" xfId="37292"/>
    <cellStyle name="Обычный 5 2 2 144 7" xfId="37293"/>
    <cellStyle name="Процентный 5 2 2 144 7" xfId="37294"/>
    <cellStyle name="Обычный 6 2 144 7" xfId="37295"/>
    <cellStyle name="Процентный 6 2 144 7" xfId="37296"/>
    <cellStyle name="Обычный 7 2 144 7" xfId="37297"/>
    <cellStyle name="Процентный 7 2 144 7" xfId="37298"/>
    <cellStyle name="Обычный 8 140 7" xfId="37299"/>
    <cellStyle name="Процентный 8 140 7" xfId="37300"/>
    <cellStyle name="Обычный 9 106 7" xfId="37301"/>
    <cellStyle name="Процентный 9 107 7" xfId="37302"/>
    <cellStyle name="Обычный 10 99 7" xfId="37303"/>
    <cellStyle name="Процентный 10 99 7" xfId="37304"/>
    <cellStyle name="Обычный 11 87 7" xfId="37305"/>
    <cellStyle name="Процентный 11 87 7" xfId="37306"/>
    <cellStyle name="Обычный 4 199 7" xfId="37307"/>
    <cellStyle name="Процентный 4 199 7" xfId="37308"/>
    <cellStyle name="Обычный 5 192 7" xfId="37309"/>
    <cellStyle name="Процентный 5 192 7" xfId="37310"/>
    <cellStyle name="Обычный 4 2 186 7" xfId="37311"/>
    <cellStyle name="Процентный 4 2 186 7" xfId="37312"/>
    <cellStyle name="Обычный 5 2 186 7" xfId="37313"/>
    <cellStyle name="Процентный 5 2 186 7" xfId="37314"/>
    <cellStyle name="Обычный 6 183 7" xfId="37315"/>
    <cellStyle name="Процентный 6 183 7" xfId="37316"/>
    <cellStyle name="Обычный 7 153 7" xfId="37317"/>
    <cellStyle name="Процентный 7 153 7" xfId="37318"/>
    <cellStyle name="Обычный 4 3 145 7" xfId="37319"/>
    <cellStyle name="Процентный 4 3 145 7" xfId="37320"/>
    <cellStyle name="Обычный 5 3 145 7" xfId="37321"/>
    <cellStyle name="Процентный 5 3 145 7" xfId="37322"/>
    <cellStyle name="Обычный 4 2 2 145 7" xfId="37323"/>
    <cellStyle name="Процентный 4 2 2 145 7" xfId="37324"/>
    <cellStyle name="Обычный 5 2 2 145 7" xfId="37325"/>
    <cellStyle name="Процентный 5 2 2 145 7" xfId="37326"/>
    <cellStyle name="Обычный 6 2 145 7" xfId="37327"/>
    <cellStyle name="Процентный 6 2 145 7" xfId="37328"/>
    <cellStyle name="Обычный 7 2 145 7" xfId="37329"/>
    <cellStyle name="Процентный 7 2 145 7" xfId="37330"/>
    <cellStyle name="Обычный 8 141 7" xfId="37331"/>
    <cellStyle name="Процентный 8 141 7" xfId="37332"/>
    <cellStyle name="Обычный 9 107 7" xfId="37333"/>
    <cellStyle name="Процентный 9 108 7" xfId="37334"/>
    <cellStyle name="Обычный 10 100 7" xfId="37335"/>
    <cellStyle name="Процентный 10 100 7" xfId="37336"/>
    <cellStyle name="Обычный 11 88 7" xfId="37337"/>
    <cellStyle name="Процентный 11 88 7" xfId="37338"/>
    <cellStyle name="Обычный 4 200 7" xfId="37339"/>
    <cellStyle name="Процентный 4 200 7" xfId="37340"/>
    <cellStyle name="Обычный 5 193 7" xfId="37341"/>
    <cellStyle name="Процентный 5 193 7" xfId="37342"/>
    <cellStyle name="Обычный 4 2 187 7" xfId="37343"/>
    <cellStyle name="Процентный 4 2 187 7" xfId="37344"/>
    <cellStyle name="Обычный 5 2 187 7" xfId="37345"/>
    <cellStyle name="Процентный 5 2 187 7" xfId="37346"/>
    <cellStyle name="Обычный 6 184 7" xfId="37347"/>
    <cellStyle name="Процентный 6 184 7" xfId="37348"/>
    <cellStyle name="Обычный 7 154 7" xfId="37349"/>
    <cellStyle name="Процентный 7 154 7" xfId="37350"/>
    <cellStyle name="Обычный 4 3 146 7" xfId="37351"/>
    <cellStyle name="Процентный 4 3 146 7" xfId="37352"/>
    <cellStyle name="Обычный 5 3 146 7" xfId="37353"/>
    <cellStyle name="Процентный 5 3 146 7" xfId="37354"/>
    <cellStyle name="Обычный 4 2 2 146 7" xfId="37355"/>
    <cellStyle name="Процентный 4 2 2 146 7" xfId="37356"/>
    <cellStyle name="Обычный 5 2 2 146 7" xfId="37357"/>
    <cellStyle name="Процентный 5 2 2 146 7" xfId="37358"/>
    <cellStyle name="Обычный 6 2 146 7" xfId="37359"/>
    <cellStyle name="Процентный 6 2 146 7" xfId="37360"/>
    <cellStyle name="Обычный 7 2 146 7" xfId="37361"/>
    <cellStyle name="Процентный 7 2 146 7" xfId="37362"/>
    <cellStyle name="Обычный 8 142 7" xfId="37363"/>
    <cellStyle name="Процентный 8 142 7" xfId="37364"/>
    <cellStyle name="Обычный 9 108 7" xfId="37365"/>
    <cellStyle name="Процентный 9 109 7" xfId="37366"/>
    <cellStyle name="Обычный 10 101 7" xfId="37367"/>
    <cellStyle name="Процентный 10 101 7" xfId="37368"/>
    <cellStyle name="Обычный 11 89 7" xfId="37369"/>
    <cellStyle name="Процентный 11 89 7" xfId="37370"/>
    <cellStyle name="Обычный 4 201 7" xfId="37371"/>
    <cellStyle name="Процентный 4 201 7" xfId="37372"/>
    <cellStyle name="Обычный 5 194 7" xfId="37373"/>
    <cellStyle name="Процентный 5 194 7" xfId="37374"/>
    <cellStyle name="Обычный 4 2 188 7" xfId="37375"/>
    <cellStyle name="Процентный 4 2 188 7" xfId="37376"/>
    <cellStyle name="Обычный 5 2 188 7" xfId="37377"/>
    <cellStyle name="Процентный 5 2 188 7" xfId="37378"/>
    <cellStyle name="Обычный 6 185 7" xfId="37379"/>
    <cellStyle name="Процентный 6 185 7" xfId="37380"/>
    <cellStyle name="Обычный 7 155 7" xfId="37381"/>
    <cellStyle name="Процентный 7 155 7" xfId="37382"/>
    <cellStyle name="Обычный 4 3 147 7" xfId="37383"/>
    <cellStyle name="Процентный 4 3 147 7" xfId="37384"/>
    <cellStyle name="Обычный 5 3 147 7" xfId="37385"/>
    <cellStyle name="Процентный 5 3 147 7" xfId="37386"/>
    <cellStyle name="Обычный 4 2 2 147 7" xfId="37387"/>
    <cellStyle name="Процентный 4 2 2 147 7" xfId="37388"/>
    <cellStyle name="Обычный 5 2 2 147 7" xfId="37389"/>
    <cellStyle name="Процентный 5 2 2 147 7" xfId="37390"/>
    <cellStyle name="Обычный 6 2 147 7" xfId="37391"/>
    <cellStyle name="Процентный 6 2 147 7" xfId="37392"/>
    <cellStyle name="Обычный 7 2 147 7" xfId="37393"/>
    <cellStyle name="Процентный 7 2 147 7" xfId="37394"/>
    <cellStyle name="Обычный 8 143 7" xfId="37395"/>
    <cellStyle name="Процентный 8 143 7" xfId="37396"/>
    <cellStyle name="Обычный 9 109 7" xfId="37397"/>
    <cellStyle name="Процентный 9 110 7" xfId="37398"/>
    <cellStyle name="Обычный 10 102 7" xfId="37399"/>
    <cellStyle name="Процентный 10 102 7" xfId="37400"/>
    <cellStyle name="Обычный 11 90 7" xfId="37401"/>
    <cellStyle name="Процентный 11 90 7" xfId="37402"/>
    <cellStyle name="Обычный 4 202 7" xfId="37403"/>
    <cellStyle name="Процентный 4 202 7" xfId="37404"/>
    <cellStyle name="Обычный 5 195 7" xfId="37405"/>
    <cellStyle name="Процентный 5 195 7" xfId="37406"/>
    <cellStyle name="Обычный 4 2 189 7" xfId="37407"/>
    <cellStyle name="Процентный 4 2 189 7" xfId="37408"/>
    <cellStyle name="Обычный 5 2 189 7" xfId="37409"/>
    <cellStyle name="Процентный 5 2 189 7" xfId="37410"/>
    <cellStyle name="Обычный 6 186 7" xfId="37411"/>
    <cellStyle name="Процентный 6 186 7" xfId="37412"/>
    <cellStyle name="Обычный 7 156 7" xfId="37413"/>
    <cellStyle name="Процентный 7 156 7" xfId="37414"/>
    <cellStyle name="Обычный 4 3 148 7" xfId="37415"/>
    <cellStyle name="Процентный 4 3 148 7" xfId="37416"/>
    <cellStyle name="Обычный 5 3 148 7" xfId="37417"/>
    <cellStyle name="Процентный 5 3 148 7" xfId="37418"/>
    <cellStyle name="Обычный 4 2 2 148 7" xfId="37419"/>
    <cellStyle name="Процентный 4 2 2 148 7" xfId="37420"/>
    <cellStyle name="Обычный 5 2 2 148 7" xfId="37421"/>
    <cellStyle name="Процентный 5 2 2 148 7" xfId="37422"/>
    <cellStyle name="Обычный 6 2 148 7" xfId="37423"/>
    <cellStyle name="Процентный 6 2 148 7" xfId="37424"/>
    <cellStyle name="Обычный 7 2 148 7" xfId="37425"/>
    <cellStyle name="Процентный 7 2 148 7" xfId="37426"/>
    <cellStyle name="Обычный 8 144 7" xfId="37427"/>
    <cellStyle name="Процентный 8 144 7" xfId="37428"/>
    <cellStyle name="Обычный 9 110 7" xfId="37429"/>
    <cellStyle name="Процентный 9 111 7" xfId="37430"/>
    <cellStyle name="Обычный 10 103 7" xfId="37431"/>
    <cellStyle name="Процентный 10 103 7" xfId="37432"/>
    <cellStyle name="Обычный 11 91 7" xfId="37433"/>
    <cellStyle name="Процентный 11 91 7" xfId="37434"/>
    <cellStyle name="Обычный 3 10" xfId="37435"/>
    <cellStyle name="Обычный 4 209" xfId="37436"/>
    <cellStyle name="Процентный 4 209" xfId="37437"/>
    <cellStyle name="Обычный 4 2 196" xfId="37438"/>
    <cellStyle name="Процентный 4 2 196" xfId="37439"/>
    <cellStyle name="Обычный 4 3 155" xfId="37440"/>
    <cellStyle name="Процентный 4 3 155" xfId="37441"/>
    <cellStyle name="Обычный 5 202" xfId="37442"/>
    <cellStyle name="Процентный 5 202" xfId="37443"/>
    <cellStyle name="Обычный 4 4 9" xfId="37444"/>
    <cellStyle name="Процентный 4 4 9" xfId="37445"/>
    <cellStyle name="Обычный 4 5 9" xfId="37446"/>
    <cellStyle name="Процентный 4 5 9" xfId="37447"/>
    <cellStyle name="Обычный 4 6 9" xfId="37448"/>
    <cellStyle name="Процентный 4 6 9" xfId="37449"/>
    <cellStyle name="Обычный 4 7 9" xfId="37450"/>
    <cellStyle name="Процентный 4 7 9" xfId="37451"/>
    <cellStyle name="Обычный 4 8 9" xfId="37452"/>
    <cellStyle name="Процентный 4 8 9" xfId="37453"/>
    <cellStyle name="Обычный 4 9 9" xfId="37454"/>
    <cellStyle name="Процентный 4 9 9" xfId="37455"/>
    <cellStyle name="Обычный 5 2 196" xfId="37456"/>
    <cellStyle name="Процентный 5 2 196" xfId="37457"/>
    <cellStyle name="Обычный 4 10 9" xfId="37458"/>
    <cellStyle name="Процентный 4 10 9" xfId="37459"/>
    <cellStyle name="Обычный 5 3 155" xfId="37460"/>
    <cellStyle name="Процентный 5 3 155" xfId="37461"/>
    <cellStyle name="Обычный 4 11 9" xfId="37462"/>
    <cellStyle name="Процентный 4 11 9" xfId="37463"/>
    <cellStyle name="Обычный 5 4 9" xfId="37464"/>
    <cellStyle name="Процентный 5 4 9" xfId="37465"/>
    <cellStyle name="Обычный 4 12 9" xfId="37466"/>
    <cellStyle name="Процентный 4 12 9" xfId="37467"/>
    <cellStyle name="Обычный 5 5 9" xfId="37468"/>
    <cellStyle name="Процентный 5 5 9" xfId="37469"/>
    <cellStyle name="Обычный 4 13 9" xfId="37470"/>
    <cellStyle name="Процентный 4 13 9" xfId="37471"/>
    <cellStyle name="Обычный 5 6 9" xfId="37472"/>
    <cellStyle name="Процентный 5 6 9" xfId="37473"/>
    <cellStyle name="Обычный 4 14 9" xfId="37474"/>
    <cellStyle name="Процентный 4 14 9" xfId="37475"/>
    <cellStyle name="Обычный 5 7 9" xfId="37476"/>
    <cellStyle name="Процентный 5 7 9" xfId="37477"/>
    <cellStyle name="Обычный 4 15 9" xfId="37478"/>
    <cellStyle name="Процентный 4 15 9" xfId="37479"/>
    <cellStyle name="Обычный 5 8 9" xfId="37480"/>
    <cellStyle name="Процентный 5 8 9" xfId="37481"/>
    <cellStyle name="Обычный 4 2 2 155" xfId="37482"/>
    <cellStyle name="Процентный 4 2 2 155" xfId="37483"/>
    <cellStyle name="Обычный 5 2 2 155" xfId="37484"/>
    <cellStyle name="Процентный 5 2 2 155" xfId="37485"/>
    <cellStyle name="Обычный 4 16 9" xfId="37486"/>
    <cellStyle name="Процентный 4 16 9" xfId="37487"/>
    <cellStyle name="Обычный 5 9 9" xfId="37488"/>
    <cellStyle name="Процентный 5 9 9" xfId="37489"/>
    <cellStyle name="Обычный 4 2 3 9" xfId="37490"/>
    <cellStyle name="Процентный 4 2 3 9" xfId="37491"/>
    <cellStyle name="Обычный 5 2 3 9" xfId="37492"/>
    <cellStyle name="Процентный 5 2 3 9" xfId="37493"/>
    <cellStyle name="Обычный 4 17 9" xfId="37494"/>
    <cellStyle name="Процентный 4 17 9" xfId="37495"/>
    <cellStyle name="Обычный 5 10 9" xfId="37496"/>
    <cellStyle name="Процентный 5 10 9" xfId="37497"/>
    <cellStyle name="Обычный 4 2 4 9" xfId="37498"/>
    <cellStyle name="Процентный 4 2 4 9" xfId="37499"/>
    <cellStyle name="Обычный 5 2 4 9" xfId="37500"/>
    <cellStyle name="Процентный 5 2 4 9" xfId="37501"/>
    <cellStyle name="Обычный 6 193" xfId="37502"/>
    <cellStyle name="Процентный 6 193" xfId="37503"/>
    <cellStyle name="Обычный 4 18 9" xfId="37504"/>
    <cellStyle name="Процентный 4 18 9" xfId="37505"/>
    <cellStyle name="Обычный 5 11 9" xfId="37506"/>
    <cellStyle name="Процентный 5 11 9" xfId="37507"/>
    <cellStyle name="Обычный 4 2 5 9" xfId="37508"/>
    <cellStyle name="Процентный 4 2 5 9" xfId="37509"/>
    <cellStyle name="Обычный 5 2 5 9" xfId="37510"/>
    <cellStyle name="Процентный 5 2 5 9" xfId="37511"/>
    <cellStyle name="Обычный 6 2 155" xfId="37512"/>
    <cellStyle name="Процентный 6 2 155" xfId="37513"/>
    <cellStyle name="Обычный 4 19 9" xfId="37514"/>
    <cellStyle name="Процентный 4 19 9" xfId="37515"/>
    <cellStyle name="Обычный 5 12 9" xfId="37516"/>
    <cellStyle name="Процентный 5 12 9" xfId="37517"/>
    <cellStyle name="Обычный 4 2 6 9" xfId="37518"/>
    <cellStyle name="Процентный 4 2 6 9" xfId="37519"/>
    <cellStyle name="Обычный 5 2 6 9" xfId="37520"/>
    <cellStyle name="Процентный 5 2 6 9" xfId="37521"/>
    <cellStyle name="Обычный 6 3 9" xfId="37522"/>
    <cellStyle name="Процентный 6 3 9" xfId="37523"/>
    <cellStyle name="Обычный 4 20 9" xfId="37524"/>
    <cellStyle name="Процентный 4 20 9" xfId="37525"/>
    <cellStyle name="Обычный 5 13 9" xfId="37526"/>
    <cellStyle name="Процентный 5 13 9" xfId="37527"/>
    <cellStyle name="Обычный 4 2 7 9" xfId="37528"/>
    <cellStyle name="Процентный 4 2 7 9" xfId="37529"/>
    <cellStyle name="Обычный 5 2 7 9" xfId="37530"/>
    <cellStyle name="Процентный 5 2 7 9" xfId="37531"/>
    <cellStyle name="Обычный 6 4 9" xfId="37532"/>
    <cellStyle name="Процентный 6 4 9" xfId="37533"/>
    <cellStyle name="Обычный 4 21 9" xfId="37534"/>
    <cellStyle name="Процентный 4 21 9" xfId="37535"/>
    <cellStyle name="Обычный 5 14 9" xfId="37536"/>
    <cellStyle name="Процентный 5 14 9" xfId="37537"/>
    <cellStyle name="Обычный 4 2 8 9" xfId="37538"/>
    <cellStyle name="Процентный 4 2 8 9" xfId="37539"/>
    <cellStyle name="Обычный 5 2 8 9" xfId="37540"/>
    <cellStyle name="Процентный 5 2 8 9" xfId="37541"/>
    <cellStyle name="Обычный 6 5 9" xfId="37542"/>
    <cellStyle name="Процентный 6 5 9" xfId="37543"/>
    <cellStyle name="Обычный 4 22 9" xfId="37544"/>
    <cellStyle name="Процентный 4 22 9" xfId="37545"/>
    <cellStyle name="Обычный 5 15 9" xfId="37546"/>
    <cellStyle name="Процентный 5 15 9" xfId="37547"/>
    <cellStyle name="Обычный 4 2 9 9" xfId="37548"/>
    <cellStyle name="Процентный 4 2 9 9" xfId="37549"/>
    <cellStyle name="Обычный 5 2 9 9" xfId="37550"/>
    <cellStyle name="Процентный 5 2 9 9" xfId="37551"/>
    <cellStyle name="Обычный 6 6 9" xfId="37552"/>
    <cellStyle name="Процентный 6 6 9" xfId="37553"/>
    <cellStyle name="Обычный 4 23 9" xfId="37554"/>
    <cellStyle name="Процентный 4 23 9" xfId="37555"/>
    <cellStyle name="Обычный 5 16 9" xfId="37556"/>
    <cellStyle name="Процентный 5 16 9" xfId="37557"/>
    <cellStyle name="Обычный 4 2 10 9" xfId="37558"/>
    <cellStyle name="Процентный 4 2 10 9" xfId="37559"/>
    <cellStyle name="Обычный 5 2 10 9" xfId="37560"/>
    <cellStyle name="Процентный 5 2 10 9" xfId="37561"/>
    <cellStyle name="Обычный 6 7 9" xfId="37562"/>
    <cellStyle name="Процентный 6 7 9" xfId="37563"/>
    <cellStyle name="Обычный 4 24 9" xfId="37564"/>
    <cellStyle name="Процентный 4 24 9" xfId="37565"/>
    <cellStyle name="Обычный 5 17 9" xfId="37566"/>
    <cellStyle name="Процентный 5 17 9" xfId="37567"/>
    <cellStyle name="Обычный 4 2 11 9" xfId="37568"/>
    <cellStyle name="Процентный 4 2 11 9" xfId="37569"/>
    <cellStyle name="Обычный 5 2 11 9" xfId="37570"/>
    <cellStyle name="Процентный 5 2 11 9" xfId="37571"/>
    <cellStyle name="Обычный 6 8 9" xfId="37572"/>
    <cellStyle name="Процентный 6 8 9" xfId="37573"/>
    <cellStyle name="Обычный 4 25 9" xfId="37574"/>
    <cellStyle name="Процентный 4 25 9" xfId="37575"/>
    <cellStyle name="Обычный 5 18 9" xfId="37576"/>
    <cellStyle name="Процентный 5 18 9" xfId="37577"/>
    <cellStyle name="Обычный 4 2 12 9" xfId="37578"/>
    <cellStyle name="Процентный 4 2 12 9" xfId="37579"/>
    <cellStyle name="Обычный 5 2 12 9" xfId="37580"/>
    <cellStyle name="Процентный 5 2 12 9" xfId="37581"/>
    <cellStyle name="Обычный 6 9 9" xfId="37582"/>
    <cellStyle name="Процентный 6 9 9" xfId="37583"/>
    <cellStyle name="Обычный 4 26 9" xfId="37584"/>
    <cellStyle name="Процентный 4 26 9" xfId="37585"/>
    <cellStyle name="Обычный 5 19 9" xfId="37586"/>
    <cellStyle name="Процентный 5 19 9" xfId="37587"/>
    <cellStyle name="Обычный 4 2 13 9" xfId="37588"/>
    <cellStyle name="Процентный 4 2 13 9" xfId="37589"/>
    <cellStyle name="Обычный 5 2 13 9" xfId="37590"/>
    <cellStyle name="Процентный 5 2 13 9" xfId="37591"/>
    <cellStyle name="Обычный 6 10 9" xfId="37592"/>
    <cellStyle name="Процентный 6 10 9" xfId="37593"/>
    <cellStyle name="Обычный 4 27 9" xfId="37594"/>
    <cellStyle name="Процентный 4 27 9" xfId="37595"/>
    <cellStyle name="Обычный 5 20 9" xfId="37596"/>
    <cellStyle name="Процентный 5 20 9" xfId="37597"/>
    <cellStyle name="Обычный 4 2 14 9" xfId="37598"/>
    <cellStyle name="Процентный 4 2 14 9" xfId="37599"/>
    <cellStyle name="Обычный 5 2 14 9" xfId="37600"/>
    <cellStyle name="Процентный 5 2 14 9" xfId="37601"/>
    <cellStyle name="Обычный 6 11 9" xfId="37602"/>
    <cellStyle name="Процентный 6 11 9" xfId="37603"/>
    <cellStyle name="Обычный 4 28 9" xfId="37604"/>
    <cellStyle name="Процентный 4 28 9" xfId="37605"/>
    <cellStyle name="Обычный 5 21 9" xfId="37606"/>
    <cellStyle name="Процентный 5 21 9" xfId="37607"/>
    <cellStyle name="Обычный 4 2 15 9" xfId="37608"/>
    <cellStyle name="Процентный 4 2 15 9" xfId="37609"/>
    <cellStyle name="Обычный 5 2 15 9" xfId="37610"/>
    <cellStyle name="Процентный 5 2 15 9" xfId="37611"/>
    <cellStyle name="Обычный 6 12 9" xfId="37612"/>
    <cellStyle name="Процентный 6 12 9" xfId="37613"/>
    <cellStyle name="Обычный 4 29 9" xfId="37614"/>
    <cellStyle name="Процентный 4 29 9" xfId="37615"/>
    <cellStyle name="Обычный 5 22 9" xfId="37616"/>
    <cellStyle name="Процентный 5 22 9" xfId="37617"/>
    <cellStyle name="Обычный 4 2 16 9" xfId="37618"/>
    <cellStyle name="Процентный 4 2 16 9" xfId="37619"/>
    <cellStyle name="Обычный 5 2 16 9" xfId="37620"/>
    <cellStyle name="Процентный 5 2 16 9" xfId="37621"/>
    <cellStyle name="Обычный 6 13 9" xfId="37622"/>
    <cellStyle name="Процентный 6 13 9" xfId="37623"/>
    <cellStyle name="Обычный 4 30 9" xfId="37624"/>
    <cellStyle name="Процентный 4 30 9" xfId="37625"/>
    <cellStyle name="Обычный 5 23 9" xfId="37626"/>
    <cellStyle name="Процентный 5 23 9" xfId="37627"/>
    <cellStyle name="Обычный 4 2 17 9" xfId="37628"/>
    <cellStyle name="Процентный 4 2 17 9" xfId="37629"/>
    <cellStyle name="Обычный 5 2 17 9" xfId="37630"/>
    <cellStyle name="Процентный 5 2 17 9" xfId="37631"/>
    <cellStyle name="Обычный 6 14 9" xfId="37632"/>
    <cellStyle name="Процентный 6 14 9" xfId="37633"/>
    <cellStyle name="Обычный 4 31 9" xfId="37634"/>
    <cellStyle name="Процентный 4 31 9" xfId="37635"/>
    <cellStyle name="Обычный 5 24 9" xfId="37636"/>
    <cellStyle name="Процентный 5 24 9" xfId="37637"/>
    <cellStyle name="Обычный 4 2 18 9" xfId="37638"/>
    <cellStyle name="Процентный 4 2 18 9" xfId="37639"/>
    <cellStyle name="Обычный 5 2 18 9" xfId="37640"/>
    <cellStyle name="Процентный 5 2 18 9" xfId="37641"/>
    <cellStyle name="Обычный 6 15 9" xfId="37642"/>
    <cellStyle name="Процентный 6 15 9" xfId="37643"/>
    <cellStyle name="Обычный 4 32 9" xfId="37644"/>
    <cellStyle name="Процентный 4 32 9" xfId="37645"/>
    <cellStyle name="Обычный 5 25 9" xfId="37646"/>
    <cellStyle name="Процентный 5 25 9" xfId="37647"/>
    <cellStyle name="Обычный 4 2 19 9" xfId="37648"/>
    <cellStyle name="Процентный 4 2 19 9" xfId="37649"/>
    <cellStyle name="Обычный 5 2 19 9" xfId="37650"/>
    <cellStyle name="Процентный 5 2 19 9" xfId="37651"/>
    <cellStyle name="Обычный 6 16 9" xfId="37652"/>
    <cellStyle name="Процентный 6 16 9" xfId="37653"/>
    <cellStyle name="Обычный 4 33 9" xfId="37654"/>
    <cellStyle name="Процентный 4 33 9" xfId="37655"/>
    <cellStyle name="Обычный 5 26 9" xfId="37656"/>
    <cellStyle name="Процентный 5 26 9" xfId="37657"/>
    <cellStyle name="Обычный 4 2 20 9" xfId="37658"/>
    <cellStyle name="Процентный 4 2 20 9" xfId="37659"/>
    <cellStyle name="Обычный 5 2 20 9" xfId="37660"/>
    <cellStyle name="Процентный 5 2 20 9" xfId="37661"/>
    <cellStyle name="Обычный 6 17 9" xfId="37662"/>
    <cellStyle name="Процентный 6 17 9" xfId="37663"/>
    <cellStyle name="Обычный 4 34 9" xfId="37664"/>
    <cellStyle name="Процентный 4 34 9" xfId="37665"/>
    <cellStyle name="Обычный 5 27 9" xfId="37666"/>
    <cellStyle name="Процентный 5 27 9" xfId="37667"/>
    <cellStyle name="Обычный 4 2 21 9" xfId="37668"/>
    <cellStyle name="Процентный 4 2 21 9" xfId="37669"/>
    <cellStyle name="Обычный 5 2 21 9" xfId="37670"/>
    <cellStyle name="Процентный 5 2 21 9" xfId="37671"/>
    <cellStyle name="Обычный 6 18 9" xfId="37672"/>
    <cellStyle name="Процентный 6 18 9" xfId="37673"/>
    <cellStyle name="Обычный 4 35 9" xfId="37674"/>
    <cellStyle name="Процентный 4 35 9" xfId="37675"/>
    <cellStyle name="Обычный 5 28 9" xfId="37676"/>
    <cellStyle name="Процентный 5 28 9" xfId="37677"/>
    <cellStyle name="Обычный 4 2 22 9" xfId="37678"/>
    <cellStyle name="Процентный 4 2 22 9" xfId="37679"/>
    <cellStyle name="Обычный 5 2 22 9" xfId="37680"/>
    <cellStyle name="Процентный 5 2 22 9" xfId="37681"/>
    <cellStyle name="Обычный 6 19 9" xfId="37682"/>
    <cellStyle name="Процентный 6 19 9" xfId="37683"/>
    <cellStyle name="Обычный 4 36 9" xfId="37684"/>
    <cellStyle name="Процентный 4 36 9" xfId="37685"/>
    <cellStyle name="Обычный 5 29 9" xfId="37686"/>
    <cellStyle name="Процентный 5 29 9" xfId="37687"/>
    <cellStyle name="Обычный 4 2 23 9" xfId="37688"/>
    <cellStyle name="Процентный 4 2 23 9" xfId="37689"/>
    <cellStyle name="Обычный 5 2 23 9" xfId="37690"/>
    <cellStyle name="Процентный 5 2 23 9" xfId="37691"/>
    <cellStyle name="Обычный 6 20 9" xfId="37692"/>
    <cellStyle name="Процентный 6 20 9" xfId="37693"/>
    <cellStyle name="Обычный 4 37 9" xfId="37694"/>
    <cellStyle name="Процентный 4 37 9" xfId="37695"/>
    <cellStyle name="Обычный 5 30 9" xfId="37696"/>
    <cellStyle name="Процентный 5 30 9" xfId="37697"/>
    <cellStyle name="Обычный 4 2 24 9" xfId="37698"/>
    <cellStyle name="Процентный 4 2 24 9" xfId="37699"/>
    <cellStyle name="Обычный 5 2 24 9" xfId="37700"/>
    <cellStyle name="Процентный 5 2 24 9" xfId="37701"/>
    <cellStyle name="Обычный 6 21 9" xfId="37702"/>
    <cellStyle name="Процентный 6 21 9" xfId="37703"/>
    <cellStyle name="Обычный 4 38 9" xfId="37704"/>
    <cellStyle name="Процентный 4 38 9" xfId="37705"/>
    <cellStyle name="Обычный 5 31 9" xfId="37706"/>
    <cellStyle name="Процентный 5 31 9" xfId="37707"/>
    <cellStyle name="Обычный 4 2 25 9" xfId="37708"/>
    <cellStyle name="Процентный 4 2 25 9" xfId="37709"/>
    <cellStyle name="Обычный 5 2 25 9" xfId="37710"/>
    <cellStyle name="Процентный 5 2 25 9" xfId="37711"/>
    <cellStyle name="Обычный 6 22 9" xfId="37712"/>
    <cellStyle name="Процентный 6 22 9" xfId="37713"/>
    <cellStyle name="Обычный 4 39 9" xfId="37714"/>
    <cellStyle name="Процентный 4 39 9" xfId="37715"/>
    <cellStyle name="Обычный 5 32 9" xfId="37716"/>
    <cellStyle name="Процентный 5 32 9" xfId="37717"/>
    <cellStyle name="Обычный 4 2 26 9" xfId="37718"/>
    <cellStyle name="Процентный 4 2 26 9" xfId="37719"/>
    <cellStyle name="Обычный 5 2 26 9" xfId="37720"/>
    <cellStyle name="Процентный 5 2 26 9" xfId="37721"/>
    <cellStyle name="Обычный 6 23 9" xfId="37722"/>
    <cellStyle name="Процентный 6 23 9" xfId="37723"/>
    <cellStyle name="Обычный 4 40 9" xfId="37724"/>
    <cellStyle name="Процентный 4 40 9" xfId="37725"/>
    <cellStyle name="Обычный 5 33 9" xfId="37726"/>
    <cellStyle name="Процентный 5 33 9" xfId="37727"/>
    <cellStyle name="Обычный 4 2 27 9" xfId="37728"/>
    <cellStyle name="Процентный 4 2 27 9" xfId="37729"/>
    <cellStyle name="Обычный 5 2 27 9" xfId="37730"/>
    <cellStyle name="Процентный 5 2 27 9" xfId="37731"/>
    <cellStyle name="Обычный 6 24 9" xfId="37732"/>
    <cellStyle name="Процентный 6 24 9" xfId="37733"/>
    <cellStyle name="Обычный 4 41 9" xfId="37734"/>
    <cellStyle name="Процентный 4 41 9" xfId="37735"/>
    <cellStyle name="Обычный 5 34 9" xfId="37736"/>
    <cellStyle name="Процентный 5 34 9" xfId="37737"/>
    <cellStyle name="Обычный 4 2 28 9" xfId="37738"/>
    <cellStyle name="Процентный 4 2 28 9" xfId="37739"/>
    <cellStyle name="Обычный 5 2 28 9" xfId="37740"/>
    <cellStyle name="Процентный 5 2 28 9" xfId="37741"/>
    <cellStyle name="Обычный 6 25 9" xfId="37742"/>
    <cellStyle name="Процентный 6 25 9" xfId="37743"/>
    <cellStyle name="Обычный 4 42 9" xfId="37744"/>
    <cellStyle name="Процентный 4 42 9" xfId="37745"/>
    <cellStyle name="Обычный 5 35 9" xfId="37746"/>
    <cellStyle name="Процентный 5 35 9" xfId="37747"/>
    <cellStyle name="Обычный 4 2 29 9" xfId="37748"/>
    <cellStyle name="Процентный 4 2 29 9" xfId="37749"/>
    <cellStyle name="Обычный 5 2 29 9" xfId="37750"/>
    <cellStyle name="Процентный 5 2 29 9" xfId="37751"/>
    <cellStyle name="Обычный 6 26 9" xfId="37752"/>
    <cellStyle name="Процентный 6 26 9" xfId="37753"/>
    <cellStyle name="Обычный 4 43 9" xfId="37754"/>
    <cellStyle name="Процентный 4 43 9" xfId="37755"/>
    <cellStyle name="Обычный 5 36 9" xfId="37756"/>
    <cellStyle name="Процентный 5 36 9" xfId="37757"/>
    <cellStyle name="Обычный 4 2 30 9" xfId="37758"/>
    <cellStyle name="Процентный 4 2 30 9" xfId="37759"/>
    <cellStyle name="Обычный 5 2 30 9" xfId="37760"/>
    <cellStyle name="Процентный 5 2 30 9" xfId="37761"/>
    <cellStyle name="Обычный 6 27 9" xfId="37762"/>
    <cellStyle name="Процентный 6 27 9" xfId="37763"/>
    <cellStyle name="Обычный 4 44 9" xfId="37764"/>
    <cellStyle name="Процентный 4 44 9" xfId="37765"/>
    <cellStyle name="Обычный 5 37 9" xfId="37766"/>
    <cellStyle name="Процентный 5 37 9" xfId="37767"/>
    <cellStyle name="Обычный 4 2 31 9" xfId="37768"/>
    <cellStyle name="Процентный 4 2 31 9" xfId="37769"/>
    <cellStyle name="Обычный 5 2 31 9" xfId="37770"/>
    <cellStyle name="Процентный 5 2 31 9" xfId="37771"/>
    <cellStyle name="Обычный 6 28 9" xfId="37772"/>
    <cellStyle name="Процентный 6 28 9" xfId="37773"/>
    <cellStyle name="Обычный 4 45 9" xfId="37774"/>
    <cellStyle name="Процентный 4 45 9" xfId="37775"/>
    <cellStyle name="Обычный 5 38 9" xfId="37776"/>
    <cellStyle name="Процентный 5 38 9" xfId="37777"/>
    <cellStyle name="Обычный 4 2 32 9" xfId="37778"/>
    <cellStyle name="Процентный 4 2 32 9" xfId="37779"/>
    <cellStyle name="Обычный 5 2 32 9" xfId="37780"/>
    <cellStyle name="Процентный 5 2 32 9" xfId="37781"/>
    <cellStyle name="Обычный 6 29 9" xfId="37782"/>
    <cellStyle name="Процентный 6 29 9" xfId="37783"/>
    <cellStyle name="Обычный 4 46 9" xfId="37784"/>
    <cellStyle name="Процентный 4 46 9" xfId="37785"/>
    <cellStyle name="Обычный 5 39 9" xfId="37786"/>
    <cellStyle name="Процентный 5 39 9" xfId="37787"/>
    <cellStyle name="Обычный 4 2 33 9" xfId="37788"/>
    <cellStyle name="Процентный 4 2 33 9" xfId="37789"/>
    <cellStyle name="Обычный 5 2 33 9" xfId="37790"/>
    <cellStyle name="Процентный 5 2 33 9" xfId="37791"/>
    <cellStyle name="Обычный 6 30 9" xfId="37792"/>
    <cellStyle name="Процентный 6 30 9" xfId="37793"/>
    <cellStyle name="Обычный 4 47 9" xfId="37794"/>
    <cellStyle name="Процентный 4 47 9" xfId="37795"/>
    <cellStyle name="Обычный 5 40 9" xfId="37796"/>
    <cellStyle name="Процентный 5 40 9" xfId="37797"/>
    <cellStyle name="Обычный 4 2 34 9" xfId="37798"/>
    <cellStyle name="Процентный 4 2 34 9" xfId="37799"/>
    <cellStyle name="Обычный 5 2 34 9" xfId="37800"/>
    <cellStyle name="Процентный 5 2 34 9" xfId="37801"/>
    <cellStyle name="Обычный 6 31 9" xfId="37802"/>
    <cellStyle name="Процентный 6 31 9" xfId="37803"/>
    <cellStyle name="Обычный 7 163" xfId="37804"/>
    <cellStyle name="Процентный 7 163" xfId="37805"/>
    <cellStyle name="Обычный 4 48 9" xfId="37806"/>
    <cellStyle name="Процентный 4 48 9" xfId="37807"/>
    <cellStyle name="Обычный 5 41 9" xfId="37808"/>
    <cellStyle name="Процентный 5 41 9" xfId="37809"/>
    <cellStyle name="Обычный 4 2 35 9" xfId="37810"/>
    <cellStyle name="Процентный 4 2 35 9" xfId="37811"/>
    <cellStyle name="Обычный 5 2 35 9" xfId="37812"/>
    <cellStyle name="Процентный 5 2 35 9" xfId="37813"/>
    <cellStyle name="Обычный 6 32 9" xfId="37814"/>
    <cellStyle name="Процентный 6 32 9" xfId="37815"/>
    <cellStyle name="Обычный 7 2 155" xfId="37816"/>
    <cellStyle name="Процентный 7 2 155" xfId="37817"/>
    <cellStyle name="Обычный 4 49 9" xfId="37818"/>
    <cellStyle name="Процентный 4 49 9" xfId="37819"/>
    <cellStyle name="Обычный 5 42 9" xfId="37820"/>
    <cellStyle name="Процентный 5 42 9" xfId="37821"/>
    <cellStyle name="Обычный 4 2 36 9" xfId="37822"/>
    <cellStyle name="Процентный 4 2 36 9" xfId="37823"/>
    <cellStyle name="Обычный 5 2 36 9" xfId="37824"/>
    <cellStyle name="Процентный 5 2 36 9" xfId="37825"/>
    <cellStyle name="Обычный 6 33 9" xfId="37826"/>
    <cellStyle name="Процентный 6 33 9" xfId="37827"/>
    <cellStyle name="Обычный 7 3 9" xfId="37828"/>
    <cellStyle name="Процентный 7 3 9" xfId="37829"/>
    <cellStyle name="Обычный 4 50 9" xfId="37830"/>
    <cellStyle name="Процентный 4 50 9" xfId="37831"/>
    <cellStyle name="Обычный 5 43 9" xfId="37832"/>
    <cellStyle name="Процентный 5 43 9" xfId="37833"/>
    <cellStyle name="Обычный 4 2 37 9" xfId="37834"/>
    <cellStyle name="Процентный 4 2 37 9" xfId="37835"/>
    <cellStyle name="Обычный 5 2 37 9" xfId="37836"/>
    <cellStyle name="Процентный 5 2 37 9" xfId="37837"/>
    <cellStyle name="Обычный 6 34 9" xfId="37838"/>
    <cellStyle name="Процентный 6 34 9" xfId="37839"/>
    <cellStyle name="Обычный 7 4 9" xfId="37840"/>
    <cellStyle name="Процентный 7 4 9" xfId="37841"/>
    <cellStyle name="Обычный 4 51 9" xfId="37842"/>
    <cellStyle name="Процентный 4 51 9" xfId="37843"/>
    <cellStyle name="Обычный 5 44 9" xfId="37844"/>
    <cellStyle name="Процентный 5 44 9" xfId="37845"/>
    <cellStyle name="Обычный 4 2 38 9" xfId="37846"/>
    <cellStyle name="Процентный 4 2 38 9" xfId="37847"/>
    <cellStyle name="Обычный 5 2 38 9" xfId="37848"/>
    <cellStyle name="Процентный 5 2 38 9" xfId="37849"/>
    <cellStyle name="Обычный 6 35 9" xfId="37850"/>
    <cellStyle name="Процентный 6 35 9" xfId="37851"/>
    <cellStyle name="Обычный 7 5 9" xfId="37852"/>
    <cellStyle name="Процентный 7 5 9" xfId="37853"/>
    <cellStyle name="Обычный 4 52 9" xfId="37854"/>
    <cellStyle name="Процентный 4 52 9" xfId="37855"/>
    <cellStyle name="Обычный 5 45 9" xfId="37856"/>
    <cellStyle name="Процентный 5 45 9" xfId="37857"/>
    <cellStyle name="Обычный 4 2 39 9" xfId="37858"/>
    <cellStyle name="Процентный 4 2 39 9" xfId="37859"/>
    <cellStyle name="Обычный 5 2 39 9" xfId="37860"/>
    <cellStyle name="Процентный 5 2 39 9" xfId="37861"/>
    <cellStyle name="Обычный 6 36 9" xfId="37862"/>
    <cellStyle name="Процентный 6 36 9" xfId="37863"/>
    <cellStyle name="Обычный 7 6 9" xfId="37864"/>
    <cellStyle name="Процентный 7 6 9" xfId="37865"/>
    <cellStyle name="Обычный 4 53 9" xfId="37866"/>
    <cellStyle name="Процентный 4 53 9" xfId="37867"/>
    <cellStyle name="Обычный 5 46 9" xfId="37868"/>
    <cellStyle name="Процентный 5 46 9" xfId="37869"/>
    <cellStyle name="Обычный 4 2 40 9" xfId="37870"/>
    <cellStyle name="Процентный 4 2 40 9" xfId="37871"/>
    <cellStyle name="Обычный 5 2 40 9" xfId="37872"/>
    <cellStyle name="Процентный 5 2 40 9" xfId="37873"/>
    <cellStyle name="Обычный 6 37 9" xfId="37874"/>
    <cellStyle name="Процентный 6 37 9" xfId="37875"/>
    <cellStyle name="Обычный 7 7 9" xfId="37876"/>
    <cellStyle name="Процентный 7 7 9" xfId="37877"/>
    <cellStyle name="Обычный 4 54 9" xfId="37878"/>
    <cellStyle name="Процентный 4 54 9" xfId="37879"/>
    <cellStyle name="Обычный 5 47 9" xfId="37880"/>
    <cellStyle name="Процентный 5 47 9" xfId="37881"/>
    <cellStyle name="Обычный 4 2 41 9" xfId="37882"/>
    <cellStyle name="Процентный 4 2 41 9" xfId="37883"/>
    <cellStyle name="Обычный 5 2 41 9" xfId="37884"/>
    <cellStyle name="Процентный 5 2 41 9" xfId="37885"/>
    <cellStyle name="Обычный 6 38 9" xfId="37886"/>
    <cellStyle name="Процентный 6 38 9" xfId="37887"/>
    <cellStyle name="Обычный 7 8 9" xfId="37888"/>
    <cellStyle name="Процентный 7 8 9" xfId="37889"/>
    <cellStyle name="Обычный 4 55 9" xfId="37890"/>
    <cellStyle name="Процентный 4 55 9" xfId="37891"/>
    <cellStyle name="Обычный 5 48 9" xfId="37892"/>
    <cellStyle name="Процентный 5 48 9" xfId="37893"/>
    <cellStyle name="Обычный 4 2 42 9" xfId="37894"/>
    <cellStyle name="Процентный 4 2 42 9" xfId="37895"/>
    <cellStyle name="Обычный 5 2 42 9" xfId="37896"/>
    <cellStyle name="Процентный 5 2 42 9" xfId="37897"/>
    <cellStyle name="Обычный 6 39 9" xfId="37898"/>
    <cellStyle name="Процентный 6 39 9" xfId="37899"/>
    <cellStyle name="Обычный 7 9 9" xfId="37900"/>
    <cellStyle name="Процентный 7 9 9" xfId="37901"/>
    <cellStyle name="Обычный 3 3 8" xfId="37902"/>
    <cellStyle name="Обычный 4 56 8" xfId="37903"/>
    <cellStyle name="Процентный 4 56 8" xfId="37904"/>
    <cellStyle name="Обычный 4 2 43 8" xfId="37905"/>
    <cellStyle name="Процентный 4 2 43 8" xfId="37906"/>
    <cellStyle name="Обычный 4 3 2 8" xfId="37907"/>
    <cellStyle name="Процентный 4 3 2 8" xfId="37908"/>
    <cellStyle name="Обычный 5 49 8" xfId="37909"/>
    <cellStyle name="Процентный 5 49 8" xfId="37910"/>
    <cellStyle name="Обычный 4 4 2 8" xfId="37911"/>
    <cellStyle name="Процентный 4 4 2 8" xfId="37912"/>
    <cellStyle name="Обычный 4 5 2 8" xfId="37913"/>
    <cellStyle name="Процентный 4 5 2 8" xfId="37914"/>
    <cellStyle name="Обычный 4 6 2 8" xfId="37915"/>
    <cellStyle name="Процентный 4 6 2 8" xfId="37916"/>
    <cellStyle name="Обычный 4 7 2 8" xfId="37917"/>
    <cellStyle name="Процентный 4 7 2 8" xfId="37918"/>
    <cellStyle name="Обычный 4 8 2 8" xfId="37919"/>
    <cellStyle name="Процентный 4 8 2 8" xfId="37920"/>
    <cellStyle name="Обычный 4 9 2 8" xfId="37921"/>
    <cellStyle name="Процентный 4 9 2 8" xfId="37922"/>
    <cellStyle name="Обычный 5 2 43 8" xfId="37923"/>
    <cellStyle name="Процентный 5 2 43 8" xfId="37924"/>
    <cellStyle name="Обычный 4 10 2 8" xfId="37925"/>
    <cellStyle name="Процентный 4 10 2 8" xfId="37926"/>
    <cellStyle name="Обычный 5 3 2 8" xfId="37927"/>
    <cellStyle name="Процентный 5 3 2 8" xfId="37928"/>
    <cellStyle name="Обычный 4 11 2 8" xfId="37929"/>
    <cellStyle name="Процентный 4 11 2 8" xfId="37930"/>
    <cellStyle name="Обычный 5 4 2 8" xfId="37931"/>
    <cellStyle name="Процентный 5 4 2 8" xfId="37932"/>
    <cellStyle name="Обычный 4 12 2 8" xfId="37933"/>
    <cellStyle name="Процентный 4 12 2 8" xfId="37934"/>
    <cellStyle name="Обычный 5 5 2 8" xfId="37935"/>
    <cellStyle name="Процентный 5 5 2 8" xfId="37936"/>
    <cellStyle name="Обычный 4 13 2 8" xfId="37937"/>
    <cellStyle name="Процентный 4 13 2 8" xfId="37938"/>
    <cellStyle name="Обычный 5 6 2 8" xfId="37939"/>
    <cellStyle name="Процентный 5 6 2 8" xfId="37940"/>
    <cellStyle name="Обычный 4 14 2 8" xfId="37941"/>
    <cellStyle name="Процентный 4 14 2 8" xfId="37942"/>
    <cellStyle name="Обычный 5 7 2 8" xfId="37943"/>
    <cellStyle name="Процентный 5 7 2 8" xfId="37944"/>
    <cellStyle name="Обычный 4 15 2 8" xfId="37945"/>
    <cellStyle name="Процентный 4 15 2 8" xfId="37946"/>
    <cellStyle name="Обычный 5 8 2 8" xfId="37947"/>
    <cellStyle name="Процентный 5 8 2 8" xfId="37948"/>
    <cellStyle name="Обычный 4 2 2 2 8" xfId="37949"/>
    <cellStyle name="Процентный 4 2 2 2 8" xfId="37950"/>
    <cellStyle name="Обычный 5 2 2 2 8" xfId="37951"/>
    <cellStyle name="Процентный 5 2 2 2 8" xfId="37952"/>
    <cellStyle name="Обычный 4 16 2 8" xfId="37953"/>
    <cellStyle name="Процентный 4 16 2 8" xfId="37954"/>
    <cellStyle name="Обычный 5 9 2 8" xfId="37955"/>
    <cellStyle name="Процентный 5 9 2 8" xfId="37956"/>
    <cellStyle name="Обычный 4 2 3 2 8" xfId="37957"/>
    <cellStyle name="Процентный 4 2 3 2 8" xfId="37958"/>
    <cellStyle name="Обычный 5 2 3 2 8" xfId="37959"/>
    <cellStyle name="Процентный 5 2 3 2 8" xfId="37960"/>
    <cellStyle name="Обычный 4 17 2 8" xfId="37961"/>
    <cellStyle name="Процентный 4 17 2 8" xfId="37962"/>
    <cellStyle name="Обычный 5 10 2 8" xfId="37963"/>
    <cellStyle name="Процентный 5 10 2 8" xfId="37964"/>
    <cellStyle name="Обычный 4 2 4 2 8" xfId="37965"/>
    <cellStyle name="Процентный 4 2 4 2 8" xfId="37966"/>
    <cellStyle name="Обычный 5 2 4 2 8" xfId="37967"/>
    <cellStyle name="Процентный 5 2 4 2 8" xfId="37968"/>
    <cellStyle name="Обычный 6 40 8" xfId="37969"/>
    <cellStyle name="Процентный 6 40 8" xfId="37970"/>
    <cellStyle name="Обычный 4 18 2 8" xfId="37971"/>
    <cellStyle name="Процентный 4 18 2 8" xfId="37972"/>
    <cellStyle name="Обычный 5 11 2 8" xfId="37973"/>
    <cellStyle name="Процентный 5 11 2 8" xfId="37974"/>
    <cellStyle name="Обычный 4 2 5 2 8" xfId="37975"/>
    <cellStyle name="Процентный 4 2 5 2 8" xfId="37976"/>
    <cellStyle name="Обычный 5 2 5 2 8" xfId="37977"/>
    <cellStyle name="Процентный 5 2 5 2 8" xfId="37978"/>
    <cellStyle name="Обычный 6 2 2 8" xfId="37979"/>
    <cellStyle name="Процентный 6 2 2 8" xfId="37980"/>
    <cellStyle name="Обычный 4 19 2 8" xfId="37981"/>
    <cellStyle name="Процентный 4 19 2 8" xfId="37982"/>
    <cellStyle name="Обычный 5 12 2 8" xfId="37983"/>
    <cellStyle name="Процентный 5 12 2 8" xfId="37984"/>
    <cellStyle name="Обычный 4 2 6 2 8" xfId="37985"/>
    <cellStyle name="Процентный 4 2 6 2 8" xfId="37986"/>
    <cellStyle name="Обычный 5 2 6 2 8" xfId="37987"/>
    <cellStyle name="Процентный 5 2 6 2 8" xfId="37988"/>
    <cellStyle name="Обычный 6 3 2 8" xfId="37989"/>
    <cellStyle name="Процентный 6 3 2 8" xfId="37990"/>
    <cellStyle name="Обычный 4 20 2 8" xfId="37991"/>
    <cellStyle name="Процентный 4 20 2 8" xfId="37992"/>
    <cellStyle name="Обычный 5 13 2 8" xfId="37993"/>
    <cellStyle name="Процентный 5 13 2 8" xfId="37994"/>
    <cellStyle name="Обычный 4 2 7 2 8" xfId="37995"/>
    <cellStyle name="Процентный 4 2 7 2 8" xfId="37996"/>
    <cellStyle name="Обычный 5 2 7 2 8" xfId="37997"/>
    <cellStyle name="Процентный 5 2 7 2 8" xfId="37998"/>
    <cellStyle name="Обычный 6 4 2 8" xfId="37999"/>
    <cellStyle name="Процентный 6 4 2 8" xfId="38000"/>
    <cellStyle name="Обычный 4 21 2 8" xfId="38001"/>
    <cellStyle name="Процентный 4 21 2 8" xfId="38002"/>
    <cellStyle name="Обычный 5 14 2 8" xfId="38003"/>
    <cellStyle name="Процентный 5 14 2 8" xfId="38004"/>
    <cellStyle name="Обычный 4 2 8 2 8" xfId="38005"/>
    <cellStyle name="Процентный 4 2 8 2 8" xfId="38006"/>
    <cellStyle name="Обычный 5 2 8 2 8" xfId="38007"/>
    <cellStyle name="Процентный 5 2 8 2 8" xfId="38008"/>
    <cellStyle name="Обычный 6 5 2 8" xfId="38009"/>
    <cellStyle name="Процентный 6 5 2 8" xfId="38010"/>
    <cellStyle name="Обычный 4 22 2 8" xfId="38011"/>
    <cellStyle name="Процентный 4 22 2 8" xfId="38012"/>
    <cellStyle name="Обычный 5 15 2 8" xfId="38013"/>
    <cellStyle name="Процентный 5 15 2 8" xfId="38014"/>
    <cellStyle name="Обычный 4 2 9 2 8" xfId="38015"/>
    <cellStyle name="Процентный 4 2 9 2 8" xfId="38016"/>
    <cellStyle name="Обычный 5 2 9 2 8" xfId="38017"/>
    <cellStyle name="Процентный 5 2 9 2 8" xfId="38018"/>
    <cellStyle name="Обычный 6 6 2 8" xfId="38019"/>
    <cellStyle name="Процентный 6 6 2 8" xfId="38020"/>
    <cellStyle name="Обычный 4 23 2 8" xfId="38021"/>
    <cellStyle name="Процентный 4 23 2 8" xfId="38022"/>
    <cellStyle name="Обычный 5 16 2 8" xfId="38023"/>
    <cellStyle name="Процентный 5 16 2 8" xfId="38024"/>
    <cellStyle name="Обычный 4 2 10 2 8" xfId="38025"/>
    <cellStyle name="Процентный 4 2 10 2 8" xfId="38026"/>
    <cellStyle name="Обычный 5 2 10 2 8" xfId="38027"/>
    <cellStyle name="Процентный 5 2 10 2 8" xfId="38028"/>
    <cellStyle name="Обычный 6 7 2 8" xfId="38029"/>
    <cellStyle name="Процентный 6 7 2 8" xfId="38030"/>
    <cellStyle name="Обычный 4 24 2 8" xfId="38031"/>
    <cellStyle name="Процентный 4 24 2 8" xfId="38032"/>
    <cellStyle name="Обычный 5 17 2 8" xfId="38033"/>
    <cellStyle name="Процентный 5 17 2 8" xfId="38034"/>
    <cellStyle name="Обычный 4 2 11 2 8" xfId="38035"/>
    <cellStyle name="Процентный 4 2 11 2 8" xfId="38036"/>
    <cellStyle name="Обычный 5 2 11 2 8" xfId="38037"/>
    <cellStyle name="Процентный 5 2 11 2 8" xfId="38038"/>
    <cellStyle name="Обычный 6 8 2 8" xfId="38039"/>
    <cellStyle name="Процентный 6 8 2 8" xfId="38040"/>
    <cellStyle name="Обычный 4 25 2 8" xfId="38041"/>
    <cellStyle name="Процентный 4 25 2 8" xfId="38042"/>
    <cellStyle name="Обычный 5 18 2 8" xfId="38043"/>
    <cellStyle name="Процентный 5 18 2 8" xfId="38044"/>
    <cellStyle name="Обычный 4 2 12 2 8" xfId="38045"/>
    <cellStyle name="Процентный 4 2 12 2 8" xfId="38046"/>
    <cellStyle name="Обычный 5 2 12 2 8" xfId="38047"/>
    <cellStyle name="Процентный 5 2 12 2 8" xfId="38048"/>
    <cellStyle name="Обычный 6 9 2 8" xfId="38049"/>
    <cellStyle name="Процентный 6 9 2 8" xfId="38050"/>
    <cellStyle name="Обычный 4 26 2 8" xfId="38051"/>
    <cellStyle name="Процентный 4 26 2 8" xfId="38052"/>
    <cellStyle name="Обычный 5 19 2 8" xfId="38053"/>
    <cellStyle name="Процентный 5 19 2 8" xfId="38054"/>
    <cellStyle name="Обычный 4 2 13 2 8" xfId="38055"/>
    <cellStyle name="Процентный 4 2 13 2 8" xfId="38056"/>
    <cellStyle name="Обычный 5 2 13 2 8" xfId="38057"/>
    <cellStyle name="Процентный 5 2 13 2 8" xfId="38058"/>
    <cellStyle name="Обычный 6 10 2 8" xfId="38059"/>
    <cellStyle name="Процентный 6 10 2 8" xfId="38060"/>
    <cellStyle name="Обычный 4 27 2 8" xfId="38061"/>
    <cellStyle name="Процентный 4 27 2 8" xfId="38062"/>
    <cellStyle name="Обычный 5 20 2 8" xfId="38063"/>
    <cellStyle name="Процентный 5 20 2 8" xfId="38064"/>
    <cellStyle name="Обычный 4 2 14 2 8" xfId="38065"/>
    <cellStyle name="Процентный 4 2 14 2 8" xfId="38066"/>
    <cellStyle name="Обычный 5 2 14 2 8" xfId="38067"/>
    <cellStyle name="Процентный 5 2 14 2 8" xfId="38068"/>
    <cellStyle name="Обычный 6 11 2 8" xfId="38069"/>
    <cellStyle name="Процентный 6 11 2 8" xfId="38070"/>
    <cellStyle name="Обычный 4 28 2 8" xfId="38071"/>
    <cellStyle name="Процентный 4 28 2 8" xfId="38072"/>
    <cellStyle name="Обычный 5 21 2 8" xfId="38073"/>
    <cellStyle name="Процентный 5 21 2 8" xfId="38074"/>
    <cellStyle name="Обычный 4 2 15 2 8" xfId="38075"/>
    <cellStyle name="Процентный 4 2 15 2 8" xfId="38076"/>
    <cellStyle name="Обычный 5 2 15 2 8" xfId="38077"/>
    <cellStyle name="Процентный 5 2 15 2 8" xfId="38078"/>
    <cellStyle name="Обычный 6 12 2 8" xfId="38079"/>
    <cellStyle name="Процентный 6 12 2 8" xfId="38080"/>
    <cellStyle name="Обычный 4 29 2 8" xfId="38081"/>
    <cellStyle name="Процентный 4 29 2 8" xfId="38082"/>
    <cellStyle name="Обычный 5 22 2 8" xfId="38083"/>
    <cellStyle name="Процентный 5 22 2 8" xfId="38084"/>
    <cellStyle name="Обычный 4 2 16 2 8" xfId="38085"/>
    <cellStyle name="Процентный 4 2 16 2 8" xfId="38086"/>
    <cellStyle name="Обычный 5 2 16 2 8" xfId="38087"/>
    <cellStyle name="Процентный 5 2 16 2 8" xfId="38088"/>
    <cellStyle name="Обычный 6 13 2 8" xfId="38089"/>
    <cellStyle name="Процентный 6 13 2 8" xfId="38090"/>
    <cellStyle name="Обычный 4 30 2 8" xfId="38091"/>
    <cellStyle name="Процентный 4 30 2 8" xfId="38092"/>
    <cellStyle name="Обычный 5 23 2 8" xfId="38093"/>
    <cellStyle name="Процентный 5 23 2 8" xfId="38094"/>
    <cellStyle name="Обычный 4 2 17 2 8" xfId="38095"/>
    <cellStyle name="Процентный 4 2 17 2 8" xfId="38096"/>
    <cellStyle name="Обычный 5 2 17 2 8" xfId="38097"/>
    <cellStyle name="Процентный 5 2 17 2 8" xfId="38098"/>
    <cellStyle name="Обычный 6 14 2 8" xfId="38099"/>
    <cellStyle name="Процентный 6 14 2 8" xfId="38100"/>
    <cellStyle name="Обычный 4 31 2 8" xfId="38101"/>
    <cellStyle name="Процентный 4 31 2 8" xfId="38102"/>
    <cellStyle name="Обычный 5 24 2 8" xfId="38103"/>
    <cellStyle name="Процентный 5 24 2 8" xfId="38104"/>
    <cellStyle name="Обычный 4 2 18 2 8" xfId="38105"/>
    <cellStyle name="Процентный 4 2 18 2 8" xfId="38106"/>
    <cellStyle name="Обычный 5 2 18 2 8" xfId="38107"/>
    <cellStyle name="Процентный 5 2 18 2 8" xfId="38108"/>
    <cellStyle name="Обычный 6 15 2 8" xfId="38109"/>
    <cellStyle name="Процентный 6 15 2 8" xfId="38110"/>
    <cellStyle name="Обычный 4 32 2 8" xfId="38111"/>
    <cellStyle name="Процентный 4 32 2 8" xfId="38112"/>
    <cellStyle name="Обычный 5 25 2 8" xfId="38113"/>
    <cellStyle name="Процентный 5 25 2 8" xfId="38114"/>
    <cellStyle name="Обычный 4 2 19 2 8" xfId="38115"/>
    <cellStyle name="Процентный 4 2 19 2 8" xfId="38116"/>
    <cellStyle name="Обычный 5 2 19 2 8" xfId="38117"/>
    <cellStyle name="Процентный 5 2 19 2 8" xfId="38118"/>
    <cellStyle name="Обычный 6 16 2 8" xfId="38119"/>
    <cellStyle name="Процентный 6 16 2 8" xfId="38120"/>
    <cellStyle name="Обычный 4 33 2 8" xfId="38121"/>
    <cellStyle name="Процентный 4 33 2 8" xfId="38122"/>
    <cellStyle name="Обычный 5 26 2 8" xfId="38123"/>
    <cellStyle name="Процентный 5 26 2 8" xfId="38124"/>
    <cellStyle name="Обычный 4 2 20 2 8" xfId="38125"/>
    <cellStyle name="Процентный 4 2 20 2 8" xfId="38126"/>
    <cellStyle name="Обычный 5 2 20 2 8" xfId="38127"/>
    <cellStyle name="Процентный 5 2 20 2 8" xfId="38128"/>
    <cellStyle name="Обычный 6 17 2 8" xfId="38129"/>
    <cellStyle name="Процентный 6 17 2 8" xfId="38130"/>
    <cellStyle name="Обычный 4 34 2 8" xfId="38131"/>
    <cellStyle name="Процентный 4 34 2 8" xfId="38132"/>
    <cellStyle name="Обычный 5 27 2 8" xfId="38133"/>
    <cellStyle name="Процентный 5 27 2 8" xfId="38134"/>
    <cellStyle name="Обычный 4 2 21 2 8" xfId="38135"/>
    <cellStyle name="Процентный 4 2 21 2 8" xfId="38136"/>
    <cellStyle name="Обычный 5 2 21 2 8" xfId="38137"/>
    <cellStyle name="Процентный 5 2 21 2 8" xfId="38138"/>
    <cellStyle name="Обычный 6 18 2 8" xfId="38139"/>
    <cellStyle name="Процентный 6 18 2 8" xfId="38140"/>
    <cellStyle name="Обычный 4 35 2 8" xfId="38141"/>
    <cellStyle name="Процентный 4 35 2 8" xfId="38142"/>
    <cellStyle name="Обычный 5 28 2 8" xfId="38143"/>
    <cellStyle name="Процентный 5 28 2 8" xfId="38144"/>
    <cellStyle name="Обычный 4 2 22 2 8" xfId="38145"/>
    <cellStyle name="Процентный 4 2 22 2 8" xfId="38146"/>
    <cellStyle name="Обычный 5 2 22 2 8" xfId="38147"/>
    <cellStyle name="Процентный 5 2 22 2 8" xfId="38148"/>
    <cellStyle name="Обычный 6 19 2 8" xfId="38149"/>
    <cellStyle name="Процентный 6 19 2 8" xfId="38150"/>
    <cellStyle name="Обычный 4 36 2 8" xfId="38151"/>
    <cellStyle name="Процентный 4 36 2 8" xfId="38152"/>
    <cellStyle name="Обычный 5 29 2 8" xfId="38153"/>
    <cellStyle name="Процентный 5 29 2 8" xfId="38154"/>
    <cellStyle name="Обычный 4 2 23 2 8" xfId="38155"/>
    <cellStyle name="Процентный 4 2 23 2 8" xfId="38156"/>
    <cellStyle name="Обычный 5 2 23 2 8" xfId="38157"/>
    <cellStyle name="Процентный 5 2 23 2 8" xfId="38158"/>
    <cellStyle name="Обычный 6 20 2 8" xfId="38159"/>
    <cellStyle name="Процентный 6 20 2 8" xfId="38160"/>
    <cellStyle name="Обычный 4 37 2 8" xfId="38161"/>
    <cellStyle name="Процентный 4 37 2 8" xfId="38162"/>
    <cellStyle name="Обычный 5 30 2 8" xfId="38163"/>
    <cellStyle name="Процентный 5 30 2 8" xfId="38164"/>
    <cellStyle name="Обычный 4 2 24 2 8" xfId="38165"/>
    <cellStyle name="Процентный 4 2 24 2 8" xfId="38166"/>
    <cellStyle name="Обычный 5 2 24 2 8" xfId="38167"/>
    <cellStyle name="Процентный 5 2 24 2 8" xfId="38168"/>
    <cellStyle name="Обычный 6 21 2 8" xfId="38169"/>
    <cellStyle name="Процентный 6 21 2 8" xfId="38170"/>
    <cellStyle name="Обычный 4 38 2 8" xfId="38171"/>
    <cellStyle name="Процентный 4 38 2 8" xfId="38172"/>
    <cellStyle name="Обычный 5 31 2 8" xfId="38173"/>
    <cellStyle name="Процентный 5 31 2 8" xfId="38174"/>
    <cellStyle name="Обычный 4 2 25 2 8" xfId="38175"/>
    <cellStyle name="Процентный 4 2 25 2 8" xfId="38176"/>
    <cellStyle name="Обычный 5 2 25 2 8" xfId="38177"/>
    <cellStyle name="Процентный 5 2 25 2 8" xfId="38178"/>
    <cellStyle name="Обычный 6 22 2 8" xfId="38179"/>
    <cellStyle name="Процентный 6 22 2 8" xfId="38180"/>
    <cellStyle name="Обычный 4 39 2 8" xfId="38181"/>
    <cellStyle name="Процентный 4 39 2 8" xfId="38182"/>
    <cellStyle name="Обычный 5 32 2 8" xfId="38183"/>
    <cellStyle name="Процентный 5 32 2 8" xfId="38184"/>
    <cellStyle name="Обычный 4 2 26 2 8" xfId="38185"/>
    <cellStyle name="Процентный 4 2 26 2 8" xfId="38186"/>
    <cellStyle name="Обычный 5 2 26 2 8" xfId="38187"/>
    <cellStyle name="Процентный 5 2 26 2 8" xfId="38188"/>
    <cellStyle name="Обычный 6 23 2 8" xfId="38189"/>
    <cellStyle name="Процентный 6 23 2 8" xfId="38190"/>
    <cellStyle name="Обычный 4 40 2 8" xfId="38191"/>
    <cellStyle name="Процентный 4 40 2 8" xfId="38192"/>
    <cellStyle name="Обычный 5 33 2 8" xfId="38193"/>
    <cellStyle name="Процентный 5 33 2 8" xfId="38194"/>
    <cellStyle name="Обычный 4 2 27 2 8" xfId="38195"/>
    <cellStyle name="Процентный 4 2 27 2 8" xfId="38196"/>
    <cellStyle name="Обычный 5 2 27 2 8" xfId="38197"/>
    <cellStyle name="Процентный 5 2 27 2 8" xfId="38198"/>
    <cellStyle name="Обычный 6 24 2 8" xfId="38199"/>
    <cellStyle name="Процентный 6 24 2 8" xfId="38200"/>
    <cellStyle name="Обычный 4 41 2 8" xfId="38201"/>
    <cellStyle name="Процентный 4 41 2 8" xfId="38202"/>
    <cellStyle name="Обычный 5 34 2 8" xfId="38203"/>
    <cellStyle name="Процентный 5 34 2 8" xfId="38204"/>
    <cellStyle name="Обычный 4 2 28 2 8" xfId="38205"/>
    <cellStyle name="Процентный 4 2 28 2 8" xfId="38206"/>
    <cellStyle name="Обычный 5 2 28 2 8" xfId="38207"/>
    <cellStyle name="Процентный 5 2 28 2 8" xfId="38208"/>
    <cellStyle name="Обычный 6 25 2 8" xfId="38209"/>
    <cellStyle name="Процентный 6 25 2 8" xfId="38210"/>
    <cellStyle name="Обычный 4 42 2 8" xfId="38211"/>
    <cellStyle name="Процентный 4 42 2 8" xfId="38212"/>
    <cellStyle name="Обычный 5 35 2 8" xfId="38213"/>
    <cellStyle name="Процентный 5 35 2 8" xfId="38214"/>
    <cellStyle name="Обычный 4 2 29 2 8" xfId="38215"/>
    <cellStyle name="Процентный 4 2 29 2 8" xfId="38216"/>
    <cellStyle name="Обычный 5 2 29 2 8" xfId="38217"/>
    <cellStyle name="Процентный 5 2 29 2 8" xfId="38218"/>
    <cellStyle name="Обычный 6 26 2 8" xfId="38219"/>
    <cellStyle name="Процентный 6 26 2 8" xfId="38220"/>
    <cellStyle name="Обычный 4 43 2 8" xfId="38221"/>
    <cellStyle name="Процентный 4 43 2 8" xfId="38222"/>
    <cellStyle name="Обычный 5 36 2 8" xfId="38223"/>
    <cellStyle name="Процентный 5 36 2 8" xfId="38224"/>
    <cellStyle name="Обычный 4 2 30 2 8" xfId="38225"/>
    <cellStyle name="Процентный 4 2 30 2 8" xfId="38226"/>
    <cellStyle name="Обычный 5 2 30 2 8" xfId="38227"/>
    <cellStyle name="Процентный 5 2 30 2 8" xfId="38228"/>
    <cellStyle name="Обычный 6 27 2 8" xfId="38229"/>
    <cellStyle name="Процентный 6 27 2 8" xfId="38230"/>
    <cellStyle name="Обычный 4 44 2 8" xfId="38231"/>
    <cellStyle name="Процентный 4 44 2 8" xfId="38232"/>
    <cellStyle name="Обычный 5 37 2 8" xfId="38233"/>
    <cellStyle name="Процентный 5 37 2 8" xfId="38234"/>
    <cellStyle name="Обычный 4 2 31 2 8" xfId="38235"/>
    <cellStyle name="Процентный 4 2 31 2 8" xfId="38236"/>
    <cellStyle name="Обычный 5 2 31 2 8" xfId="38237"/>
    <cellStyle name="Процентный 5 2 31 2 8" xfId="38238"/>
    <cellStyle name="Обычный 6 28 2 8" xfId="38239"/>
    <cellStyle name="Процентный 6 28 2 8" xfId="38240"/>
    <cellStyle name="Обычный 4 45 2 8" xfId="38241"/>
    <cellStyle name="Процентный 4 45 2 8" xfId="38242"/>
    <cellStyle name="Обычный 5 38 2 8" xfId="38243"/>
    <cellStyle name="Процентный 5 38 2 8" xfId="38244"/>
    <cellStyle name="Обычный 4 2 32 2 8" xfId="38245"/>
    <cellStyle name="Процентный 4 2 32 2 8" xfId="38246"/>
    <cellStyle name="Обычный 5 2 32 2 8" xfId="38247"/>
    <cellStyle name="Процентный 5 2 32 2 8" xfId="38248"/>
    <cellStyle name="Обычный 6 29 2 8" xfId="38249"/>
    <cellStyle name="Процентный 6 29 2 8" xfId="38250"/>
    <cellStyle name="Обычный 4 46 2 8" xfId="38251"/>
    <cellStyle name="Процентный 4 46 2 8" xfId="38252"/>
    <cellStyle name="Обычный 5 39 2 8" xfId="38253"/>
    <cellStyle name="Процентный 5 39 2 8" xfId="38254"/>
    <cellStyle name="Обычный 4 2 33 2 8" xfId="38255"/>
    <cellStyle name="Процентный 4 2 33 2 8" xfId="38256"/>
    <cellStyle name="Обычный 5 2 33 2 8" xfId="38257"/>
    <cellStyle name="Процентный 5 2 33 2 8" xfId="38258"/>
    <cellStyle name="Обычный 6 30 2 8" xfId="38259"/>
    <cellStyle name="Процентный 6 30 2 8" xfId="38260"/>
    <cellStyle name="Обычный 4 47 2 8" xfId="38261"/>
    <cellStyle name="Процентный 4 47 2 8" xfId="38262"/>
    <cellStyle name="Обычный 5 40 2 8" xfId="38263"/>
    <cellStyle name="Процентный 5 40 2 8" xfId="38264"/>
    <cellStyle name="Обычный 4 2 34 2 8" xfId="38265"/>
    <cellStyle name="Процентный 4 2 34 2 8" xfId="38266"/>
    <cellStyle name="Обычный 5 2 34 2 8" xfId="38267"/>
    <cellStyle name="Процентный 5 2 34 2 8" xfId="38268"/>
    <cellStyle name="Обычный 6 31 2 8" xfId="38269"/>
    <cellStyle name="Процентный 6 31 2 8" xfId="38270"/>
    <cellStyle name="Обычный 7 10 8" xfId="38271"/>
    <cellStyle name="Процентный 7 10 8" xfId="38272"/>
    <cellStyle name="Обычный 4 48 2 8" xfId="38273"/>
    <cellStyle name="Процентный 4 48 2 8" xfId="38274"/>
    <cellStyle name="Обычный 5 41 2 8" xfId="38275"/>
    <cellStyle name="Процентный 5 41 2 8" xfId="38276"/>
    <cellStyle name="Обычный 4 2 35 2 8" xfId="38277"/>
    <cellStyle name="Процентный 4 2 35 2 8" xfId="38278"/>
    <cellStyle name="Обычный 5 2 35 2 8" xfId="38279"/>
    <cellStyle name="Процентный 5 2 35 2 8" xfId="38280"/>
    <cellStyle name="Обычный 6 32 2 8" xfId="38281"/>
    <cellStyle name="Процентный 6 32 2 8" xfId="38282"/>
    <cellStyle name="Обычный 7 2 2 8" xfId="38283"/>
    <cellStyle name="Процентный 7 2 2 8" xfId="38284"/>
    <cellStyle name="Обычный 4 49 2 8" xfId="38285"/>
    <cellStyle name="Процентный 4 49 2 8" xfId="38286"/>
    <cellStyle name="Обычный 5 42 2 8" xfId="38287"/>
    <cellStyle name="Процентный 5 42 2 8" xfId="38288"/>
    <cellStyle name="Обычный 4 2 36 2 8" xfId="38289"/>
    <cellStyle name="Процентный 4 2 36 2 8" xfId="38290"/>
    <cellStyle name="Обычный 5 2 36 2 8" xfId="38291"/>
    <cellStyle name="Процентный 5 2 36 2 8" xfId="38292"/>
    <cellStyle name="Обычный 6 33 2 8" xfId="38293"/>
    <cellStyle name="Процентный 6 33 2 8" xfId="38294"/>
    <cellStyle name="Обычный 7 3 2 8" xfId="38295"/>
    <cellStyle name="Процентный 7 3 2 8" xfId="38296"/>
    <cellStyle name="Обычный 4 50 2 8" xfId="38297"/>
    <cellStyle name="Процентный 4 50 2 8" xfId="38298"/>
    <cellStyle name="Обычный 5 43 2 8" xfId="38299"/>
    <cellStyle name="Процентный 5 43 2 8" xfId="38300"/>
    <cellStyle name="Обычный 4 2 37 2 8" xfId="38301"/>
    <cellStyle name="Процентный 4 2 37 2 8" xfId="38302"/>
    <cellStyle name="Обычный 5 2 37 2 8" xfId="38303"/>
    <cellStyle name="Процентный 5 2 37 2 8" xfId="38304"/>
    <cellStyle name="Обычный 6 34 2 8" xfId="38305"/>
    <cellStyle name="Процентный 6 34 2 8" xfId="38306"/>
    <cellStyle name="Обычный 7 4 2 8" xfId="38307"/>
    <cellStyle name="Процентный 7 4 2 8" xfId="38308"/>
    <cellStyle name="Обычный 4 51 2 8" xfId="38309"/>
    <cellStyle name="Процентный 4 51 2 8" xfId="38310"/>
    <cellStyle name="Обычный 5 44 2 8" xfId="38311"/>
    <cellStyle name="Процентный 5 44 2 8" xfId="38312"/>
    <cellStyle name="Обычный 4 2 38 2 8" xfId="38313"/>
    <cellStyle name="Процентный 4 2 38 2 8" xfId="38314"/>
    <cellStyle name="Обычный 5 2 38 2 8" xfId="38315"/>
    <cellStyle name="Процентный 5 2 38 2 8" xfId="38316"/>
    <cellStyle name="Обычный 6 35 2 8" xfId="38317"/>
    <cellStyle name="Процентный 6 35 2 8" xfId="38318"/>
    <cellStyle name="Обычный 7 5 2 8" xfId="38319"/>
    <cellStyle name="Процентный 7 5 2 8" xfId="38320"/>
    <cellStyle name="Обычный 4 52 2 8" xfId="38321"/>
    <cellStyle name="Процентный 4 52 2 8" xfId="38322"/>
    <cellStyle name="Обычный 5 45 2 8" xfId="38323"/>
    <cellStyle name="Процентный 5 45 2 8" xfId="38324"/>
    <cellStyle name="Обычный 4 2 39 2 8" xfId="38325"/>
    <cellStyle name="Процентный 4 2 39 2 8" xfId="38326"/>
    <cellStyle name="Обычный 5 2 39 2 8" xfId="38327"/>
    <cellStyle name="Процентный 5 2 39 2 8" xfId="38328"/>
    <cellStyle name="Обычный 6 36 2 8" xfId="38329"/>
    <cellStyle name="Процентный 6 36 2 8" xfId="38330"/>
    <cellStyle name="Обычный 7 6 2 8" xfId="38331"/>
    <cellStyle name="Процентный 7 6 2 8" xfId="38332"/>
    <cellStyle name="Обычный 4 53 2 8" xfId="38333"/>
    <cellStyle name="Процентный 4 53 2 8" xfId="38334"/>
    <cellStyle name="Обычный 5 46 2 8" xfId="38335"/>
    <cellStyle name="Процентный 5 46 2 8" xfId="38336"/>
    <cellStyle name="Обычный 4 2 40 2 8" xfId="38337"/>
    <cellStyle name="Процентный 4 2 40 2 8" xfId="38338"/>
    <cellStyle name="Обычный 5 2 40 2 8" xfId="38339"/>
    <cellStyle name="Процентный 5 2 40 2 8" xfId="38340"/>
    <cellStyle name="Обычный 6 37 2 8" xfId="38341"/>
    <cellStyle name="Процентный 6 37 2 8" xfId="38342"/>
    <cellStyle name="Обычный 7 7 2 8" xfId="38343"/>
    <cellStyle name="Процентный 7 7 2 8" xfId="38344"/>
    <cellStyle name="Обычный 4 54 2 8" xfId="38345"/>
    <cellStyle name="Процентный 4 54 2 8" xfId="38346"/>
    <cellStyle name="Обычный 5 47 2 8" xfId="38347"/>
    <cellStyle name="Процентный 5 47 2 8" xfId="38348"/>
    <cellStyle name="Обычный 4 2 41 2 8" xfId="38349"/>
    <cellStyle name="Процентный 4 2 41 2 8" xfId="38350"/>
    <cellStyle name="Обычный 5 2 41 2 8" xfId="38351"/>
    <cellStyle name="Процентный 5 2 41 2 8" xfId="38352"/>
    <cellStyle name="Обычный 6 38 2 8" xfId="38353"/>
    <cellStyle name="Процентный 6 38 2 8" xfId="38354"/>
    <cellStyle name="Обычный 7 8 2 8" xfId="38355"/>
    <cellStyle name="Процентный 7 8 2 8" xfId="38356"/>
    <cellStyle name="Обычный 4 55 2 8" xfId="38357"/>
    <cellStyle name="Процентный 4 55 2 8" xfId="38358"/>
    <cellStyle name="Обычный 5 48 2 8" xfId="38359"/>
    <cellStyle name="Процентный 5 48 2 8" xfId="38360"/>
    <cellStyle name="Обычный 4 2 42 2 8" xfId="38361"/>
    <cellStyle name="Процентный 4 2 42 2 8" xfId="38362"/>
    <cellStyle name="Обычный 5 2 42 2 8" xfId="38363"/>
    <cellStyle name="Процентный 5 2 42 2 8" xfId="38364"/>
    <cellStyle name="Обычный 6 39 2 8" xfId="38365"/>
    <cellStyle name="Процентный 6 39 2 8" xfId="38366"/>
    <cellStyle name="Обычный 7 9 2 8" xfId="38367"/>
    <cellStyle name="Процентный 7 9 2 8" xfId="38368"/>
    <cellStyle name="Обычный 4 57 8" xfId="38369"/>
    <cellStyle name="Процентный 4 57 8" xfId="38370"/>
    <cellStyle name="Обычный 5 50 8" xfId="38371"/>
    <cellStyle name="Процентный 5 50 8" xfId="38372"/>
    <cellStyle name="Обычный 4 2 44 8" xfId="38373"/>
    <cellStyle name="Процентный 4 2 44 8" xfId="38374"/>
    <cellStyle name="Обычный 5 2 44 8" xfId="38375"/>
    <cellStyle name="Процентный 5 2 44 8" xfId="38376"/>
    <cellStyle name="Обычный 6 41 8" xfId="38377"/>
    <cellStyle name="Процентный 6 41 8" xfId="38378"/>
    <cellStyle name="Обычный 7 11 8" xfId="38379"/>
    <cellStyle name="Процентный 7 11 8" xfId="38380"/>
    <cellStyle name="Обычный 4 3 3 8" xfId="38381"/>
    <cellStyle name="Процентный 4 3 3 8" xfId="38382"/>
    <cellStyle name="Обычный 5 3 3 8" xfId="38383"/>
    <cellStyle name="Процентный 5 3 3 8" xfId="38384"/>
    <cellStyle name="Обычный 4 2 2 3 8" xfId="38385"/>
    <cellStyle name="Процентный 4 2 2 3 8" xfId="38386"/>
    <cellStyle name="Обычный 5 2 2 3 8" xfId="38387"/>
    <cellStyle name="Процентный 5 2 2 3 8" xfId="38388"/>
    <cellStyle name="Обычный 6 2 3 8" xfId="38389"/>
    <cellStyle name="Процентный 6 2 3 8" xfId="38390"/>
    <cellStyle name="Обычный 7 2 3 8" xfId="38391"/>
    <cellStyle name="Процентный 7 2 3 8" xfId="38392"/>
    <cellStyle name="Обычный 4 58 8" xfId="38393"/>
    <cellStyle name="Процентный 4 58 8" xfId="38394"/>
    <cellStyle name="Обычный 5 51 8" xfId="38395"/>
    <cellStyle name="Процентный 5 51 8" xfId="38396"/>
    <cellStyle name="Обычный 4 2 45 8" xfId="38397"/>
    <cellStyle name="Процентный 4 2 45 8" xfId="38398"/>
    <cellStyle name="Обычный 5 2 45 8" xfId="38399"/>
    <cellStyle name="Процентный 5 2 45 8" xfId="38400"/>
    <cellStyle name="Обычный 6 42 8" xfId="38401"/>
    <cellStyle name="Процентный 6 42 8" xfId="38402"/>
    <cellStyle name="Обычный 7 12 8" xfId="38403"/>
    <cellStyle name="Процентный 7 12 8" xfId="38404"/>
    <cellStyle name="Обычный 4 3 4 8" xfId="38405"/>
    <cellStyle name="Процентный 4 3 4 8" xfId="38406"/>
    <cellStyle name="Обычный 5 3 4 8" xfId="38407"/>
    <cellStyle name="Процентный 5 3 4 8" xfId="38408"/>
    <cellStyle name="Обычный 4 2 2 4 8" xfId="38409"/>
    <cellStyle name="Процентный 4 2 2 4 8" xfId="38410"/>
    <cellStyle name="Обычный 5 2 2 4 8" xfId="38411"/>
    <cellStyle name="Процентный 5 2 2 4 8" xfId="38412"/>
    <cellStyle name="Обычный 6 2 4 8" xfId="38413"/>
    <cellStyle name="Процентный 6 2 4 8" xfId="38414"/>
    <cellStyle name="Обычный 7 2 4 8" xfId="38415"/>
    <cellStyle name="Процентный 7 2 4 8" xfId="38416"/>
    <cellStyle name="Обычный 4 59 8" xfId="38417"/>
    <cellStyle name="Процентный 4 59 8" xfId="38418"/>
    <cellStyle name="Обычный 5 52 8" xfId="38419"/>
    <cellStyle name="Процентный 5 52 8" xfId="38420"/>
    <cellStyle name="Обычный 4 2 46 8" xfId="38421"/>
    <cellStyle name="Процентный 4 2 46 8" xfId="38422"/>
    <cellStyle name="Обычный 5 2 46 8" xfId="38423"/>
    <cellStyle name="Процентный 5 2 46 8" xfId="38424"/>
    <cellStyle name="Обычный 6 43 8" xfId="38425"/>
    <cellStyle name="Процентный 6 43 8" xfId="38426"/>
    <cellStyle name="Обычный 7 13 8" xfId="38427"/>
    <cellStyle name="Процентный 7 13 8" xfId="38428"/>
    <cellStyle name="Обычный 4 3 5 8" xfId="38429"/>
    <cellStyle name="Процентный 4 3 5 8" xfId="38430"/>
    <cellStyle name="Обычный 5 3 5 8" xfId="38431"/>
    <cellStyle name="Процентный 5 3 5 8" xfId="38432"/>
    <cellStyle name="Обычный 4 2 2 5 8" xfId="38433"/>
    <cellStyle name="Процентный 4 2 2 5 8" xfId="38434"/>
    <cellStyle name="Обычный 5 2 2 5 8" xfId="38435"/>
    <cellStyle name="Процентный 5 2 2 5 8" xfId="38436"/>
    <cellStyle name="Обычный 6 2 5 8" xfId="38437"/>
    <cellStyle name="Процентный 6 2 5 8" xfId="38438"/>
    <cellStyle name="Обычный 7 2 5 8" xfId="38439"/>
    <cellStyle name="Процентный 7 2 5 8" xfId="38440"/>
    <cellStyle name="Обычный 8 151" xfId="38441"/>
    <cellStyle name="Процентный 8 151" xfId="38442"/>
    <cellStyle name="Обычный 4 60 8" xfId="38443"/>
    <cellStyle name="Процентный 4 60 8" xfId="38444"/>
    <cellStyle name="Обычный 5 53 8" xfId="38445"/>
    <cellStyle name="Процентный 5 53 8" xfId="38446"/>
    <cellStyle name="Обычный 4 2 47 8" xfId="38447"/>
    <cellStyle name="Процентный 4 2 47 8" xfId="38448"/>
    <cellStyle name="Обычный 5 2 47 8" xfId="38449"/>
    <cellStyle name="Процентный 5 2 47 8" xfId="38450"/>
    <cellStyle name="Обычный 6 44 8" xfId="38451"/>
    <cellStyle name="Процентный 6 44 8" xfId="38452"/>
    <cellStyle name="Обычный 7 14 8" xfId="38453"/>
    <cellStyle name="Процентный 7 14 8" xfId="38454"/>
    <cellStyle name="Обычный 4 3 6 8" xfId="38455"/>
    <cellStyle name="Процентный 4 3 6 8" xfId="38456"/>
    <cellStyle name="Обычный 5 3 6 8" xfId="38457"/>
    <cellStyle name="Процентный 5 3 6 8" xfId="38458"/>
    <cellStyle name="Обычный 4 2 2 6 8" xfId="38459"/>
    <cellStyle name="Процентный 4 2 2 6 8" xfId="38460"/>
    <cellStyle name="Обычный 5 2 2 6 8" xfId="38461"/>
    <cellStyle name="Процентный 5 2 2 6 8" xfId="38462"/>
    <cellStyle name="Обычный 6 2 6 8" xfId="38463"/>
    <cellStyle name="Процентный 6 2 6 8" xfId="38464"/>
    <cellStyle name="Обычный 7 2 6 8" xfId="38465"/>
    <cellStyle name="Процентный 7 2 6 8" xfId="38466"/>
    <cellStyle name="Обычный 8 2 8" xfId="38467"/>
    <cellStyle name="Процентный 8 2 8" xfId="38468"/>
    <cellStyle name="Обычный 4 61 8" xfId="38469"/>
    <cellStyle name="Процентный 4 61 8" xfId="38470"/>
    <cellStyle name="Обычный 5 54 8" xfId="38471"/>
    <cellStyle name="Процентный 5 54 8" xfId="38472"/>
    <cellStyle name="Обычный 4 2 48 8" xfId="38473"/>
    <cellStyle name="Процентный 4 2 48 8" xfId="38474"/>
    <cellStyle name="Обычный 5 2 48 8" xfId="38475"/>
    <cellStyle name="Процентный 5 2 48 8" xfId="38476"/>
    <cellStyle name="Обычный 6 45 8" xfId="38477"/>
    <cellStyle name="Процентный 6 45 8" xfId="38478"/>
    <cellStyle name="Обычный 7 15 8" xfId="38479"/>
    <cellStyle name="Процентный 7 15 8" xfId="38480"/>
    <cellStyle name="Обычный 4 3 7 8" xfId="38481"/>
    <cellStyle name="Процентный 4 3 7 8" xfId="38482"/>
    <cellStyle name="Обычный 5 3 7 8" xfId="38483"/>
    <cellStyle name="Процентный 5 3 7 8" xfId="38484"/>
    <cellStyle name="Обычный 4 2 2 7 8" xfId="38485"/>
    <cellStyle name="Процентный 4 2 2 7 8" xfId="38486"/>
    <cellStyle name="Обычный 5 2 2 7 8" xfId="38487"/>
    <cellStyle name="Процентный 5 2 2 7 8" xfId="38488"/>
    <cellStyle name="Обычный 6 2 7 8" xfId="38489"/>
    <cellStyle name="Процентный 6 2 7 8" xfId="38490"/>
    <cellStyle name="Обычный 7 2 7 8" xfId="38491"/>
    <cellStyle name="Процентный 7 2 7 8" xfId="38492"/>
    <cellStyle name="Обычный 8 3 8" xfId="38493"/>
    <cellStyle name="Процентный 8 3 8" xfId="38494"/>
    <cellStyle name="Обычный 4 62 8" xfId="38495"/>
    <cellStyle name="Процентный 4 62 8" xfId="38496"/>
    <cellStyle name="Обычный 5 55 8" xfId="38497"/>
    <cellStyle name="Процентный 5 55 8" xfId="38498"/>
    <cellStyle name="Обычный 4 2 49 8" xfId="38499"/>
    <cellStyle name="Процентный 4 2 49 8" xfId="38500"/>
    <cellStyle name="Обычный 5 2 49 8" xfId="38501"/>
    <cellStyle name="Процентный 5 2 49 8" xfId="38502"/>
    <cellStyle name="Обычный 6 46 8" xfId="38503"/>
    <cellStyle name="Процентный 6 46 8" xfId="38504"/>
    <cellStyle name="Обычный 7 16 8" xfId="38505"/>
    <cellStyle name="Процентный 7 16 8" xfId="38506"/>
    <cellStyle name="Обычный 4 3 8 8" xfId="38507"/>
    <cellStyle name="Процентный 4 3 8 8" xfId="38508"/>
    <cellStyle name="Обычный 5 3 8 8" xfId="38509"/>
    <cellStyle name="Процентный 5 3 8 8" xfId="38510"/>
    <cellStyle name="Обычный 4 2 2 8 8" xfId="38511"/>
    <cellStyle name="Процентный 4 2 2 8 8" xfId="38512"/>
    <cellStyle name="Обычный 5 2 2 8 8" xfId="38513"/>
    <cellStyle name="Процентный 5 2 2 8 8" xfId="38514"/>
    <cellStyle name="Обычный 6 2 8 8" xfId="38515"/>
    <cellStyle name="Процентный 6 2 8 8" xfId="38516"/>
    <cellStyle name="Обычный 7 2 8 8" xfId="38517"/>
    <cellStyle name="Процентный 7 2 8 8" xfId="38518"/>
    <cellStyle name="Обычный 8 4 8" xfId="38519"/>
    <cellStyle name="Процентный 8 4 8" xfId="38520"/>
    <cellStyle name="Обычный 4 63 8" xfId="38521"/>
    <cellStyle name="Процентный 4 63 8" xfId="38522"/>
    <cellStyle name="Обычный 5 56 8" xfId="38523"/>
    <cellStyle name="Процентный 5 56 8" xfId="38524"/>
    <cellStyle name="Обычный 4 2 50 8" xfId="38525"/>
    <cellStyle name="Процентный 4 2 50 8" xfId="38526"/>
    <cellStyle name="Обычный 5 2 50 8" xfId="38527"/>
    <cellStyle name="Процентный 5 2 50 8" xfId="38528"/>
    <cellStyle name="Обычный 6 47 8" xfId="38529"/>
    <cellStyle name="Процентный 6 47 8" xfId="38530"/>
    <cellStyle name="Обычный 7 17 8" xfId="38531"/>
    <cellStyle name="Процентный 7 17 8" xfId="38532"/>
    <cellStyle name="Обычный 4 3 9 8" xfId="38533"/>
    <cellStyle name="Процентный 4 3 9 8" xfId="38534"/>
    <cellStyle name="Обычный 5 3 9 8" xfId="38535"/>
    <cellStyle name="Процентный 5 3 9 8" xfId="38536"/>
    <cellStyle name="Обычный 4 2 2 9 8" xfId="38537"/>
    <cellStyle name="Процентный 4 2 2 9 8" xfId="38538"/>
    <cellStyle name="Обычный 5 2 2 9 8" xfId="38539"/>
    <cellStyle name="Процентный 5 2 2 9 8" xfId="38540"/>
    <cellStyle name="Обычный 6 2 9 8" xfId="38541"/>
    <cellStyle name="Процентный 6 2 9 8" xfId="38542"/>
    <cellStyle name="Обычный 7 2 9 8" xfId="38543"/>
    <cellStyle name="Процентный 7 2 9 8" xfId="38544"/>
    <cellStyle name="Обычный 8 5 8" xfId="38545"/>
    <cellStyle name="Процентный 8 5 8" xfId="38546"/>
    <cellStyle name="Обычный 4 64 8" xfId="38547"/>
    <cellStyle name="Процентный 4 64 8" xfId="38548"/>
    <cellStyle name="Обычный 5 57 8" xfId="38549"/>
    <cellStyle name="Процентный 5 57 8" xfId="38550"/>
    <cellStyle name="Обычный 4 2 51 8" xfId="38551"/>
    <cellStyle name="Процентный 4 2 51 8" xfId="38552"/>
    <cellStyle name="Обычный 5 2 51 8" xfId="38553"/>
    <cellStyle name="Процентный 5 2 51 8" xfId="38554"/>
    <cellStyle name="Обычный 6 48 8" xfId="38555"/>
    <cellStyle name="Процентный 6 48 8" xfId="38556"/>
    <cellStyle name="Обычный 7 18 8" xfId="38557"/>
    <cellStyle name="Процентный 7 18 8" xfId="38558"/>
    <cellStyle name="Обычный 4 3 10 8" xfId="38559"/>
    <cellStyle name="Процентный 4 3 10 8" xfId="38560"/>
    <cellStyle name="Обычный 5 3 10 8" xfId="38561"/>
    <cellStyle name="Процентный 5 3 10 8" xfId="38562"/>
    <cellStyle name="Обычный 4 2 2 10 8" xfId="38563"/>
    <cellStyle name="Процентный 4 2 2 10 8" xfId="38564"/>
    <cellStyle name="Обычный 5 2 2 10 8" xfId="38565"/>
    <cellStyle name="Процентный 5 2 2 10 8" xfId="38566"/>
    <cellStyle name="Обычный 6 2 10 8" xfId="38567"/>
    <cellStyle name="Процентный 6 2 10 8" xfId="38568"/>
    <cellStyle name="Обычный 7 2 10 8" xfId="38569"/>
    <cellStyle name="Процентный 7 2 10 8" xfId="38570"/>
    <cellStyle name="Обычный 8 6 8" xfId="38571"/>
    <cellStyle name="Процентный 8 6 8" xfId="38572"/>
    <cellStyle name="Обычный 4 65 8" xfId="38573"/>
    <cellStyle name="Процентный 4 65 8" xfId="38574"/>
    <cellStyle name="Обычный 5 58 8" xfId="38575"/>
    <cellStyle name="Процентный 5 58 8" xfId="38576"/>
    <cellStyle name="Обычный 4 2 52 8" xfId="38577"/>
    <cellStyle name="Процентный 4 2 52 8" xfId="38578"/>
    <cellStyle name="Обычный 5 2 52 8" xfId="38579"/>
    <cellStyle name="Процентный 5 2 52 8" xfId="38580"/>
    <cellStyle name="Обычный 6 49 8" xfId="38581"/>
    <cellStyle name="Процентный 6 49 8" xfId="38582"/>
    <cellStyle name="Обычный 7 19 8" xfId="38583"/>
    <cellStyle name="Процентный 7 19 8" xfId="38584"/>
    <cellStyle name="Обычный 4 3 11 8" xfId="38585"/>
    <cellStyle name="Процентный 4 3 11 8" xfId="38586"/>
    <cellStyle name="Обычный 5 3 11 8" xfId="38587"/>
    <cellStyle name="Процентный 5 3 11 8" xfId="38588"/>
    <cellStyle name="Обычный 4 2 2 11 8" xfId="38589"/>
    <cellStyle name="Процентный 4 2 2 11 8" xfId="38590"/>
    <cellStyle name="Обычный 5 2 2 11 8" xfId="38591"/>
    <cellStyle name="Процентный 5 2 2 11 8" xfId="38592"/>
    <cellStyle name="Обычный 6 2 11 8" xfId="38593"/>
    <cellStyle name="Процентный 6 2 11 8" xfId="38594"/>
    <cellStyle name="Обычный 7 2 11 8" xfId="38595"/>
    <cellStyle name="Процентный 7 2 11 8" xfId="38596"/>
    <cellStyle name="Обычный 8 7 8" xfId="38597"/>
    <cellStyle name="Процентный 8 7 8" xfId="38598"/>
    <cellStyle name="Обычный 4 66 8" xfId="38599"/>
    <cellStyle name="Процентный 4 66 8" xfId="38600"/>
    <cellStyle name="Обычный 5 59 8" xfId="38601"/>
    <cellStyle name="Процентный 5 59 8" xfId="38602"/>
    <cellStyle name="Обычный 4 2 53 8" xfId="38603"/>
    <cellStyle name="Процентный 4 2 53 8" xfId="38604"/>
    <cellStyle name="Обычный 5 2 53 8" xfId="38605"/>
    <cellStyle name="Процентный 5 2 53 8" xfId="38606"/>
    <cellStyle name="Обычный 6 50 8" xfId="38607"/>
    <cellStyle name="Процентный 6 50 8" xfId="38608"/>
    <cellStyle name="Обычный 7 20 8" xfId="38609"/>
    <cellStyle name="Процентный 7 20 8" xfId="38610"/>
    <cellStyle name="Обычный 4 3 12 8" xfId="38611"/>
    <cellStyle name="Процентный 4 3 12 8" xfId="38612"/>
    <cellStyle name="Обычный 5 3 12 8" xfId="38613"/>
    <cellStyle name="Процентный 5 3 12 8" xfId="38614"/>
    <cellStyle name="Обычный 4 2 2 12 8" xfId="38615"/>
    <cellStyle name="Процентный 4 2 2 12 8" xfId="38616"/>
    <cellStyle name="Обычный 5 2 2 12 8" xfId="38617"/>
    <cellStyle name="Процентный 5 2 2 12 8" xfId="38618"/>
    <cellStyle name="Обычный 6 2 12 8" xfId="38619"/>
    <cellStyle name="Процентный 6 2 12 8" xfId="38620"/>
    <cellStyle name="Обычный 7 2 12 8" xfId="38621"/>
    <cellStyle name="Процентный 7 2 12 8" xfId="38622"/>
    <cellStyle name="Обычный 8 8 8" xfId="38623"/>
    <cellStyle name="Процентный 8 8 8" xfId="38624"/>
    <cellStyle name="Обычный 4 67 8" xfId="38625"/>
    <cellStyle name="Процентный 4 67 8" xfId="38626"/>
    <cellStyle name="Обычный 5 60 8" xfId="38627"/>
    <cellStyle name="Процентный 5 60 8" xfId="38628"/>
    <cellStyle name="Обычный 4 2 54 8" xfId="38629"/>
    <cellStyle name="Процентный 4 2 54 8" xfId="38630"/>
    <cellStyle name="Обычный 5 2 54 8" xfId="38631"/>
    <cellStyle name="Процентный 5 2 54 8" xfId="38632"/>
    <cellStyle name="Обычный 6 51 8" xfId="38633"/>
    <cellStyle name="Процентный 6 51 8" xfId="38634"/>
    <cellStyle name="Обычный 7 21 8" xfId="38635"/>
    <cellStyle name="Процентный 7 21 8" xfId="38636"/>
    <cellStyle name="Обычный 4 3 13 8" xfId="38637"/>
    <cellStyle name="Процентный 4 3 13 8" xfId="38638"/>
    <cellStyle name="Обычный 5 3 13 8" xfId="38639"/>
    <cellStyle name="Процентный 5 3 13 8" xfId="38640"/>
    <cellStyle name="Обычный 4 2 2 13 8" xfId="38641"/>
    <cellStyle name="Процентный 4 2 2 13 8" xfId="38642"/>
    <cellStyle name="Обычный 5 2 2 13 8" xfId="38643"/>
    <cellStyle name="Процентный 5 2 2 13 8" xfId="38644"/>
    <cellStyle name="Обычный 6 2 13 8" xfId="38645"/>
    <cellStyle name="Процентный 6 2 13 8" xfId="38646"/>
    <cellStyle name="Обычный 7 2 13 8" xfId="38647"/>
    <cellStyle name="Процентный 7 2 13 8" xfId="38648"/>
    <cellStyle name="Обычный 8 9 8" xfId="38649"/>
    <cellStyle name="Процентный 8 9 8" xfId="38650"/>
    <cellStyle name="Обычный 4 68 8" xfId="38651"/>
    <cellStyle name="Процентный 4 68 8" xfId="38652"/>
    <cellStyle name="Обычный 5 61 8" xfId="38653"/>
    <cellStyle name="Процентный 5 61 8" xfId="38654"/>
    <cellStyle name="Обычный 4 2 55 8" xfId="38655"/>
    <cellStyle name="Процентный 4 2 55 8" xfId="38656"/>
    <cellStyle name="Обычный 5 2 55 8" xfId="38657"/>
    <cellStyle name="Процентный 5 2 55 8" xfId="38658"/>
    <cellStyle name="Обычный 6 52 8" xfId="38659"/>
    <cellStyle name="Процентный 6 52 8" xfId="38660"/>
    <cellStyle name="Обычный 7 22 8" xfId="38661"/>
    <cellStyle name="Процентный 7 22 8" xfId="38662"/>
    <cellStyle name="Обычный 4 3 14 8" xfId="38663"/>
    <cellStyle name="Процентный 4 3 14 8" xfId="38664"/>
    <cellStyle name="Обычный 5 3 14 8" xfId="38665"/>
    <cellStyle name="Процентный 5 3 14 8" xfId="38666"/>
    <cellStyle name="Обычный 4 2 2 14 8" xfId="38667"/>
    <cellStyle name="Процентный 4 2 2 14 8" xfId="38668"/>
    <cellStyle name="Обычный 5 2 2 14 8" xfId="38669"/>
    <cellStyle name="Процентный 5 2 2 14 8" xfId="38670"/>
    <cellStyle name="Обычный 6 2 14 8" xfId="38671"/>
    <cellStyle name="Процентный 6 2 14 8" xfId="38672"/>
    <cellStyle name="Обычный 7 2 14 8" xfId="38673"/>
    <cellStyle name="Процентный 7 2 14 8" xfId="38674"/>
    <cellStyle name="Обычный 8 10 8" xfId="38675"/>
    <cellStyle name="Процентный 8 10 8" xfId="38676"/>
    <cellStyle name="Обычный 4 69 8" xfId="38677"/>
    <cellStyle name="Процентный 4 69 8" xfId="38678"/>
    <cellStyle name="Обычный 5 62 8" xfId="38679"/>
    <cellStyle name="Процентный 5 62 8" xfId="38680"/>
    <cellStyle name="Обычный 4 2 56 8" xfId="38681"/>
    <cellStyle name="Процентный 4 2 56 8" xfId="38682"/>
    <cellStyle name="Обычный 5 2 56 8" xfId="38683"/>
    <cellStyle name="Процентный 5 2 56 8" xfId="38684"/>
    <cellStyle name="Обычный 6 53 8" xfId="38685"/>
    <cellStyle name="Процентный 6 53 8" xfId="38686"/>
    <cellStyle name="Обычный 7 23 8" xfId="38687"/>
    <cellStyle name="Процентный 7 23 8" xfId="38688"/>
    <cellStyle name="Обычный 4 3 15 8" xfId="38689"/>
    <cellStyle name="Процентный 4 3 15 8" xfId="38690"/>
    <cellStyle name="Обычный 5 3 15 8" xfId="38691"/>
    <cellStyle name="Процентный 5 3 15 8" xfId="38692"/>
    <cellStyle name="Обычный 4 2 2 15 8" xfId="38693"/>
    <cellStyle name="Процентный 4 2 2 15 8" xfId="38694"/>
    <cellStyle name="Обычный 5 2 2 15 8" xfId="38695"/>
    <cellStyle name="Процентный 5 2 2 15 8" xfId="38696"/>
    <cellStyle name="Обычный 6 2 15 8" xfId="38697"/>
    <cellStyle name="Процентный 6 2 15 8" xfId="38698"/>
    <cellStyle name="Обычный 7 2 15 8" xfId="38699"/>
    <cellStyle name="Процентный 7 2 15 8" xfId="38700"/>
    <cellStyle name="Обычный 8 11 8" xfId="38701"/>
    <cellStyle name="Процентный 8 11 8" xfId="38702"/>
    <cellStyle name="Обычный 4 70 8" xfId="38703"/>
    <cellStyle name="Процентный 4 70 8" xfId="38704"/>
    <cellStyle name="Обычный 5 63 8" xfId="38705"/>
    <cellStyle name="Процентный 5 63 8" xfId="38706"/>
    <cellStyle name="Обычный 4 2 57 8" xfId="38707"/>
    <cellStyle name="Процентный 4 2 57 8" xfId="38708"/>
    <cellStyle name="Обычный 5 2 57 8" xfId="38709"/>
    <cellStyle name="Процентный 5 2 57 8" xfId="38710"/>
    <cellStyle name="Обычный 6 54 8" xfId="38711"/>
    <cellStyle name="Процентный 6 54 8" xfId="38712"/>
    <cellStyle name="Обычный 7 24 8" xfId="38713"/>
    <cellStyle name="Процентный 7 24 8" xfId="38714"/>
    <cellStyle name="Обычный 4 3 16 8" xfId="38715"/>
    <cellStyle name="Процентный 4 3 16 8" xfId="38716"/>
    <cellStyle name="Обычный 5 3 16 8" xfId="38717"/>
    <cellStyle name="Процентный 5 3 16 8" xfId="38718"/>
    <cellStyle name="Обычный 4 2 2 16 8" xfId="38719"/>
    <cellStyle name="Процентный 4 2 2 16 8" xfId="38720"/>
    <cellStyle name="Обычный 5 2 2 16 8" xfId="38721"/>
    <cellStyle name="Процентный 5 2 2 16 8" xfId="38722"/>
    <cellStyle name="Обычный 6 2 16 8" xfId="38723"/>
    <cellStyle name="Процентный 6 2 16 8" xfId="38724"/>
    <cellStyle name="Обычный 7 2 16 8" xfId="38725"/>
    <cellStyle name="Процентный 7 2 16 8" xfId="38726"/>
    <cellStyle name="Обычный 8 12 8" xfId="38727"/>
    <cellStyle name="Процентный 8 12 8" xfId="38728"/>
    <cellStyle name="Обычный 4 71 8" xfId="38729"/>
    <cellStyle name="Процентный 4 71 8" xfId="38730"/>
    <cellStyle name="Обычный 5 64 8" xfId="38731"/>
    <cellStyle name="Процентный 5 64 8" xfId="38732"/>
    <cellStyle name="Обычный 4 2 58 8" xfId="38733"/>
    <cellStyle name="Процентный 4 2 58 8" xfId="38734"/>
    <cellStyle name="Обычный 5 2 58 8" xfId="38735"/>
    <cellStyle name="Процентный 5 2 58 8" xfId="38736"/>
    <cellStyle name="Обычный 6 55 8" xfId="38737"/>
    <cellStyle name="Процентный 6 55 8" xfId="38738"/>
    <cellStyle name="Обычный 7 25 8" xfId="38739"/>
    <cellStyle name="Процентный 7 25 8" xfId="38740"/>
    <cellStyle name="Обычный 4 3 17 8" xfId="38741"/>
    <cellStyle name="Процентный 4 3 17 8" xfId="38742"/>
    <cellStyle name="Обычный 5 3 17 8" xfId="38743"/>
    <cellStyle name="Процентный 5 3 17 8" xfId="38744"/>
    <cellStyle name="Обычный 4 2 2 17 8" xfId="38745"/>
    <cellStyle name="Процентный 4 2 2 17 8" xfId="38746"/>
    <cellStyle name="Обычный 5 2 2 17 8" xfId="38747"/>
    <cellStyle name="Процентный 5 2 2 17 8" xfId="38748"/>
    <cellStyle name="Обычный 6 2 17 8" xfId="38749"/>
    <cellStyle name="Процентный 6 2 17 8" xfId="38750"/>
    <cellStyle name="Обычный 7 2 17 8" xfId="38751"/>
    <cellStyle name="Процентный 7 2 17 8" xfId="38752"/>
    <cellStyle name="Обычный 8 13 8" xfId="38753"/>
    <cellStyle name="Процентный 8 13 8" xfId="38754"/>
    <cellStyle name="Обычный 4 72 8" xfId="38755"/>
    <cellStyle name="Процентный 4 72 8" xfId="38756"/>
    <cellStyle name="Обычный 5 65 8" xfId="38757"/>
    <cellStyle name="Процентный 5 65 8" xfId="38758"/>
    <cellStyle name="Обычный 4 2 59 8" xfId="38759"/>
    <cellStyle name="Процентный 4 2 59 8" xfId="38760"/>
    <cellStyle name="Обычный 5 2 59 8" xfId="38761"/>
    <cellStyle name="Процентный 5 2 59 8" xfId="38762"/>
    <cellStyle name="Обычный 6 56 8" xfId="38763"/>
    <cellStyle name="Процентный 6 56 8" xfId="38764"/>
    <cellStyle name="Обычный 7 26 8" xfId="38765"/>
    <cellStyle name="Процентный 7 26 8" xfId="38766"/>
    <cellStyle name="Обычный 4 3 18 8" xfId="38767"/>
    <cellStyle name="Процентный 4 3 18 8" xfId="38768"/>
    <cellStyle name="Обычный 5 3 18 8" xfId="38769"/>
    <cellStyle name="Процентный 5 3 18 8" xfId="38770"/>
    <cellStyle name="Обычный 4 2 2 18 8" xfId="38771"/>
    <cellStyle name="Процентный 4 2 2 18 8" xfId="38772"/>
    <cellStyle name="Обычный 5 2 2 18 8" xfId="38773"/>
    <cellStyle name="Процентный 5 2 2 18 8" xfId="38774"/>
    <cellStyle name="Обычный 6 2 18 8" xfId="38775"/>
    <cellStyle name="Процентный 6 2 18 8" xfId="38776"/>
    <cellStyle name="Обычный 7 2 18 8" xfId="38777"/>
    <cellStyle name="Процентный 7 2 18 8" xfId="38778"/>
    <cellStyle name="Обычный 8 14 8" xfId="38779"/>
    <cellStyle name="Процентный 8 14 8" xfId="38780"/>
    <cellStyle name="Обычный 4 73 8" xfId="38781"/>
    <cellStyle name="Процентный 4 73 8" xfId="38782"/>
    <cellStyle name="Обычный 5 66 8" xfId="38783"/>
    <cellStyle name="Процентный 5 66 8" xfId="38784"/>
    <cellStyle name="Обычный 4 2 60 8" xfId="38785"/>
    <cellStyle name="Процентный 4 2 60 8" xfId="38786"/>
    <cellStyle name="Обычный 5 2 60 8" xfId="38787"/>
    <cellStyle name="Процентный 5 2 60 8" xfId="38788"/>
    <cellStyle name="Обычный 6 57 8" xfId="38789"/>
    <cellStyle name="Процентный 6 57 8" xfId="38790"/>
    <cellStyle name="Обычный 7 27 8" xfId="38791"/>
    <cellStyle name="Процентный 7 27 8" xfId="38792"/>
    <cellStyle name="Обычный 4 3 19 8" xfId="38793"/>
    <cellStyle name="Процентный 4 3 19 8" xfId="38794"/>
    <cellStyle name="Обычный 5 3 19 8" xfId="38795"/>
    <cellStyle name="Процентный 5 3 19 8" xfId="38796"/>
    <cellStyle name="Обычный 4 2 2 19 8" xfId="38797"/>
    <cellStyle name="Процентный 4 2 2 19 8" xfId="38798"/>
    <cellStyle name="Обычный 5 2 2 19 8" xfId="38799"/>
    <cellStyle name="Процентный 5 2 2 19 8" xfId="38800"/>
    <cellStyle name="Обычный 6 2 19 8" xfId="38801"/>
    <cellStyle name="Процентный 6 2 19 8" xfId="38802"/>
    <cellStyle name="Обычный 7 2 19 8" xfId="38803"/>
    <cellStyle name="Процентный 7 2 19 8" xfId="38804"/>
    <cellStyle name="Обычный 8 15 8" xfId="38805"/>
    <cellStyle name="Процентный 8 15 8" xfId="38806"/>
    <cellStyle name="Обычный 4 74 8" xfId="38807"/>
    <cellStyle name="Процентный 4 74 8" xfId="38808"/>
    <cellStyle name="Обычный 5 67 8" xfId="38809"/>
    <cellStyle name="Процентный 5 67 8" xfId="38810"/>
    <cellStyle name="Обычный 4 2 61 8" xfId="38811"/>
    <cellStyle name="Процентный 4 2 61 8" xfId="38812"/>
    <cellStyle name="Обычный 5 2 61 8" xfId="38813"/>
    <cellStyle name="Процентный 5 2 61 8" xfId="38814"/>
    <cellStyle name="Обычный 6 58 8" xfId="38815"/>
    <cellStyle name="Процентный 6 58 8" xfId="38816"/>
    <cellStyle name="Обычный 7 28 8" xfId="38817"/>
    <cellStyle name="Процентный 7 28 8" xfId="38818"/>
    <cellStyle name="Обычный 4 3 20 8" xfId="38819"/>
    <cellStyle name="Процентный 4 3 20 8" xfId="38820"/>
    <cellStyle name="Обычный 5 3 20 8" xfId="38821"/>
    <cellStyle name="Процентный 5 3 20 8" xfId="38822"/>
    <cellStyle name="Обычный 4 2 2 20 8" xfId="38823"/>
    <cellStyle name="Процентный 4 2 2 20 8" xfId="38824"/>
    <cellStyle name="Обычный 5 2 2 20 8" xfId="38825"/>
    <cellStyle name="Процентный 5 2 2 20 8" xfId="38826"/>
    <cellStyle name="Обычный 6 2 20 8" xfId="38827"/>
    <cellStyle name="Процентный 6 2 20 8" xfId="38828"/>
    <cellStyle name="Обычный 7 2 20 8" xfId="38829"/>
    <cellStyle name="Процентный 7 2 20 8" xfId="38830"/>
    <cellStyle name="Обычный 8 16 8" xfId="38831"/>
    <cellStyle name="Процентный 8 16 8" xfId="38832"/>
    <cellStyle name="Обычный 4 75 8" xfId="38833"/>
    <cellStyle name="Процентный 4 75 8" xfId="38834"/>
    <cellStyle name="Обычный 5 68 8" xfId="38835"/>
    <cellStyle name="Процентный 5 68 8" xfId="38836"/>
    <cellStyle name="Обычный 4 2 62 8" xfId="38837"/>
    <cellStyle name="Процентный 4 2 62 8" xfId="38838"/>
    <cellStyle name="Обычный 5 2 62 8" xfId="38839"/>
    <cellStyle name="Процентный 5 2 62 8" xfId="38840"/>
    <cellStyle name="Обычный 6 59 8" xfId="38841"/>
    <cellStyle name="Процентный 6 59 8" xfId="38842"/>
    <cellStyle name="Обычный 7 29 8" xfId="38843"/>
    <cellStyle name="Процентный 7 29 8" xfId="38844"/>
    <cellStyle name="Обычный 4 3 21 8" xfId="38845"/>
    <cellStyle name="Процентный 4 3 21 8" xfId="38846"/>
    <cellStyle name="Обычный 5 3 21 8" xfId="38847"/>
    <cellStyle name="Процентный 5 3 21 8" xfId="38848"/>
    <cellStyle name="Обычный 4 2 2 21 8" xfId="38849"/>
    <cellStyle name="Процентный 4 2 2 21 8" xfId="38850"/>
    <cellStyle name="Обычный 5 2 2 21 8" xfId="38851"/>
    <cellStyle name="Процентный 5 2 2 21 8" xfId="38852"/>
    <cellStyle name="Обычный 6 2 21 8" xfId="38853"/>
    <cellStyle name="Процентный 6 2 21 8" xfId="38854"/>
    <cellStyle name="Обычный 7 2 21 8" xfId="38855"/>
    <cellStyle name="Процентный 7 2 21 8" xfId="38856"/>
    <cellStyle name="Обычный 8 17 8" xfId="38857"/>
    <cellStyle name="Процентный 8 17 8" xfId="38858"/>
    <cellStyle name="Обычный 4 76 8" xfId="38859"/>
    <cellStyle name="Процентный 4 76 8" xfId="38860"/>
    <cellStyle name="Обычный 5 69 8" xfId="38861"/>
    <cellStyle name="Процентный 5 69 8" xfId="38862"/>
    <cellStyle name="Обычный 4 2 63 8" xfId="38863"/>
    <cellStyle name="Процентный 4 2 63 8" xfId="38864"/>
    <cellStyle name="Обычный 5 2 63 8" xfId="38865"/>
    <cellStyle name="Процентный 5 2 63 8" xfId="38866"/>
    <cellStyle name="Обычный 6 60 8" xfId="38867"/>
    <cellStyle name="Процентный 6 60 8" xfId="38868"/>
    <cellStyle name="Обычный 7 30 8" xfId="38869"/>
    <cellStyle name="Процентный 7 30 8" xfId="38870"/>
    <cellStyle name="Обычный 4 3 22 8" xfId="38871"/>
    <cellStyle name="Процентный 4 3 22 8" xfId="38872"/>
    <cellStyle name="Обычный 5 3 22 8" xfId="38873"/>
    <cellStyle name="Процентный 5 3 22 8" xfId="38874"/>
    <cellStyle name="Обычный 4 2 2 22 8" xfId="38875"/>
    <cellStyle name="Процентный 4 2 2 22 8" xfId="38876"/>
    <cellStyle name="Обычный 5 2 2 22 8" xfId="38877"/>
    <cellStyle name="Процентный 5 2 2 22 8" xfId="38878"/>
    <cellStyle name="Обычный 6 2 22 8" xfId="38879"/>
    <cellStyle name="Процентный 6 2 22 8" xfId="38880"/>
    <cellStyle name="Обычный 7 2 22 8" xfId="38881"/>
    <cellStyle name="Процентный 7 2 22 8" xfId="38882"/>
    <cellStyle name="Обычный 8 18 8" xfId="38883"/>
    <cellStyle name="Процентный 8 18 8" xfId="38884"/>
    <cellStyle name="Обычный 4 77 8" xfId="38885"/>
    <cellStyle name="Процентный 4 77 8" xfId="38886"/>
    <cellStyle name="Обычный 5 70 8" xfId="38887"/>
    <cellStyle name="Процентный 5 70 8" xfId="38888"/>
    <cellStyle name="Обычный 4 2 64 8" xfId="38889"/>
    <cellStyle name="Процентный 4 2 64 8" xfId="38890"/>
    <cellStyle name="Обычный 5 2 64 8" xfId="38891"/>
    <cellStyle name="Процентный 5 2 64 8" xfId="38892"/>
    <cellStyle name="Обычный 6 61 8" xfId="38893"/>
    <cellStyle name="Процентный 6 61 8" xfId="38894"/>
    <cellStyle name="Обычный 7 31 8" xfId="38895"/>
    <cellStyle name="Процентный 7 31 8" xfId="38896"/>
    <cellStyle name="Обычный 4 3 23 8" xfId="38897"/>
    <cellStyle name="Процентный 4 3 23 8" xfId="38898"/>
    <cellStyle name="Обычный 5 3 23 8" xfId="38899"/>
    <cellStyle name="Процентный 5 3 23 8" xfId="38900"/>
    <cellStyle name="Обычный 4 2 2 23 8" xfId="38901"/>
    <cellStyle name="Процентный 4 2 2 23 8" xfId="38902"/>
    <cellStyle name="Обычный 5 2 2 23 8" xfId="38903"/>
    <cellStyle name="Процентный 5 2 2 23 8" xfId="38904"/>
    <cellStyle name="Обычный 6 2 23 8" xfId="38905"/>
    <cellStyle name="Процентный 6 2 23 8" xfId="38906"/>
    <cellStyle name="Обычный 7 2 23 8" xfId="38907"/>
    <cellStyle name="Процентный 7 2 23 8" xfId="38908"/>
    <cellStyle name="Обычный 8 19 8" xfId="38909"/>
    <cellStyle name="Процентный 8 19 8" xfId="38910"/>
    <cellStyle name="Обычный 4 78 8" xfId="38911"/>
    <cellStyle name="Процентный 4 78 8" xfId="38912"/>
    <cellStyle name="Обычный 5 71 8" xfId="38913"/>
    <cellStyle name="Процентный 5 71 8" xfId="38914"/>
    <cellStyle name="Обычный 4 2 65 8" xfId="38915"/>
    <cellStyle name="Процентный 4 2 65 8" xfId="38916"/>
    <cellStyle name="Обычный 5 2 65 8" xfId="38917"/>
    <cellStyle name="Процентный 5 2 65 8" xfId="38918"/>
    <cellStyle name="Обычный 6 62 8" xfId="38919"/>
    <cellStyle name="Процентный 6 62 8" xfId="38920"/>
    <cellStyle name="Обычный 7 32 8" xfId="38921"/>
    <cellStyle name="Процентный 7 32 8" xfId="38922"/>
    <cellStyle name="Обычный 4 3 24 8" xfId="38923"/>
    <cellStyle name="Процентный 4 3 24 8" xfId="38924"/>
    <cellStyle name="Обычный 5 3 24 8" xfId="38925"/>
    <cellStyle name="Процентный 5 3 24 8" xfId="38926"/>
    <cellStyle name="Обычный 4 2 2 24 8" xfId="38927"/>
    <cellStyle name="Процентный 4 2 2 24 8" xfId="38928"/>
    <cellStyle name="Обычный 5 2 2 24 8" xfId="38929"/>
    <cellStyle name="Процентный 5 2 2 24 8" xfId="38930"/>
    <cellStyle name="Обычный 6 2 24 8" xfId="38931"/>
    <cellStyle name="Процентный 6 2 24 8" xfId="38932"/>
    <cellStyle name="Обычный 7 2 24 8" xfId="38933"/>
    <cellStyle name="Процентный 7 2 24 8" xfId="38934"/>
    <cellStyle name="Обычный 8 20 8" xfId="38935"/>
    <cellStyle name="Процентный 8 20 8" xfId="38936"/>
    <cellStyle name="Обычный 4 79 8" xfId="38937"/>
    <cellStyle name="Процентный 4 79 8" xfId="38938"/>
    <cellStyle name="Обычный 5 72 8" xfId="38939"/>
    <cellStyle name="Процентный 5 72 8" xfId="38940"/>
    <cellStyle name="Обычный 4 2 66 8" xfId="38941"/>
    <cellStyle name="Процентный 4 2 66 8" xfId="38942"/>
    <cellStyle name="Обычный 5 2 66 8" xfId="38943"/>
    <cellStyle name="Процентный 5 2 66 8" xfId="38944"/>
    <cellStyle name="Обычный 6 63 8" xfId="38945"/>
    <cellStyle name="Процентный 6 63 8" xfId="38946"/>
    <cellStyle name="Обычный 7 33 8" xfId="38947"/>
    <cellStyle name="Процентный 7 33 8" xfId="38948"/>
    <cellStyle name="Обычный 4 3 25 8" xfId="38949"/>
    <cellStyle name="Процентный 4 3 25 8" xfId="38950"/>
    <cellStyle name="Обычный 5 3 25 8" xfId="38951"/>
    <cellStyle name="Процентный 5 3 25 8" xfId="38952"/>
    <cellStyle name="Обычный 4 2 2 25 8" xfId="38953"/>
    <cellStyle name="Процентный 4 2 2 25 8" xfId="38954"/>
    <cellStyle name="Обычный 5 2 2 25 8" xfId="38955"/>
    <cellStyle name="Процентный 5 2 2 25 8" xfId="38956"/>
    <cellStyle name="Обычный 6 2 25 8" xfId="38957"/>
    <cellStyle name="Процентный 6 2 25 8" xfId="38958"/>
    <cellStyle name="Обычный 7 2 25 8" xfId="38959"/>
    <cellStyle name="Процентный 7 2 25 8" xfId="38960"/>
    <cellStyle name="Обычный 8 21 8" xfId="38961"/>
    <cellStyle name="Процентный 8 21 8" xfId="38962"/>
    <cellStyle name="Обычный 4 80 8" xfId="38963"/>
    <cellStyle name="Процентный 4 80 8" xfId="38964"/>
    <cellStyle name="Обычный 5 73 8" xfId="38965"/>
    <cellStyle name="Процентный 5 73 8" xfId="38966"/>
    <cellStyle name="Обычный 4 2 67 8" xfId="38967"/>
    <cellStyle name="Процентный 4 2 67 8" xfId="38968"/>
    <cellStyle name="Обычный 5 2 67 8" xfId="38969"/>
    <cellStyle name="Процентный 5 2 67 8" xfId="38970"/>
    <cellStyle name="Обычный 6 64 8" xfId="38971"/>
    <cellStyle name="Процентный 6 64 8" xfId="38972"/>
    <cellStyle name="Обычный 7 34 8" xfId="38973"/>
    <cellStyle name="Процентный 7 34 8" xfId="38974"/>
    <cellStyle name="Обычный 4 3 26 8" xfId="38975"/>
    <cellStyle name="Процентный 4 3 26 8" xfId="38976"/>
    <cellStyle name="Обычный 5 3 26 8" xfId="38977"/>
    <cellStyle name="Процентный 5 3 26 8" xfId="38978"/>
    <cellStyle name="Обычный 4 2 2 26 8" xfId="38979"/>
    <cellStyle name="Процентный 4 2 2 26 8" xfId="38980"/>
    <cellStyle name="Обычный 5 2 2 26 8" xfId="38981"/>
    <cellStyle name="Процентный 5 2 2 26 8" xfId="38982"/>
    <cellStyle name="Обычный 6 2 26 8" xfId="38983"/>
    <cellStyle name="Процентный 6 2 26 8" xfId="38984"/>
    <cellStyle name="Обычный 7 2 26 8" xfId="38985"/>
    <cellStyle name="Процентный 7 2 26 8" xfId="38986"/>
    <cellStyle name="Обычный 8 22 8" xfId="38987"/>
    <cellStyle name="Процентный 8 22 8" xfId="38988"/>
    <cellStyle name="Обычный 4 81 8" xfId="38989"/>
    <cellStyle name="Процентный 4 81 8" xfId="38990"/>
    <cellStyle name="Обычный 5 74 8" xfId="38991"/>
    <cellStyle name="Процентный 5 74 8" xfId="38992"/>
    <cellStyle name="Обычный 4 2 68 8" xfId="38993"/>
    <cellStyle name="Процентный 4 2 68 8" xfId="38994"/>
    <cellStyle name="Обычный 5 2 68 8" xfId="38995"/>
    <cellStyle name="Процентный 5 2 68 8" xfId="38996"/>
    <cellStyle name="Обычный 6 65 8" xfId="38997"/>
    <cellStyle name="Процентный 6 65 8" xfId="38998"/>
    <cellStyle name="Обычный 7 35 8" xfId="38999"/>
    <cellStyle name="Процентный 7 35 8" xfId="39000"/>
    <cellStyle name="Обычный 4 3 27 8" xfId="39001"/>
    <cellStyle name="Процентный 4 3 27 8" xfId="39002"/>
    <cellStyle name="Обычный 5 3 27 8" xfId="39003"/>
    <cellStyle name="Процентный 5 3 27 8" xfId="39004"/>
    <cellStyle name="Обычный 4 2 2 27 8" xfId="39005"/>
    <cellStyle name="Процентный 4 2 2 27 8" xfId="39006"/>
    <cellStyle name="Обычный 5 2 2 27 8" xfId="39007"/>
    <cellStyle name="Процентный 5 2 2 27 8" xfId="39008"/>
    <cellStyle name="Обычный 6 2 27 8" xfId="39009"/>
    <cellStyle name="Процентный 6 2 27 8" xfId="39010"/>
    <cellStyle name="Обычный 7 2 27 8" xfId="39011"/>
    <cellStyle name="Процентный 7 2 27 8" xfId="39012"/>
    <cellStyle name="Обычный 8 23 8" xfId="39013"/>
    <cellStyle name="Процентный 8 23 8" xfId="39014"/>
    <cellStyle name="Обычный 4 82 8" xfId="39015"/>
    <cellStyle name="Процентный 4 82 8" xfId="39016"/>
    <cellStyle name="Обычный 5 75 8" xfId="39017"/>
    <cellStyle name="Процентный 5 75 8" xfId="39018"/>
    <cellStyle name="Обычный 4 2 69 8" xfId="39019"/>
    <cellStyle name="Процентный 4 2 69 8" xfId="39020"/>
    <cellStyle name="Обычный 5 2 69 8" xfId="39021"/>
    <cellStyle name="Процентный 5 2 69 8" xfId="39022"/>
    <cellStyle name="Обычный 6 66 8" xfId="39023"/>
    <cellStyle name="Процентный 6 66 8" xfId="39024"/>
    <cellStyle name="Обычный 7 36 8" xfId="39025"/>
    <cellStyle name="Процентный 7 36 8" xfId="39026"/>
    <cellStyle name="Обычный 4 3 28 8" xfId="39027"/>
    <cellStyle name="Процентный 4 3 28 8" xfId="39028"/>
    <cellStyle name="Обычный 5 3 28 8" xfId="39029"/>
    <cellStyle name="Процентный 5 3 28 8" xfId="39030"/>
    <cellStyle name="Обычный 4 2 2 28 8" xfId="39031"/>
    <cellStyle name="Процентный 4 2 2 28 8" xfId="39032"/>
    <cellStyle name="Обычный 5 2 2 28 8" xfId="39033"/>
    <cellStyle name="Процентный 5 2 2 28 8" xfId="39034"/>
    <cellStyle name="Обычный 6 2 28 8" xfId="39035"/>
    <cellStyle name="Процентный 6 2 28 8" xfId="39036"/>
    <cellStyle name="Обычный 7 2 28 8" xfId="39037"/>
    <cellStyle name="Процентный 7 2 28 8" xfId="39038"/>
    <cellStyle name="Обычный 8 24 8" xfId="39039"/>
    <cellStyle name="Процентный 8 24 8" xfId="39040"/>
    <cellStyle name="Обычный 4 83 8" xfId="39041"/>
    <cellStyle name="Процентный 4 83 8" xfId="39042"/>
    <cellStyle name="Обычный 5 76 8" xfId="39043"/>
    <cellStyle name="Процентный 5 76 8" xfId="39044"/>
    <cellStyle name="Обычный 4 2 70 8" xfId="39045"/>
    <cellStyle name="Процентный 4 2 70 8" xfId="39046"/>
    <cellStyle name="Обычный 5 2 70 8" xfId="39047"/>
    <cellStyle name="Процентный 5 2 70 8" xfId="39048"/>
    <cellStyle name="Обычный 6 67 8" xfId="39049"/>
    <cellStyle name="Процентный 6 67 8" xfId="39050"/>
    <cellStyle name="Обычный 7 37 8" xfId="39051"/>
    <cellStyle name="Процентный 7 37 8" xfId="39052"/>
    <cellStyle name="Обычный 4 3 29 8" xfId="39053"/>
    <cellStyle name="Процентный 4 3 29 8" xfId="39054"/>
    <cellStyle name="Обычный 5 3 29 8" xfId="39055"/>
    <cellStyle name="Процентный 5 3 29 8" xfId="39056"/>
    <cellStyle name="Обычный 4 2 2 29 8" xfId="39057"/>
    <cellStyle name="Процентный 4 2 2 29 8" xfId="39058"/>
    <cellStyle name="Обычный 5 2 2 29 8" xfId="39059"/>
    <cellStyle name="Процентный 5 2 2 29 8" xfId="39060"/>
    <cellStyle name="Обычный 6 2 29 8" xfId="39061"/>
    <cellStyle name="Процентный 6 2 29 8" xfId="39062"/>
    <cellStyle name="Обычный 7 2 29 8" xfId="39063"/>
    <cellStyle name="Процентный 7 2 29 8" xfId="39064"/>
    <cellStyle name="Обычный 8 25 8" xfId="39065"/>
    <cellStyle name="Процентный 8 25 8" xfId="39066"/>
    <cellStyle name="Обычный 4 84 8" xfId="39067"/>
    <cellStyle name="Процентный 4 84 8" xfId="39068"/>
    <cellStyle name="Обычный 5 77 8" xfId="39069"/>
    <cellStyle name="Процентный 5 77 8" xfId="39070"/>
    <cellStyle name="Обычный 4 2 71 8" xfId="39071"/>
    <cellStyle name="Процентный 4 2 71 8" xfId="39072"/>
    <cellStyle name="Обычный 5 2 71 8" xfId="39073"/>
    <cellStyle name="Процентный 5 2 71 8" xfId="39074"/>
    <cellStyle name="Обычный 6 68 8" xfId="39075"/>
    <cellStyle name="Процентный 6 68 8" xfId="39076"/>
    <cellStyle name="Обычный 7 38 8" xfId="39077"/>
    <cellStyle name="Процентный 7 38 8" xfId="39078"/>
    <cellStyle name="Обычный 4 3 30 8" xfId="39079"/>
    <cellStyle name="Процентный 4 3 30 8" xfId="39080"/>
    <cellStyle name="Обычный 5 3 30 8" xfId="39081"/>
    <cellStyle name="Процентный 5 3 30 8" xfId="39082"/>
    <cellStyle name="Обычный 4 2 2 30 8" xfId="39083"/>
    <cellStyle name="Процентный 4 2 2 30 8" xfId="39084"/>
    <cellStyle name="Обычный 5 2 2 30 8" xfId="39085"/>
    <cellStyle name="Процентный 5 2 2 30 8" xfId="39086"/>
    <cellStyle name="Обычный 6 2 30 8" xfId="39087"/>
    <cellStyle name="Процентный 6 2 30 8" xfId="39088"/>
    <cellStyle name="Обычный 7 2 30 8" xfId="39089"/>
    <cellStyle name="Процентный 7 2 30 8" xfId="39090"/>
    <cellStyle name="Обычный 8 26 8" xfId="39091"/>
    <cellStyle name="Процентный 8 26 8" xfId="39092"/>
    <cellStyle name="Обычный 4 85 8" xfId="39093"/>
    <cellStyle name="Процентный 4 85 8" xfId="39094"/>
    <cellStyle name="Обычный 5 78 8" xfId="39095"/>
    <cellStyle name="Процентный 5 78 8" xfId="39096"/>
    <cellStyle name="Обычный 4 2 72 8" xfId="39097"/>
    <cellStyle name="Процентный 4 2 72 8" xfId="39098"/>
    <cellStyle name="Обычный 5 2 72 8" xfId="39099"/>
    <cellStyle name="Процентный 5 2 72 8" xfId="39100"/>
    <cellStyle name="Обычный 6 69 8" xfId="39101"/>
    <cellStyle name="Процентный 6 69 8" xfId="39102"/>
    <cellStyle name="Обычный 7 39 8" xfId="39103"/>
    <cellStyle name="Процентный 7 39 8" xfId="39104"/>
    <cellStyle name="Обычный 4 3 31 8" xfId="39105"/>
    <cellStyle name="Процентный 4 3 31 8" xfId="39106"/>
    <cellStyle name="Обычный 5 3 31 8" xfId="39107"/>
    <cellStyle name="Процентный 5 3 31 8" xfId="39108"/>
    <cellStyle name="Обычный 4 2 2 31 8" xfId="39109"/>
    <cellStyle name="Процентный 4 2 2 31 8" xfId="39110"/>
    <cellStyle name="Обычный 5 2 2 31 8" xfId="39111"/>
    <cellStyle name="Процентный 5 2 2 31 8" xfId="39112"/>
    <cellStyle name="Обычный 6 2 31 8" xfId="39113"/>
    <cellStyle name="Процентный 6 2 31 8" xfId="39114"/>
    <cellStyle name="Обычный 7 2 31 8" xfId="39115"/>
    <cellStyle name="Процентный 7 2 31 8" xfId="39116"/>
    <cellStyle name="Обычный 8 27 8" xfId="39117"/>
    <cellStyle name="Процентный 8 27 8" xfId="39118"/>
    <cellStyle name="Обычный 4 86 8" xfId="39119"/>
    <cellStyle name="Процентный 4 86 8" xfId="39120"/>
    <cellStyle name="Обычный 5 79 8" xfId="39121"/>
    <cellStyle name="Процентный 5 79 8" xfId="39122"/>
    <cellStyle name="Обычный 4 2 73 8" xfId="39123"/>
    <cellStyle name="Процентный 4 2 73 8" xfId="39124"/>
    <cellStyle name="Обычный 5 2 73 8" xfId="39125"/>
    <cellStyle name="Процентный 5 2 73 8" xfId="39126"/>
    <cellStyle name="Обычный 6 70 8" xfId="39127"/>
    <cellStyle name="Процентный 6 70 8" xfId="39128"/>
    <cellStyle name="Обычный 7 40 8" xfId="39129"/>
    <cellStyle name="Процентный 7 40 8" xfId="39130"/>
    <cellStyle name="Обычный 4 3 32 8" xfId="39131"/>
    <cellStyle name="Процентный 4 3 32 8" xfId="39132"/>
    <cellStyle name="Обычный 5 3 32 8" xfId="39133"/>
    <cellStyle name="Процентный 5 3 32 8" xfId="39134"/>
    <cellStyle name="Обычный 4 2 2 32 8" xfId="39135"/>
    <cellStyle name="Процентный 4 2 2 32 8" xfId="39136"/>
    <cellStyle name="Обычный 5 2 2 32 8" xfId="39137"/>
    <cellStyle name="Процентный 5 2 2 32 8" xfId="39138"/>
    <cellStyle name="Обычный 6 2 32 8" xfId="39139"/>
    <cellStyle name="Процентный 6 2 32 8" xfId="39140"/>
    <cellStyle name="Обычный 7 2 32 8" xfId="39141"/>
    <cellStyle name="Процентный 7 2 32 8" xfId="39142"/>
    <cellStyle name="Обычный 8 28 8" xfId="39143"/>
    <cellStyle name="Процентный 8 28 8" xfId="39144"/>
    <cellStyle name="Обычный 4 87 8" xfId="39145"/>
    <cellStyle name="Процентный 4 87 8" xfId="39146"/>
    <cellStyle name="Обычный 5 80 8" xfId="39147"/>
    <cellStyle name="Процентный 5 80 8" xfId="39148"/>
    <cellStyle name="Обычный 4 2 74 8" xfId="39149"/>
    <cellStyle name="Процентный 4 2 74 8" xfId="39150"/>
    <cellStyle name="Обычный 5 2 74 8" xfId="39151"/>
    <cellStyle name="Процентный 5 2 74 8" xfId="39152"/>
    <cellStyle name="Обычный 6 71 8" xfId="39153"/>
    <cellStyle name="Процентный 6 71 8" xfId="39154"/>
    <cellStyle name="Обычный 7 41 8" xfId="39155"/>
    <cellStyle name="Процентный 7 41 8" xfId="39156"/>
    <cellStyle name="Обычный 4 3 33 8" xfId="39157"/>
    <cellStyle name="Процентный 4 3 33 8" xfId="39158"/>
    <cellStyle name="Обычный 5 3 33 8" xfId="39159"/>
    <cellStyle name="Процентный 5 3 33 8" xfId="39160"/>
    <cellStyle name="Обычный 4 2 2 33 8" xfId="39161"/>
    <cellStyle name="Процентный 4 2 2 33 8" xfId="39162"/>
    <cellStyle name="Обычный 5 2 2 33 8" xfId="39163"/>
    <cellStyle name="Процентный 5 2 2 33 8" xfId="39164"/>
    <cellStyle name="Обычный 6 2 33 8" xfId="39165"/>
    <cellStyle name="Процентный 6 2 33 8" xfId="39166"/>
    <cellStyle name="Обычный 7 2 33 8" xfId="39167"/>
    <cellStyle name="Процентный 7 2 33 8" xfId="39168"/>
    <cellStyle name="Обычный 8 29 8" xfId="39169"/>
    <cellStyle name="Процентный 8 29 8" xfId="39170"/>
    <cellStyle name="Обычный 4 88 8" xfId="39171"/>
    <cellStyle name="Процентный 4 88 8" xfId="39172"/>
    <cellStyle name="Обычный 5 81 8" xfId="39173"/>
    <cellStyle name="Процентный 5 81 8" xfId="39174"/>
    <cellStyle name="Обычный 4 2 75 8" xfId="39175"/>
    <cellStyle name="Процентный 4 2 75 8" xfId="39176"/>
    <cellStyle name="Обычный 5 2 75 8" xfId="39177"/>
    <cellStyle name="Процентный 5 2 75 8" xfId="39178"/>
    <cellStyle name="Обычный 6 72 8" xfId="39179"/>
    <cellStyle name="Процентный 6 72 8" xfId="39180"/>
    <cellStyle name="Обычный 7 42 8" xfId="39181"/>
    <cellStyle name="Процентный 7 42 8" xfId="39182"/>
    <cellStyle name="Обычный 4 3 34 8" xfId="39183"/>
    <cellStyle name="Процентный 4 3 34 8" xfId="39184"/>
    <cellStyle name="Обычный 5 3 34 8" xfId="39185"/>
    <cellStyle name="Процентный 5 3 34 8" xfId="39186"/>
    <cellStyle name="Обычный 4 2 2 34 8" xfId="39187"/>
    <cellStyle name="Процентный 4 2 2 34 8" xfId="39188"/>
    <cellStyle name="Обычный 5 2 2 34 8" xfId="39189"/>
    <cellStyle name="Процентный 5 2 2 34 8" xfId="39190"/>
    <cellStyle name="Обычный 6 2 34 8" xfId="39191"/>
    <cellStyle name="Процентный 6 2 34 8" xfId="39192"/>
    <cellStyle name="Обычный 7 2 34 8" xfId="39193"/>
    <cellStyle name="Процентный 7 2 34 8" xfId="39194"/>
    <cellStyle name="Обычный 8 30 8" xfId="39195"/>
    <cellStyle name="Процентный 8 30 8" xfId="39196"/>
    <cellStyle name="Обычный 4 89 8" xfId="39197"/>
    <cellStyle name="Процентный 4 89 8" xfId="39198"/>
    <cellStyle name="Обычный 5 82 8" xfId="39199"/>
    <cellStyle name="Процентный 5 82 8" xfId="39200"/>
    <cellStyle name="Обычный 4 2 76 8" xfId="39201"/>
    <cellStyle name="Процентный 4 2 76 8" xfId="39202"/>
    <cellStyle name="Обычный 5 2 76 8" xfId="39203"/>
    <cellStyle name="Процентный 5 2 76 8" xfId="39204"/>
    <cellStyle name="Обычный 6 73 8" xfId="39205"/>
    <cellStyle name="Процентный 6 73 8" xfId="39206"/>
    <cellStyle name="Обычный 7 43 8" xfId="39207"/>
    <cellStyle name="Процентный 7 43 8" xfId="39208"/>
    <cellStyle name="Обычный 4 3 35 8" xfId="39209"/>
    <cellStyle name="Процентный 4 3 35 8" xfId="39210"/>
    <cellStyle name="Обычный 5 3 35 8" xfId="39211"/>
    <cellStyle name="Процентный 5 3 35 8" xfId="39212"/>
    <cellStyle name="Обычный 4 2 2 35 8" xfId="39213"/>
    <cellStyle name="Процентный 4 2 2 35 8" xfId="39214"/>
    <cellStyle name="Обычный 5 2 2 35 8" xfId="39215"/>
    <cellStyle name="Процентный 5 2 2 35 8" xfId="39216"/>
    <cellStyle name="Обычный 6 2 35 8" xfId="39217"/>
    <cellStyle name="Процентный 6 2 35 8" xfId="39218"/>
    <cellStyle name="Обычный 7 2 35 8" xfId="39219"/>
    <cellStyle name="Процентный 7 2 35 8" xfId="39220"/>
    <cellStyle name="Обычный 8 31 8" xfId="39221"/>
    <cellStyle name="Процентный 8 31 8" xfId="39222"/>
    <cellStyle name="Обычный 4 90 8" xfId="39223"/>
    <cellStyle name="Процентный 4 90 8" xfId="39224"/>
    <cellStyle name="Обычный 5 83 8" xfId="39225"/>
    <cellStyle name="Процентный 5 83 8" xfId="39226"/>
    <cellStyle name="Обычный 4 2 77 8" xfId="39227"/>
    <cellStyle name="Процентный 4 2 77 8" xfId="39228"/>
    <cellStyle name="Обычный 5 2 77 8" xfId="39229"/>
    <cellStyle name="Процентный 5 2 77 8" xfId="39230"/>
    <cellStyle name="Обычный 6 74 8" xfId="39231"/>
    <cellStyle name="Процентный 6 74 8" xfId="39232"/>
    <cellStyle name="Обычный 7 44 8" xfId="39233"/>
    <cellStyle name="Процентный 7 44 8" xfId="39234"/>
    <cellStyle name="Обычный 4 3 36 8" xfId="39235"/>
    <cellStyle name="Процентный 4 3 36 8" xfId="39236"/>
    <cellStyle name="Обычный 5 3 36 8" xfId="39237"/>
    <cellStyle name="Процентный 5 3 36 8" xfId="39238"/>
    <cellStyle name="Обычный 4 2 2 36 8" xfId="39239"/>
    <cellStyle name="Процентный 4 2 2 36 8" xfId="39240"/>
    <cellStyle name="Обычный 5 2 2 36 8" xfId="39241"/>
    <cellStyle name="Процентный 5 2 2 36 8" xfId="39242"/>
    <cellStyle name="Обычный 6 2 36 8" xfId="39243"/>
    <cellStyle name="Процентный 6 2 36 8" xfId="39244"/>
    <cellStyle name="Обычный 7 2 36 8" xfId="39245"/>
    <cellStyle name="Процентный 7 2 36 8" xfId="39246"/>
    <cellStyle name="Обычный 8 32 8" xfId="39247"/>
    <cellStyle name="Процентный 8 32 8" xfId="39248"/>
    <cellStyle name="Обычный 4 91 8" xfId="39249"/>
    <cellStyle name="Процентный 4 91 8" xfId="39250"/>
    <cellStyle name="Обычный 5 84 8" xfId="39251"/>
    <cellStyle name="Процентный 5 84 8" xfId="39252"/>
    <cellStyle name="Обычный 4 2 78 8" xfId="39253"/>
    <cellStyle name="Процентный 4 2 78 8" xfId="39254"/>
    <cellStyle name="Обычный 5 2 78 8" xfId="39255"/>
    <cellStyle name="Процентный 5 2 78 8" xfId="39256"/>
    <cellStyle name="Обычный 6 75 8" xfId="39257"/>
    <cellStyle name="Процентный 6 75 8" xfId="39258"/>
    <cellStyle name="Обычный 7 45 8" xfId="39259"/>
    <cellStyle name="Процентный 7 45 8" xfId="39260"/>
    <cellStyle name="Обычный 4 3 37 8" xfId="39261"/>
    <cellStyle name="Процентный 4 3 37 8" xfId="39262"/>
    <cellStyle name="Обычный 5 3 37 8" xfId="39263"/>
    <cellStyle name="Процентный 5 3 37 8" xfId="39264"/>
    <cellStyle name="Обычный 4 2 2 37 8" xfId="39265"/>
    <cellStyle name="Процентный 4 2 2 37 8" xfId="39266"/>
    <cellStyle name="Обычный 5 2 2 37 8" xfId="39267"/>
    <cellStyle name="Процентный 5 2 2 37 8" xfId="39268"/>
    <cellStyle name="Обычный 6 2 37 8" xfId="39269"/>
    <cellStyle name="Процентный 6 2 37 8" xfId="39270"/>
    <cellStyle name="Обычный 7 2 37 8" xfId="39271"/>
    <cellStyle name="Процентный 7 2 37 8" xfId="39272"/>
    <cellStyle name="Обычный 8 33 8" xfId="39273"/>
    <cellStyle name="Процентный 8 33 8" xfId="39274"/>
    <cellStyle name="Обычный 4 92 8" xfId="39275"/>
    <cellStyle name="Процентный 4 92 8" xfId="39276"/>
    <cellStyle name="Обычный 5 85 8" xfId="39277"/>
    <cellStyle name="Процентный 5 85 8" xfId="39278"/>
    <cellStyle name="Обычный 4 2 79 8" xfId="39279"/>
    <cellStyle name="Процентный 4 2 79 8" xfId="39280"/>
    <cellStyle name="Обычный 5 2 79 8" xfId="39281"/>
    <cellStyle name="Процентный 5 2 79 8" xfId="39282"/>
    <cellStyle name="Обычный 6 76 8" xfId="39283"/>
    <cellStyle name="Процентный 6 76 8" xfId="39284"/>
    <cellStyle name="Обычный 7 46 8" xfId="39285"/>
    <cellStyle name="Процентный 7 46 8" xfId="39286"/>
    <cellStyle name="Обычный 4 3 38 8" xfId="39287"/>
    <cellStyle name="Процентный 4 3 38 8" xfId="39288"/>
    <cellStyle name="Обычный 5 3 38 8" xfId="39289"/>
    <cellStyle name="Процентный 5 3 38 8" xfId="39290"/>
    <cellStyle name="Обычный 4 2 2 38 8" xfId="39291"/>
    <cellStyle name="Процентный 4 2 2 38 8" xfId="39292"/>
    <cellStyle name="Обычный 5 2 2 38 8" xfId="39293"/>
    <cellStyle name="Процентный 5 2 2 38 8" xfId="39294"/>
    <cellStyle name="Обычный 6 2 38 8" xfId="39295"/>
    <cellStyle name="Процентный 6 2 38 8" xfId="39296"/>
    <cellStyle name="Обычный 7 2 38 8" xfId="39297"/>
    <cellStyle name="Процентный 7 2 38 8" xfId="39298"/>
    <cellStyle name="Обычный 8 34 8" xfId="39299"/>
    <cellStyle name="Процентный 8 34 8" xfId="39300"/>
    <cellStyle name="Обычный 4 93 8" xfId="39301"/>
    <cellStyle name="Процентный 4 93 8" xfId="39302"/>
    <cellStyle name="Обычный 5 86 8" xfId="39303"/>
    <cellStyle name="Процентный 5 86 8" xfId="39304"/>
    <cellStyle name="Обычный 4 2 80 8" xfId="39305"/>
    <cellStyle name="Процентный 4 2 80 8" xfId="39306"/>
    <cellStyle name="Обычный 5 2 80 8" xfId="39307"/>
    <cellStyle name="Процентный 5 2 80 8" xfId="39308"/>
    <cellStyle name="Обычный 6 77 8" xfId="39309"/>
    <cellStyle name="Процентный 6 77 8" xfId="39310"/>
    <cellStyle name="Обычный 7 47 8" xfId="39311"/>
    <cellStyle name="Процентный 7 47 8" xfId="39312"/>
    <cellStyle name="Обычный 4 3 39 8" xfId="39313"/>
    <cellStyle name="Процентный 4 3 39 8" xfId="39314"/>
    <cellStyle name="Обычный 5 3 39 8" xfId="39315"/>
    <cellStyle name="Процентный 5 3 39 8" xfId="39316"/>
    <cellStyle name="Обычный 4 2 2 39 8" xfId="39317"/>
    <cellStyle name="Процентный 4 2 2 39 8" xfId="39318"/>
    <cellStyle name="Обычный 5 2 2 39 8" xfId="39319"/>
    <cellStyle name="Процентный 5 2 2 39 8" xfId="39320"/>
    <cellStyle name="Обычный 6 2 39 8" xfId="39321"/>
    <cellStyle name="Процентный 6 2 39 8" xfId="39322"/>
    <cellStyle name="Обычный 7 2 39 8" xfId="39323"/>
    <cellStyle name="Процентный 7 2 39 8" xfId="39324"/>
    <cellStyle name="Обычный 8 35 8" xfId="39325"/>
    <cellStyle name="Процентный 8 35 8" xfId="39326"/>
    <cellStyle name="Обычный 9 117" xfId="39327"/>
    <cellStyle name="Процентный 9 2 8" xfId="39328"/>
    <cellStyle name="Обычный 4 94 8" xfId="39329"/>
    <cellStyle name="Процентный 4 94 8" xfId="39330"/>
    <cellStyle name="Обычный 5 87 8" xfId="39331"/>
    <cellStyle name="Процентный 5 87 8" xfId="39332"/>
    <cellStyle name="Обычный 4 2 81 8" xfId="39333"/>
    <cellStyle name="Процентный 4 2 81 8" xfId="39334"/>
    <cellStyle name="Обычный 5 2 81 8" xfId="39335"/>
    <cellStyle name="Процентный 5 2 81 8" xfId="39336"/>
    <cellStyle name="Обычный 6 78 8" xfId="39337"/>
    <cellStyle name="Процентный 6 78 8" xfId="39338"/>
    <cellStyle name="Обычный 7 48 8" xfId="39339"/>
    <cellStyle name="Процентный 7 48 8" xfId="39340"/>
    <cellStyle name="Обычный 4 3 40 8" xfId="39341"/>
    <cellStyle name="Процентный 4 3 40 8" xfId="39342"/>
    <cellStyle name="Обычный 5 3 40 8" xfId="39343"/>
    <cellStyle name="Процентный 5 3 40 8" xfId="39344"/>
    <cellStyle name="Обычный 4 2 2 40 8" xfId="39345"/>
    <cellStyle name="Процентный 4 2 2 40 8" xfId="39346"/>
    <cellStyle name="Обычный 5 2 2 40 8" xfId="39347"/>
    <cellStyle name="Процентный 5 2 2 40 8" xfId="39348"/>
    <cellStyle name="Обычный 6 2 40 8" xfId="39349"/>
    <cellStyle name="Процентный 6 2 40 8" xfId="39350"/>
    <cellStyle name="Обычный 7 2 40 8" xfId="39351"/>
    <cellStyle name="Процентный 7 2 40 8" xfId="39352"/>
    <cellStyle name="Обычный 8 36 8" xfId="39353"/>
    <cellStyle name="Процентный 8 36 8" xfId="39354"/>
    <cellStyle name="Обычный 9 2 8" xfId="39355"/>
    <cellStyle name="Процентный 9 3 8" xfId="39356"/>
    <cellStyle name="Обычный 4 95 8" xfId="39357"/>
    <cellStyle name="Процентный 4 95 8" xfId="39358"/>
    <cellStyle name="Обычный 5 88 8" xfId="39359"/>
    <cellStyle name="Процентный 5 88 8" xfId="39360"/>
    <cellStyle name="Обычный 4 2 82 8" xfId="39361"/>
    <cellStyle name="Процентный 4 2 82 8" xfId="39362"/>
    <cellStyle name="Обычный 5 2 82 8" xfId="39363"/>
    <cellStyle name="Процентный 5 2 82 8" xfId="39364"/>
    <cellStyle name="Обычный 6 79 8" xfId="39365"/>
    <cellStyle name="Процентный 6 79 8" xfId="39366"/>
    <cellStyle name="Обычный 7 49 8" xfId="39367"/>
    <cellStyle name="Процентный 7 49 8" xfId="39368"/>
    <cellStyle name="Обычный 4 3 41 8" xfId="39369"/>
    <cellStyle name="Процентный 4 3 41 8" xfId="39370"/>
    <cellStyle name="Обычный 5 3 41 8" xfId="39371"/>
    <cellStyle name="Процентный 5 3 41 8" xfId="39372"/>
    <cellStyle name="Обычный 4 2 2 41 8" xfId="39373"/>
    <cellStyle name="Процентный 4 2 2 41 8" xfId="39374"/>
    <cellStyle name="Обычный 5 2 2 41 8" xfId="39375"/>
    <cellStyle name="Процентный 5 2 2 41 8" xfId="39376"/>
    <cellStyle name="Обычный 6 2 41 8" xfId="39377"/>
    <cellStyle name="Процентный 6 2 41 8" xfId="39378"/>
    <cellStyle name="Обычный 7 2 41 8" xfId="39379"/>
    <cellStyle name="Процентный 7 2 41 8" xfId="39380"/>
    <cellStyle name="Обычный 8 37 8" xfId="39381"/>
    <cellStyle name="Процентный 8 37 8" xfId="39382"/>
    <cellStyle name="Обычный 9 3 8" xfId="39383"/>
    <cellStyle name="Процентный 9 4 8" xfId="39384"/>
    <cellStyle name="Обычный 4 96 8" xfId="39385"/>
    <cellStyle name="Процентный 4 96 8" xfId="39386"/>
    <cellStyle name="Обычный 5 89 8" xfId="39387"/>
    <cellStyle name="Процентный 5 89 8" xfId="39388"/>
    <cellStyle name="Обычный 4 2 83 8" xfId="39389"/>
    <cellStyle name="Процентный 4 2 83 8" xfId="39390"/>
    <cellStyle name="Обычный 5 2 83 8" xfId="39391"/>
    <cellStyle name="Процентный 5 2 83 8" xfId="39392"/>
    <cellStyle name="Обычный 6 80 8" xfId="39393"/>
    <cellStyle name="Процентный 6 80 8" xfId="39394"/>
    <cellStyle name="Обычный 7 50 8" xfId="39395"/>
    <cellStyle name="Процентный 7 50 8" xfId="39396"/>
    <cellStyle name="Обычный 4 3 42 8" xfId="39397"/>
    <cellStyle name="Процентный 4 3 42 8" xfId="39398"/>
    <cellStyle name="Обычный 5 3 42 8" xfId="39399"/>
    <cellStyle name="Процентный 5 3 42 8" xfId="39400"/>
    <cellStyle name="Обычный 4 2 2 42 8" xfId="39401"/>
    <cellStyle name="Процентный 4 2 2 42 8" xfId="39402"/>
    <cellStyle name="Обычный 5 2 2 42 8" xfId="39403"/>
    <cellStyle name="Процентный 5 2 2 42 8" xfId="39404"/>
    <cellStyle name="Обычный 6 2 42 8" xfId="39405"/>
    <cellStyle name="Процентный 6 2 42 8" xfId="39406"/>
    <cellStyle name="Обычный 7 2 42 8" xfId="39407"/>
    <cellStyle name="Процентный 7 2 42 8" xfId="39408"/>
    <cellStyle name="Обычный 8 38 8" xfId="39409"/>
    <cellStyle name="Процентный 8 38 8" xfId="39410"/>
    <cellStyle name="Обычный 9 4 8" xfId="39411"/>
    <cellStyle name="Процентный 9 5 8" xfId="39412"/>
    <cellStyle name="Обычный 4 97 8" xfId="39413"/>
    <cellStyle name="Процентный 4 97 8" xfId="39414"/>
    <cellStyle name="Обычный 5 90 8" xfId="39415"/>
    <cellStyle name="Процентный 5 90 8" xfId="39416"/>
    <cellStyle name="Обычный 4 2 84 8" xfId="39417"/>
    <cellStyle name="Процентный 4 2 84 8" xfId="39418"/>
    <cellStyle name="Обычный 5 2 84 8" xfId="39419"/>
    <cellStyle name="Процентный 5 2 84 8" xfId="39420"/>
    <cellStyle name="Обычный 6 81 8" xfId="39421"/>
    <cellStyle name="Процентный 6 81 8" xfId="39422"/>
    <cellStyle name="Обычный 7 51 8" xfId="39423"/>
    <cellStyle name="Процентный 7 51 8" xfId="39424"/>
    <cellStyle name="Обычный 4 3 43 8" xfId="39425"/>
    <cellStyle name="Процентный 4 3 43 8" xfId="39426"/>
    <cellStyle name="Обычный 5 3 43 8" xfId="39427"/>
    <cellStyle name="Процентный 5 3 43 8" xfId="39428"/>
    <cellStyle name="Обычный 4 2 2 43 8" xfId="39429"/>
    <cellStyle name="Процентный 4 2 2 43 8" xfId="39430"/>
    <cellStyle name="Обычный 5 2 2 43 8" xfId="39431"/>
    <cellStyle name="Процентный 5 2 2 43 8" xfId="39432"/>
    <cellStyle name="Обычный 6 2 43 8" xfId="39433"/>
    <cellStyle name="Процентный 6 2 43 8" xfId="39434"/>
    <cellStyle name="Обычный 7 2 43 8" xfId="39435"/>
    <cellStyle name="Процентный 7 2 43 8" xfId="39436"/>
    <cellStyle name="Обычный 8 39 8" xfId="39437"/>
    <cellStyle name="Процентный 8 39 8" xfId="39438"/>
    <cellStyle name="Обычный 9 5 8" xfId="39439"/>
    <cellStyle name="Процентный 9 6 8" xfId="39440"/>
    <cellStyle name="Обычный 4 98 8" xfId="39441"/>
    <cellStyle name="Процентный 4 98 8" xfId="39442"/>
    <cellStyle name="Обычный 5 91 8" xfId="39443"/>
    <cellStyle name="Процентный 5 91 8" xfId="39444"/>
    <cellStyle name="Обычный 4 2 85 8" xfId="39445"/>
    <cellStyle name="Процентный 4 2 85 8" xfId="39446"/>
    <cellStyle name="Обычный 5 2 85 8" xfId="39447"/>
    <cellStyle name="Процентный 5 2 85 8" xfId="39448"/>
    <cellStyle name="Обычный 6 82 8" xfId="39449"/>
    <cellStyle name="Процентный 6 82 8" xfId="39450"/>
    <cellStyle name="Обычный 7 52 8" xfId="39451"/>
    <cellStyle name="Процентный 7 52 8" xfId="39452"/>
    <cellStyle name="Обычный 4 3 44 8" xfId="39453"/>
    <cellStyle name="Процентный 4 3 44 8" xfId="39454"/>
    <cellStyle name="Обычный 5 3 44 8" xfId="39455"/>
    <cellStyle name="Процентный 5 3 44 8" xfId="39456"/>
    <cellStyle name="Обычный 4 2 2 44 8" xfId="39457"/>
    <cellStyle name="Процентный 4 2 2 44 8" xfId="39458"/>
    <cellStyle name="Обычный 5 2 2 44 8" xfId="39459"/>
    <cellStyle name="Процентный 5 2 2 44 8" xfId="39460"/>
    <cellStyle name="Обычный 6 2 44 8" xfId="39461"/>
    <cellStyle name="Процентный 6 2 44 8" xfId="39462"/>
    <cellStyle name="Обычный 7 2 44 8" xfId="39463"/>
    <cellStyle name="Процентный 7 2 44 8" xfId="39464"/>
    <cellStyle name="Обычный 8 40 8" xfId="39465"/>
    <cellStyle name="Процентный 8 40 8" xfId="39466"/>
    <cellStyle name="Обычный 9 6 8" xfId="39467"/>
    <cellStyle name="Процентный 9 7 8" xfId="39468"/>
    <cellStyle name="Обычный 4 99 8" xfId="39469"/>
    <cellStyle name="Процентный 4 99 8" xfId="39470"/>
    <cellStyle name="Обычный 5 92 8" xfId="39471"/>
    <cellStyle name="Процентный 5 92 8" xfId="39472"/>
    <cellStyle name="Обычный 4 2 86 8" xfId="39473"/>
    <cellStyle name="Процентный 4 2 86 8" xfId="39474"/>
    <cellStyle name="Обычный 5 2 86 8" xfId="39475"/>
    <cellStyle name="Процентный 5 2 86 8" xfId="39476"/>
    <cellStyle name="Обычный 6 83 8" xfId="39477"/>
    <cellStyle name="Процентный 6 83 8" xfId="39478"/>
    <cellStyle name="Обычный 7 53 8" xfId="39479"/>
    <cellStyle name="Процентный 7 53 8" xfId="39480"/>
    <cellStyle name="Обычный 4 3 45 8" xfId="39481"/>
    <cellStyle name="Процентный 4 3 45 8" xfId="39482"/>
    <cellStyle name="Обычный 5 3 45 8" xfId="39483"/>
    <cellStyle name="Процентный 5 3 45 8" xfId="39484"/>
    <cellStyle name="Обычный 4 2 2 45 8" xfId="39485"/>
    <cellStyle name="Процентный 4 2 2 45 8" xfId="39486"/>
    <cellStyle name="Обычный 5 2 2 45 8" xfId="39487"/>
    <cellStyle name="Процентный 5 2 2 45 8" xfId="39488"/>
    <cellStyle name="Обычный 6 2 45 8" xfId="39489"/>
    <cellStyle name="Процентный 6 2 45 8" xfId="39490"/>
    <cellStyle name="Обычный 7 2 45 8" xfId="39491"/>
    <cellStyle name="Процентный 7 2 45 8" xfId="39492"/>
    <cellStyle name="Обычный 8 41 8" xfId="39493"/>
    <cellStyle name="Процентный 8 41 8" xfId="39494"/>
    <cellStyle name="Обычный 9 7 8" xfId="39495"/>
    <cellStyle name="Процентный 9 8 8" xfId="39496"/>
    <cellStyle name="Обычный 4 100 8" xfId="39497"/>
    <cellStyle name="Процентный 4 100 8" xfId="39498"/>
    <cellStyle name="Обычный 5 93 8" xfId="39499"/>
    <cellStyle name="Процентный 5 93 8" xfId="39500"/>
    <cellStyle name="Обычный 4 2 87 8" xfId="39501"/>
    <cellStyle name="Процентный 4 2 87 8" xfId="39502"/>
    <cellStyle name="Обычный 5 2 87 8" xfId="39503"/>
    <cellStyle name="Процентный 5 2 87 8" xfId="39504"/>
    <cellStyle name="Обычный 6 84 8" xfId="39505"/>
    <cellStyle name="Процентный 6 84 8" xfId="39506"/>
    <cellStyle name="Обычный 7 54 8" xfId="39507"/>
    <cellStyle name="Процентный 7 54 8" xfId="39508"/>
    <cellStyle name="Обычный 4 3 46 8" xfId="39509"/>
    <cellStyle name="Процентный 4 3 46 8" xfId="39510"/>
    <cellStyle name="Обычный 5 3 46 8" xfId="39511"/>
    <cellStyle name="Процентный 5 3 46 8" xfId="39512"/>
    <cellStyle name="Обычный 4 2 2 46 8" xfId="39513"/>
    <cellStyle name="Процентный 4 2 2 46 8" xfId="39514"/>
    <cellStyle name="Обычный 5 2 2 46 8" xfId="39515"/>
    <cellStyle name="Процентный 5 2 2 46 8" xfId="39516"/>
    <cellStyle name="Обычный 6 2 46 8" xfId="39517"/>
    <cellStyle name="Процентный 6 2 46 8" xfId="39518"/>
    <cellStyle name="Обычный 7 2 46 8" xfId="39519"/>
    <cellStyle name="Процентный 7 2 46 8" xfId="39520"/>
    <cellStyle name="Обычный 8 42 8" xfId="39521"/>
    <cellStyle name="Процентный 8 42 8" xfId="39522"/>
    <cellStyle name="Обычный 9 8 8" xfId="39523"/>
    <cellStyle name="Процентный 9 9 8" xfId="39524"/>
    <cellStyle name="Обычный 10 110" xfId="39525"/>
    <cellStyle name="Процентный 10 110" xfId="39526"/>
    <cellStyle name="Обычный 4 101 8" xfId="39527"/>
    <cellStyle name="Процентный 4 101 8" xfId="39528"/>
    <cellStyle name="Обычный 5 94 8" xfId="39529"/>
    <cellStyle name="Процентный 5 94 8" xfId="39530"/>
    <cellStyle name="Обычный 4 2 88 8" xfId="39531"/>
    <cellStyle name="Процентный 4 2 88 8" xfId="39532"/>
    <cellStyle name="Обычный 5 2 88 8" xfId="39533"/>
    <cellStyle name="Процентный 5 2 88 8" xfId="39534"/>
    <cellStyle name="Обычный 6 85 8" xfId="39535"/>
    <cellStyle name="Процентный 6 85 8" xfId="39536"/>
    <cellStyle name="Обычный 7 55 8" xfId="39537"/>
    <cellStyle name="Процентный 7 55 8" xfId="39538"/>
    <cellStyle name="Обычный 4 3 47 8" xfId="39539"/>
    <cellStyle name="Процентный 4 3 47 8" xfId="39540"/>
    <cellStyle name="Обычный 5 3 47 8" xfId="39541"/>
    <cellStyle name="Процентный 5 3 47 8" xfId="39542"/>
    <cellStyle name="Обычный 4 2 2 47 8" xfId="39543"/>
    <cellStyle name="Процентный 4 2 2 47 8" xfId="39544"/>
    <cellStyle name="Обычный 5 2 2 47 8" xfId="39545"/>
    <cellStyle name="Процентный 5 2 2 47 8" xfId="39546"/>
    <cellStyle name="Обычный 6 2 47 8" xfId="39547"/>
    <cellStyle name="Процентный 6 2 47 8" xfId="39548"/>
    <cellStyle name="Обычный 7 2 47 8" xfId="39549"/>
    <cellStyle name="Процентный 7 2 47 8" xfId="39550"/>
    <cellStyle name="Обычный 8 43 8" xfId="39551"/>
    <cellStyle name="Процентный 8 43 8" xfId="39552"/>
    <cellStyle name="Обычный 9 9 8" xfId="39553"/>
    <cellStyle name="Процентный 9 10 8" xfId="39554"/>
    <cellStyle name="Обычный 10 2 8" xfId="39555"/>
    <cellStyle name="Процентный 10 2 8" xfId="39556"/>
    <cellStyle name="Обычный 4 102 8" xfId="39557"/>
    <cellStyle name="Процентный 4 102 8" xfId="39558"/>
    <cellStyle name="Обычный 5 95 8" xfId="39559"/>
    <cellStyle name="Процентный 5 95 8" xfId="39560"/>
    <cellStyle name="Обычный 4 2 89 8" xfId="39561"/>
    <cellStyle name="Процентный 4 2 89 8" xfId="39562"/>
    <cellStyle name="Обычный 5 2 89 8" xfId="39563"/>
    <cellStyle name="Процентный 5 2 89 8" xfId="39564"/>
    <cellStyle name="Обычный 6 86 8" xfId="39565"/>
    <cellStyle name="Процентный 6 86 8" xfId="39566"/>
    <cellStyle name="Обычный 7 56 8" xfId="39567"/>
    <cellStyle name="Процентный 7 56 8" xfId="39568"/>
    <cellStyle name="Обычный 4 3 48 8" xfId="39569"/>
    <cellStyle name="Процентный 4 3 48 8" xfId="39570"/>
    <cellStyle name="Обычный 5 3 48 8" xfId="39571"/>
    <cellStyle name="Процентный 5 3 48 8" xfId="39572"/>
    <cellStyle name="Обычный 4 2 2 48 8" xfId="39573"/>
    <cellStyle name="Процентный 4 2 2 48 8" xfId="39574"/>
    <cellStyle name="Обычный 5 2 2 48 8" xfId="39575"/>
    <cellStyle name="Процентный 5 2 2 48 8" xfId="39576"/>
    <cellStyle name="Обычный 6 2 48 8" xfId="39577"/>
    <cellStyle name="Процентный 6 2 48 8" xfId="39578"/>
    <cellStyle name="Обычный 7 2 48 8" xfId="39579"/>
    <cellStyle name="Процентный 7 2 48 8" xfId="39580"/>
    <cellStyle name="Обычный 8 44 8" xfId="39581"/>
    <cellStyle name="Процентный 8 44 8" xfId="39582"/>
    <cellStyle name="Обычный 9 10 8" xfId="39583"/>
    <cellStyle name="Процентный 9 11 8" xfId="39584"/>
    <cellStyle name="Обычный 10 3 8" xfId="39585"/>
    <cellStyle name="Процентный 10 3 8" xfId="39586"/>
    <cellStyle name="Обычный 4 103 8" xfId="39587"/>
    <cellStyle name="Процентный 4 103 8" xfId="39588"/>
    <cellStyle name="Обычный 5 96 8" xfId="39589"/>
    <cellStyle name="Процентный 5 96 8" xfId="39590"/>
    <cellStyle name="Обычный 4 2 90 8" xfId="39591"/>
    <cellStyle name="Процентный 4 2 90 8" xfId="39592"/>
    <cellStyle name="Обычный 5 2 90 8" xfId="39593"/>
    <cellStyle name="Процентный 5 2 90 8" xfId="39594"/>
    <cellStyle name="Обычный 6 87 8" xfId="39595"/>
    <cellStyle name="Процентный 6 87 8" xfId="39596"/>
    <cellStyle name="Обычный 7 57 8" xfId="39597"/>
    <cellStyle name="Процентный 7 57 8" xfId="39598"/>
    <cellStyle name="Обычный 4 3 49 8" xfId="39599"/>
    <cellStyle name="Процентный 4 3 49 8" xfId="39600"/>
    <cellStyle name="Обычный 5 3 49 8" xfId="39601"/>
    <cellStyle name="Процентный 5 3 49 8" xfId="39602"/>
    <cellStyle name="Обычный 4 2 2 49 8" xfId="39603"/>
    <cellStyle name="Процентный 4 2 2 49 8" xfId="39604"/>
    <cellStyle name="Обычный 5 2 2 49 8" xfId="39605"/>
    <cellStyle name="Процентный 5 2 2 49 8" xfId="39606"/>
    <cellStyle name="Обычный 6 2 49 8" xfId="39607"/>
    <cellStyle name="Процентный 6 2 49 8" xfId="39608"/>
    <cellStyle name="Обычный 7 2 49 8" xfId="39609"/>
    <cellStyle name="Процентный 7 2 49 8" xfId="39610"/>
    <cellStyle name="Обычный 8 45 8" xfId="39611"/>
    <cellStyle name="Процентный 8 45 8" xfId="39612"/>
    <cellStyle name="Обычный 9 11 8" xfId="39613"/>
    <cellStyle name="Процентный 9 12 8" xfId="39614"/>
    <cellStyle name="Обычный 10 4 8" xfId="39615"/>
    <cellStyle name="Процентный 10 4 8" xfId="39616"/>
    <cellStyle name="Обычный 4 104 8" xfId="39617"/>
    <cellStyle name="Процентный 4 104 8" xfId="39618"/>
    <cellStyle name="Обычный 5 97 8" xfId="39619"/>
    <cellStyle name="Процентный 5 97 8" xfId="39620"/>
    <cellStyle name="Обычный 4 2 91 8" xfId="39621"/>
    <cellStyle name="Процентный 4 2 91 8" xfId="39622"/>
    <cellStyle name="Обычный 5 2 91 8" xfId="39623"/>
    <cellStyle name="Процентный 5 2 91 8" xfId="39624"/>
    <cellStyle name="Обычный 6 88 8" xfId="39625"/>
    <cellStyle name="Процентный 6 88 8" xfId="39626"/>
    <cellStyle name="Обычный 7 58 8" xfId="39627"/>
    <cellStyle name="Процентный 7 58 8" xfId="39628"/>
    <cellStyle name="Обычный 4 3 50 8" xfId="39629"/>
    <cellStyle name="Процентный 4 3 50 8" xfId="39630"/>
    <cellStyle name="Обычный 5 3 50 8" xfId="39631"/>
    <cellStyle name="Процентный 5 3 50 8" xfId="39632"/>
    <cellStyle name="Обычный 4 2 2 50 8" xfId="39633"/>
    <cellStyle name="Процентный 4 2 2 50 8" xfId="39634"/>
    <cellStyle name="Обычный 5 2 2 50 8" xfId="39635"/>
    <cellStyle name="Процентный 5 2 2 50 8" xfId="39636"/>
    <cellStyle name="Обычный 6 2 50 8" xfId="39637"/>
    <cellStyle name="Процентный 6 2 50 8" xfId="39638"/>
    <cellStyle name="Обычный 7 2 50 8" xfId="39639"/>
    <cellStyle name="Процентный 7 2 50 8" xfId="39640"/>
    <cellStyle name="Обычный 8 46 8" xfId="39641"/>
    <cellStyle name="Процентный 8 46 8" xfId="39642"/>
    <cellStyle name="Обычный 9 12 8" xfId="39643"/>
    <cellStyle name="Процентный 9 13 8" xfId="39644"/>
    <cellStyle name="Обычный 10 5 8" xfId="39645"/>
    <cellStyle name="Процентный 10 5 8" xfId="39646"/>
    <cellStyle name="Обычный 4 105 8" xfId="39647"/>
    <cellStyle name="Процентный 4 105 8" xfId="39648"/>
    <cellStyle name="Обычный 5 98 8" xfId="39649"/>
    <cellStyle name="Процентный 5 98 8" xfId="39650"/>
    <cellStyle name="Обычный 4 2 92 8" xfId="39651"/>
    <cellStyle name="Процентный 4 2 92 8" xfId="39652"/>
    <cellStyle name="Обычный 5 2 92 8" xfId="39653"/>
    <cellStyle name="Процентный 5 2 92 8" xfId="39654"/>
    <cellStyle name="Обычный 6 89 8" xfId="39655"/>
    <cellStyle name="Процентный 6 89 8" xfId="39656"/>
    <cellStyle name="Обычный 7 59 8" xfId="39657"/>
    <cellStyle name="Процентный 7 59 8" xfId="39658"/>
    <cellStyle name="Обычный 4 3 51 8" xfId="39659"/>
    <cellStyle name="Процентный 4 3 51 8" xfId="39660"/>
    <cellStyle name="Обычный 5 3 51 8" xfId="39661"/>
    <cellStyle name="Процентный 5 3 51 8" xfId="39662"/>
    <cellStyle name="Обычный 4 2 2 51 8" xfId="39663"/>
    <cellStyle name="Процентный 4 2 2 51 8" xfId="39664"/>
    <cellStyle name="Обычный 5 2 2 51 8" xfId="39665"/>
    <cellStyle name="Процентный 5 2 2 51 8" xfId="39666"/>
    <cellStyle name="Обычный 6 2 51 8" xfId="39667"/>
    <cellStyle name="Процентный 6 2 51 8" xfId="39668"/>
    <cellStyle name="Обычный 7 2 51 8" xfId="39669"/>
    <cellStyle name="Процентный 7 2 51 8" xfId="39670"/>
    <cellStyle name="Обычный 8 47 8" xfId="39671"/>
    <cellStyle name="Процентный 8 47 8" xfId="39672"/>
    <cellStyle name="Обычный 9 13 8" xfId="39673"/>
    <cellStyle name="Процентный 9 14 8" xfId="39674"/>
    <cellStyle name="Обычный 10 6 8" xfId="39675"/>
    <cellStyle name="Процентный 10 6 8" xfId="39676"/>
    <cellStyle name="Обычный 4 106 8" xfId="39677"/>
    <cellStyle name="Процентный 4 106 8" xfId="39678"/>
    <cellStyle name="Обычный 5 99 8" xfId="39679"/>
    <cellStyle name="Процентный 5 99 8" xfId="39680"/>
    <cellStyle name="Обычный 4 2 93 8" xfId="39681"/>
    <cellStyle name="Процентный 4 2 93 8" xfId="39682"/>
    <cellStyle name="Обычный 5 2 93 8" xfId="39683"/>
    <cellStyle name="Процентный 5 2 93 8" xfId="39684"/>
    <cellStyle name="Обычный 6 90 8" xfId="39685"/>
    <cellStyle name="Процентный 6 90 8" xfId="39686"/>
    <cellStyle name="Обычный 7 60 8" xfId="39687"/>
    <cellStyle name="Процентный 7 60 8" xfId="39688"/>
    <cellStyle name="Обычный 4 3 52 8" xfId="39689"/>
    <cellStyle name="Процентный 4 3 52 8" xfId="39690"/>
    <cellStyle name="Обычный 5 3 52 8" xfId="39691"/>
    <cellStyle name="Процентный 5 3 52 8" xfId="39692"/>
    <cellStyle name="Обычный 4 2 2 52 8" xfId="39693"/>
    <cellStyle name="Процентный 4 2 2 52 8" xfId="39694"/>
    <cellStyle name="Обычный 5 2 2 52 8" xfId="39695"/>
    <cellStyle name="Процентный 5 2 2 52 8" xfId="39696"/>
    <cellStyle name="Обычный 6 2 52 8" xfId="39697"/>
    <cellStyle name="Процентный 6 2 52 8" xfId="39698"/>
    <cellStyle name="Обычный 7 2 52 8" xfId="39699"/>
    <cellStyle name="Процентный 7 2 52 8" xfId="39700"/>
    <cellStyle name="Обычный 8 48 8" xfId="39701"/>
    <cellStyle name="Процентный 8 48 8" xfId="39702"/>
    <cellStyle name="Обычный 9 14 8" xfId="39703"/>
    <cellStyle name="Процентный 9 15 8" xfId="39704"/>
    <cellStyle name="Обычный 10 7 8" xfId="39705"/>
    <cellStyle name="Процентный 10 7 8" xfId="39706"/>
    <cellStyle name="Обычный 4 107 8" xfId="39707"/>
    <cellStyle name="Процентный 4 107 8" xfId="39708"/>
    <cellStyle name="Обычный 5 100 8" xfId="39709"/>
    <cellStyle name="Процентный 5 100 8" xfId="39710"/>
    <cellStyle name="Обычный 4 2 94 8" xfId="39711"/>
    <cellStyle name="Процентный 4 2 94 8" xfId="39712"/>
    <cellStyle name="Обычный 5 2 94 8" xfId="39713"/>
    <cellStyle name="Процентный 5 2 94 8" xfId="39714"/>
    <cellStyle name="Обычный 6 91 8" xfId="39715"/>
    <cellStyle name="Процентный 6 91 8" xfId="39716"/>
    <cellStyle name="Обычный 7 61 8" xfId="39717"/>
    <cellStyle name="Процентный 7 61 8" xfId="39718"/>
    <cellStyle name="Обычный 4 3 53 8" xfId="39719"/>
    <cellStyle name="Процентный 4 3 53 8" xfId="39720"/>
    <cellStyle name="Обычный 5 3 53 8" xfId="39721"/>
    <cellStyle name="Процентный 5 3 53 8" xfId="39722"/>
    <cellStyle name="Обычный 4 2 2 53 8" xfId="39723"/>
    <cellStyle name="Процентный 4 2 2 53 8" xfId="39724"/>
    <cellStyle name="Обычный 5 2 2 53 8" xfId="39725"/>
    <cellStyle name="Процентный 5 2 2 53 8" xfId="39726"/>
    <cellStyle name="Обычный 6 2 53 8" xfId="39727"/>
    <cellStyle name="Процентный 6 2 53 8" xfId="39728"/>
    <cellStyle name="Обычный 7 2 53 8" xfId="39729"/>
    <cellStyle name="Процентный 7 2 53 8" xfId="39730"/>
    <cellStyle name="Обычный 8 49 8" xfId="39731"/>
    <cellStyle name="Процентный 8 49 8" xfId="39732"/>
    <cellStyle name="Обычный 9 15 8" xfId="39733"/>
    <cellStyle name="Процентный 9 16 8" xfId="39734"/>
    <cellStyle name="Обычный 10 8 8" xfId="39735"/>
    <cellStyle name="Процентный 10 8 8" xfId="39736"/>
    <cellStyle name="Обычный 4 108 8" xfId="39737"/>
    <cellStyle name="Процентный 4 108 8" xfId="39738"/>
    <cellStyle name="Обычный 5 101 8" xfId="39739"/>
    <cellStyle name="Процентный 5 101 8" xfId="39740"/>
    <cellStyle name="Обычный 4 2 95 8" xfId="39741"/>
    <cellStyle name="Процентный 4 2 95 8" xfId="39742"/>
    <cellStyle name="Обычный 5 2 95 8" xfId="39743"/>
    <cellStyle name="Процентный 5 2 95 8" xfId="39744"/>
    <cellStyle name="Обычный 6 92 8" xfId="39745"/>
    <cellStyle name="Процентный 6 92 8" xfId="39746"/>
    <cellStyle name="Обычный 7 62 8" xfId="39747"/>
    <cellStyle name="Процентный 7 62 8" xfId="39748"/>
    <cellStyle name="Обычный 4 3 54 8" xfId="39749"/>
    <cellStyle name="Процентный 4 3 54 8" xfId="39750"/>
    <cellStyle name="Обычный 5 3 54 8" xfId="39751"/>
    <cellStyle name="Процентный 5 3 54 8" xfId="39752"/>
    <cellStyle name="Обычный 4 2 2 54 8" xfId="39753"/>
    <cellStyle name="Процентный 4 2 2 54 8" xfId="39754"/>
    <cellStyle name="Обычный 5 2 2 54 8" xfId="39755"/>
    <cellStyle name="Процентный 5 2 2 54 8" xfId="39756"/>
    <cellStyle name="Обычный 6 2 54 8" xfId="39757"/>
    <cellStyle name="Процентный 6 2 54 8" xfId="39758"/>
    <cellStyle name="Обычный 7 2 54 8" xfId="39759"/>
    <cellStyle name="Процентный 7 2 54 8" xfId="39760"/>
    <cellStyle name="Обычный 8 50 8" xfId="39761"/>
    <cellStyle name="Процентный 8 50 8" xfId="39762"/>
    <cellStyle name="Обычный 9 16 8" xfId="39763"/>
    <cellStyle name="Процентный 9 17 8" xfId="39764"/>
    <cellStyle name="Обычный 10 9 8" xfId="39765"/>
    <cellStyle name="Процентный 10 9 8" xfId="39766"/>
    <cellStyle name="Обычный 4 109 8" xfId="39767"/>
    <cellStyle name="Процентный 4 109 8" xfId="39768"/>
    <cellStyle name="Обычный 5 102 8" xfId="39769"/>
    <cellStyle name="Процентный 5 102 8" xfId="39770"/>
    <cellStyle name="Обычный 4 2 96 8" xfId="39771"/>
    <cellStyle name="Процентный 4 2 96 8" xfId="39772"/>
    <cellStyle name="Обычный 5 2 96 8" xfId="39773"/>
    <cellStyle name="Процентный 5 2 96 8" xfId="39774"/>
    <cellStyle name="Обычный 6 93 8" xfId="39775"/>
    <cellStyle name="Процентный 6 93 8" xfId="39776"/>
    <cellStyle name="Обычный 7 63 8" xfId="39777"/>
    <cellStyle name="Процентный 7 63 8" xfId="39778"/>
    <cellStyle name="Обычный 4 3 55 8" xfId="39779"/>
    <cellStyle name="Процентный 4 3 55 8" xfId="39780"/>
    <cellStyle name="Обычный 5 3 55 8" xfId="39781"/>
    <cellStyle name="Процентный 5 3 55 8" xfId="39782"/>
    <cellStyle name="Обычный 4 2 2 55 8" xfId="39783"/>
    <cellStyle name="Процентный 4 2 2 55 8" xfId="39784"/>
    <cellStyle name="Обычный 5 2 2 55 8" xfId="39785"/>
    <cellStyle name="Процентный 5 2 2 55 8" xfId="39786"/>
    <cellStyle name="Обычный 6 2 55 8" xfId="39787"/>
    <cellStyle name="Процентный 6 2 55 8" xfId="39788"/>
    <cellStyle name="Обычный 7 2 55 8" xfId="39789"/>
    <cellStyle name="Процентный 7 2 55 8" xfId="39790"/>
    <cellStyle name="Обычный 8 51 8" xfId="39791"/>
    <cellStyle name="Процентный 8 51 8" xfId="39792"/>
    <cellStyle name="Обычный 9 17 8" xfId="39793"/>
    <cellStyle name="Процентный 9 18 8" xfId="39794"/>
    <cellStyle name="Обычный 10 10 8" xfId="39795"/>
    <cellStyle name="Процентный 10 10 8" xfId="39796"/>
    <cellStyle name="Обычный 4 110 8" xfId="39797"/>
    <cellStyle name="Процентный 4 110 8" xfId="39798"/>
    <cellStyle name="Обычный 5 103 8" xfId="39799"/>
    <cellStyle name="Процентный 5 103 8" xfId="39800"/>
    <cellStyle name="Обычный 4 2 97 8" xfId="39801"/>
    <cellStyle name="Процентный 4 2 97 8" xfId="39802"/>
    <cellStyle name="Обычный 5 2 97 8" xfId="39803"/>
    <cellStyle name="Процентный 5 2 97 8" xfId="39804"/>
    <cellStyle name="Обычный 6 94 8" xfId="39805"/>
    <cellStyle name="Процентный 6 94 8" xfId="39806"/>
    <cellStyle name="Обычный 7 64 8" xfId="39807"/>
    <cellStyle name="Процентный 7 64 8" xfId="39808"/>
    <cellStyle name="Обычный 4 3 56 8" xfId="39809"/>
    <cellStyle name="Процентный 4 3 56 8" xfId="39810"/>
    <cellStyle name="Обычный 5 3 56 8" xfId="39811"/>
    <cellStyle name="Процентный 5 3 56 8" xfId="39812"/>
    <cellStyle name="Обычный 4 2 2 56 8" xfId="39813"/>
    <cellStyle name="Процентный 4 2 2 56 8" xfId="39814"/>
    <cellStyle name="Обычный 5 2 2 56 8" xfId="39815"/>
    <cellStyle name="Процентный 5 2 2 56 8" xfId="39816"/>
    <cellStyle name="Обычный 6 2 56 8" xfId="39817"/>
    <cellStyle name="Процентный 6 2 56 8" xfId="39818"/>
    <cellStyle name="Обычный 7 2 56 8" xfId="39819"/>
    <cellStyle name="Процентный 7 2 56 8" xfId="39820"/>
    <cellStyle name="Обычный 8 52 8" xfId="39821"/>
    <cellStyle name="Процентный 8 52 8" xfId="39822"/>
    <cellStyle name="Обычный 9 18 8" xfId="39823"/>
    <cellStyle name="Процентный 9 19 8" xfId="39824"/>
    <cellStyle name="Обычный 10 11 8" xfId="39825"/>
    <cellStyle name="Процентный 10 11 8" xfId="39826"/>
    <cellStyle name="Обычный 4 111 8" xfId="39827"/>
    <cellStyle name="Процентный 4 111 8" xfId="39828"/>
    <cellStyle name="Обычный 5 104 8" xfId="39829"/>
    <cellStyle name="Процентный 5 104 8" xfId="39830"/>
    <cellStyle name="Обычный 4 2 98 8" xfId="39831"/>
    <cellStyle name="Процентный 4 2 98 8" xfId="39832"/>
    <cellStyle name="Обычный 5 2 98 8" xfId="39833"/>
    <cellStyle name="Процентный 5 2 98 8" xfId="39834"/>
    <cellStyle name="Обычный 6 95 8" xfId="39835"/>
    <cellStyle name="Процентный 6 95 8" xfId="39836"/>
    <cellStyle name="Обычный 7 65 8" xfId="39837"/>
    <cellStyle name="Процентный 7 65 8" xfId="39838"/>
    <cellStyle name="Обычный 4 3 57 8" xfId="39839"/>
    <cellStyle name="Процентный 4 3 57 8" xfId="39840"/>
    <cellStyle name="Обычный 5 3 57 8" xfId="39841"/>
    <cellStyle name="Процентный 5 3 57 8" xfId="39842"/>
    <cellStyle name="Обычный 4 2 2 57 8" xfId="39843"/>
    <cellStyle name="Процентный 4 2 2 57 8" xfId="39844"/>
    <cellStyle name="Обычный 5 2 2 57 8" xfId="39845"/>
    <cellStyle name="Процентный 5 2 2 57 8" xfId="39846"/>
    <cellStyle name="Обычный 6 2 57 8" xfId="39847"/>
    <cellStyle name="Процентный 6 2 57 8" xfId="39848"/>
    <cellStyle name="Обычный 7 2 57 8" xfId="39849"/>
    <cellStyle name="Процентный 7 2 57 8" xfId="39850"/>
    <cellStyle name="Обычный 8 53 8" xfId="39851"/>
    <cellStyle name="Процентный 8 53 8" xfId="39852"/>
    <cellStyle name="Обычный 9 19 8" xfId="39853"/>
    <cellStyle name="Процентный 9 20 8" xfId="39854"/>
    <cellStyle name="Обычный 10 12 8" xfId="39855"/>
    <cellStyle name="Процентный 10 12 8" xfId="39856"/>
    <cellStyle name="Обычный 4 112 8" xfId="39857"/>
    <cellStyle name="Процентный 4 112 8" xfId="39858"/>
    <cellStyle name="Обычный 5 105 8" xfId="39859"/>
    <cellStyle name="Процентный 5 105 8" xfId="39860"/>
    <cellStyle name="Обычный 4 2 99 8" xfId="39861"/>
    <cellStyle name="Процентный 4 2 99 8" xfId="39862"/>
    <cellStyle name="Обычный 5 2 99 8" xfId="39863"/>
    <cellStyle name="Процентный 5 2 99 8" xfId="39864"/>
    <cellStyle name="Обычный 6 96 8" xfId="39865"/>
    <cellStyle name="Процентный 6 96 8" xfId="39866"/>
    <cellStyle name="Обычный 7 66 8" xfId="39867"/>
    <cellStyle name="Процентный 7 66 8" xfId="39868"/>
    <cellStyle name="Обычный 4 3 58 8" xfId="39869"/>
    <cellStyle name="Процентный 4 3 58 8" xfId="39870"/>
    <cellStyle name="Обычный 5 3 58 8" xfId="39871"/>
    <cellStyle name="Процентный 5 3 58 8" xfId="39872"/>
    <cellStyle name="Обычный 4 2 2 58 8" xfId="39873"/>
    <cellStyle name="Процентный 4 2 2 58 8" xfId="39874"/>
    <cellStyle name="Обычный 5 2 2 58 8" xfId="39875"/>
    <cellStyle name="Процентный 5 2 2 58 8" xfId="39876"/>
    <cellStyle name="Обычный 6 2 58 8" xfId="39877"/>
    <cellStyle name="Процентный 6 2 58 8" xfId="39878"/>
    <cellStyle name="Обычный 7 2 58 8" xfId="39879"/>
    <cellStyle name="Процентный 7 2 58 8" xfId="39880"/>
    <cellStyle name="Обычный 8 54 8" xfId="39881"/>
    <cellStyle name="Процентный 8 54 8" xfId="39882"/>
    <cellStyle name="Обычный 9 20 8" xfId="39883"/>
    <cellStyle name="Процентный 9 21 8" xfId="39884"/>
    <cellStyle name="Обычный 10 13 8" xfId="39885"/>
    <cellStyle name="Процентный 10 13 8" xfId="39886"/>
    <cellStyle name="Обычный 11 98" xfId="39887"/>
    <cellStyle name="Процентный 11 98" xfId="39888"/>
    <cellStyle name="Обычный 4 113 8" xfId="39889"/>
    <cellStyle name="Процентный 4 113 8" xfId="39890"/>
    <cellStyle name="Обычный 5 106 8" xfId="39891"/>
    <cellStyle name="Процентный 5 106 8" xfId="39892"/>
    <cellStyle name="Обычный 4 2 100 8" xfId="39893"/>
    <cellStyle name="Процентный 4 2 100 8" xfId="39894"/>
    <cellStyle name="Обычный 5 2 100 8" xfId="39895"/>
    <cellStyle name="Процентный 5 2 100 8" xfId="39896"/>
    <cellStyle name="Обычный 6 97 8" xfId="39897"/>
    <cellStyle name="Процентный 6 97 8" xfId="39898"/>
    <cellStyle name="Обычный 7 67 8" xfId="39899"/>
    <cellStyle name="Процентный 7 67 8" xfId="39900"/>
    <cellStyle name="Обычный 4 3 59 8" xfId="39901"/>
    <cellStyle name="Процентный 4 3 59 8" xfId="39902"/>
    <cellStyle name="Обычный 5 3 59 8" xfId="39903"/>
    <cellStyle name="Процентный 5 3 59 8" xfId="39904"/>
    <cellStyle name="Обычный 4 2 2 59 8" xfId="39905"/>
    <cellStyle name="Процентный 4 2 2 59 8" xfId="39906"/>
    <cellStyle name="Обычный 5 2 2 59 8" xfId="39907"/>
    <cellStyle name="Процентный 5 2 2 59 8" xfId="39908"/>
    <cellStyle name="Обычный 6 2 59 8" xfId="39909"/>
    <cellStyle name="Процентный 6 2 59 8" xfId="39910"/>
    <cellStyle name="Обычный 7 2 59 8" xfId="39911"/>
    <cellStyle name="Процентный 7 2 59 8" xfId="39912"/>
    <cellStyle name="Обычный 8 55 8" xfId="39913"/>
    <cellStyle name="Процентный 8 55 8" xfId="39914"/>
    <cellStyle name="Обычный 9 21 8" xfId="39915"/>
    <cellStyle name="Процентный 9 22 8" xfId="39916"/>
    <cellStyle name="Обычный 10 14 8" xfId="39917"/>
    <cellStyle name="Процентный 10 14 8" xfId="39918"/>
    <cellStyle name="Обычный 11 2 8" xfId="39919"/>
    <cellStyle name="Процентный 11 2 8" xfId="39920"/>
    <cellStyle name="Обычный 12 8" xfId="39921"/>
    <cellStyle name="Процентный 12 8" xfId="39922"/>
    <cellStyle name="Обычный 4 114 8" xfId="39923"/>
    <cellStyle name="Процентный 4 114 8" xfId="39924"/>
    <cellStyle name="Обычный 5 107 8" xfId="39925"/>
    <cellStyle name="Процентный 5 107 8" xfId="39926"/>
    <cellStyle name="Обычный 4 2 101 8" xfId="39927"/>
    <cellStyle name="Процентный 4 2 101 8" xfId="39928"/>
    <cellStyle name="Обычный 5 2 101 8" xfId="39929"/>
    <cellStyle name="Процентный 5 2 101 8" xfId="39930"/>
    <cellStyle name="Обычный 6 98 8" xfId="39931"/>
    <cellStyle name="Процентный 6 98 8" xfId="39932"/>
    <cellStyle name="Обычный 7 68 8" xfId="39933"/>
    <cellStyle name="Процентный 7 68 8" xfId="39934"/>
    <cellStyle name="Обычный 4 3 60 8" xfId="39935"/>
    <cellStyle name="Процентный 4 3 60 8" xfId="39936"/>
    <cellStyle name="Обычный 5 3 60 8" xfId="39937"/>
    <cellStyle name="Процентный 5 3 60 8" xfId="39938"/>
    <cellStyle name="Обычный 4 2 2 60 8" xfId="39939"/>
    <cellStyle name="Процентный 4 2 2 60 8" xfId="39940"/>
    <cellStyle name="Обычный 5 2 2 60 8" xfId="39941"/>
    <cellStyle name="Процентный 5 2 2 60 8" xfId="39942"/>
    <cellStyle name="Обычный 6 2 60 8" xfId="39943"/>
    <cellStyle name="Процентный 6 2 60 8" xfId="39944"/>
    <cellStyle name="Обычный 7 2 60 8" xfId="39945"/>
    <cellStyle name="Процентный 7 2 60 8" xfId="39946"/>
    <cellStyle name="Обычный 8 56 8" xfId="39947"/>
    <cellStyle name="Процентный 8 56 8" xfId="39948"/>
    <cellStyle name="Обычный 9 22 8" xfId="39949"/>
    <cellStyle name="Процентный 9 23 8" xfId="39950"/>
    <cellStyle name="Обычный 10 15 8" xfId="39951"/>
    <cellStyle name="Процентный 10 15 8" xfId="39952"/>
    <cellStyle name="Обычный 11 3 8" xfId="39953"/>
    <cellStyle name="Процентный 11 3 8" xfId="39954"/>
    <cellStyle name="Обычный 4 115 8" xfId="39955"/>
    <cellStyle name="Процентный 4 115 8" xfId="39956"/>
    <cellStyle name="Обычный 5 108 8" xfId="39957"/>
    <cellStyle name="Процентный 5 108 8" xfId="39958"/>
    <cellStyle name="Обычный 4 2 102 8" xfId="39959"/>
    <cellStyle name="Процентный 4 2 102 8" xfId="39960"/>
    <cellStyle name="Обычный 5 2 102 8" xfId="39961"/>
    <cellStyle name="Процентный 5 2 102 8" xfId="39962"/>
    <cellStyle name="Обычный 6 99 8" xfId="39963"/>
    <cellStyle name="Процентный 6 99 8" xfId="39964"/>
    <cellStyle name="Обычный 7 69 8" xfId="39965"/>
    <cellStyle name="Процентный 7 69 8" xfId="39966"/>
    <cellStyle name="Обычный 4 3 61 8" xfId="39967"/>
    <cellStyle name="Процентный 4 3 61 8" xfId="39968"/>
    <cellStyle name="Обычный 5 3 61 8" xfId="39969"/>
    <cellStyle name="Процентный 5 3 61 8" xfId="39970"/>
    <cellStyle name="Обычный 4 2 2 61 8" xfId="39971"/>
    <cellStyle name="Процентный 4 2 2 61 8" xfId="39972"/>
    <cellStyle name="Обычный 5 2 2 61 8" xfId="39973"/>
    <cellStyle name="Процентный 5 2 2 61 8" xfId="39974"/>
    <cellStyle name="Обычный 6 2 61 8" xfId="39975"/>
    <cellStyle name="Процентный 6 2 61 8" xfId="39976"/>
    <cellStyle name="Обычный 7 2 61 8" xfId="39977"/>
    <cellStyle name="Процентный 7 2 61 8" xfId="39978"/>
    <cellStyle name="Обычный 8 57 8" xfId="39979"/>
    <cellStyle name="Процентный 8 57 8" xfId="39980"/>
    <cellStyle name="Обычный 9 23 8" xfId="39981"/>
    <cellStyle name="Процентный 9 24 8" xfId="39982"/>
    <cellStyle name="Обычный 10 16 8" xfId="39983"/>
    <cellStyle name="Процентный 10 16 8" xfId="39984"/>
    <cellStyle name="Обычный 11 4 8" xfId="39985"/>
    <cellStyle name="Процентный 11 4 8" xfId="39986"/>
    <cellStyle name="Обычный 4 116 8" xfId="39987"/>
    <cellStyle name="Процентный 4 116 8" xfId="39988"/>
    <cellStyle name="Обычный 5 109 8" xfId="39989"/>
    <cellStyle name="Процентный 5 109 8" xfId="39990"/>
    <cellStyle name="Обычный 4 2 103 8" xfId="39991"/>
    <cellStyle name="Процентный 4 2 103 8" xfId="39992"/>
    <cellStyle name="Обычный 5 2 103 8" xfId="39993"/>
    <cellStyle name="Процентный 5 2 103 8" xfId="39994"/>
    <cellStyle name="Обычный 6 100 8" xfId="39995"/>
    <cellStyle name="Процентный 6 100 8" xfId="39996"/>
    <cellStyle name="Обычный 7 70 8" xfId="39997"/>
    <cellStyle name="Процентный 7 70 8" xfId="39998"/>
    <cellStyle name="Обычный 4 3 62 8" xfId="39999"/>
    <cellStyle name="Процентный 4 3 62 8" xfId="40000"/>
    <cellStyle name="Обычный 5 3 62 8" xfId="40001"/>
    <cellStyle name="Процентный 5 3 62 8" xfId="40002"/>
    <cellStyle name="Обычный 4 2 2 62 8" xfId="40003"/>
    <cellStyle name="Процентный 4 2 2 62 8" xfId="40004"/>
    <cellStyle name="Обычный 5 2 2 62 8" xfId="40005"/>
    <cellStyle name="Процентный 5 2 2 62 8" xfId="40006"/>
    <cellStyle name="Обычный 6 2 62 8" xfId="40007"/>
    <cellStyle name="Процентный 6 2 62 8" xfId="40008"/>
    <cellStyle name="Обычный 7 2 62 8" xfId="40009"/>
    <cellStyle name="Процентный 7 2 62 8" xfId="40010"/>
    <cellStyle name="Обычный 8 58 8" xfId="40011"/>
    <cellStyle name="Процентный 8 58 8" xfId="40012"/>
    <cellStyle name="Обычный 9 24 8" xfId="40013"/>
    <cellStyle name="Процентный 9 25 8" xfId="40014"/>
    <cellStyle name="Обычный 10 17 8" xfId="40015"/>
    <cellStyle name="Процентный 10 17 8" xfId="40016"/>
    <cellStyle name="Обычный 11 5 8" xfId="40017"/>
    <cellStyle name="Процентный 11 5 8" xfId="40018"/>
    <cellStyle name="Обычный 4 117 8" xfId="40019"/>
    <cellStyle name="Процентный 4 117 8" xfId="40020"/>
    <cellStyle name="Обычный 5 110 8" xfId="40021"/>
    <cellStyle name="Процентный 5 110 8" xfId="40022"/>
    <cellStyle name="Обычный 4 2 104 8" xfId="40023"/>
    <cellStyle name="Процентный 4 2 104 8" xfId="40024"/>
    <cellStyle name="Обычный 5 2 104 8" xfId="40025"/>
    <cellStyle name="Процентный 5 2 104 8" xfId="40026"/>
    <cellStyle name="Обычный 6 101 8" xfId="40027"/>
    <cellStyle name="Процентный 6 101 8" xfId="40028"/>
    <cellStyle name="Обычный 7 71 8" xfId="40029"/>
    <cellStyle name="Процентный 7 71 8" xfId="40030"/>
    <cellStyle name="Обычный 4 3 63 8" xfId="40031"/>
    <cellStyle name="Процентный 4 3 63 8" xfId="40032"/>
    <cellStyle name="Обычный 5 3 63 8" xfId="40033"/>
    <cellStyle name="Процентный 5 3 63 8" xfId="40034"/>
    <cellStyle name="Обычный 4 2 2 63 8" xfId="40035"/>
    <cellStyle name="Процентный 4 2 2 63 8" xfId="40036"/>
    <cellStyle name="Обычный 5 2 2 63 8" xfId="40037"/>
    <cellStyle name="Процентный 5 2 2 63 8" xfId="40038"/>
    <cellStyle name="Обычный 6 2 63 8" xfId="40039"/>
    <cellStyle name="Процентный 6 2 63 8" xfId="40040"/>
    <cellStyle name="Обычный 7 2 63 8" xfId="40041"/>
    <cellStyle name="Процентный 7 2 63 8" xfId="40042"/>
    <cellStyle name="Обычный 8 59 8" xfId="40043"/>
    <cellStyle name="Процентный 8 59 8" xfId="40044"/>
    <cellStyle name="Обычный 9 25 8" xfId="40045"/>
    <cellStyle name="Процентный 9 26 8" xfId="40046"/>
    <cellStyle name="Обычный 10 18 8" xfId="40047"/>
    <cellStyle name="Процентный 10 18 8" xfId="40048"/>
    <cellStyle name="Обычный 11 6 8" xfId="40049"/>
    <cellStyle name="Процентный 11 6 8" xfId="40050"/>
    <cellStyle name="Обычный 4 118 8" xfId="40051"/>
    <cellStyle name="Процентный 4 118 8" xfId="40052"/>
    <cellStyle name="Обычный 5 111 8" xfId="40053"/>
    <cellStyle name="Процентный 5 111 8" xfId="40054"/>
    <cellStyle name="Обычный 4 2 105 8" xfId="40055"/>
    <cellStyle name="Процентный 4 2 105 8" xfId="40056"/>
    <cellStyle name="Обычный 5 2 105 8" xfId="40057"/>
    <cellStyle name="Процентный 5 2 105 8" xfId="40058"/>
    <cellStyle name="Обычный 6 102 8" xfId="40059"/>
    <cellStyle name="Процентный 6 102 8" xfId="40060"/>
    <cellStyle name="Обычный 7 72 8" xfId="40061"/>
    <cellStyle name="Процентный 7 72 8" xfId="40062"/>
    <cellStyle name="Обычный 4 3 64 8" xfId="40063"/>
    <cellStyle name="Процентный 4 3 64 8" xfId="40064"/>
    <cellStyle name="Обычный 5 3 64 8" xfId="40065"/>
    <cellStyle name="Процентный 5 3 64 8" xfId="40066"/>
    <cellStyle name="Обычный 4 2 2 64 8" xfId="40067"/>
    <cellStyle name="Процентный 4 2 2 64 8" xfId="40068"/>
    <cellStyle name="Обычный 5 2 2 64 8" xfId="40069"/>
    <cellStyle name="Процентный 5 2 2 64 8" xfId="40070"/>
    <cellStyle name="Обычный 6 2 64 8" xfId="40071"/>
    <cellStyle name="Процентный 6 2 64 8" xfId="40072"/>
    <cellStyle name="Обычный 7 2 64 8" xfId="40073"/>
    <cellStyle name="Процентный 7 2 64 8" xfId="40074"/>
    <cellStyle name="Обычный 8 60 8" xfId="40075"/>
    <cellStyle name="Процентный 8 60 8" xfId="40076"/>
    <cellStyle name="Обычный 9 26 8" xfId="40077"/>
    <cellStyle name="Процентный 9 27 8" xfId="40078"/>
    <cellStyle name="Обычный 10 19 8" xfId="40079"/>
    <cellStyle name="Процентный 10 19 8" xfId="40080"/>
    <cellStyle name="Обычный 11 7 8" xfId="40081"/>
    <cellStyle name="Процентный 11 7 8" xfId="40082"/>
    <cellStyle name="Обычный 4 119 8" xfId="40083"/>
    <cellStyle name="Процентный 4 119 8" xfId="40084"/>
    <cellStyle name="Обычный 5 112 8" xfId="40085"/>
    <cellStyle name="Процентный 5 112 8" xfId="40086"/>
    <cellStyle name="Обычный 4 2 106 8" xfId="40087"/>
    <cellStyle name="Процентный 4 2 106 8" xfId="40088"/>
    <cellStyle name="Обычный 5 2 106 8" xfId="40089"/>
    <cellStyle name="Процентный 5 2 106 8" xfId="40090"/>
    <cellStyle name="Обычный 6 103 8" xfId="40091"/>
    <cellStyle name="Процентный 6 103 8" xfId="40092"/>
    <cellStyle name="Обычный 7 73 8" xfId="40093"/>
    <cellStyle name="Процентный 7 73 8" xfId="40094"/>
    <cellStyle name="Обычный 4 3 65 8" xfId="40095"/>
    <cellStyle name="Процентный 4 3 65 8" xfId="40096"/>
    <cellStyle name="Обычный 5 3 65 8" xfId="40097"/>
    <cellStyle name="Процентный 5 3 65 8" xfId="40098"/>
    <cellStyle name="Обычный 4 2 2 65 8" xfId="40099"/>
    <cellStyle name="Процентный 4 2 2 65 8" xfId="40100"/>
    <cellStyle name="Обычный 5 2 2 65 8" xfId="40101"/>
    <cellStyle name="Процентный 5 2 2 65 8" xfId="40102"/>
    <cellStyle name="Обычный 6 2 65 8" xfId="40103"/>
    <cellStyle name="Процентный 6 2 65 8" xfId="40104"/>
    <cellStyle name="Обычный 7 2 65 8" xfId="40105"/>
    <cellStyle name="Процентный 7 2 65 8" xfId="40106"/>
    <cellStyle name="Обычный 8 61 8" xfId="40107"/>
    <cellStyle name="Процентный 8 61 8" xfId="40108"/>
    <cellStyle name="Обычный 9 27 8" xfId="40109"/>
    <cellStyle name="Процентный 9 28 8" xfId="40110"/>
    <cellStyle name="Обычный 10 20 8" xfId="40111"/>
    <cellStyle name="Процентный 10 20 8" xfId="40112"/>
    <cellStyle name="Обычный 11 8 8" xfId="40113"/>
    <cellStyle name="Процентный 11 8 8" xfId="40114"/>
    <cellStyle name="Обычный 4 120 8" xfId="40115"/>
    <cellStyle name="Процентный 4 120 8" xfId="40116"/>
    <cellStyle name="Обычный 5 113 8" xfId="40117"/>
    <cellStyle name="Процентный 5 113 8" xfId="40118"/>
    <cellStyle name="Обычный 4 2 107 8" xfId="40119"/>
    <cellStyle name="Процентный 4 2 107 8" xfId="40120"/>
    <cellStyle name="Обычный 5 2 107 8" xfId="40121"/>
    <cellStyle name="Процентный 5 2 107 8" xfId="40122"/>
    <cellStyle name="Обычный 6 104 8" xfId="40123"/>
    <cellStyle name="Процентный 6 104 8" xfId="40124"/>
    <cellStyle name="Обычный 7 74 8" xfId="40125"/>
    <cellStyle name="Процентный 7 74 8" xfId="40126"/>
    <cellStyle name="Обычный 4 3 66 8" xfId="40127"/>
    <cellStyle name="Процентный 4 3 66 8" xfId="40128"/>
    <cellStyle name="Обычный 5 3 66 8" xfId="40129"/>
    <cellStyle name="Процентный 5 3 66 8" xfId="40130"/>
    <cellStyle name="Обычный 4 2 2 66 8" xfId="40131"/>
    <cellStyle name="Процентный 4 2 2 66 8" xfId="40132"/>
    <cellStyle name="Обычный 5 2 2 66 8" xfId="40133"/>
    <cellStyle name="Процентный 5 2 2 66 8" xfId="40134"/>
    <cellStyle name="Обычный 6 2 66 8" xfId="40135"/>
    <cellStyle name="Процентный 6 2 66 8" xfId="40136"/>
    <cellStyle name="Обычный 7 2 66 8" xfId="40137"/>
    <cellStyle name="Процентный 7 2 66 8" xfId="40138"/>
    <cellStyle name="Обычный 8 62 8" xfId="40139"/>
    <cellStyle name="Процентный 8 62 8" xfId="40140"/>
    <cellStyle name="Обычный 9 28 8" xfId="40141"/>
    <cellStyle name="Процентный 9 29 8" xfId="40142"/>
    <cellStyle name="Обычный 10 21 8" xfId="40143"/>
    <cellStyle name="Процентный 10 21 8" xfId="40144"/>
    <cellStyle name="Обычный 11 9 8" xfId="40145"/>
    <cellStyle name="Процентный 11 9 8" xfId="40146"/>
    <cellStyle name="Обычный 13 8" xfId="40147"/>
    <cellStyle name="Процентный 13 8" xfId="40148"/>
    <cellStyle name="Обычный 4 121 8" xfId="40149"/>
    <cellStyle name="Процентный 4 121 8" xfId="40150"/>
    <cellStyle name="Обычный 5 114 8" xfId="40151"/>
    <cellStyle name="Процентный 5 114 8" xfId="40152"/>
    <cellStyle name="Обычный 4 2 108 8" xfId="40153"/>
    <cellStyle name="Процентный 4 2 108 8" xfId="40154"/>
    <cellStyle name="Обычный 5 2 108 8" xfId="40155"/>
    <cellStyle name="Процентный 5 2 108 8" xfId="40156"/>
    <cellStyle name="Обычный 6 105 8" xfId="40157"/>
    <cellStyle name="Процентный 6 105 8" xfId="40158"/>
    <cellStyle name="Обычный 7 75 8" xfId="40159"/>
    <cellStyle name="Процентный 7 75 8" xfId="40160"/>
    <cellStyle name="Обычный 4 3 67 8" xfId="40161"/>
    <cellStyle name="Процентный 4 3 67 8" xfId="40162"/>
    <cellStyle name="Обычный 5 3 67 8" xfId="40163"/>
    <cellStyle name="Процентный 5 3 67 8" xfId="40164"/>
    <cellStyle name="Обычный 4 2 2 67 8" xfId="40165"/>
    <cellStyle name="Процентный 4 2 2 67 8" xfId="40166"/>
    <cellStyle name="Обычный 5 2 2 67 8" xfId="40167"/>
    <cellStyle name="Процентный 5 2 2 67 8" xfId="40168"/>
    <cellStyle name="Обычный 6 2 67 8" xfId="40169"/>
    <cellStyle name="Процентный 6 2 67 8" xfId="40170"/>
    <cellStyle name="Обычный 7 2 67 8" xfId="40171"/>
    <cellStyle name="Процентный 7 2 67 8" xfId="40172"/>
    <cellStyle name="Обычный 8 63 8" xfId="40173"/>
    <cellStyle name="Процентный 8 63 8" xfId="40174"/>
    <cellStyle name="Обычный 9 29 8" xfId="40175"/>
    <cellStyle name="Процентный 9 30 8" xfId="40176"/>
    <cellStyle name="Обычный 10 22 8" xfId="40177"/>
    <cellStyle name="Процентный 10 22 8" xfId="40178"/>
    <cellStyle name="Обычный 11 10 8" xfId="40179"/>
    <cellStyle name="Процентный 11 10 8" xfId="40180"/>
    <cellStyle name="Обычный 4 122 8" xfId="40181"/>
    <cellStyle name="Процентный 4 122 8" xfId="40182"/>
    <cellStyle name="Обычный 5 115 8" xfId="40183"/>
    <cellStyle name="Процентный 5 115 8" xfId="40184"/>
    <cellStyle name="Обычный 4 2 109 8" xfId="40185"/>
    <cellStyle name="Процентный 4 2 109 8" xfId="40186"/>
    <cellStyle name="Обычный 5 2 109 8" xfId="40187"/>
    <cellStyle name="Процентный 5 2 109 8" xfId="40188"/>
    <cellStyle name="Обычный 6 106 8" xfId="40189"/>
    <cellStyle name="Процентный 6 106 8" xfId="40190"/>
    <cellStyle name="Обычный 7 76 8" xfId="40191"/>
    <cellStyle name="Процентный 7 76 8" xfId="40192"/>
    <cellStyle name="Обычный 4 3 68 8" xfId="40193"/>
    <cellStyle name="Процентный 4 3 68 8" xfId="40194"/>
    <cellStyle name="Обычный 5 3 68 8" xfId="40195"/>
    <cellStyle name="Процентный 5 3 68 8" xfId="40196"/>
    <cellStyle name="Обычный 4 2 2 68 8" xfId="40197"/>
    <cellStyle name="Процентный 4 2 2 68 8" xfId="40198"/>
    <cellStyle name="Обычный 5 2 2 68 8" xfId="40199"/>
    <cellStyle name="Процентный 5 2 2 68 8" xfId="40200"/>
    <cellStyle name="Обычный 6 2 68 8" xfId="40201"/>
    <cellStyle name="Процентный 6 2 68 8" xfId="40202"/>
    <cellStyle name="Обычный 7 2 68 8" xfId="40203"/>
    <cellStyle name="Процентный 7 2 68 8" xfId="40204"/>
    <cellStyle name="Обычный 8 64 8" xfId="40205"/>
    <cellStyle name="Процентный 8 64 8" xfId="40206"/>
    <cellStyle name="Обычный 9 30 8" xfId="40207"/>
    <cellStyle name="Процентный 9 31 8" xfId="40208"/>
    <cellStyle name="Обычный 10 23 8" xfId="40209"/>
    <cellStyle name="Процентный 10 23 8" xfId="40210"/>
    <cellStyle name="Обычный 11 11 8" xfId="40211"/>
    <cellStyle name="Процентный 11 11 8" xfId="40212"/>
    <cellStyle name="Обычный 4 123 8" xfId="40213"/>
    <cellStyle name="Процентный 4 123 8" xfId="40214"/>
    <cellStyle name="Обычный 5 116 8" xfId="40215"/>
    <cellStyle name="Процентный 5 116 8" xfId="40216"/>
    <cellStyle name="Обычный 4 2 110 8" xfId="40217"/>
    <cellStyle name="Процентный 4 2 110 8" xfId="40218"/>
    <cellStyle name="Обычный 5 2 110 8" xfId="40219"/>
    <cellStyle name="Процентный 5 2 110 8" xfId="40220"/>
    <cellStyle name="Обычный 6 107 8" xfId="40221"/>
    <cellStyle name="Процентный 6 107 8" xfId="40222"/>
    <cellStyle name="Обычный 7 77 8" xfId="40223"/>
    <cellStyle name="Процентный 7 77 8" xfId="40224"/>
    <cellStyle name="Обычный 4 3 69 8" xfId="40225"/>
    <cellStyle name="Процентный 4 3 69 8" xfId="40226"/>
    <cellStyle name="Обычный 5 3 69 8" xfId="40227"/>
    <cellStyle name="Процентный 5 3 69 8" xfId="40228"/>
    <cellStyle name="Обычный 4 2 2 69 8" xfId="40229"/>
    <cellStyle name="Процентный 4 2 2 69 8" xfId="40230"/>
    <cellStyle name="Обычный 5 2 2 69 8" xfId="40231"/>
    <cellStyle name="Процентный 5 2 2 69 8" xfId="40232"/>
    <cellStyle name="Обычный 6 2 69 8" xfId="40233"/>
    <cellStyle name="Процентный 6 2 69 8" xfId="40234"/>
    <cellStyle name="Обычный 7 2 69 8" xfId="40235"/>
    <cellStyle name="Процентный 7 2 69 8" xfId="40236"/>
    <cellStyle name="Обычный 8 65 8" xfId="40237"/>
    <cellStyle name="Процентный 8 65 8" xfId="40238"/>
    <cellStyle name="Обычный 9 31 8" xfId="40239"/>
    <cellStyle name="Процентный 9 32 8" xfId="40240"/>
    <cellStyle name="Обычный 10 24 8" xfId="40241"/>
    <cellStyle name="Процентный 10 24 8" xfId="40242"/>
    <cellStyle name="Обычный 11 12 8" xfId="40243"/>
    <cellStyle name="Процентный 11 12 8" xfId="40244"/>
    <cellStyle name="Обычный 4 124 8" xfId="40245"/>
    <cellStyle name="Процентный 4 124 8" xfId="40246"/>
    <cellStyle name="Обычный 5 117 8" xfId="40247"/>
    <cellStyle name="Процентный 5 117 8" xfId="40248"/>
    <cellStyle name="Обычный 4 2 111 8" xfId="40249"/>
    <cellStyle name="Процентный 4 2 111 8" xfId="40250"/>
    <cellStyle name="Обычный 5 2 111 8" xfId="40251"/>
    <cellStyle name="Процентный 5 2 111 8" xfId="40252"/>
    <cellStyle name="Обычный 6 108 8" xfId="40253"/>
    <cellStyle name="Процентный 6 108 8" xfId="40254"/>
    <cellStyle name="Обычный 7 78 8" xfId="40255"/>
    <cellStyle name="Процентный 7 78 8" xfId="40256"/>
    <cellStyle name="Обычный 4 3 70 8" xfId="40257"/>
    <cellStyle name="Процентный 4 3 70 8" xfId="40258"/>
    <cellStyle name="Обычный 5 3 70 8" xfId="40259"/>
    <cellStyle name="Процентный 5 3 70 8" xfId="40260"/>
    <cellStyle name="Обычный 4 2 2 70 8" xfId="40261"/>
    <cellStyle name="Процентный 4 2 2 70 8" xfId="40262"/>
    <cellStyle name="Обычный 5 2 2 70 8" xfId="40263"/>
    <cellStyle name="Процентный 5 2 2 70 8" xfId="40264"/>
    <cellStyle name="Обычный 6 2 70 8" xfId="40265"/>
    <cellStyle name="Процентный 6 2 70 8" xfId="40266"/>
    <cellStyle name="Обычный 7 2 70 8" xfId="40267"/>
    <cellStyle name="Процентный 7 2 70 8" xfId="40268"/>
    <cellStyle name="Обычный 8 66 8" xfId="40269"/>
    <cellStyle name="Процентный 8 66 8" xfId="40270"/>
    <cellStyle name="Обычный 9 32 8" xfId="40271"/>
    <cellStyle name="Процентный 9 33 8" xfId="40272"/>
    <cellStyle name="Обычный 10 25 8" xfId="40273"/>
    <cellStyle name="Процентный 10 25 8" xfId="40274"/>
    <cellStyle name="Обычный 11 13 8" xfId="40275"/>
    <cellStyle name="Процентный 11 13 8" xfId="40276"/>
    <cellStyle name="Обычный 4 125 8" xfId="40277"/>
    <cellStyle name="Процентный 4 125 8" xfId="40278"/>
    <cellStyle name="Обычный 5 118 8" xfId="40279"/>
    <cellStyle name="Процентный 5 118 8" xfId="40280"/>
    <cellStyle name="Обычный 4 2 112 8" xfId="40281"/>
    <cellStyle name="Процентный 4 2 112 8" xfId="40282"/>
    <cellStyle name="Обычный 5 2 112 8" xfId="40283"/>
    <cellStyle name="Процентный 5 2 112 8" xfId="40284"/>
    <cellStyle name="Обычный 6 109 8" xfId="40285"/>
    <cellStyle name="Процентный 6 109 8" xfId="40286"/>
    <cellStyle name="Обычный 7 79 8" xfId="40287"/>
    <cellStyle name="Процентный 7 79 8" xfId="40288"/>
    <cellStyle name="Обычный 4 3 71 8" xfId="40289"/>
    <cellStyle name="Процентный 4 3 71 8" xfId="40290"/>
    <cellStyle name="Обычный 5 3 71 8" xfId="40291"/>
    <cellStyle name="Процентный 5 3 71 8" xfId="40292"/>
    <cellStyle name="Обычный 4 2 2 71 8" xfId="40293"/>
    <cellStyle name="Процентный 4 2 2 71 8" xfId="40294"/>
    <cellStyle name="Обычный 5 2 2 71 8" xfId="40295"/>
    <cellStyle name="Процентный 5 2 2 71 8" xfId="40296"/>
    <cellStyle name="Обычный 6 2 71 8" xfId="40297"/>
    <cellStyle name="Процентный 6 2 71 8" xfId="40298"/>
    <cellStyle name="Обычный 7 2 71 8" xfId="40299"/>
    <cellStyle name="Процентный 7 2 71 8" xfId="40300"/>
    <cellStyle name="Обычный 8 67 8" xfId="40301"/>
    <cellStyle name="Процентный 8 67 8" xfId="40302"/>
    <cellStyle name="Обычный 9 33 8" xfId="40303"/>
    <cellStyle name="Процентный 9 34 8" xfId="40304"/>
    <cellStyle name="Обычный 10 26 8" xfId="40305"/>
    <cellStyle name="Процентный 10 26 8" xfId="40306"/>
    <cellStyle name="Обычный 11 14 8" xfId="40307"/>
    <cellStyle name="Процентный 11 14 8" xfId="40308"/>
    <cellStyle name="Обычный 4 126 8" xfId="40309"/>
    <cellStyle name="Процентный 4 126 8" xfId="40310"/>
    <cellStyle name="Обычный 5 119 8" xfId="40311"/>
    <cellStyle name="Процентный 5 119 8" xfId="40312"/>
    <cellStyle name="Обычный 4 2 113 8" xfId="40313"/>
    <cellStyle name="Процентный 4 2 113 8" xfId="40314"/>
    <cellStyle name="Обычный 5 2 113 8" xfId="40315"/>
    <cellStyle name="Процентный 5 2 113 8" xfId="40316"/>
    <cellStyle name="Обычный 6 110 8" xfId="40317"/>
    <cellStyle name="Процентный 6 110 8" xfId="40318"/>
    <cellStyle name="Обычный 7 80 8" xfId="40319"/>
    <cellStyle name="Процентный 7 80 8" xfId="40320"/>
    <cellStyle name="Обычный 4 3 72 8" xfId="40321"/>
    <cellStyle name="Процентный 4 3 72 8" xfId="40322"/>
    <cellStyle name="Обычный 5 3 72 8" xfId="40323"/>
    <cellStyle name="Процентный 5 3 72 8" xfId="40324"/>
    <cellStyle name="Обычный 4 2 2 72 8" xfId="40325"/>
    <cellStyle name="Процентный 4 2 2 72 8" xfId="40326"/>
    <cellStyle name="Обычный 5 2 2 72 8" xfId="40327"/>
    <cellStyle name="Процентный 5 2 2 72 8" xfId="40328"/>
    <cellStyle name="Обычный 6 2 72 8" xfId="40329"/>
    <cellStyle name="Процентный 6 2 72 8" xfId="40330"/>
    <cellStyle name="Обычный 7 2 72 8" xfId="40331"/>
    <cellStyle name="Процентный 7 2 72 8" xfId="40332"/>
    <cellStyle name="Обычный 8 68 8" xfId="40333"/>
    <cellStyle name="Процентный 8 68 8" xfId="40334"/>
    <cellStyle name="Обычный 9 34 8" xfId="40335"/>
    <cellStyle name="Процентный 9 35 8" xfId="40336"/>
    <cellStyle name="Обычный 10 27 8" xfId="40337"/>
    <cellStyle name="Процентный 10 27 8" xfId="40338"/>
    <cellStyle name="Обычный 11 15 8" xfId="40339"/>
    <cellStyle name="Процентный 11 15 8" xfId="40340"/>
    <cellStyle name="Обычный 4 127 8" xfId="40341"/>
    <cellStyle name="Процентный 4 127 8" xfId="40342"/>
    <cellStyle name="Обычный 5 120 8" xfId="40343"/>
    <cellStyle name="Процентный 5 120 8" xfId="40344"/>
    <cellStyle name="Обычный 4 2 114 8" xfId="40345"/>
    <cellStyle name="Процентный 4 2 114 8" xfId="40346"/>
    <cellStyle name="Обычный 5 2 114 8" xfId="40347"/>
    <cellStyle name="Процентный 5 2 114 8" xfId="40348"/>
    <cellStyle name="Обычный 6 111 8" xfId="40349"/>
    <cellStyle name="Процентный 6 111 8" xfId="40350"/>
    <cellStyle name="Обычный 7 81 8" xfId="40351"/>
    <cellStyle name="Процентный 7 81 8" xfId="40352"/>
    <cellStyle name="Обычный 4 3 73 8" xfId="40353"/>
    <cellStyle name="Процентный 4 3 73 8" xfId="40354"/>
    <cellStyle name="Обычный 5 3 73 8" xfId="40355"/>
    <cellStyle name="Процентный 5 3 73 8" xfId="40356"/>
    <cellStyle name="Обычный 4 2 2 73 8" xfId="40357"/>
    <cellStyle name="Процентный 4 2 2 73 8" xfId="40358"/>
    <cellStyle name="Обычный 5 2 2 73 8" xfId="40359"/>
    <cellStyle name="Процентный 5 2 2 73 8" xfId="40360"/>
    <cellStyle name="Обычный 6 2 73 8" xfId="40361"/>
    <cellStyle name="Процентный 6 2 73 8" xfId="40362"/>
    <cellStyle name="Обычный 7 2 73 8" xfId="40363"/>
    <cellStyle name="Процентный 7 2 73 8" xfId="40364"/>
    <cellStyle name="Обычный 8 69 8" xfId="40365"/>
    <cellStyle name="Процентный 8 69 8" xfId="40366"/>
    <cellStyle name="Обычный 9 35 8" xfId="40367"/>
    <cellStyle name="Процентный 9 36 8" xfId="40368"/>
    <cellStyle name="Обычный 10 28 8" xfId="40369"/>
    <cellStyle name="Процентный 10 28 8" xfId="40370"/>
    <cellStyle name="Обычный 11 16 8" xfId="40371"/>
    <cellStyle name="Процентный 11 16 8" xfId="40372"/>
    <cellStyle name="Обычный 4 128 8" xfId="40373"/>
    <cellStyle name="Процентный 4 128 8" xfId="40374"/>
    <cellStyle name="Обычный 5 121 8" xfId="40375"/>
    <cellStyle name="Процентный 5 121 8" xfId="40376"/>
    <cellStyle name="Обычный 4 2 115 8" xfId="40377"/>
    <cellStyle name="Процентный 4 2 115 8" xfId="40378"/>
    <cellStyle name="Обычный 5 2 115 8" xfId="40379"/>
    <cellStyle name="Процентный 5 2 115 8" xfId="40380"/>
    <cellStyle name="Обычный 6 112 8" xfId="40381"/>
    <cellStyle name="Процентный 6 112 8" xfId="40382"/>
    <cellStyle name="Обычный 7 82 8" xfId="40383"/>
    <cellStyle name="Процентный 7 82 8" xfId="40384"/>
    <cellStyle name="Обычный 4 3 74 8" xfId="40385"/>
    <cellStyle name="Процентный 4 3 74 8" xfId="40386"/>
    <cellStyle name="Обычный 5 3 74 8" xfId="40387"/>
    <cellStyle name="Процентный 5 3 74 8" xfId="40388"/>
    <cellStyle name="Обычный 4 2 2 74 8" xfId="40389"/>
    <cellStyle name="Процентный 4 2 2 74 8" xfId="40390"/>
    <cellStyle name="Обычный 5 2 2 74 8" xfId="40391"/>
    <cellStyle name="Процентный 5 2 2 74 8" xfId="40392"/>
    <cellStyle name="Обычный 6 2 74 8" xfId="40393"/>
    <cellStyle name="Процентный 6 2 74 8" xfId="40394"/>
    <cellStyle name="Обычный 7 2 74 8" xfId="40395"/>
    <cellStyle name="Процентный 7 2 74 8" xfId="40396"/>
    <cellStyle name="Обычный 8 70 8" xfId="40397"/>
    <cellStyle name="Процентный 8 70 8" xfId="40398"/>
    <cellStyle name="Обычный 9 36 8" xfId="40399"/>
    <cellStyle name="Процентный 9 37 8" xfId="40400"/>
    <cellStyle name="Обычный 10 29 8" xfId="40401"/>
    <cellStyle name="Процентный 10 29 8" xfId="40402"/>
    <cellStyle name="Обычный 11 17 8" xfId="40403"/>
    <cellStyle name="Процентный 11 17 8" xfId="40404"/>
    <cellStyle name="Обычный 4 129 8" xfId="40405"/>
    <cellStyle name="Процентный 4 129 8" xfId="40406"/>
    <cellStyle name="Обычный 5 122 8" xfId="40407"/>
    <cellStyle name="Процентный 5 122 8" xfId="40408"/>
    <cellStyle name="Обычный 4 2 116 8" xfId="40409"/>
    <cellStyle name="Процентный 4 2 116 8" xfId="40410"/>
    <cellStyle name="Обычный 5 2 116 8" xfId="40411"/>
    <cellStyle name="Процентный 5 2 116 8" xfId="40412"/>
    <cellStyle name="Обычный 6 113 8" xfId="40413"/>
    <cellStyle name="Процентный 6 113 8" xfId="40414"/>
    <cellStyle name="Обычный 7 83 8" xfId="40415"/>
    <cellStyle name="Процентный 7 83 8" xfId="40416"/>
    <cellStyle name="Обычный 4 3 75 8" xfId="40417"/>
    <cellStyle name="Процентный 4 3 75 8" xfId="40418"/>
    <cellStyle name="Обычный 5 3 75 8" xfId="40419"/>
    <cellStyle name="Процентный 5 3 75 8" xfId="40420"/>
    <cellStyle name="Обычный 4 2 2 75 8" xfId="40421"/>
    <cellStyle name="Процентный 4 2 2 75 8" xfId="40422"/>
    <cellStyle name="Обычный 5 2 2 75 8" xfId="40423"/>
    <cellStyle name="Процентный 5 2 2 75 8" xfId="40424"/>
    <cellStyle name="Обычный 6 2 75 8" xfId="40425"/>
    <cellStyle name="Процентный 6 2 75 8" xfId="40426"/>
    <cellStyle name="Обычный 7 2 75 8" xfId="40427"/>
    <cellStyle name="Процентный 7 2 75 8" xfId="40428"/>
    <cellStyle name="Обычный 8 71 8" xfId="40429"/>
    <cellStyle name="Процентный 8 71 8" xfId="40430"/>
    <cellStyle name="Обычный 9 37 8" xfId="40431"/>
    <cellStyle name="Процентный 9 38 8" xfId="40432"/>
    <cellStyle name="Обычный 10 30 8" xfId="40433"/>
    <cellStyle name="Процентный 10 30 8" xfId="40434"/>
    <cellStyle name="Обычный 11 18 8" xfId="40435"/>
    <cellStyle name="Процентный 11 18 8" xfId="40436"/>
    <cellStyle name="Обычный 4 130 8" xfId="40437"/>
    <cellStyle name="Процентный 4 130 8" xfId="40438"/>
    <cellStyle name="Обычный 5 123 8" xfId="40439"/>
    <cellStyle name="Процентный 5 123 8" xfId="40440"/>
    <cellStyle name="Обычный 4 2 117 8" xfId="40441"/>
    <cellStyle name="Процентный 4 2 117 8" xfId="40442"/>
    <cellStyle name="Обычный 5 2 117 8" xfId="40443"/>
    <cellStyle name="Процентный 5 2 117 8" xfId="40444"/>
    <cellStyle name="Обычный 6 114 8" xfId="40445"/>
    <cellStyle name="Процентный 6 114 8" xfId="40446"/>
    <cellStyle name="Обычный 7 84 8" xfId="40447"/>
    <cellStyle name="Процентный 7 84 8" xfId="40448"/>
    <cellStyle name="Обычный 4 3 76 8" xfId="40449"/>
    <cellStyle name="Процентный 4 3 76 8" xfId="40450"/>
    <cellStyle name="Обычный 5 3 76 8" xfId="40451"/>
    <cellStyle name="Процентный 5 3 76 8" xfId="40452"/>
    <cellStyle name="Обычный 4 2 2 76 8" xfId="40453"/>
    <cellStyle name="Процентный 4 2 2 76 8" xfId="40454"/>
    <cellStyle name="Обычный 5 2 2 76 8" xfId="40455"/>
    <cellStyle name="Процентный 5 2 2 76 8" xfId="40456"/>
    <cellStyle name="Обычный 6 2 76 8" xfId="40457"/>
    <cellStyle name="Процентный 6 2 76 8" xfId="40458"/>
    <cellStyle name="Обычный 7 2 76 8" xfId="40459"/>
    <cellStyle name="Процентный 7 2 76 8" xfId="40460"/>
    <cellStyle name="Обычный 8 72 8" xfId="40461"/>
    <cellStyle name="Процентный 8 72 8" xfId="40462"/>
    <cellStyle name="Обычный 9 38 8" xfId="40463"/>
    <cellStyle name="Процентный 9 39 8" xfId="40464"/>
    <cellStyle name="Обычный 10 31 8" xfId="40465"/>
    <cellStyle name="Процентный 10 31 8" xfId="40466"/>
    <cellStyle name="Обычный 11 19 8" xfId="40467"/>
    <cellStyle name="Процентный 11 19 8" xfId="40468"/>
    <cellStyle name="Обычный 4 131 8" xfId="40469"/>
    <cellStyle name="Процентный 4 131 8" xfId="40470"/>
    <cellStyle name="Обычный 5 124 8" xfId="40471"/>
    <cellStyle name="Процентный 5 124 8" xfId="40472"/>
    <cellStyle name="Обычный 4 2 118 8" xfId="40473"/>
    <cellStyle name="Процентный 4 2 118 8" xfId="40474"/>
    <cellStyle name="Обычный 5 2 118 8" xfId="40475"/>
    <cellStyle name="Процентный 5 2 118 8" xfId="40476"/>
    <cellStyle name="Обычный 6 115 8" xfId="40477"/>
    <cellStyle name="Процентный 6 115 8" xfId="40478"/>
    <cellStyle name="Обычный 7 85 8" xfId="40479"/>
    <cellStyle name="Процентный 7 85 8" xfId="40480"/>
    <cellStyle name="Обычный 4 3 77 8" xfId="40481"/>
    <cellStyle name="Процентный 4 3 77 8" xfId="40482"/>
    <cellStyle name="Обычный 5 3 77 8" xfId="40483"/>
    <cellStyle name="Процентный 5 3 77 8" xfId="40484"/>
    <cellStyle name="Обычный 4 2 2 77 8" xfId="40485"/>
    <cellStyle name="Процентный 4 2 2 77 8" xfId="40486"/>
    <cellStyle name="Обычный 5 2 2 77 8" xfId="40487"/>
    <cellStyle name="Процентный 5 2 2 77 8" xfId="40488"/>
    <cellStyle name="Обычный 6 2 77 8" xfId="40489"/>
    <cellStyle name="Процентный 6 2 77 8" xfId="40490"/>
    <cellStyle name="Обычный 7 2 77 8" xfId="40491"/>
    <cellStyle name="Процентный 7 2 77 8" xfId="40492"/>
    <cellStyle name="Обычный 8 73 8" xfId="40493"/>
    <cellStyle name="Процентный 8 73 8" xfId="40494"/>
    <cellStyle name="Обычный 9 39 8" xfId="40495"/>
    <cellStyle name="Процентный 9 40 8" xfId="40496"/>
    <cellStyle name="Обычный 10 32 8" xfId="40497"/>
    <cellStyle name="Процентный 10 32 8" xfId="40498"/>
    <cellStyle name="Обычный 11 20 8" xfId="40499"/>
    <cellStyle name="Процентный 11 20 8" xfId="40500"/>
    <cellStyle name="Обычный 4 132 8" xfId="40501"/>
    <cellStyle name="Процентный 4 132 8" xfId="40502"/>
    <cellStyle name="Обычный 5 125 8" xfId="40503"/>
    <cellStyle name="Процентный 5 125 8" xfId="40504"/>
    <cellStyle name="Обычный 4 2 119 8" xfId="40505"/>
    <cellStyle name="Процентный 4 2 119 8" xfId="40506"/>
    <cellStyle name="Обычный 5 2 119 8" xfId="40507"/>
    <cellStyle name="Процентный 5 2 119 8" xfId="40508"/>
    <cellStyle name="Обычный 6 116 8" xfId="40509"/>
    <cellStyle name="Процентный 6 116 8" xfId="40510"/>
    <cellStyle name="Обычный 7 86 8" xfId="40511"/>
    <cellStyle name="Процентный 7 86 8" xfId="40512"/>
    <cellStyle name="Обычный 4 3 78 8" xfId="40513"/>
    <cellStyle name="Процентный 4 3 78 8" xfId="40514"/>
    <cellStyle name="Обычный 5 3 78 8" xfId="40515"/>
    <cellStyle name="Процентный 5 3 78 8" xfId="40516"/>
    <cellStyle name="Обычный 4 2 2 78 8" xfId="40517"/>
    <cellStyle name="Процентный 4 2 2 78 8" xfId="40518"/>
    <cellStyle name="Обычный 5 2 2 78 8" xfId="40519"/>
    <cellStyle name="Процентный 5 2 2 78 8" xfId="40520"/>
    <cellStyle name="Обычный 6 2 78 8" xfId="40521"/>
    <cellStyle name="Процентный 6 2 78 8" xfId="40522"/>
    <cellStyle name="Обычный 7 2 78 8" xfId="40523"/>
    <cellStyle name="Процентный 7 2 78 8" xfId="40524"/>
    <cellStyle name="Обычный 8 74 8" xfId="40525"/>
    <cellStyle name="Процентный 8 74 8" xfId="40526"/>
    <cellStyle name="Обычный 9 40 8" xfId="40527"/>
    <cellStyle name="Процентный 9 41 8" xfId="40528"/>
    <cellStyle name="Обычный 10 33 8" xfId="40529"/>
    <cellStyle name="Процентный 10 33 8" xfId="40530"/>
    <cellStyle name="Обычный 11 21 8" xfId="40531"/>
    <cellStyle name="Процентный 11 21 8" xfId="40532"/>
    <cellStyle name="Обычный 4 133 8" xfId="40533"/>
    <cellStyle name="Процентный 4 133 8" xfId="40534"/>
    <cellStyle name="Обычный 5 126 8" xfId="40535"/>
    <cellStyle name="Процентный 5 126 8" xfId="40536"/>
    <cellStyle name="Обычный 4 2 120 8" xfId="40537"/>
    <cellStyle name="Процентный 4 2 120 8" xfId="40538"/>
    <cellStyle name="Обычный 5 2 120 8" xfId="40539"/>
    <cellStyle name="Процентный 5 2 120 8" xfId="40540"/>
    <cellStyle name="Обычный 6 117 8" xfId="40541"/>
    <cellStyle name="Процентный 6 117 8" xfId="40542"/>
    <cellStyle name="Обычный 7 87 8" xfId="40543"/>
    <cellStyle name="Процентный 7 87 8" xfId="40544"/>
    <cellStyle name="Обычный 4 3 79 8" xfId="40545"/>
    <cellStyle name="Процентный 4 3 79 8" xfId="40546"/>
    <cellStyle name="Обычный 5 3 79 8" xfId="40547"/>
    <cellStyle name="Процентный 5 3 79 8" xfId="40548"/>
    <cellStyle name="Обычный 4 2 2 79 8" xfId="40549"/>
    <cellStyle name="Процентный 4 2 2 79 8" xfId="40550"/>
    <cellStyle name="Обычный 5 2 2 79 8" xfId="40551"/>
    <cellStyle name="Процентный 5 2 2 79 8" xfId="40552"/>
    <cellStyle name="Обычный 6 2 79 8" xfId="40553"/>
    <cellStyle name="Процентный 6 2 79 8" xfId="40554"/>
    <cellStyle name="Обычный 7 2 79 8" xfId="40555"/>
    <cellStyle name="Процентный 7 2 79 8" xfId="40556"/>
    <cellStyle name="Обычный 8 75 8" xfId="40557"/>
    <cellStyle name="Процентный 8 75 8" xfId="40558"/>
    <cellStyle name="Обычный 9 41 8" xfId="40559"/>
    <cellStyle name="Процентный 9 42 8" xfId="40560"/>
    <cellStyle name="Обычный 10 34 8" xfId="40561"/>
    <cellStyle name="Процентный 10 34 8" xfId="40562"/>
    <cellStyle name="Обычный 11 22 8" xfId="40563"/>
    <cellStyle name="Процентный 11 22 8" xfId="40564"/>
    <cellStyle name="Обычный 4 134 8" xfId="40565"/>
    <cellStyle name="Процентный 4 134 8" xfId="40566"/>
    <cellStyle name="Обычный 5 127 8" xfId="40567"/>
    <cellStyle name="Процентный 5 127 8" xfId="40568"/>
    <cellStyle name="Обычный 4 2 121 8" xfId="40569"/>
    <cellStyle name="Процентный 4 2 121 8" xfId="40570"/>
    <cellStyle name="Обычный 5 2 121 8" xfId="40571"/>
    <cellStyle name="Процентный 5 2 121 8" xfId="40572"/>
    <cellStyle name="Обычный 6 118 8" xfId="40573"/>
    <cellStyle name="Процентный 6 118 8" xfId="40574"/>
    <cellStyle name="Обычный 7 88 8" xfId="40575"/>
    <cellStyle name="Процентный 7 88 8" xfId="40576"/>
    <cellStyle name="Обычный 4 3 80 8" xfId="40577"/>
    <cellStyle name="Процентный 4 3 80 8" xfId="40578"/>
    <cellStyle name="Обычный 5 3 80 8" xfId="40579"/>
    <cellStyle name="Процентный 5 3 80 8" xfId="40580"/>
    <cellStyle name="Обычный 4 2 2 80 8" xfId="40581"/>
    <cellStyle name="Процентный 4 2 2 80 8" xfId="40582"/>
    <cellStyle name="Обычный 5 2 2 80 8" xfId="40583"/>
    <cellStyle name="Процентный 5 2 2 80 8" xfId="40584"/>
    <cellStyle name="Обычный 6 2 80 8" xfId="40585"/>
    <cellStyle name="Процентный 6 2 80 8" xfId="40586"/>
    <cellStyle name="Обычный 7 2 80 8" xfId="40587"/>
    <cellStyle name="Процентный 7 2 80 8" xfId="40588"/>
    <cellStyle name="Обычный 8 76 8" xfId="40589"/>
    <cellStyle name="Процентный 8 76 8" xfId="40590"/>
    <cellStyle name="Обычный 9 42 8" xfId="40591"/>
    <cellStyle name="Процентный 9 43 8" xfId="40592"/>
    <cellStyle name="Обычный 10 35 8" xfId="40593"/>
    <cellStyle name="Процентный 10 35 8" xfId="40594"/>
    <cellStyle name="Обычный 11 23 8" xfId="40595"/>
    <cellStyle name="Процентный 11 23 8" xfId="40596"/>
    <cellStyle name="Обычный 4 135 8" xfId="40597"/>
    <cellStyle name="Процентный 4 135 8" xfId="40598"/>
    <cellStyle name="Обычный 5 128 8" xfId="40599"/>
    <cellStyle name="Процентный 5 128 8" xfId="40600"/>
    <cellStyle name="Обычный 4 2 122 8" xfId="40601"/>
    <cellStyle name="Процентный 4 2 122 8" xfId="40602"/>
    <cellStyle name="Обычный 5 2 122 8" xfId="40603"/>
    <cellStyle name="Процентный 5 2 122 8" xfId="40604"/>
    <cellStyle name="Обычный 6 119 8" xfId="40605"/>
    <cellStyle name="Процентный 6 119 8" xfId="40606"/>
    <cellStyle name="Обычный 7 89 8" xfId="40607"/>
    <cellStyle name="Процентный 7 89 8" xfId="40608"/>
    <cellStyle name="Обычный 4 3 81 8" xfId="40609"/>
    <cellStyle name="Процентный 4 3 81 8" xfId="40610"/>
    <cellStyle name="Обычный 5 3 81 8" xfId="40611"/>
    <cellStyle name="Процентный 5 3 81 8" xfId="40612"/>
    <cellStyle name="Обычный 4 2 2 81 8" xfId="40613"/>
    <cellStyle name="Процентный 4 2 2 81 8" xfId="40614"/>
    <cellStyle name="Обычный 5 2 2 81 8" xfId="40615"/>
    <cellStyle name="Процентный 5 2 2 81 8" xfId="40616"/>
    <cellStyle name="Обычный 6 2 81 8" xfId="40617"/>
    <cellStyle name="Процентный 6 2 81 8" xfId="40618"/>
    <cellStyle name="Обычный 7 2 81 8" xfId="40619"/>
    <cellStyle name="Процентный 7 2 81 8" xfId="40620"/>
    <cellStyle name="Обычный 8 77 8" xfId="40621"/>
    <cellStyle name="Процентный 8 77 8" xfId="40622"/>
    <cellStyle name="Обычный 9 43 8" xfId="40623"/>
    <cellStyle name="Процентный 9 44 8" xfId="40624"/>
    <cellStyle name="Обычный 10 36 8" xfId="40625"/>
    <cellStyle name="Процентный 10 36 8" xfId="40626"/>
    <cellStyle name="Обычный 11 24 8" xfId="40627"/>
    <cellStyle name="Процентный 11 24 8" xfId="40628"/>
    <cellStyle name="Обычный 4 136 8" xfId="40629"/>
    <cellStyle name="Процентный 4 136 8" xfId="40630"/>
    <cellStyle name="Обычный 5 129 8" xfId="40631"/>
    <cellStyle name="Процентный 5 129 8" xfId="40632"/>
    <cellStyle name="Обычный 4 2 123 8" xfId="40633"/>
    <cellStyle name="Процентный 4 2 123 8" xfId="40634"/>
    <cellStyle name="Обычный 5 2 123 8" xfId="40635"/>
    <cellStyle name="Процентный 5 2 123 8" xfId="40636"/>
    <cellStyle name="Обычный 6 120 8" xfId="40637"/>
    <cellStyle name="Процентный 6 120 8" xfId="40638"/>
    <cellStyle name="Обычный 7 90 8" xfId="40639"/>
    <cellStyle name="Процентный 7 90 8" xfId="40640"/>
    <cellStyle name="Обычный 4 3 82 8" xfId="40641"/>
    <cellStyle name="Процентный 4 3 82 8" xfId="40642"/>
    <cellStyle name="Обычный 5 3 82 8" xfId="40643"/>
    <cellStyle name="Процентный 5 3 82 8" xfId="40644"/>
    <cellStyle name="Обычный 4 2 2 82 8" xfId="40645"/>
    <cellStyle name="Процентный 4 2 2 82 8" xfId="40646"/>
    <cellStyle name="Обычный 5 2 2 82 8" xfId="40647"/>
    <cellStyle name="Процентный 5 2 2 82 8" xfId="40648"/>
    <cellStyle name="Обычный 6 2 82 8" xfId="40649"/>
    <cellStyle name="Процентный 6 2 82 8" xfId="40650"/>
    <cellStyle name="Обычный 7 2 82 8" xfId="40651"/>
    <cellStyle name="Процентный 7 2 82 8" xfId="40652"/>
    <cellStyle name="Обычный 8 78 8" xfId="40653"/>
    <cellStyle name="Процентный 8 78 8" xfId="40654"/>
    <cellStyle name="Обычный 9 44 8" xfId="40655"/>
    <cellStyle name="Процентный 9 45 8" xfId="40656"/>
    <cellStyle name="Обычный 10 37 8" xfId="40657"/>
    <cellStyle name="Процентный 10 37 8" xfId="40658"/>
    <cellStyle name="Обычный 11 25 8" xfId="40659"/>
    <cellStyle name="Процентный 11 25 8" xfId="40660"/>
    <cellStyle name="Обычный 4 137 8" xfId="40661"/>
    <cellStyle name="Процентный 4 137 8" xfId="40662"/>
    <cellStyle name="Обычный 5 130 8" xfId="40663"/>
    <cellStyle name="Процентный 5 130 8" xfId="40664"/>
    <cellStyle name="Обычный 4 2 124 8" xfId="40665"/>
    <cellStyle name="Процентный 4 2 124 8" xfId="40666"/>
    <cellStyle name="Обычный 5 2 124 8" xfId="40667"/>
    <cellStyle name="Процентный 5 2 124 8" xfId="40668"/>
    <cellStyle name="Обычный 6 121 8" xfId="40669"/>
    <cellStyle name="Процентный 6 121 8" xfId="40670"/>
    <cellStyle name="Обычный 7 91 8" xfId="40671"/>
    <cellStyle name="Процентный 7 91 8" xfId="40672"/>
    <cellStyle name="Обычный 4 3 83 8" xfId="40673"/>
    <cellStyle name="Процентный 4 3 83 8" xfId="40674"/>
    <cellStyle name="Обычный 5 3 83 8" xfId="40675"/>
    <cellStyle name="Процентный 5 3 83 8" xfId="40676"/>
    <cellStyle name="Обычный 4 2 2 83 8" xfId="40677"/>
    <cellStyle name="Процентный 4 2 2 83 8" xfId="40678"/>
    <cellStyle name="Обычный 5 2 2 83 8" xfId="40679"/>
    <cellStyle name="Процентный 5 2 2 83 8" xfId="40680"/>
    <cellStyle name="Обычный 6 2 83 8" xfId="40681"/>
    <cellStyle name="Процентный 6 2 83 8" xfId="40682"/>
    <cellStyle name="Обычный 7 2 83 8" xfId="40683"/>
    <cellStyle name="Процентный 7 2 83 8" xfId="40684"/>
    <cellStyle name="Обычный 8 79 8" xfId="40685"/>
    <cellStyle name="Процентный 8 79 8" xfId="40686"/>
    <cellStyle name="Обычный 9 45 8" xfId="40687"/>
    <cellStyle name="Процентный 9 46 8" xfId="40688"/>
    <cellStyle name="Обычный 10 38 8" xfId="40689"/>
    <cellStyle name="Процентный 10 38 8" xfId="40690"/>
    <cellStyle name="Обычный 11 26 8" xfId="40691"/>
    <cellStyle name="Процентный 11 26 8" xfId="40692"/>
    <cellStyle name="Обычный 4 138 8" xfId="40693"/>
    <cellStyle name="Процентный 4 138 8" xfId="40694"/>
    <cellStyle name="Обычный 5 131 8" xfId="40695"/>
    <cellStyle name="Процентный 5 131 8" xfId="40696"/>
    <cellStyle name="Обычный 4 2 125 8" xfId="40697"/>
    <cellStyle name="Процентный 4 2 125 8" xfId="40698"/>
    <cellStyle name="Обычный 5 2 125 8" xfId="40699"/>
    <cellStyle name="Процентный 5 2 125 8" xfId="40700"/>
    <cellStyle name="Обычный 6 122 8" xfId="40701"/>
    <cellStyle name="Процентный 6 122 8" xfId="40702"/>
    <cellStyle name="Обычный 7 92 8" xfId="40703"/>
    <cellStyle name="Процентный 7 92 8" xfId="40704"/>
    <cellStyle name="Обычный 4 3 84 8" xfId="40705"/>
    <cellStyle name="Процентный 4 3 84 8" xfId="40706"/>
    <cellStyle name="Обычный 5 3 84 8" xfId="40707"/>
    <cellStyle name="Процентный 5 3 84 8" xfId="40708"/>
    <cellStyle name="Обычный 4 2 2 84 8" xfId="40709"/>
    <cellStyle name="Процентный 4 2 2 84 8" xfId="40710"/>
    <cellStyle name="Обычный 5 2 2 84 8" xfId="40711"/>
    <cellStyle name="Процентный 5 2 2 84 8" xfId="40712"/>
    <cellStyle name="Обычный 6 2 84 8" xfId="40713"/>
    <cellStyle name="Процентный 6 2 84 8" xfId="40714"/>
    <cellStyle name="Обычный 7 2 84 8" xfId="40715"/>
    <cellStyle name="Процентный 7 2 84 8" xfId="40716"/>
    <cellStyle name="Обычный 8 80 8" xfId="40717"/>
    <cellStyle name="Процентный 8 80 8" xfId="40718"/>
    <cellStyle name="Обычный 9 46 8" xfId="40719"/>
    <cellStyle name="Процентный 9 47 8" xfId="40720"/>
    <cellStyle name="Обычный 10 39 8" xfId="40721"/>
    <cellStyle name="Процентный 10 39 8" xfId="40722"/>
    <cellStyle name="Обычный 11 27 8" xfId="40723"/>
    <cellStyle name="Процентный 11 27 8" xfId="40724"/>
    <cellStyle name="Обычный 4 139 8" xfId="40725"/>
    <cellStyle name="Процентный 4 139 8" xfId="40726"/>
    <cellStyle name="Обычный 5 132 8" xfId="40727"/>
    <cellStyle name="Процентный 5 132 8" xfId="40728"/>
    <cellStyle name="Обычный 4 2 126 8" xfId="40729"/>
    <cellStyle name="Процентный 4 2 126 8" xfId="40730"/>
    <cellStyle name="Обычный 5 2 126 8" xfId="40731"/>
    <cellStyle name="Процентный 5 2 126 8" xfId="40732"/>
    <cellStyle name="Обычный 6 123 8" xfId="40733"/>
    <cellStyle name="Процентный 6 123 8" xfId="40734"/>
    <cellStyle name="Обычный 7 93 8" xfId="40735"/>
    <cellStyle name="Процентный 7 93 8" xfId="40736"/>
    <cellStyle name="Обычный 4 3 85 8" xfId="40737"/>
    <cellStyle name="Процентный 4 3 85 8" xfId="40738"/>
    <cellStyle name="Обычный 5 3 85 8" xfId="40739"/>
    <cellStyle name="Процентный 5 3 85 8" xfId="40740"/>
    <cellStyle name="Обычный 4 2 2 85 8" xfId="40741"/>
    <cellStyle name="Процентный 4 2 2 85 8" xfId="40742"/>
    <cellStyle name="Обычный 5 2 2 85 8" xfId="40743"/>
    <cellStyle name="Процентный 5 2 2 85 8" xfId="40744"/>
    <cellStyle name="Обычный 6 2 85 8" xfId="40745"/>
    <cellStyle name="Процентный 6 2 85 8" xfId="40746"/>
    <cellStyle name="Обычный 7 2 85 8" xfId="40747"/>
    <cellStyle name="Процентный 7 2 85 8" xfId="40748"/>
    <cellStyle name="Обычный 8 81 8" xfId="40749"/>
    <cellStyle name="Процентный 8 81 8" xfId="40750"/>
    <cellStyle name="Обычный 9 47 8" xfId="40751"/>
    <cellStyle name="Процентный 9 48 8" xfId="40752"/>
    <cellStyle name="Обычный 10 40 8" xfId="40753"/>
    <cellStyle name="Процентный 10 40 8" xfId="40754"/>
    <cellStyle name="Обычный 11 28 8" xfId="40755"/>
    <cellStyle name="Процентный 11 28 8" xfId="40756"/>
    <cellStyle name="Обычный 4 140 8" xfId="40757"/>
    <cellStyle name="Процентный 4 140 8" xfId="40758"/>
    <cellStyle name="Обычный 5 133 8" xfId="40759"/>
    <cellStyle name="Процентный 5 133 8" xfId="40760"/>
    <cellStyle name="Обычный 4 2 127 8" xfId="40761"/>
    <cellStyle name="Процентный 4 2 127 8" xfId="40762"/>
    <cellStyle name="Обычный 5 2 127 8" xfId="40763"/>
    <cellStyle name="Процентный 5 2 127 8" xfId="40764"/>
    <cellStyle name="Обычный 6 124 8" xfId="40765"/>
    <cellStyle name="Процентный 6 124 8" xfId="40766"/>
    <cellStyle name="Обычный 7 94 8" xfId="40767"/>
    <cellStyle name="Процентный 7 94 8" xfId="40768"/>
    <cellStyle name="Обычный 4 3 86 8" xfId="40769"/>
    <cellStyle name="Процентный 4 3 86 8" xfId="40770"/>
    <cellStyle name="Обычный 5 3 86 8" xfId="40771"/>
    <cellStyle name="Процентный 5 3 86 8" xfId="40772"/>
    <cellStyle name="Обычный 4 2 2 86 8" xfId="40773"/>
    <cellStyle name="Процентный 4 2 2 86 8" xfId="40774"/>
    <cellStyle name="Обычный 5 2 2 86 8" xfId="40775"/>
    <cellStyle name="Процентный 5 2 2 86 8" xfId="40776"/>
    <cellStyle name="Обычный 6 2 86 8" xfId="40777"/>
    <cellStyle name="Процентный 6 2 86 8" xfId="40778"/>
    <cellStyle name="Обычный 7 2 86 8" xfId="40779"/>
    <cellStyle name="Процентный 7 2 86 8" xfId="40780"/>
    <cellStyle name="Обычный 8 82 8" xfId="40781"/>
    <cellStyle name="Процентный 8 82 8" xfId="40782"/>
    <cellStyle name="Обычный 9 48 8" xfId="40783"/>
    <cellStyle name="Процентный 9 49 8" xfId="40784"/>
    <cellStyle name="Обычный 10 41 8" xfId="40785"/>
    <cellStyle name="Процентный 10 41 8" xfId="40786"/>
    <cellStyle name="Обычный 11 29 8" xfId="40787"/>
    <cellStyle name="Процентный 11 29 8" xfId="40788"/>
    <cellStyle name="Обычный 4 141 8" xfId="40789"/>
    <cellStyle name="Процентный 4 141 8" xfId="40790"/>
    <cellStyle name="Обычный 5 134 8" xfId="40791"/>
    <cellStyle name="Процентный 5 134 8" xfId="40792"/>
    <cellStyle name="Обычный 4 2 128 8" xfId="40793"/>
    <cellStyle name="Процентный 4 2 128 8" xfId="40794"/>
    <cellStyle name="Обычный 5 2 128 8" xfId="40795"/>
    <cellStyle name="Процентный 5 2 128 8" xfId="40796"/>
    <cellStyle name="Обычный 6 125 8" xfId="40797"/>
    <cellStyle name="Процентный 6 125 8" xfId="40798"/>
    <cellStyle name="Обычный 7 95 8" xfId="40799"/>
    <cellStyle name="Процентный 7 95 8" xfId="40800"/>
    <cellStyle name="Обычный 4 3 87 8" xfId="40801"/>
    <cellStyle name="Процентный 4 3 87 8" xfId="40802"/>
    <cellStyle name="Обычный 5 3 87 8" xfId="40803"/>
    <cellStyle name="Процентный 5 3 87 8" xfId="40804"/>
    <cellStyle name="Обычный 4 2 2 87 8" xfId="40805"/>
    <cellStyle name="Процентный 4 2 2 87 8" xfId="40806"/>
    <cellStyle name="Обычный 5 2 2 87 8" xfId="40807"/>
    <cellStyle name="Процентный 5 2 2 87 8" xfId="40808"/>
    <cellStyle name="Обычный 6 2 87 8" xfId="40809"/>
    <cellStyle name="Процентный 6 2 87 8" xfId="40810"/>
    <cellStyle name="Обычный 7 2 87 8" xfId="40811"/>
    <cellStyle name="Процентный 7 2 87 8" xfId="40812"/>
    <cellStyle name="Обычный 8 83 8" xfId="40813"/>
    <cellStyle name="Процентный 8 83 8" xfId="40814"/>
    <cellStyle name="Обычный 9 49 8" xfId="40815"/>
    <cellStyle name="Процентный 9 50 8" xfId="40816"/>
    <cellStyle name="Обычный 10 42 8" xfId="40817"/>
    <cellStyle name="Процентный 10 42 8" xfId="40818"/>
    <cellStyle name="Обычный 11 30 8" xfId="40819"/>
    <cellStyle name="Процентный 11 30 8" xfId="40820"/>
    <cellStyle name="Обычный 4 142 8" xfId="40821"/>
    <cellStyle name="Процентный 4 142 8" xfId="40822"/>
    <cellStyle name="Обычный 5 135 8" xfId="40823"/>
    <cellStyle name="Процентный 5 135 8" xfId="40824"/>
    <cellStyle name="Обычный 4 2 129 8" xfId="40825"/>
    <cellStyle name="Процентный 4 2 129 8" xfId="40826"/>
    <cellStyle name="Обычный 5 2 129 8" xfId="40827"/>
    <cellStyle name="Процентный 5 2 129 8" xfId="40828"/>
    <cellStyle name="Обычный 6 126 8" xfId="40829"/>
    <cellStyle name="Процентный 6 126 8" xfId="40830"/>
    <cellStyle name="Обычный 7 96 8" xfId="40831"/>
    <cellStyle name="Процентный 7 96 8" xfId="40832"/>
    <cellStyle name="Обычный 4 3 88 8" xfId="40833"/>
    <cellStyle name="Процентный 4 3 88 8" xfId="40834"/>
    <cellStyle name="Обычный 5 3 88 8" xfId="40835"/>
    <cellStyle name="Процентный 5 3 88 8" xfId="40836"/>
    <cellStyle name="Обычный 4 2 2 88 8" xfId="40837"/>
    <cellStyle name="Процентный 4 2 2 88 8" xfId="40838"/>
    <cellStyle name="Обычный 5 2 2 88 8" xfId="40839"/>
    <cellStyle name="Процентный 5 2 2 88 8" xfId="40840"/>
    <cellStyle name="Обычный 6 2 88 8" xfId="40841"/>
    <cellStyle name="Процентный 6 2 88 8" xfId="40842"/>
    <cellStyle name="Обычный 7 2 88 8" xfId="40843"/>
    <cellStyle name="Процентный 7 2 88 8" xfId="40844"/>
    <cellStyle name="Обычный 8 84 8" xfId="40845"/>
    <cellStyle name="Процентный 8 84 8" xfId="40846"/>
    <cellStyle name="Обычный 9 50 8" xfId="40847"/>
    <cellStyle name="Процентный 9 51 8" xfId="40848"/>
    <cellStyle name="Обычный 10 43 8" xfId="40849"/>
    <cellStyle name="Процентный 10 43 8" xfId="40850"/>
    <cellStyle name="Обычный 11 31 8" xfId="40851"/>
    <cellStyle name="Процентный 11 31 8" xfId="40852"/>
    <cellStyle name="Обычный 4 143 8" xfId="40853"/>
    <cellStyle name="Процентный 4 143 8" xfId="40854"/>
    <cellStyle name="Обычный 5 136 8" xfId="40855"/>
    <cellStyle name="Процентный 5 136 8" xfId="40856"/>
    <cellStyle name="Обычный 4 2 130 8" xfId="40857"/>
    <cellStyle name="Процентный 4 2 130 8" xfId="40858"/>
    <cellStyle name="Обычный 5 2 130 8" xfId="40859"/>
    <cellStyle name="Процентный 5 2 130 8" xfId="40860"/>
    <cellStyle name="Обычный 6 127 8" xfId="40861"/>
    <cellStyle name="Процентный 6 127 8" xfId="40862"/>
    <cellStyle name="Обычный 7 97 8" xfId="40863"/>
    <cellStyle name="Процентный 7 97 8" xfId="40864"/>
    <cellStyle name="Обычный 4 3 89 8" xfId="40865"/>
    <cellStyle name="Процентный 4 3 89 8" xfId="40866"/>
    <cellStyle name="Обычный 5 3 89 8" xfId="40867"/>
    <cellStyle name="Процентный 5 3 89 8" xfId="40868"/>
    <cellStyle name="Обычный 4 2 2 89 8" xfId="40869"/>
    <cellStyle name="Процентный 4 2 2 89 8" xfId="40870"/>
    <cellStyle name="Обычный 5 2 2 89 8" xfId="40871"/>
    <cellStyle name="Процентный 5 2 2 89 8" xfId="40872"/>
    <cellStyle name="Обычный 6 2 89 8" xfId="40873"/>
    <cellStyle name="Процентный 6 2 89 8" xfId="40874"/>
    <cellStyle name="Обычный 7 2 89 8" xfId="40875"/>
    <cellStyle name="Процентный 7 2 89 8" xfId="40876"/>
    <cellStyle name="Обычный 8 85 8" xfId="40877"/>
    <cellStyle name="Процентный 8 85 8" xfId="40878"/>
    <cellStyle name="Обычный 9 51 8" xfId="40879"/>
    <cellStyle name="Процентный 9 52 8" xfId="40880"/>
    <cellStyle name="Обычный 10 44 8" xfId="40881"/>
    <cellStyle name="Процентный 10 44 8" xfId="40882"/>
    <cellStyle name="Обычный 11 32 8" xfId="40883"/>
    <cellStyle name="Процентный 11 32 8" xfId="40884"/>
    <cellStyle name="Обычный 4 144 8" xfId="40885"/>
    <cellStyle name="Процентный 4 144 8" xfId="40886"/>
    <cellStyle name="Обычный 5 137 8" xfId="40887"/>
    <cellStyle name="Процентный 5 137 8" xfId="40888"/>
    <cellStyle name="Обычный 4 2 131 8" xfId="40889"/>
    <cellStyle name="Процентный 4 2 131 8" xfId="40890"/>
    <cellStyle name="Обычный 5 2 131 8" xfId="40891"/>
    <cellStyle name="Процентный 5 2 131 8" xfId="40892"/>
    <cellStyle name="Обычный 6 128 8" xfId="40893"/>
    <cellStyle name="Процентный 6 128 8" xfId="40894"/>
    <cellStyle name="Обычный 7 98 8" xfId="40895"/>
    <cellStyle name="Процентный 7 98 8" xfId="40896"/>
    <cellStyle name="Обычный 4 3 90 8" xfId="40897"/>
    <cellStyle name="Процентный 4 3 90 8" xfId="40898"/>
    <cellStyle name="Обычный 5 3 90 8" xfId="40899"/>
    <cellStyle name="Процентный 5 3 90 8" xfId="40900"/>
    <cellStyle name="Обычный 4 2 2 90 8" xfId="40901"/>
    <cellStyle name="Процентный 4 2 2 90 8" xfId="40902"/>
    <cellStyle name="Обычный 5 2 2 90 8" xfId="40903"/>
    <cellStyle name="Процентный 5 2 2 90 8" xfId="40904"/>
    <cellStyle name="Обычный 6 2 90 8" xfId="40905"/>
    <cellStyle name="Процентный 6 2 90 8" xfId="40906"/>
    <cellStyle name="Обычный 7 2 90 8" xfId="40907"/>
    <cellStyle name="Процентный 7 2 90 8" xfId="40908"/>
    <cellStyle name="Обычный 8 86 8" xfId="40909"/>
    <cellStyle name="Процентный 8 86 8" xfId="40910"/>
    <cellStyle name="Обычный 9 52 8" xfId="40911"/>
    <cellStyle name="Процентный 9 53 8" xfId="40912"/>
    <cellStyle name="Обычный 10 45 8" xfId="40913"/>
    <cellStyle name="Процентный 10 45 8" xfId="40914"/>
    <cellStyle name="Обычный 11 33 8" xfId="40915"/>
    <cellStyle name="Процентный 11 33 8" xfId="40916"/>
    <cellStyle name="Обычный 4 145 8" xfId="40917"/>
    <cellStyle name="Процентный 4 145 8" xfId="40918"/>
    <cellStyle name="Обычный 5 138 8" xfId="40919"/>
    <cellStyle name="Процентный 5 138 8" xfId="40920"/>
    <cellStyle name="Обычный 4 2 132 8" xfId="40921"/>
    <cellStyle name="Процентный 4 2 132 8" xfId="40922"/>
    <cellStyle name="Обычный 5 2 132 8" xfId="40923"/>
    <cellStyle name="Процентный 5 2 132 8" xfId="40924"/>
    <cellStyle name="Обычный 6 129 8" xfId="40925"/>
    <cellStyle name="Процентный 6 129 8" xfId="40926"/>
    <cellStyle name="Обычный 7 99 8" xfId="40927"/>
    <cellStyle name="Процентный 7 99 8" xfId="40928"/>
    <cellStyle name="Обычный 4 3 91 8" xfId="40929"/>
    <cellStyle name="Процентный 4 3 91 8" xfId="40930"/>
    <cellStyle name="Обычный 5 3 91 8" xfId="40931"/>
    <cellStyle name="Процентный 5 3 91 8" xfId="40932"/>
    <cellStyle name="Обычный 4 2 2 91 8" xfId="40933"/>
    <cellStyle name="Процентный 4 2 2 91 8" xfId="40934"/>
    <cellStyle name="Обычный 5 2 2 91 8" xfId="40935"/>
    <cellStyle name="Процентный 5 2 2 91 8" xfId="40936"/>
    <cellStyle name="Обычный 6 2 91 8" xfId="40937"/>
    <cellStyle name="Процентный 6 2 91 8" xfId="40938"/>
    <cellStyle name="Обычный 7 2 91 8" xfId="40939"/>
    <cellStyle name="Процентный 7 2 91 8" xfId="40940"/>
    <cellStyle name="Обычный 8 87 8" xfId="40941"/>
    <cellStyle name="Процентный 8 87 8" xfId="40942"/>
    <cellStyle name="Обычный 9 53 8" xfId="40943"/>
    <cellStyle name="Процентный 9 54 8" xfId="40944"/>
    <cellStyle name="Обычный 10 46 8" xfId="40945"/>
    <cellStyle name="Процентный 10 46 8" xfId="40946"/>
    <cellStyle name="Обычный 11 34 8" xfId="40947"/>
    <cellStyle name="Процентный 11 34 8" xfId="40948"/>
    <cellStyle name="Обычный 4 146 8" xfId="40949"/>
    <cellStyle name="Процентный 4 146 8" xfId="40950"/>
    <cellStyle name="Обычный 5 139 8" xfId="40951"/>
    <cellStyle name="Процентный 5 139 8" xfId="40952"/>
    <cellStyle name="Обычный 4 2 133 8" xfId="40953"/>
    <cellStyle name="Процентный 4 2 133 8" xfId="40954"/>
    <cellStyle name="Обычный 5 2 133 8" xfId="40955"/>
    <cellStyle name="Процентный 5 2 133 8" xfId="40956"/>
    <cellStyle name="Обычный 6 130 8" xfId="40957"/>
    <cellStyle name="Процентный 6 130 8" xfId="40958"/>
    <cellStyle name="Обычный 7 100 8" xfId="40959"/>
    <cellStyle name="Процентный 7 100 8" xfId="40960"/>
    <cellStyle name="Обычный 4 3 92 8" xfId="40961"/>
    <cellStyle name="Процентный 4 3 92 8" xfId="40962"/>
    <cellStyle name="Обычный 5 3 92 8" xfId="40963"/>
    <cellStyle name="Процентный 5 3 92 8" xfId="40964"/>
    <cellStyle name="Обычный 4 2 2 92 8" xfId="40965"/>
    <cellStyle name="Процентный 4 2 2 92 8" xfId="40966"/>
    <cellStyle name="Обычный 5 2 2 92 8" xfId="40967"/>
    <cellStyle name="Процентный 5 2 2 92 8" xfId="40968"/>
    <cellStyle name="Обычный 6 2 92 8" xfId="40969"/>
    <cellStyle name="Процентный 6 2 92 8" xfId="40970"/>
    <cellStyle name="Обычный 7 2 92 8" xfId="40971"/>
    <cellStyle name="Процентный 7 2 92 8" xfId="40972"/>
    <cellStyle name="Обычный 8 88 8" xfId="40973"/>
    <cellStyle name="Процентный 8 88 8" xfId="40974"/>
    <cellStyle name="Обычный 9 54 8" xfId="40975"/>
    <cellStyle name="Процентный 9 55 8" xfId="40976"/>
    <cellStyle name="Обычный 10 47 8" xfId="40977"/>
    <cellStyle name="Процентный 10 47 8" xfId="40978"/>
    <cellStyle name="Обычный 11 35 8" xfId="40979"/>
    <cellStyle name="Процентный 11 35 8" xfId="40980"/>
    <cellStyle name="Обычный 4 147 8" xfId="40981"/>
    <cellStyle name="Процентный 4 147 8" xfId="40982"/>
    <cellStyle name="Обычный 5 140 8" xfId="40983"/>
    <cellStyle name="Процентный 5 140 8" xfId="40984"/>
    <cellStyle name="Обычный 4 2 134 8" xfId="40985"/>
    <cellStyle name="Процентный 4 2 134 8" xfId="40986"/>
    <cellStyle name="Обычный 5 2 134 8" xfId="40987"/>
    <cellStyle name="Процентный 5 2 134 8" xfId="40988"/>
    <cellStyle name="Обычный 6 131 8" xfId="40989"/>
    <cellStyle name="Процентный 6 131 8" xfId="40990"/>
    <cellStyle name="Обычный 7 101 8" xfId="40991"/>
    <cellStyle name="Процентный 7 101 8" xfId="40992"/>
    <cellStyle name="Обычный 4 3 93 8" xfId="40993"/>
    <cellStyle name="Процентный 4 3 93 8" xfId="40994"/>
    <cellStyle name="Обычный 5 3 93 8" xfId="40995"/>
    <cellStyle name="Процентный 5 3 93 8" xfId="40996"/>
    <cellStyle name="Обычный 4 2 2 93 8" xfId="40997"/>
    <cellStyle name="Процентный 4 2 2 93 8" xfId="40998"/>
    <cellStyle name="Обычный 5 2 2 93 8" xfId="40999"/>
    <cellStyle name="Процентный 5 2 2 93 8" xfId="41000"/>
    <cellStyle name="Обычный 6 2 93 8" xfId="41001"/>
    <cellStyle name="Процентный 6 2 93 8" xfId="41002"/>
    <cellStyle name="Обычный 7 2 93 8" xfId="41003"/>
    <cellStyle name="Процентный 7 2 93 8" xfId="41004"/>
    <cellStyle name="Обычный 8 89 8" xfId="41005"/>
    <cellStyle name="Процентный 8 89 8" xfId="41006"/>
    <cellStyle name="Обычный 9 55 8" xfId="41007"/>
    <cellStyle name="Процентный 9 56 8" xfId="41008"/>
    <cellStyle name="Обычный 10 48 8" xfId="41009"/>
    <cellStyle name="Процентный 10 48 8" xfId="41010"/>
    <cellStyle name="Обычный 11 36 8" xfId="41011"/>
    <cellStyle name="Процентный 11 36 8" xfId="41012"/>
    <cellStyle name="Обычный 4 148 8" xfId="41013"/>
    <cellStyle name="Процентный 4 148 8" xfId="41014"/>
    <cellStyle name="Обычный 5 141 8" xfId="41015"/>
    <cellStyle name="Процентный 5 141 8" xfId="41016"/>
    <cellStyle name="Обычный 4 2 135 8" xfId="41017"/>
    <cellStyle name="Процентный 4 2 135 8" xfId="41018"/>
    <cellStyle name="Обычный 5 2 135 8" xfId="41019"/>
    <cellStyle name="Процентный 5 2 135 8" xfId="41020"/>
    <cellStyle name="Обычный 6 132 8" xfId="41021"/>
    <cellStyle name="Процентный 6 132 8" xfId="41022"/>
    <cellStyle name="Обычный 7 102 8" xfId="41023"/>
    <cellStyle name="Процентный 7 102 8" xfId="41024"/>
    <cellStyle name="Обычный 4 3 94 8" xfId="41025"/>
    <cellStyle name="Процентный 4 3 94 8" xfId="41026"/>
    <cellStyle name="Обычный 5 3 94 8" xfId="41027"/>
    <cellStyle name="Процентный 5 3 94 8" xfId="41028"/>
    <cellStyle name="Обычный 4 2 2 94 8" xfId="41029"/>
    <cellStyle name="Процентный 4 2 2 94 8" xfId="41030"/>
    <cellStyle name="Обычный 5 2 2 94 8" xfId="41031"/>
    <cellStyle name="Процентный 5 2 2 94 8" xfId="41032"/>
    <cellStyle name="Обычный 6 2 94 8" xfId="41033"/>
    <cellStyle name="Процентный 6 2 94 8" xfId="41034"/>
    <cellStyle name="Обычный 7 2 94 8" xfId="41035"/>
    <cellStyle name="Процентный 7 2 94 8" xfId="41036"/>
    <cellStyle name="Обычный 8 90 8" xfId="41037"/>
    <cellStyle name="Процентный 8 90 8" xfId="41038"/>
    <cellStyle name="Обычный 9 56 8" xfId="41039"/>
    <cellStyle name="Процентный 9 57 8" xfId="41040"/>
    <cellStyle name="Обычный 10 49 8" xfId="41041"/>
    <cellStyle name="Процентный 10 49 8" xfId="41042"/>
    <cellStyle name="Обычный 11 37 8" xfId="41043"/>
    <cellStyle name="Процентный 11 37 8" xfId="41044"/>
    <cellStyle name="Обычный 4 149 8" xfId="41045"/>
    <cellStyle name="Процентный 4 149 8" xfId="41046"/>
    <cellStyle name="Обычный 5 142 8" xfId="41047"/>
    <cellStyle name="Процентный 5 142 8" xfId="41048"/>
    <cellStyle name="Обычный 4 2 136 8" xfId="41049"/>
    <cellStyle name="Процентный 4 2 136 8" xfId="41050"/>
    <cellStyle name="Обычный 5 2 136 8" xfId="41051"/>
    <cellStyle name="Процентный 5 2 136 8" xfId="41052"/>
    <cellStyle name="Обычный 6 133 8" xfId="41053"/>
    <cellStyle name="Процентный 6 133 8" xfId="41054"/>
    <cellStyle name="Обычный 7 103 8" xfId="41055"/>
    <cellStyle name="Процентный 7 103 8" xfId="41056"/>
    <cellStyle name="Обычный 4 3 95 8" xfId="41057"/>
    <cellStyle name="Процентный 4 3 95 8" xfId="41058"/>
    <cellStyle name="Обычный 5 3 95 8" xfId="41059"/>
    <cellStyle name="Процентный 5 3 95 8" xfId="41060"/>
    <cellStyle name="Обычный 4 2 2 95 8" xfId="41061"/>
    <cellStyle name="Процентный 4 2 2 95 8" xfId="41062"/>
    <cellStyle name="Обычный 5 2 2 95 8" xfId="41063"/>
    <cellStyle name="Процентный 5 2 2 95 8" xfId="41064"/>
    <cellStyle name="Обычный 6 2 95 8" xfId="41065"/>
    <cellStyle name="Процентный 6 2 95 8" xfId="41066"/>
    <cellStyle name="Обычный 7 2 95 8" xfId="41067"/>
    <cellStyle name="Процентный 7 2 95 8" xfId="41068"/>
    <cellStyle name="Обычный 8 91 8" xfId="41069"/>
    <cellStyle name="Процентный 8 91 8" xfId="41070"/>
    <cellStyle name="Обычный 9 57 8" xfId="41071"/>
    <cellStyle name="Процентный 9 58 8" xfId="41072"/>
    <cellStyle name="Обычный 10 50 8" xfId="41073"/>
    <cellStyle name="Процентный 10 50 8" xfId="41074"/>
    <cellStyle name="Обычный 11 38 8" xfId="41075"/>
    <cellStyle name="Процентный 11 38 8" xfId="41076"/>
    <cellStyle name="Обычный 4 150 8" xfId="41077"/>
    <cellStyle name="Процентный 4 150 8" xfId="41078"/>
    <cellStyle name="Обычный 5 143 8" xfId="41079"/>
    <cellStyle name="Процентный 5 143 8" xfId="41080"/>
    <cellStyle name="Обычный 4 2 137 8" xfId="41081"/>
    <cellStyle name="Процентный 4 2 137 8" xfId="41082"/>
    <cellStyle name="Обычный 5 2 137 8" xfId="41083"/>
    <cellStyle name="Процентный 5 2 137 8" xfId="41084"/>
    <cellStyle name="Обычный 6 134 8" xfId="41085"/>
    <cellStyle name="Процентный 6 134 8" xfId="41086"/>
    <cellStyle name="Обычный 7 104 8" xfId="41087"/>
    <cellStyle name="Процентный 7 104 8" xfId="41088"/>
    <cellStyle name="Обычный 4 3 96 8" xfId="41089"/>
    <cellStyle name="Процентный 4 3 96 8" xfId="41090"/>
    <cellStyle name="Обычный 5 3 96 8" xfId="41091"/>
    <cellStyle name="Процентный 5 3 96 8" xfId="41092"/>
    <cellStyle name="Обычный 4 2 2 96 8" xfId="41093"/>
    <cellStyle name="Процентный 4 2 2 96 8" xfId="41094"/>
    <cellStyle name="Обычный 5 2 2 96 8" xfId="41095"/>
    <cellStyle name="Процентный 5 2 2 96 8" xfId="41096"/>
    <cellStyle name="Обычный 6 2 96 8" xfId="41097"/>
    <cellStyle name="Процентный 6 2 96 8" xfId="41098"/>
    <cellStyle name="Обычный 7 2 96 8" xfId="41099"/>
    <cellStyle name="Процентный 7 2 96 8" xfId="41100"/>
    <cellStyle name="Обычный 8 92 8" xfId="41101"/>
    <cellStyle name="Процентный 8 92 8" xfId="41102"/>
    <cellStyle name="Обычный 9 58 8" xfId="41103"/>
    <cellStyle name="Процентный 9 59 8" xfId="41104"/>
    <cellStyle name="Обычный 10 51 8" xfId="41105"/>
    <cellStyle name="Процентный 10 51 8" xfId="41106"/>
    <cellStyle name="Обычный 11 39 8" xfId="41107"/>
    <cellStyle name="Процентный 11 39 8" xfId="41108"/>
    <cellStyle name="Обычный 4 151 8" xfId="41109"/>
    <cellStyle name="Процентный 4 151 8" xfId="41110"/>
    <cellStyle name="Обычный 5 144 8" xfId="41111"/>
    <cellStyle name="Процентный 5 144 8" xfId="41112"/>
    <cellStyle name="Обычный 4 2 138 8" xfId="41113"/>
    <cellStyle name="Процентный 4 2 138 8" xfId="41114"/>
    <cellStyle name="Обычный 5 2 138 8" xfId="41115"/>
    <cellStyle name="Процентный 5 2 138 8" xfId="41116"/>
    <cellStyle name="Обычный 6 135 8" xfId="41117"/>
    <cellStyle name="Процентный 6 135 8" xfId="41118"/>
    <cellStyle name="Обычный 7 105 8" xfId="41119"/>
    <cellStyle name="Процентный 7 105 8" xfId="41120"/>
    <cellStyle name="Обычный 4 3 97 8" xfId="41121"/>
    <cellStyle name="Процентный 4 3 97 8" xfId="41122"/>
    <cellStyle name="Обычный 5 3 97 8" xfId="41123"/>
    <cellStyle name="Процентный 5 3 97 8" xfId="41124"/>
    <cellStyle name="Обычный 4 2 2 97 8" xfId="41125"/>
    <cellStyle name="Процентный 4 2 2 97 8" xfId="41126"/>
    <cellStyle name="Обычный 5 2 2 97 8" xfId="41127"/>
    <cellStyle name="Процентный 5 2 2 97 8" xfId="41128"/>
    <cellStyle name="Обычный 6 2 97 8" xfId="41129"/>
    <cellStyle name="Процентный 6 2 97 8" xfId="41130"/>
    <cellStyle name="Обычный 7 2 97 8" xfId="41131"/>
    <cellStyle name="Процентный 7 2 97 8" xfId="41132"/>
    <cellStyle name="Обычный 8 93 8" xfId="41133"/>
    <cellStyle name="Процентный 8 93 8" xfId="41134"/>
    <cellStyle name="Обычный 9 59 8" xfId="41135"/>
    <cellStyle name="Процентный 9 60 8" xfId="41136"/>
    <cellStyle name="Обычный 10 52 8" xfId="41137"/>
    <cellStyle name="Процентный 10 52 8" xfId="41138"/>
    <cellStyle name="Обычный 11 40 8" xfId="41139"/>
    <cellStyle name="Процентный 11 40 8" xfId="41140"/>
    <cellStyle name="Обычный 4 152 8" xfId="41141"/>
    <cellStyle name="Процентный 4 152 8" xfId="41142"/>
    <cellStyle name="Обычный 5 145 8" xfId="41143"/>
    <cellStyle name="Процентный 5 145 8" xfId="41144"/>
    <cellStyle name="Обычный 4 2 139 8" xfId="41145"/>
    <cellStyle name="Процентный 4 2 139 8" xfId="41146"/>
    <cellStyle name="Обычный 5 2 139 8" xfId="41147"/>
    <cellStyle name="Процентный 5 2 139 8" xfId="41148"/>
    <cellStyle name="Обычный 6 136 8" xfId="41149"/>
    <cellStyle name="Процентный 6 136 8" xfId="41150"/>
    <cellStyle name="Обычный 7 106 8" xfId="41151"/>
    <cellStyle name="Процентный 7 106 8" xfId="41152"/>
    <cellStyle name="Обычный 4 3 98 8" xfId="41153"/>
    <cellStyle name="Процентный 4 3 98 8" xfId="41154"/>
    <cellStyle name="Обычный 5 3 98 8" xfId="41155"/>
    <cellStyle name="Процентный 5 3 98 8" xfId="41156"/>
    <cellStyle name="Обычный 4 2 2 98 8" xfId="41157"/>
    <cellStyle name="Процентный 4 2 2 98 8" xfId="41158"/>
    <cellStyle name="Обычный 5 2 2 98 8" xfId="41159"/>
    <cellStyle name="Процентный 5 2 2 98 8" xfId="41160"/>
    <cellStyle name="Обычный 6 2 98 8" xfId="41161"/>
    <cellStyle name="Процентный 6 2 98 8" xfId="41162"/>
    <cellStyle name="Обычный 7 2 98 8" xfId="41163"/>
    <cellStyle name="Процентный 7 2 98 8" xfId="41164"/>
    <cellStyle name="Обычный 8 94 8" xfId="41165"/>
    <cellStyle name="Процентный 8 94 8" xfId="41166"/>
    <cellStyle name="Обычный 9 60 8" xfId="41167"/>
    <cellStyle name="Процентный 9 61 8" xfId="41168"/>
    <cellStyle name="Обычный 10 53 8" xfId="41169"/>
    <cellStyle name="Процентный 10 53 8" xfId="41170"/>
    <cellStyle name="Обычный 11 41 8" xfId="41171"/>
    <cellStyle name="Процентный 11 41 8" xfId="41172"/>
    <cellStyle name="Обычный 4 153 8" xfId="41173"/>
    <cellStyle name="Процентный 4 153 8" xfId="41174"/>
    <cellStyle name="Обычный 5 146 8" xfId="41175"/>
    <cellStyle name="Процентный 5 146 8" xfId="41176"/>
    <cellStyle name="Обычный 4 2 140 8" xfId="41177"/>
    <cellStyle name="Процентный 4 2 140 8" xfId="41178"/>
    <cellStyle name="Обычный 5 2 140 8" xfId="41179"/>
    <cellStyle name="Процентный 5 2 140 8" xfId="41180"/>
    <cellStyle name="Обычный 6 137 8" xfId="41181"/>
    <cellStyle name="Процентный 6 137 8" xfId="41182"/>
    <cellStyle name="Обычный 7 107 8" xfId="41183"/>
    <cellStyle name="Процентный 7 107 8" xfId="41184"/>
    <cellStyle name="Обычный 4 3 99 8" xfId="41185"/>
    <cellStyle name="Процентный 4 3 99 8" xfId="41186"/>
    <cellStyle name="Обычный 5 3 99 8" xfId="41187"/>
    <cellStyle name="Процентный 5 3 99 8" xfId="41188"/>
    <cellStyle name="Обычный 4 2 2 99 8" xfId="41189"/>
    <cellStyle name="Процентный 4 2 2 99 8" xfId="41190"/>
    <cellStyle name="Обычный 5 2 2 99 8" xfId="41191"/>
    <cellStyle name="Процентный 5 2 2 99 8" xfId="41192"/>
    <cellStyle name="Обычный 6 2 99 8" xfId="41193"/>
    <cellStyle name="Процентный 6 2 99 8" xfId="41194"/>
    <cellStyle name="Обычный 7 2 99 8" xfId="41195"/>
    <cellStyle name="Процентный 7 2 99 8" xfId="41196"/>
    <cellStyle name="Обычный 8 95 8" xfId="41197"/>
    <cellStyle name="Процентный 8 95 8" xfId="41198"/>
    <cellStyle name="Обычный 9 61 8" xfId="41199"/>
    <cellStyle name="Процентный 9 62 8" xfId="41200"/>
    <cellStyle name="Обычный 10 54 8" xfId="41201"/>
    <cellStyle name="Процентный 10 54 8" xfId="41202"/>
    <cellStyle name="Обычный 11 42 8" xfId="41203"/>
    <cellStyle name="Процентный 11 42 8" xfId="41204"/>
    <cellStyle name="Обычный 4 154 8" xfId="41205"/>
    <cellStyle name="Процентный 4 154 8" xfId="41206"/>
    <cellStyle name="Обычный 5 147 8" xfId="41207"/>
    <cellStyle name="Процентный 5 147 8" xfId="41208"/>
    <cellStyle name="Обычный 4 2 141 8" xfId="41209"/>
    <cellStyle name="Процентный 4 2 141 8" xfId="41210"/>
    <cellStyle name="Обычный 5 2 141 8" xfId="41211"/>
    <cellStyle name="Процентный 5 2 141 8" xfId="41212"/>
    <cellStyle name="Обычный 6 138 8" xfId="41213"/>
    <cellStyle name="Процентный 6 138 8" xfId="41214"/>
    <cellStyle name="Обычный 7 108 8" xfId="41215"/>
    <cellStyle name="Процентный 7 108 8" xfId="41216"/>
    <cellStyle name="Обычный 4 3 100 8" xfId="41217"/>
    <cellStyle name="Процентный 4 3 100 8" xfId="41218"/>
    <cellStyle name="Обычный 5 3 100 8" xfId="41219"/>
    <cellStyle name="Процентный 5 3 100 8" xfId="41220"/>
    <cellStyle name="Обычный 4 2 2 100 8" xfId="41221"/>
    <cellStyle name="Процентный 4 2 2 100 8" xfId="41222"/>
    <cellStyle name="Обычный 5 2 2 100 8" xfId="41223"/>
    <cellStyle name="Процентный 5 2 2 100 8" xfId="41224"/>
    <cellStyle name="Обычный 6 2 100 8" xfId="41225"/>
    <cellStyle name="Процентный 6 2 100 8" xfId="41226"/>
    <cellStyle name="Обычный 7 2 100 8" xfId="41227"/>
    <cellStyle name="Процентный 7 2 100 8" xfId="41228"/>
    <cellStyle name="Обычный 8 96 8" xfId="41229"/>
    <cellStyle name="Процентный 8 96 8" xfId="41230"/>
    <cellStyle name="Обычный 9 62 8" xfId="41231"/>
    <cellStyle name="Процентный 9 63 8" xfId="41232"/>
    <cellStyle name="Обычный 10 55 8" xfId="41233"/>
    <cellStyle name="Процентный 10 55 8" xfId="41234"/>
    <cellStyle name="Обычный 11 43 8" xfId="41235"/>
    <cellStyle name="Процентный 11 43 8" xfId="41236"/>
    <cellStyle name="Обычный 4 155 8" xfId="41237"/>
    <cellStyle name="Процентный 4 155 8" xfId="41238"/>
    <cellStyle name="Обычный 5 148 8" xfId="41239"/>
    <cellStyle name="Процентный 5 148 8" xfId="41240"/>
    <cellStyle name="Обычный 4 2 142 8" xfId="41241"/>
    <cellStyle name="Процентный 4 2 142 8" xfId="41242"/>
    <cellStyle name="Обычный 5 2 142 8" xfId="41243"/>
    <cellStyle name="Процентный 5 2 142 8" xfId="41244"/>
    <cellStyle name="Обычный 6 139 8" xfId="41245"/>
    <cellStyle name="Процентный 6 139 8" xfId="41246"/>
    <cellStyle name="Обычный 7 109 8" xfId="41247"/>
    <cellStyle name="Процентный 7 109 8" xfId="41248"/>
    <cellStyle name="Обычный 4 3 101 8" xfId="41249"/>
    <cellStyle name="Процентный 4 3 101 8" xfId="41250"/>
    <cellStyle name="Обычный 5 3 101 8" xfId="41251"/>
    <cellStyle name="Процентный 5 3 101 8" xfId="41252"/>
    <cellStyle name="Обычный 4 2 2 101 8" xfId="41253"/>
    <cellStyle name="Процентный 4 2 2 101 8" xfId="41254"/>
    <cellStyle name="Обычный 5 2 2 101 8" xfId="41255"/>
    <cellStyle name="Процентный 5 2 2 101 8" xfId="41256"/>
    <cellStyle name="Обычный 6 2 101 8" xfId="41257"/>
    <cellStyle name="Процентный 6 2 101 8" xfId="41258"/>
    <cellStyle name="Обычный 7 2 101 8" xfId="41259"/>
    <cellStyle name="Процентный 7 2 101 8" xfId="41260"/>
    <cellStyle name="Обычный 8 97 8" xfId="41261"/>
    <cellStyle name="Процентный 8 97 8" xfId="41262"/>
    <cellStyle name="Обычный 9 63 8" xfId="41263"/>
    <cellStyle name="Процентный 9 64 8" xfId="41264"/>
    <cellStyle name="Обычный 10 56 8" xfId="41265"/>
    <cellStyle name="Процентный 10 56 8" xfId="41266"/>
    <cellStyle name="Обычный 11 44 8" xfId="41267"/>
    <cellStyle name="Процентный 11 44 8" xfId="41268"/>
    <cellStyle name="Обычный 4 156 8" xfId="41269"/>
    <cellStyle name="Процентный 4 156 8" xfId="41270"/>
    <cellStyle name="Обычный 5 149 8" xfId="41271"/>
    <cellStyle name="Процентный 5 149 8" xfId="41272"/>
    <cellStyle name="Обычный 4 2 143 8" xfId="41273"/>
    <cellStyle name="Процентный 4 2 143 8" xfId="41274"/>
    <cellStyle name="Обычный 5 2 143 8" xfId="41275"/>
    <cellStyle name="Процентный 5 2 143 8" xfId="41276"/>
    <cellStyle name="Обычный 6 140 8" xfId="41277"/>
    <cellStyle name="Процентный 6 140 8" xfId="41278"/>
    <cellStyle name="Обычный 7 110 8" xfId="41279"/>
    <cellStyle name="Процентный 7 110 8" xfId="41280"/>
    <cellStyle name="Обычный 4 3 102 8" xfId="41281"/>
    <cellStyle name="Процентный 4 3 102 8" xfId="41282"/>
    <cellStyle name="Обычный 5 3 102 8" xfId="41283"/>
    <cellStyle name="Процентный 5 3 102 8" xfId="41284"/>
    <cellStyle name="Обычный 4 2 2 102 8" xfId="41285"/>
    <cellStyle name="Процентный 4 2 2 102 8" xfId="41286"/>
    <cellStyle name="Обычный 5 2 2 102 8" xfId="41287"/>
    <cellStyle name="Процентный 5 2 2 102 8" xfId="41288"/>
    <cellStyle name="Обычный 6 2 102 8" xfId="41289"/>
    <cellStyle name="Процентный 6 2 102 8" xfId="41290"/>
    <cellStyle name="Обычный 7 2 102 8" xfId="41291"/>
    <cellStyle name="Процентный 7 2 102 8" xfId="41292"/>
    <cellStyle name="Обычный 8 98 8" xfId="41293"/>
    <cellStyle name="Процентный 8 98 8" xfId="41294"/>
    <cellStyle name="Обычный 9 64 8" xfId="41295"/>
    <cellStyle name="Процентный 9 65 8" xfId="41296"/>
    <cellStyle name="Обычный 10 57 8" xfId="41297"/>
    <cellStyle name="Процентный 10 57 8" xfId="41298"/>
    <cellStyle name="Обычный 11 45 8" xfId="41299"/>
    <cellStyle name="Процентный 11 45 8" xfId="41300"/>
    <cellStyle name="Обычный 4 157 8" xfId="41301"/>
    <cellStyle name="Процентный 4 157 8" xfId="41302"/>
    <cellStyle name="Обычный 5 150 8" xfId="41303"/>
    <cellStyle name="Процентный 5 150 8" xfId="41304"/>
    <cellStyle name="Обычный 4 2 144 8" xfId="41305"/>
    <cellStyle name="Процентный 4 2 144 8" xfId="41306"/>
    <cellStyle name="Обычный 5 2 144 8" xfId="41307"/>
    <cellStyle name="Процентный 5 2 144 8" xfId="41308"/>
    <cellStyle name="Обычный 6 141 8" xfId="41309"/>
    <cellStyle name="Процентный 6 141 8" xfId="41310"/>
    <cellStyle name="Обычный 7 111 8" xfId="41311"/>
    <cellStyle name="Процентный 7 111 8" xfId="41312"/>
    <cellStyle name="Обычный 4 3 103 8" xfId="41313"/>
    <cellStyle name="Процентный 4 3 103 8" xfId="41314"/>
    <cellStyle name="Обычный 5 3 103 8" xfId="41315"/>
    <cellStyle name="Процентный 5 3 103 8" xfId="41316"/>
    <cellStyle name="Обычный 4 2 2 103 8" xfId="41317"/>
    <cellStyle name="Процентный 4 2 2 103 8" xfId="41318"/>
    <cellStyle name="Обычный 5 2 2 103 8" xfId="41319"/>
    <cellStyle name="Процентный 5 2 2 103 8" xfId="41320"/>
    <cellStyle name="Обычный 6 2 103 8" xfId="41321"/>
    <cellStyle name="Процентный 6 2 103 8" xfId="41322"/>
    <cellStyle name="Обычный 7 2 103 8" xfId="41323"/>
    <cellStyle name="Процентный 7 2 103 8" xfId="41324"/>
    <cellStyle name="Обычный 8 99 8" xfId="41325"/>
    <cellStyle name="Процентный 8 99 8" xfId="41326"/>
    <cellStyle name="Обычный 9 65 8" xfId="41327"/>
    <cellStyle name="Процентный 9 66 8" xfId="41328"/>
    <cellStyle name="Обычный 10 58 8" xfId="41329"/>
    <cellStyle name="Процентный 10 58 8" xfId="41330"/>
    <cellStyle name="Обычный 11 46 8" xfId="41331"/>
    <cellStyle name="Процентный 11 46 8" xfId="41332"/>
    <cellStyle name="Обычный 4 158 8" xfId="41333"/>
    <cellStyle name="Процентный 4 158 8" xfId="41334"/>
    <cellStyle name="Обычный 5 151 8" xfId="41335"/>
    <cellStyle name="Процентный 5 151 8" xfId="41336"/>
    <cellStyle name="Обычный 4 2 145 8" xfId="41337"/>
    <cellStyle name="Процентный 4 2 145 8" xfId="41338"/>
    <cellStyle name="Обычный 5 2 145 8" xfId="41339"/>
    <cellStyle name="Процентный 5 2 145 8" xfId="41340"/>
    <cellStyle name="Обычный 6 142 8" xfId="41341"/>
    <cellStyle name="Процентный 6 142 8" xfId="41342"/>
    <cellStyle name="Обычный 7 112 8" xfId="41343"/>
    <cellStyle name="Процентный 7 112 8" xfId="41344"/>
    <cellStyle name="Обычный 4 3 104 8" xfId="41345"/>
    <cellStyle name="Процентный 4 3 104 8" xfId="41346"/>
    <cellStyle name="Обычный 5 3 104 8" xfId="41347"/>
    <cellStyle name="Процентный 5 3 104 8" xfId="41348"/>
    <cellStyle name="Обычный 4 2 2 104 8" xfId="41349"/>
    <cellStyle name="Процентный 4 2 2 104 8" xfId="41350"/>
    <cellStyle name="Обычный 5 2 2 104 8" xfId="41351"/>
    <cellStyle name="Процентный 5 2 2 104 8" xfId="41352"/>
    <cellStyle name="Обычный 6 2 104 8" xfId="41353"/>
    <cellStyle name="Процентный 6 2 104 8" xfId="41354"/>
    <cellStyle name="Обычный 7 2 104 8" xfId="41355"/>
    <cellStyle name="Процентный 7 2 104 8" xfId="41356"/>
    <cellStyle name="Обычный 8 100 8" xfId="41357"/>
    <cellStyle name="Процентный 8 100 8" xfId="41358"/>
    <cellStyle name="Обычный 9 66 8" xfId="41359"/>
    <cellStyle name="Процентный 9 67 8" xfId="41360"/>
    <cellStyle name="Обычный 10 59 8" xfId="41361"/>
    <cellStyle name="Процентный 10 59 8" xfId="41362"/>
    <cellStyle name="Обычный 11 47 8" xfId="41363"/>
    <cellStyle name="Процентный 11 47 8" xfId="41364"/>
    <cellStyle name="Обычный 4 159 8" xfId="41365"/>
    <cellStyle name="Процентный 4 159 8" xfId="41366"/>
    <cellStyle name="Обычный 5 152 8" xfId="41367"/>
    <cellStyle name="Процентный 5 152 8" xfId="41368"/>
    <cellStyle name="Обычный 4 2 146 8" xfId="41369"/>
    <cellStyle name="Процентный 4 2 146 8" xfId="41370"/>
    <cellStyle name="Обычный 5 2 146 8" xfId="41371"/>
    <cellStyle name="Процентный 5 2 146 8" xfId="41372"/>
    <cellStyle name="Обычный 6 143 8" xfId="41373"/>
    <cellStyle name="Процентный 6 143 8" xfId="41374"/>
    <cellStyle name="Обычный 7 113 8" xfId="41375"/>
    <cellStyle name="Процентный 7 113 8" xfId="41376"/>
    <cellStyle name="Обычный 4 3 105 8" xfId="41377"/>
    <cellStyle name="Процентный 4 3 105 8" xfId="41378"/>
    <cellStyle name="Обычный 5 3 105 8" xfId="41379"/>
    <cellStyle name="Процентный 5 3 105 8" xfId="41380"/>
    <cellStyle name="Обычный 4 2 2 105 8" xfId="41381"/>
    <cellStyle name="Процентный 4 2 2 105 8" xfId="41382"/>
    <cellStyle name="Обычный 5 2 2 105 8" xfId="41383"/>
    <cellStyle name="Процентный 5 2 2 105 8" xfId="41384"/>
    <cellStyle name="Обычный 6 2 105 8" xfId="41385"/>
    <cellStyle name="Процентный 6 2 105 8" xfId="41386"/>
    <cellStyle name="Обычный 7 2 105 8" xfId="41387"/>
    <cellStyle name="Процентный 7 2 105 8" xfId="41388"/>
    <cellStyle name="Обычный 8 101 8" xfId="41389"/>
    <cellStyle name="Процентный 8 101 8" xfId="41390"/>
    <cellStyle name="Обычный 9 67 8" xfId="41391"/>
    <cellStyle name="Процентный 9 68 8" xfId="41392"/>
    <cellStyle name="Обычный 10 60 8" xfId="41393"/>
    <cellStyle name="Процентный 10 60 8" xfId="41394"/>
    <cellStyle name="Обычный 11 48 8" xfId="41395"/>
    <cellStyle name="Процентный 11 48 8" xfId="41396"/>
    <cellStyle name="Обычный 4 160 8" xfId="41397"/>
    <cellStyle name="Процентный 4 160 8" xfId="41398"/>
    <cellStyle name="Обычный 5 153 8" xfId="41399"/>
    <cellStyle name="Процентный 5 153 8" xfId="41400"/>
    <cellStyle name="Обычный 4 2 147 8" xfId="41401"/>
    <cellStyle name="Процентный 4 2 147 8" xfId="41402"/>
    <cellStyle name="Обычный 5 2 147 8" xfId="41403"/>
    <cellStyle name="Процентный 5 2 147 8" xfId="41404"/>
    <cellStyle name="Обычный 6 144 8" xfId="41405"/>
    <cellStyle name="Процентный 6 144 8" xfId="41406"/>
    <cellStyle name="Обычный 7 114 8" xfId="41407"/>
    <cellStyle name="Процентный 7 114 8" xfId="41408"/>
    <cellStyle name="Обычный 4 3 106 8" xfId="41409"/>
    <cellStyle name="Процентный 4 3 106 8" xfId="41410"/>
    <cellStyle name="Обычный 5 3 106 8" xfId="41411"/>
    <cellStyle name="Процентный 5 3 106 8" xfId="41412"/>
    <cellStyle name="Обычный 4 2 2 106 8" xfId="41413"/>
    <cellStyle name="Процентный 4 2 2 106 8" xfId="41414"/>
    <cellStyle name="Обычный 5 2 2 106 8" xfId="41415"/>
    <cellStyle name="Процентный 5 2 2 106 8" xfId="41416"/>
    <cellStyle name="Обычный 6 2 106 8" xfId="41417"/>
    <cellStyle name="Процентный 6 2 106 8" xfId="41418"/>
    <cellStyle name="Обычный 7 2 106 8" xfId="41419"/>
    <cellStyle name="Процентный 7 2 106 8" xfId="41420"/>
    <cellStyle name="Обычный 8 102 8" xfId="41421"/>
    <cellStyle name="Процентный 8 102 8" xfId="41422"/>
    <cellStyle name="Обычный 9 68 8" xfId="41423"/>
    <cellStyle name="Процентный 9 69 8" xfId="41424"/>
    <cellStyle name="Обычный 10 61 8" xfId="41425"/>
    <cellStyle name="Процентный 10 61 8" xfId="41426"/>
    <cellStyle name="Обычный 11 49 8" xfId="41427"/>
    <cellStyle name="Процентный 11 49 8" xfId="41428"/>
    <cellStyle name="Обычный 4 161 8" xfId="41429"/>
    <cellStyle name="Процентный 4 161 8" xfId="41430"/>
    <cellStyle name="Обычный 5 154 8" xfId="41431"/>
    <cellStyle name="Процентный 5 154 8" xfId="41432"/>
    <cellStyle name="Обычный 4 2 148 8" xfId="41433"/>
    <cellStyle name="Процентный 4 2 148 8" xfId="41434"/>
    <cellStyle name="Обычный 5 2 148 8" xfId="41435"/>
    <cellStyle name="Процентный 5 2 148 8" xfId="41436"/>
    <cellStyle name="Обычный 6 145 8" xfId="41437"/>
    <cellStyle name="Процентный 6 145 8" xfId="41438"/>
    <cellStyle name="Обычный 7 115 8" xfId="41439"/>
    <cellStyle name="Процентный 7 115 8" xfId="41440"/>
    <cellStyle name="Обычный 4 3 107 8" xfId="41441"/>
    <cellStyle name="Процентный 4 3 107 8" xfId="41442"/>
    <cellStyle name="Обычный 5 3 107 8" xfId="41443"/>
    <cellStyle name="Процентный 5 3 107 8" xfId="41444"/>
    <cellStyle name="Обычный 4 2 2 107 8" xfId="41445"/>
    <cellStyle name="Процентный 4 2 2 107 8" xfId="41446"/>
    <cellStyle name="Обычный 5 2 2 107 8" xfId="41447"/>
    <cellStyle name="Процентный 5 2 2 107 8" xfId="41448"/>
    <cellStyle name="Обычный 6 2 107 8" xfId="41449"/>
    <cellStyle name="Процентный 6 2 107 8" xfId="41450"/>
    <cellStyle name="Обычный 7 2 107 8" xfId="41451"/>
    <cellStyle name="Процентный 7 2 107 8" xfId="41452"/>
    <cellStyle name="Обычный 8 103 8" xfId="41453"/>
    <cellStyle name="Процентный 8 103 8" xfId="41454"/>
    <cellStyle name="Обычный 9 69 8" xfId="41455"/>
    <cellStyle name="Процентный 9 70 8" xfId="41456"/>
    <cellStyle name="Обычный 10 62 8" xfId="41457"/>
    <cellStyle name="Процентный 10 62 8" xfId="41458"/>
    <cellStyle name="Обычный 11 50 8" xfId="41459"/>
    <cellStyle name="Процентный 11 50 8" xfId="41460"/>
    <cellStyle name="Обычный 4 162 8" xfId="41461"/>
    <cellStyle name="Процентный 4 162 8" xfId="41462"/>
    <cellStyle name="Обычный 5 155 8" xfId="41463"/>
    <cellStyle name="Процентный 5 155 8" xfId="41464"/>
    <cellStyle name="Обычный 4 2 149 8" xfId="41465"/>
    <cellStyle name="Процентный 4 2 149 8" xfId="41466"/>
    <cellStyle name="Обычный 5 2 149 8" xfId="41467"/>
    <cellStyle name="Процентный 5 2 149 8" xfId="41468"/>
    <cellStyle name="Обычный 6 146 8" xfId="41469"/>
    <cellStyle name="Процентный 6 146 8" xfId="41470"/>
    <cellStyle name="Обычный 7 116 8" xfId="41471"/>
    <cellStyle name="Процентный 7 116 8" xfId="41472"/>
    <cellStyle name="Обычный 4 3 108 8" xfId="41473"/>
    <cellStyle name="Процентный 4 3 108 8" xfId="41474"/>
    <cellStyle name="Обычный 5 3 108 8" xfId="41475"/>
    <cellStyle name="Процентный 5 3 108 8" xfId="41476"/>
    <cellStyle name="Обычный 4 2 2 108 8" xfId="41477"/>
    <cellStyle name="Процентный 4 2 2 108 8" xfId="41478"/>
    <cellStyle name="Обычный 5 2 2 108 8" xfId="41479"/>
    <cellStyle name="Процентный 5 2 2 108 8" xfId="41480"/>
    <cellStyle name="Обычный 6 2 108 8" xfId="41481"/>
    <cellStyle name="Процентный 6 2 108 8" xfId="41482"/>
    <cellStyle name="Обычный 7 2 108 8" xfId="41483"/>
    <cellStyle name="Процентный 7 2 108 8" xfId="41484"/>
    <cellStyle name="Обычный 8 104 8" xfId="41485"/>
    <cellStyle name="Процентный 8 104 8" xfId="41486"/>
    <cellStyle name="Обычный 9 70 8" xfId="41487"/>
    <cellStyle name="Процентный 9 71 8" xfId="41488"/>
    <cellStyle name="Обычный 10 63 8" xfId="41489"/>
    <cellStyle name="Процентный 10 63 8" xfId="41490"/>
    <cellStyle name="Обычный 11 51 8" xfId="41491"/>
    <cellStyle name="Процентный 11 51 8" xfId="41492"/>
    <cellStyle name="Обычный 4 163 8" xfId="41493"/>
    <cellStyle name="Процентный 4 163 8" xfId="41494"/>
    <cellStyle name="Обычный 5 156 8" xfId="41495"/>
    <cellStyle name="Процентный 5 156 8" xfId="41496"/>
    <cellStyle name="Обычный 4 2 150 8" xfId="41497"/>
    <cellStyle name="Процентный 4 2 150 8" xfId="41498"/>
    <cellStyle name="Обычный 5 2 150 8" xfId="41499"/>
    <cellStyle name="Процентный 5 2 150 8" xfId="41500"/>
    <cellStyle name="Обычный 6 147 8" xfId="41501"/>
    <cellStyle name="Процентный 6 147 8" xfId="41502"/>
    <cellStyle name="Обычный 7 117 8" xfId="41503"/>
    <cellStyle name="Процентный 7 117 8" xfId="41504"/>
    <cellStyle name="Обычный 4 3 109 8" xfId="41505"/>
    <cellStyle name="Процентный 4 3 109 8" xfId="41506"/>
    <cellStyle name="Обычный 5 3 109 8" xfId="41507"/>
    <cellStyle name="Процентный 5 3 109 8" xfId="41508"/>
    <cellStyle name="Обычный 4 2 2 109 8" xfId="41509"/>
    <cellStyle name="Процентный 4 2 2 109 8" xfId="41510"/>
    <cellStyle name="Обычный 5 2 2 109 8" xfId="41511"/>
    <cellStyle name="Процентный 5 2 2 109 8" xfId="41512"/>
    <cellStyle name="Обычный 6 2 109 8" xfId="41513"/>
    <cellStyle name="Процентный 6 2 109 8" xfId="41514"/>
    <cellStyle name="Обычный 7 2 109 8" xfId="41515"/>
    <cellStyle name="Процентный 7 2 109 8" xfId="41516"/>
    <cellStyle name="Обычный 8 105 8" xfId="41517"/>
    <cellStyle name="Процентный 8 105 8" xfId="41518"/>
    <cellStyle name="Обычный 9 71 8" xfId="41519"/>
    <cellStyle name="Процентный 9 72 8" xfId="41520"/>
    <cellStyle name="Обычный 10 64 8" xfId="41521"/>
    <cellStyle name="Процентный 10 64 8" xfId="41522"/>
    <cellStyle name="Обычный 11 52 8" xfId="41523"/>
    <cellStyle name="Процентный 11 52 8" xfId="41524"/>
    <cellStyle name="Обычный 4 164 8" xfId="41525"/>
    <cellStyle name="Процентный 4 164 8" xfId="41526"/>
    <cellStyle name="Обычный 5 157 8" xfId="41527"/>
    <cellStyle name="Процентный 5 157 8" xfId="41528"/>
    <cellStyle name="Обычный 4 2 151 8" xfId="41529"/>
    <cellStyle name="Процентный 4 2 151 8" xfId="41530"/>
    <cellStyle name="Обычный 5 2 151 8" xfId="41531"/>
    <cellStyle name="Процентный 5 2 151 8" xfId="41532"/>
    <cellStyle name="Обычный 6 148 8" xfId="41533"/>
    <cellStyle name="Процентный 6 148 8" xfId="41534"/>
    <cellStyle name="Обычный 7 118 8" xfId="41535"/>
    <cellStyle name="Процентный 7 118 8" xfId="41536"/>
    <cellStyle name="Обычный 4 3 110 8" xfId="41537"/>
    <cellStyle name="Процентный 4 3 110 8" xfId="41538"/>
    <cellStyle name="Обычный 5 3 110 8" xfId="41539"/>
    <cellStyle name="Процентный 5 3 110 8" xfId="41540"/>
    <cellStyle name="Обычный 4 2 2 110 8" xfId="41541"/>
    <cellStyle name="Процентный 4 2 2 110 8" xfId="41542"/>
    <cellStyle name="Обычный 5 2 2 110 8" xfId="41543"/>
    <cellStyle name="Процентный 5 2 2 110 8" xfId="41544"/>
    <cellStyle name="Обычный 6 2 110 8" xfId="41545"/>
    <cellStyle name="Процентный 6 2 110 8" xfId="41546"/>
    <cellStyle name="Обычный 7 2 110 8" xfId="41547"/>
    <cellStyle name="Процентный 7 2 110 8" xfId="41548"/>
    <cellStyle name="Обычный 8 106 8" xfId="41549"/>
    <cellStyle name="Процентный 8 106 8" xfId="41550"/>
    <cellStyle name="Обычный 9 72 8" xfId="41551"/>
    <cellStyle name="Процентный 9 73 8" xfId="41552"/>
    <cellStyle name="Обычный 10 65 8" xfId="41553"/>
    <cellStyle name="Процентный 10 65 8" xfId="41554"/>
    <cellStyle name="Обычный 11 53 8" xfId="41555"/>
    <cellStyle name="Процентный 11 53 8" xfId="41556"/>
    <cellStyle name="Обычный 4 165 8" xfId="41557"/>
    <cellStyle name="Процентный 4 165 8" xfId="41558"/>
    <cellStyle name="Обычный 5 158 8" xfId="41559"/>
    <cellStyle name="Процентный 5 158 8" xfId="41560"/>
    <cellStyle name="Обычный 4 2 152 8" xfId="41561"/>
    <cellStyle name="Процентный 4 2 152 8" xfId="41562"/>
    <cellStyle name="Обычный 5 2 152 8" xfId="41563"/>
    <cellStyle name="Процентный 5 2 152 8" xfId="41564"/>
    <cellStyle name="Обычный 6 149 8" xfId="41565"/>
    <cellStyle name="Процентный 6 149 8" xfId="41566"/>
    <cellStyle name="Обычный 7 119 8" xfId="41567"/>
    <cellStyle name="Процентный 7 119 8" xfId="41568"/>
    <cellStyle name="Обычный 4 3 111 8" xfId="41569"/>
    <cellStyle name="Процентный 4 3 111 8" xfId="41570"/>
    <cellStyle name="Обычный 5 3 111 8" xfId="41571"/>
    <cellStyle name="Процентный 5 3 111 8" xfId="41572"/>
    <cellStyle name="Обычный 4 2 2 111 8" xfId="41573"/>
    <cellStyle name="Процентный 4 2 2 111 8" xfId="41574"/>
    <cellStyle name="Обычный 5 2 2 111 8" xfId="41575"/>
    <cellStyle name="Процентный 5 2 2 111 8" xfId="41576"/>
    <cellStyle name="Обычный 6 2 111 8" xfId="41577"/>
    <cellStyle name="Процентный 6 2 111 8" xfId="41578"/>
    <cellStyle name="Обычный 7 2 111 8" xfId="41579"/>
    <cellStyle name="Процентный 7 2 111 8" xfId="41580"/>
    <cellStyle name="Обычный 8 107 8" xfId="41581"/>
    <cellStyle name="Процентный 8 107 8" xfId="41582"/>
    <cellStyle name="Обычный 9 73 8" xfId="41583"/>
    <cellStyle name="Процентный 9 74 8" xfId="41584"/>
    <cellStyle name="Обычный 10 66 8" xfId="41585"/>
    <cellStyle name="Процентный 10 66 8" xfId="41586"/>
    <cellStyle name="Обычный 11 54 8" xfId="41587"/>
    <cellStyle name="Процентный 11 54 8" xfId="41588"/>
    <cellStyle name="Обычный 4 166 8" xfId="41589"/>
    <cellStyle name="Процентный 4 166 8" xfId="41590"/>
    <cellStyle name="Обычный 5 159 8" xfId="41591"/>
    <cellStyle name="Процентный 5 159 8" xfId="41592"/>
    <cellStyle name="Обычный 4 2 153 8" xfId="41593"/>
    <cellStyle name="Процентный 4 2 153 8" xfId="41594"/>
    <cellStyle name="Обычный 5 2 153 8" xfId="41595"/>
    <cellStyle name="Процентный 5 2 153 8" xfId="41596"/>
    <cellStyle name="Обычный 6 150 8" xfId="41597"/>
    <cellStyle name="Процентный 6 150 8" xfId="41598"/>
    <cellStyle name="Обычный 7 120 8" xfId="41599"/>
    <cellStyle name="Процентный 7 120 8" xfId="41600"/>
    <cellStyle name="Обычный 4 3 112 8" xfId="41601"/>
    <cellStyle name="Процентный 4 3 112 8" xfId="41602"/>
    <cellStyle name="Обычный 5 3 112 8" xfId="41603"/>
    <cellStyle name="Процентный 5 3 112 8" xfId="41604"/>
    <cellStyle name="Обычный 4 2 2 112 8" xfId="41605"/>
    <cellStyle name="Процентный 4 2 2 112 8" xfId="41606"/>
    <cellStyle name="Обычный 5 2 2 112 8" xfId="41607"/>
    <cellStyle name="Процентный 5 2 2 112 8" xfId="41608"/>
    <cellStyle name="Обычный 6 2 112 8" xfId="41609"/>
    <cellStyle name="Процентный 6 2 112 8" xfId="41610"/>
    <cellStyle name="Обычный 7 2 112 8" xfId="41611"/>
    <cellStyle name="Процентный 7 2 112 8" xfId="41612"/>
    <cellStyle name="Обычный 8 108 8" xfId="41613"/>
    <cellStyle name="Процентный 8 108 8" xfId="41614"/>
    <cellStyle name="Обычный 9 74 8" xfId="41615"/>
    <cellStyle name="Процентный 9 75 8" xfId="41616"/>
    <cellStyle name="Обычный 10 67 8" xfId="41617"/>
    <cellStyle name="Процентный 10 67 8" xfId="41618"/>
    <cellStyle name="Обычный 11 55 8" xfId="41619"/>
    <cellStyle name="Процентный 11 55 8" xfId="41620"/>
    <cellStyle name="Обычный 4 167 8" xfId="41621"/>
    <cellStyle name="Процентный 4 167 8" xfId="41622"/>
    <cellStyle name="Обычный 5 160 8" xfId="41623"/>
    <cellStyle name="Процентный 5 160 8" xfId="41624"/>
    <cellStyle name="Обычный 4 2 154 8" xfId="41625"/>
    <cellStyle name="Процентный 4 2 154 8" xfId="41626"/>
    <cellStyle name="Обычный 5 2 154 8" xfId="41627"/>
    <cellStyle name="Процентный 5 2 154 8" xfId="41628"/>
    <cellStyle name="Обычный 6 151 8" xfId="41629"/>
    <cellStyle name="Процентный 6 151 8" xfId="41630"/>
    <cellStyle name="Обычный 7 121 8" xfId="41631"/>
    <cellStyle name="Процентный 7 121 8" xfId="41632"/>
    <cellStyle name="Обычный 4 3 113 8" xfId="41633"/>
    <cellStyle name="Процентный 4 3 113 8" xfId="41634"/>
    <cellStyle name="Обычный 5 3 113 8" xfId="41635"/>
    <cellStyle name="Процентный 5 3 113 8" xfId="41636"/>
    <cellStyle name="Обычный 4 2 2 113 8" xfId="41637"/>
    <cellStyle name="Процентный 4 2 2 113 8" xfId="41638"/>
    <cellStyle name="Обычный 5 2 2 113 8" xfId="41639"/>
    <cellStyle name="Процентный 5 2 2 113 8" xfId="41640"/>
    <cellStyle name="Обычный 6 2 113 8" xfId="41641"/>
    <cellStyle name="Процентный 6 2 113 8" xfId="41642"/>
    <cellStyle name="Обычный 7 2 113 8" xfId="41643"/>
    <cellStyle name="Процентный 7 2 113 8" xfId="41644"/>
    <cellStyle name="Обычный 8 109 8" xfId="41645"/>
    <cellStyle name="Процентный 8 109 8" xfId="41646"/>
    <cellStyle name="Обычный 9 75 8" xfId="41647"/>
    <cellStyle name="Процентный 9 76 8" xfId="41648"/>
    <cellStyle name="Обычный 10 68 8" xfId="41649"/>
    <cellStyle name="Процентный 10 68 8" xfId="41650"/>
    <cellStyle name="Обычный 11 56 8" xfId="41651"/>
    <cellStyle name="Процентный 11 56 8" xfId="41652"/>
    <cellStyle name="Обычный 4 168 8" xfId="41653"/>
    <cellStyle name="Процентный 4 168 8" xfId="41654"/>
    <cellStyle name="Обычный 5 161 8" xfId="41655"/>
    <cellStyle name="Процентный 5 161 8" xfId="41656"/>
    <cellStyle name="Обычный 4 2 155 8" xfId="41657"/>
    <cellStyle name="Процентный 4 2 155 8" xfId="41658"/>
    <cellStyle name="Обычный 5 2 155 8" xfId="41659"/>
    <cellStyle name="Процентный 5 2 155 8" xfId="41660"/>
    <cellStyle name="Обычный 6 152 8" xfId="41661"/>
    <cellStyle name="Процентный 6 152 8" xfId="41662"/>
    <cellStyle name="Обычный 7 122 8" xfId="41663"/>
    <cellStyle name="Процентный 7 122 8" xfId="41664"/>
    <cellStyle name="Обычный 4 3 114 8" xfId="41665"/>
    <cellStyle name="Процентный 4 3 114 8" xfId="41666"/>
    <cellStyle name="Обычный 5 3 114 8" xfId="41667"/>
    <cellStyle name="Процентный 5 3 114 8" xfId="41668"/>
    <cellStyle name="Обычный 4 2 2 114 8" xfId="41669"/>
    <cellStyle name="Процентный 4 2 2 114 8" xfId="41670"/>
    <cellStyle name="Обычный 5 2 2 114 8" xfId="41671"/>
    <cellStyle name="Процентный 5 2 2 114 8" xfId="41672"/>
    <cellStyle name="Обычный 6 2 114 8" xfId="41673"/>
    <cellStyle name="Процентный 6 2 114 8" xfId="41674"/>
    <cellStyle name="Обычный 7 2 114 8" xfId="41675"/>
    <cellStyle name="Процентный 7 2 114 8" xfId="41676"/>
    <cellStyle name="Обычный 8 110 8" xfId="41677"/>
    <cellStyle name="Процентный 8 110 8" xfId="41678"/>
    <cellStyle name="Обычный 9 76 8" xfId="41679"/>
    <cellStyle name="Процентный 9 77 8" xfId="41680"/>
    <cellStyle name="Обычный 10 69 8" xfId="41681"/>
    <cellStyle name="Процентный 10 69 8" xfId="41682"/>
    <cellStyle name="Обычный 11 57 8" xfId="41683"/>
    <cellStyle name="Процентный 11 57 8" xfId="41684"/>
    <cellStyle name="Обычный 4 169 8" xfId="41685"/>
    <cellStyle name="Процентный 4 169 8" xfId="41686"/>
    <cellStyle name="Обычный 5 162 8" xfId="41687"/>
    <cellStyle name="Процентный 5 162 8" xfId="41688"/>
    <cellStyle name="Обычный 4 2 156 8" xfId="41689"/>
    <cellStyle name="Процентный 4 2 156 8" xfId="41690"/>
    <cellStyle name="Обычный 5 2 156 8" xfId="41691"/>
    <cellStyle name="Процентный 5 2 156 8" xfId="41692"/>
    <cellStyle name="Обычный 6 153 8" xfId="41693"/>
    <cellStyle name="Процентный 6 153 8" xfId="41694"/>
    <cellStyle name="Обычный 7 123 8" xfId="41695"/>
    <cellStyle name="Процентный 7 123 8" xfId="41696"/>
    <cellStyle name="Обычный 4 3 115 8" xfId="41697"/>
    <cellStyle name="Процентный 4 3 115 8" xfId="41698"/>
    <cellStyle name="Обычный 5 3 115 8" xfId="41699"/>
    <cellStyle name="Процентный 5 3 115 8" xfId="41700"/>
    <cellStyle name="Обычный 4 2 2 115 8" xfId="41701"/>
    <cellStyle name="Процентный 4 2 2 115 8" xfId="41702"/>
    <cellStyle name="Обычный 5 2 2 115 8" xfId="41703"/>
    <cellStyle name="Процентный 5 2 2 115 8" xfId="41704"/>
    <cellStyle name="Обычный 6 2 115 8" xfId="41705"/>
    <cellStyle name="Процентный 6 2 115 8" xfId="41706"/>
    <cellStyle name="Обычный 7 2 115 8" xfId="41707"/>
    <cellStyle name="Процентный 7 2 115 8" xfId="41708"/>
    <cellStyle name="Обычный 8 111 8" xfId="41709"/>
    <cellStyle name="Процентный 8 111 8" xfId="41710"/>
    <cellStyle name="Обычный 9 77 8" xfId="41711"/>
    <cellStyle name="Процентный 9 78 8" xfId="41712"/>
    <cellStyle name="Обычный 10 70 8" xfId="41713"/>
    <cellStyle name="Процентный 10 70 8" xfId="41714"/>
    <cellStyle name="Обычный 11 58 8" xfId="41715"/>
    <cellStyle name="Процентный 11 58 8" xfId="41716"/>
    <cellStyle name="Обычный 4 170 8" xfId="41717"/>
    <cellStyle name="Процентный 4 170 8" xfId="41718"/>
    <cellStyle name="Обычный 5 163 8" xfId="41719"/>
    <cellStyle name="Процентный 5 163 8" xfId="41720"/>
    <cellStyle name="Обычный 4 2 157 8" xfId="41721"/>
    <cellStyle name="Процентный 4 2 157 8" xfId="41722"/>
    <cellStyle name="Обычный 5 2 157 8" xfId="41723"/>
    <cellStyle name="Процентный 5 2 157 8" xfId="41724"/>
    <cellStyle name="Обычный 6 154 8" xfId="41725"/>
    <cellStyle name="Процентный 6 154 8" xfId="41726"/>
    <cellStyle name="Обычный 7 124 8" xfId="41727"/>
    <cellStyle name="Процентный 7 124 8" xfId="41728"/>
    <cellStyle name="Обычный 4 3 116 8" xfId="41729"/>
    <cellStyle name="Процентный 4 3 116 8" xfId="41730"/>
    <cellStyle name="Обычный 5 3 116 8" xfId="41731"/>
    <cellStyle name="Процентный 5 3 116 8" xfId="41732"/>
    <cellStyle name="Обычный 4 2 2 116 8" xfId="41733"/>
    <cellStyle name="Процентный 4 2 2 116 8" xfId="41734"/>
    <cellStyle name="Обычный 5 2 2 116 8" xfId="41735"/>
    <cellStyle name="Процентный 5 2 2 116 8" xfId="41736"/>
    <cellStyle name="Обычный 6 2 116 8" xfId="41737"/>
    <cellStyle name="Процентный 6 2 116 8" xfId="41738"/>
    <cellStyle name="Обычный 7 2 116 8" xfId="41739"/>
    <cellStyle name="Процентный 7 2 116 8" xfId="41740"/>
    <cellStyle name="Обычный 8 112 8" xfId="41741"/>
    <cellStyle name="Процентный 8 112 8" xfId="41742"/>
    <cellStyle name="Обычный 9 78 8" xfId="41743"/>
    <cellStyle name="Процентный 9 79 8" xfId="41744"/>
    <cellStyle name="Обычный 10 71 8" xfId="41745"/>
    <cellStyle name="Процентный 10 71 8" xfId="41746"/>
    <cellStyle name="Обычный 11 59 8" xfId="41747"/>
    <cellStyle name="Процентный 11 59 8" xfId="41748"/>
    <cellStyle name="Обычный 4 171 8" xfId="41749"/>
    <cellStyle name="Процентный 4 171 8" xfId="41750"/>
    <cellStyle name="Обычный 5 164 8" xfId="41751"/>
    <cellStyle name="Процентный 5 164 8" xfId="41752"/>
    <cellStyle name="Обычный 4 2 158 8" xfId="41753"/>
    <cellStyle name="Процентный 4 2 158 8" xfId="41754"/>
    <cellStyle name="Обычный 5 2 158 8" xfId="41755"/>
    <cellStyle name="Процентный 5 2 158 8" xfId="41756"/>
    <cellStyle name="Обычный 6 155 8" xfId="41757"/>
    <cellStyle name="Процентный 6 155 8" xfId="41758"/>
    <cellStyle name="Обычный 7 125 8" xfId="41759"/>
    <cellStyle name="Процентный 7 125 8" xfId="41760"/>
    <cellStyle name="Обычный 4 3 117 8" xfId="41761"/>
    <cellStyle name="Процентный 4 3 117 8" xfId="41762"/>
    <cellStyle name="Обычный 5 3 117 8" xfId="41763"/>
    <cellStyle name="Процентный 5 3 117 8" xfId="41764"/>
    <cellStyle name="Обычный 4 2 2 117 8" xfId="41765"/>
    <cellStyle name="Процентный 4 2 2 117 8" xfId="41766"/>
    <cellStyle name="Обычный 5 2 2 117 8" xfId="41767"/>
    <cellStyle name="Процентный 5 2 2 117 8" xfId="41768"/>
    <cellStyle name="Обычный 6 2 117 8" xfId="41769"/>
    <cellStyle name="Процентный 6 2 117 8" xfId="41770"/>
    <cellStyle name="Обычный 7 2 117 8" xfId="41771"/>
    <cellStyle name="Процентный 7 2 117 8" xfId="41772"/>
    <cellStyle name="Обычный 8 113 8" xfId="41773"/>
    <cellStyle name="Процентный 8 113 8" xfId="41774"/>
    <cellStyle name="Обычный 9 79 8" xfId="41775"/>
    <cellStyle name="Процентный 9 80 8" xfId="41776"/>
    <cellStyle name="Обычный 10 72 8" xfId="41777"/>
    <cellStyle name="Процентный 10 72 8" xfId="41778"/>
    <cellStyle name="Обычный 11 60 8" xfId="41779"/>
    <cellStyle name="Процентный 11 60 8" xfId="41780"/>
    <cellStyle name="Обычный 4 172 8" xfId="41781"/>
    <cellStyle name="Процентный 4 172 8" xfId="41782"/>
    <cellStyle name="Обычный 5 165 8" xfId="41783"/>
    <cellStyle name="Процентный 5 165 8" xfId="41784"/>
    <cellStyle name="Обычный 4 2 159 8" xfId="41785"/>
    <cellStyle name="Процентный 4 2 159 8" xfId="41786"/>
    <cellStyle name="Обычный 5 2 159 8" xfId="41787"/>
    <cellStyle name="Процентный 5 2 159 8" xfId="41788"/>
    <cellStyle name="Обычный 6 156 8" xfId="41789"/>
    <cellStyle name="Процентный 6 156 8" xfId="41790"/>
    <cellStyle name="Обычный 7 126 8" xfId="41791"/>
    <cellStyle name="Процентный 7 126 8" xfId="41792"/>
    <cellStyle name="Обычный 4 3 118 8" xfId="41793"/>
    <cellStyle name="Процентный 4 3 118 8" xfId="41794"/>
    <cellStyle name="Обычный 5 3 118 8" xfId="41795"/>
    <cellStyle name="Процентный 5 3 118 8" xfId="41796"/>
    <cellStyle name="Обычный 4 2 2 118 8" xfId="41797"/>
    <cellStyle name="Процентный 4 2 2 118 8" xfId="41798"/>
    <cellStyle name="Обычный 5 2 2 118 8" xfId="41799"/>
    <cellStyle name="Процентный 5 2 2 118 8" xfId="41800"/>
    <cellStyle name="Обычный 6 2 118 8" xfId="41801"/>
    <cellStyle name="Процентный 6 2 118 8" xfId="41802"/>
    <cellStyle name="Обычный 7 2 118 8" xfId="41803"/>
    <cellStyle name="Процентный 7 2 118 8" xfId="41804"/>
    <cellStyle name="Обычный 8 114 8" xfId="41805"/>
    <cellStyle name="Процентный 8 114 8" xfId="41806"/>
    <cellStyle name="Обычный 9 80 8" xfId="41807"/>
    <cellStyle name="Процентный 9 81 8" xfId="41808"/>
    <cellStyle name="Обычный 10 73 8" xfId="41809"/>
    <cellStyle name="Процентный 10 73 8" xfId="41810"/>
    <cellStyle name="Обычный 11 61 8" xfId="41811"/>
    <cellStyle name="Процентный 11 61 8" xfId="41812"/>
    <cellStyle name="Обычный 4 173 8" xfId="41813"/>
    <cellStyle name="Процентный 4 173 8" xfId="41814"/>
    <cellStyle name="Обычный 5 166 8" xfId="41815"/>
    <cellStyle name="Процентный 5 166 8" xfId="41816"/>
    <cellStyle name="Обычный 4 2 160 8" xfId="41817"/>
    <cellStyle name="Процентный 4 2 160 8" xfId="41818"/>
    <cellStyle name="Обычный 5 2 160 8" xfId="41819"/>
    <cellStyle name="Процентный 5 2 160 8" xfId="41820"/>
    <cellStyle name="Обычный 6 157 8" xfId="41821"/>
    <cellStyle name="Процентный 6 157 8" xfId="41822"/>
    <cellStyle name="Обычный 7 127 8" xfId="41823"/>
    <cellStyle name="Процентный 7 127 8" xfId="41824"/>
    <cellStyle name="Обычный 4 3 119 8" xfId="41825"/>
    <cellStyle name="Процентный 4 3 119 8" xfId="41826"/>
    <cellStyle name="Обычный 5 3 119 8" xfId="41827"/>
    <cellStyle name="Процентный 5 3 119 8" xfId="41828"/>
    <cellStyle name="Обычный 4 2 2 119 8" xfId="41829"/>
    <cellStyle name="Процентный 4 2 2 119 8" xfId="41830"/>
    <cellStyle name="Обычный 5 2 2 119 8" xfId="41831"/>
    <cellStyle name="Процентный 5 2 2 119 8" xfId="41832"/>
    <cellStyle name="Обычный 6 2 119 8" xfId="41833"/>
    <cellStyle name="Процентный 6 2 119 8" xfId="41834"/>
    <cellStyle name="Обычный 7 2 119 8" xfId="41835"/>
    <cellStyle name="Процентный 7 2 119 8" xfId="41836"/>
    <cellStyle name="Обычный 8 115 8" xfId="41837"/>
    <cellStyle name="Процентный 8 115 8" xfId="41838"/>
    <cellStyle name="Обычный 9 81 8" xfId="41839"/>
    <cellStyle name="Процентный 9 82 8" xfId="41840"/>
    <cellStyle name="Обычный 10 74 8" xfId="41841"/>
    <cellStyle name="Процентный 10 74 8" xfId="41842"/>
    <cellStyle name="Обычный 11 62 8" xfId="41843"/>
    <cellStyle name="Процентный 11 62 8" xfId="41844"/>
    <cellStyle name="Обычный 4 174 8" xfId="41845"/>
    <cellStyle name="Процентный 4 174 8" xfId="41846"/>
    <cellStyle name="Обычный 5 167 8" xfId="41847"/>
    <cellStyle name="Процентный 5 167 8" xfId="41848"/>
    <cellStyle name="Обычный 4 2 161 8" xfId="41849"/>
    <cellStyle name="Процентный 4 2 161 8" xfId="41850"/>
    <cellStyle name="Обычный 5 2 161 8" xfId="41851"/>
    <cellStyle name="Процентный 5 2 161 8" xfId="41852"/>
    <cellStyle name="Обычный 6 158 8" xfId="41853"/>
    <cellStyle name="Процентный 6 158 8" xfId="41854"/>
    <cellStyle name="Обычный 7 128 8" xfId="41855"/>
    <cellStyle name="Процентный 7 128 8" xfId="41856"/>
    <cellStyle name="Обычный 4 3 120 8" xfId="41857"/>
    <cellStyle name="Процентный 4 3 120 8" xfId="41858"/>
    <cellStyle name="Обычный 5 3 120 8" xfId="41859"/>
    <cellStyle name="Процентный 5 3 120 8" xfId="41860"/>
    <cellStyle name="Обычный 4 2 2 120 8" xfId="41861"/>
    <cellStyle name="Процентный 4 2 2 120 8" xfId="41862"/>
    <cellStyle name="Обычный 5 2 2 120 8" xfId="41863"/>
    <cellStyle name="Процентный 5 2 2 120 8" xfId="41864"/>
    <cellStyle name="Обычный 6 2 120 8" xfId="41865"/>
    <cellStyle name="Процентный 6 2 120 8" xfId="41866"/>
    <cellStyle name="Обычный 7 2 120 8" xfId="41867"/>
    <cellStyle name="Процентный 7 2 120 8" xfId="41868"/>
    <cellStyle name="Обычный 8 116 8" xfId="41869"/>
    <cellStyle name="Процентный 8 116 8" xfId="41870"/>
    <cellStyle name="Обычный 9 82 8" xfId="41871"/>
    <cellStyle name="Процентный 9 83 8" xfId="41872"/>
    <cellStyle name="Обычный 10 75 8" xfId="41873"/>
    <cellStyle name="Процентный 10 75 8" xfId="41874"/>
    <cellStyle name="Обычный 11 63 8" xfId="41875"/>
    <cellStyle name="Процентный 11 63 8" xfId="41876"/>
    <cellStyle name="Обычный 4 175 8" xfId="41877"/>
    <cellStyle name="Процентный 4 175 8" xfId="41878"/>
    <cellStyle name="Обычный 5 168 8" xfId="41879"/>
    <cellStyle name="Процентный 5 168 8" xfId="41880"/>
    <cellStyle name="Обычный 4 2 162 8" xfId="41881"/>
    <cellStyle name="Процентный 4 2 162 8" xfId="41882"/>
    <cellStyle name="Обычный 5 2 162 8" xfId="41883"/>
    <cellStyle name="Процентный 5 2 162 8" xfId="41884"/>
    <cellStyle name="Обычный 6 159 8" xfId="41885"/>
    <cellStyle name="Процентный 6 159 8" xfId="41886"/>
    <cellStyle name="Обычный 7 129 8" xfId="41887"/>
    <cellStyle name="Процентный 7 129 8" xfId="41888"/>
    <cellStyle name="Обычный 4 3 121 8" xfId="41889"/>
    <cellStyle name="Процентный 4 3 121 8" xfId="41890"/>
    <cellStyle name="Обычный 5 3 121 8" xfId="41891"/>
    <cellStyle name="Процентный 5 3 121 8" xfId="41892"/>
    <cellStyle name="Обычный 4 2 2 121 8" xfId="41893"/>
    <cellStyle name="Процентный 4 2 2 121 8" xfId="41894"/>
    <cellStyle name="Обычный 5 2 2 121 8" xfId="41895"/>
    <cellStyle name="Процентный 5 2 2 121 8" xfId="41896"/>
    <cellStyle name="Обычный 6 2 121 8" xfId="41897"/>
    <cellStyle name="Процентный 6 2 121 8" xfId="41898"/>
    <cellStyle name="Обычный 7 2 121 8" xfId="41899"/>
    <cellStyle name="Процентный 7 2 121 8" xfId="41900"/>
    <cellStyle name="Обычный 8 117 8" xfId="41901"/>
    <cellStyle name="Процентный 8 117 8" xfId="41902"/>
    <cellStyle name="Обычный 9 83 8" xfId="41903"/>
    <cellStyle name="Процентный 9 84 8" xfId="41904"/>
    <cellStyle name="Обычный 10 76 8" xfId="41905"/>
    <cellStyle name="Процентный 10 76 8" xfId="41906"/>
    <cellStyle name="Обычный 11 64 8" xfId="41907"/>
    <cellStyle name="Процентный 11 64 8" xfId="41908"/>
    <cellStyle name="Обычный 4 176 8" xfId="41909"/>
    <cellStyle name="Процентный 4 176 8" xfId="41910"/>
    <cellStyle name="Обычный 5 169 8" xfId="41911"/>
    <cellStyle name="Процентный 5 169 8" xfId="41912"/>
    <cellStyle name="Обычный 4 2 163 8" xfId="41913"/>
    <cellStyle name="Процентный 4 2 163 8" xfId="41914"/>
    <cellStyle name="Обычный 5 2 163 8" xfId="41915"/>
    <cellStyle name="Процентный 5 2 163 8" xfId="41916"/>
    <cellStyle name="Обычный 6 160 8" xfId="41917"/>
    <cellStyle name="Процентный 6 160 8" xfId="41918"/>
    <cellStyle name="Обычный 7 130 8" xfId="41919"/>
    <cellStyle name="Процентный 7 130 8" xfId="41920"/>
    <cellStyle name="Обычный 4 3 122 8" xfId="41921"/>
    <cellStyle name="Процентный 4 3 122 8" xfId="41922"/>
    <cellStyle name="Обычный 5 3 122 8" xfId="41923"/>
    <cellStyle name="Процентный 5 3 122 8" xfId="41924"/>
    <cellStyle name="Обычный 4 2 2 122 8" xfId="41925"/>
    <cellStyle name="Процентный 4 2 2 122 8" xfId="41926"/>
    <cellStyle name="Обычный 5 2 2 122 8" xfId="41927"/>
    <cellStyle name="Процентный 5 2 2 122 8" xfId="41928"/>
    <cellStyle name="Обычный 6 2 122 8" xfId="41929"/>
    <cellStyle name="Процентный 6 2 122 8" xfId="41930"/>
    <cellStyle name="Обычный 7 2 122 8" xfId="41931"/>
    <cellStyle name="Процентный 7 2 122 8" xfId="41932"/>
    <cellStyle name="Обычный 8 118 8" xfId="41933"/>
    <cellStyle name="Процентный 8 118 8" xfId="41934"/>
    <cellStyle name="Обычный 9 84 8" xfId="41935"/>
    <cellStyle name="Процентный 9 85 8" xfId="41936"/>
    <cellStyle name="Обычный 10 77 8" xfId="41937"/>
    <cellStyle name="Процентный 10 77 8" xfId="41938"/>
    <cellStyle name="Обычный 11 65 8" xfId="41939"/>
    <cellStyle name="Процентный 11 65 8" xfId="41940"/>
    <cellStyle name="Обычный 4 177 8" xfId="41941"/>
    <cellStyle name="Процентный 4 177 8" xfId="41942"/>
    <cellStyle name="Обычный 5 170 8" xfId="41943"/>
    <cellStyle name="Процентный 5 170 8" xfId="41944"/>
    <cellStyle name="Обычный 4 2 164 8" xfId="41945"/>
    <cellStyle name="Процентный 4 2 164 8" xfId="41946"/>
    <cellStyle name="Обычный 5 2 164 8" xfId="41947"/>
    <cellStyle name="Процентный 5 2 164 8" xfId="41948"/>
    <cellStyle name="Обычный 6 161 8" xfId="41949"/>
    <cellStyle name="Процентный 6 161 8" xfId="41950"/>
    <cellStyle name="Обычный 7 131 8" xfId="41951"/>
    <cellStyle name="Процентный 7 131 8" xfId="41952"/>
    <cellStyle name="Обычный 4 3 123 8" xfId="41953"/>
    <cellStyle name="Процентный 4 3 123 8" xfId="41954"/>
    <cellStyle name="Обычный 5 3 123 8" xfId="41955"/>
    <cellStyle name="Процентный 5 3 123 8" xfId="41956"/>
    <cellStyle name="Обычный 4 2 2 123 8" xfId="41957"/>
    <cellStyle name="Процентный 4 2 2 123 8" xfId="41958"/>
    <cellStyle name="Обычный 5 2 2 123 8" xfId="41959"/>
    <cellStyle name="Процентный 5 2 2 123 8" xfId="41960"/>
    <cellStyle name="Обычный 6 2 123 8" xfId="41961"/>
    <cellStyle name="Процентный 6 2 123 8" xfId="41962"/>
    <cellStyle name="Обычный 7 2 123 8" xfId="41963"/>
    <cellStyle name="Процентный 7 2 123 8" xfId="41964"/>
    <cellStyle name="Обычный 8 119 8" xfId="41965"/>
    <cellStyle name="Процентный 8 119 8" xfId="41966"/>
    <cellStyle name="Обычный 9 85 8" xfId="41967"/>
    <cellStyle name="Процентный 9 86 8" xfId="41968"/>
    <cellStyle name="Обычный 10 78 8" xfId="41969"/>
    <cellStyle name="Процентный 10 78 8" xfId="41970"/>
    <cellStyle name="Обычный 11 66 8" xfId="41971"/>
    <cellStyle name="Процентный 11 66 8" xfId="41972"/>
    <cellStyle name="Обычный 4 178 8" xfId="41973"/>
    <cellStyle name="Процентный 4 178 8" xfId="41974"/>
    <cellStyle name="Обычный 5 171 8" xfId="41975"/>
    <cellStyle name="Процентный 5 171 8" xfId="41976"/>
    <cellStyle name="Обычный 4 2 165 8" xfId="41977"/>
    <cellStyle name="Процентный 4 2 165 8" xfId="41978"/>
    <cellStyle name="Обычный 5 2 165 8" xfId="41979"/>
    <cellStyle name="Процентный 5 2 165 8" xfId="41980"/>
    <cellStyle name="Обычный 6 162 8" xfId="41981"/>
    <cellStyle name="Процентный 6 162 8" xfId="41982"/>
    <cellStyle name="Обычный 7 132 8" xfId="41983"/>
    <cellStyle name="Процентный 7 132 8" xfId="41984"/>
    <cellStyle name="Обычный 4 3 124 8" xfId="41985"/>
    <cellStyle name="Процентный 4 3 124 8" xfId="41986"/>
    <cellStyle name="Обычный 5 3 124 8" xfId="41987"/>
    <cellStyle name="Процентный 5 3 124 8" xfId="41988"/>
    <cellStyle name="Обычный 4 2 2 124 8" xfId="41989"/>
    <cellStyle name="Процентный 4 2 2 124 8" xfId="41990"/>
    <cellStyle name="Обычный 5 2 2 124 8" xfId="41991"/>
    <cellStyle name="Процентный 5 2 2 124 8" xfId="41992"/>
    <cellStyle name="Обычный 6 2 124 8" xfId="41993"/>
    <cellStyle name="Процентный 6 2 124 8" xfId="41994"/>
    <cellStyle name="Обычный 7 2 124 8" xfId="41995"/>
    <cellStyle name="Процентный 7 2 124 8" xfId="41996"/>
    <cellStyle name="Обычный 8 120 8" xfId="41997"/>
    <cellStyle name="Процентный 8 120 8" xfId="41998"/>
    <cellStyle name="Обычный 9 86 8" xfId="41999"/>
    <cellStyle name="Процентный 9 87 8" xfId="42000"/>
    <cellStyle name="Обычный 10 79 8" xfId="42001"/>
    <cellStyle name="Процентный 10 79 8" xfId="42002"/>
    <cellStyle name="Обычный 11 67 8" xfId="42003"/>
    <cellStyle name="Процентный 11 67 8" xfId="42004"/>
    <cellStyle name="Обычный 4 179 8" xfId="42005"/>
    <cellStyle name="Процентный 4 179 8" xfId="42006"/>
    <cellStyle name="Обычный 5 172 8" xfId="42007"/>
    <cellStyle name="Процентный 5 172 8" xfId="42008"/>
    <cellStyle name="Обычный 4 2 166 8" xfId="42009"/>
    <cellStyle name="Процентный 4 2 166 8" xfId="42010"/>
    <cellStyle name="Обычный 5 2 166 8" xfId="42011"/>
    <cellStyle name="Процентный 5 2 166 8" xfId="42012"/>
    <cellStyle name="Обычный 6 163 8" xfId="42013"/>
    <cellStyle name="Процентный 6 163 8" xfId="42014"/>
    <cellStyle name="Обычный 7 133 8" xfId="42015"/>
    <cellStyle name="Процентный 7 133 8" xfId="42016"/>
    <cellStyle name="Обычный 4 3 125 8" xfId="42017"/>
    <cellStyle name="Процентный 4 3 125 8" xfId="42018"/>
    <cellStyle name="Обычный 5 3 125 8" xfId="42019"/>
    <cellStyle name="Процентный 5 3 125 8" xfId="42020"/>
    <cellStyle name="Обычный 4 2 2 125 8" xfId="42021"/>
    <cellStyle name="Процентный 4 2 2 125 8" xfId="42022"/>
    <cellStyle name="Обычный 5 2 2 125 8" xfId="42023"/>
    <cellStyle name="Процентный 5 2 2 125 8" xfId="42024"/>
    <cellStyle name="Обычный 6 2 125 8" xfId="42025"/>
    <cellStyle name="Процентный 6 2 125 8" xfId="42026"/>
    <cellStyle name="Обычный 7 2 125 8" xfId="42027"/>
    <cellStyle name="Процентный 7 2 125 8" xfId="42028"/>
    <cellStyle name="Обычный 8 121 8" xfId="42029"/>
    <cellStyle name="Процентный 8 121 8" xfId="42030"/>
    <cellStyle name="Обычный 9 87 8" xfId="42031"/>
    <cellStyle name="Процентный 9 88 8" xfId="42032"/>
    <cellStyle name="Обычный 10 80 8" xfId="42033"/>
    <cellStyle name="Процентный 10 80 8" xfId="42034"/>
    <cellStyle name="Обычный 11 68 8" xfId="42035"/>
    <cellStyle name="Процентный 11 68 8" xfId="42036"/>
    <cellStyle name="Обычный 4 180 8" xfId="42037"/>
    <cellStyle name="Процентный 4 180 8" xfId="42038"/>
    <cellStyle name="Обычный 5 173 8" xfId="42039"/>
    <cellStyle name="Процентный 5 173 8" xfId="42040"/>
    <cellStyle name="Обычный 4 2 167 8" xfId="42041"/>
    <cellStyle name="Процентный 4 2 167 8" xfId="42042"/>
    <cellStyle name="Обычный 5 2 167 8" xfId="42043"/>
    <cellStyle name="Процентный 5 2 167 8" xfId="42044"/>
    <cellStyle name="Обычный 6 164 8" xfId="42045"/>
    <cellStyle name="Процентный 6 164 8" xfId="42046"/>
    <cellStyle name="Обычный 7 134 8" xfId="42047"/>
    <cellStyle name="Процентный 7 134 8" xfId="42048"/>
    <cellStyle name="Обычный 4 3 126 8" xfId="42049"/>
    <cellStyle name="Процентный 4 3 126 8" xfId="42050"/>
    <cellStyle name="Обычный 5 3 126 8" xfId="42051"/>
    <cellStyle name="Процентный 5 3 126 8" xfId="42052"/>
    <cellStyle name="Обычный 4 2 2 126 8" xfId="42053"/>
    <cellStyle name="Процентный 4 2 2 126 8" xfId="42054"/>
    <cellStyle name="Обычный 5 2 2 126 8" xfId="42055"/>
    <cellStyle name="Процентный 5 2 2 126 8" xfId="42056"/>
    <cellStyle name="Обычный 6 2 126 8" xfId="42057"/>
    <cellStyle name="Процентный 6 2 126 8" xfId="42058"/>
    <cellStyle name="Обычный 7 2 126 8" xfId="42059"/>
    <cellStyle name="Процентный 7 2 126 8" xfId="42060"/>
    <cellStyle name="Обычный 8 122 8" xfId="42061"/>
    <cellStyle name="Процентный 8 122 8" xfId="42062"/>
    <cellStyle name="Обычный 9 88 8" xfId="42063"/>
    <cellStyle name="Процентный 9 89 8" xfId="42064"/>
    <cellStyle name="Обычный 10 81 8" xfId="42065"/>
    <cellStyle name="Процентный 10 81 8" xfId="42066"/>
    <cellStyle name="Обычный 11 69 8" xfId="42067"/>
    <cellStyle name="Процентный 11 69 8" xfId="42068"/>
    <cellStyle name="Обычный 4 181 8" xfId="42069"/>
    <cellStyle name="Процентный 4 181 8" xfId="42070"/>
    <cellStyle name="Обычный 5 174 8" xfId="42071"/>
    <cellStyle name="Процентный 5 174 8" xfId="42072"/>
    <cellStyle name="Обычный 4 2 168 8" xfId="42073"/>
    <cellStyle name="Процентный 4 2 168 8" xfId="42074"/>
    <cellStyle name="Обычный 5 2 168 8" xfId="42075"/>
    <cellStyle name="Процентный 5 2 168 8" xfId="42076"/>
    <cellStyle name="Обычный 6 165 8" xfId="42077"/>
    <cellStyle name="Процентный 6 165 8" xfId="42078"/>
    <cellStyle name="Обычный 7 135 8" xfId="42079"/>
    <cellStyle name="Процентный 7 135 8" xfId="42080"/>
    <cellStyle name="Обычный 4 3 127 8" xfId="42081"/>
    <cellStyle name="Процентный 4 3 127 8" xfId="42082"/>
    <cellStyle name="Обычный 5 3 127 8" xfId="42083"/>
    <cellStyle name="Процентный 5 3 127 8" xfId="42084"/>
    <cellStyle name="Обычный 4 2 2 127 8" xfId="42085"/>
    <cellStyle name="Процентный 4 2 2 127 8" xfId="42086"/>
    <cellStyle name="Обычный 5 2 2 127 8" xfId="42087"/>
    <cellStyle name="Процентный 5 2 2 127 8" xfId="42088"/>
    <cellStyle name="Обычный 6 2 127 8" xfId="42089"/>
    <cellStyle name="Процентный 6 2 127 8" xfId="42090"/>
    <cellStyle name="Обычный 7 2 127 8" xfId="42091"/>
    <cellStyle name="Процентный 7 2 127 8" xfId="42092"/>
    <cellStyle name="Обычный 8 123 8" xfId="42093"/>
    <cellStyle name="Процентный 8 123 8" xfId="42094"/>
    <cellStyle name="Обычный 9 89 8" xfId="42095"/>
    <cellStyle name="Процентный 9 90 8" xfId="42096"/>
    <cellStyle name="Обычный 10 82 8" xfId="42097"/>
    <cellStyle name="Процентный 10 82 8" xfId="42098"/>
    <cellStyle name="Обычный 11 70 8" xfId="42099"/>
    <cellStyle name="Процентный 11 70 8" xfId="42100"/>
    <cellStyle name="Обычный 14 8" xfId="42101"/>
    <cellStyle name="Процентный 14 8" xfId="42102"/>
    <cellStyle name="Обычный 4 182 8" xfId="42103"/>
    <cellStyle name="Процентный 4 182 8" xfId="42104"/>
    <cellStyle name="Обычный 5 175 8" xfId="42105"/>
    <cellStyle name="Процентный 5 175 8" xfId="42106"/>
    <cellStyle name="Обычный 4 2 169 8" xfId="42107"/>
    <cellStyle name="Процентный 4 2 169 8" xfId="42108"/>
    <cellStyle name="Обычный 5 2 169 8" xfId="42109"/>
    <cellStyle name="Процентный 5 2 169 8" xfId="42110"/>
    <cellStyle name="Обычный 6 166 8" xfId="42111"/>
    <cellStyle name="Процентный 6 166 8" xfId="42112"/>
    <cellStyle name="Обычный 7 136 8" xfId="42113"/>
    <cellStyle name="Процентный 7 136 8" xfId="42114"/>
    <cellStyle name="Обычный 4 3 128 8" xfId="42115"/>
    <cellStyle name="Процентный 4 3 128 8" xfId="42116"/>
    <cellStyle name="Обычный 5 3 128 8" xfId="42117"/>
    <cellStyle name="Процентный 5 3 128 8" xfId="42118"/>
    <cellStyle name="Обычный 4 2 2 128 8" xfId="42119"/>
    <cellStyle name="Процентный 4 2 2 128 8" xfId="42120"/>
    <cellStyle name="Обычный 5 2 2 128 8" xfId="42121"/>
    <cellStyle name="Процентный 5 2 2 128 8" xfId="42122"/>
    <cellStyle name="Обычный 6 2 128 8" xfId="42123"/>
    <cellStyle name="Процентный 6 2 128 8" xfId="42124"/>
    <cellStyle name="Обычный 7 2 128 8" xfId="42125"/>
    <cellStyle name="Процентный 7 2 128 8" xfId="42126"/>
    <cellStyle name="Обычный 8 124 8" xfId="42127"/>
    <cellStyle name="Процентный 8 124 8" xfId="42128"/>
    <cellStyle name="Обычный 9 90 8" xfId="42129"/>
    <cellStyle name="Процентный 9 91 8" xfId="42130"/>
    <cellStyle name="Обычный 10 83 8" xfId="42131"/>
    <cellStyle name="Процентный 10 83 8" xfId="42132"/>
    <cellStyle name="Обычный 11 71 8" xfId="42133"/>
    <cellStyle name="Процентный 11 71 8" xfId="42134"/>
    <cellStyle name="Обычный 4 183 8" xfId="42135"/>
    <cellStyle name="Процентный 4 183 8" xfId="42136"/>
    <cellStyle name="Обычный 5 176 8" xfId="42137"/>
    <cellStyle name="Процентный 5 176 8" xfId="42138"/>
    <cellStyle name="Обычный 4 2 170 8" xfId="42139"/>
    <cellStyle name="Процентный 4 2 170 8" xfId="42140"/>
    <cellStyle name="Обычный 5 2 170 8" xfId="42141"/>
    <cellStyle name="Процентный 5 2 170 8" xfId="42142"/>
    <cellStyle name="Обычный 6 167 8" xfId="42143"/>
    <cellStyle name="Процентный 6 167 8" xfId="42144"/>
    <cellStyle name="Обычный 7 137 8" xfId="42145"/>
    <cellStyle name="Процентный 7 137 8" xfId="42146"/>
    <cellStyle name="Обычный 4 3 129 8" xfId="42147"/>
    <cellStyle name="Процентный 4 3 129 8" xfId="42148"/>
    <cellStyle name="Обычный 5 3 129 8" xfId="42149"/>
    <cellStyle name="Процентный 5 3 129 8" xfId="42150"/>
    <cellStyle name="Обычный 4 2 2 129 8" xfId="42151"/>
    <cellStyle name="Процентный 4 2 2 129 8" xfId="42152"/>
    <cellStyle name="Обычный 5 2 2 129 8" xfId="42153"/>
    <cellStyle name="Процентный 5 2 2 129 8" xfId="42154"/>
    <cellStyle name="Обычный 6 2 129 8" xfId="42155"/>
    <cellStyle name="Процентный 6 2 129 8" xfId="42156"/>
    <cellStyle name="Обычный 7 2 129 8" xfId="42157"/>
    <cellStyle name="Процентный 7 2 129 8" xfId="42158"/>
    <cellStyle name="Обычный 8 125 8" xfId="42159"/>
    <cellStyle name="Процентный 8 125 8" xfId="42160"/>
    <cellStyle name="Обычный 9 91 8" xfId="42161"/>
    <cellStyle name="Процентный 9 92 8" xfId="42162"/>
    <cellStyle name="Обычный 10 84 8" xfId="42163"/>
    <cellStyle name="Процентный 10 84 8" xfId="42164"/>
    <cellStyle name="Обычный 11 72 8" xfId="42165"/>
    <cellStyle name="Процентный 11 72 8" xfId="42166"/>
    <cellStyle name="Обычный 4 184 8" xfId="42167"/>
    <cellStyle name="Процентный 4 184 8" xfId="42168"/>
    <cellStyle name="Обычный 5 177 8" xfId="42169"/>
    <cellStyle name="Процентный 5 177 8" xfId="42170"/>
    <cellStyle name="Обычный 4 2 171 8" xfId="42171"/>
    <cellStyle name="Процентный 4 2 171 8" xfId="42172"/>
    <cellStyle name="Обычный 5 2 171 8" xfId="42173"/>
    <cellStyle name="Процентный 5 2 171 8" xfId="42174"/>
    <cellStyle name="Обычный 6 168 8" xfId="42175"/>
    <cellStyle name="Процентный 6 168 8" xfId="42176"/>
    <cellStyle name="Обычный 7 138 8" xfId="42177"/>
    <cellStyle name="Процентный 7 138 8" xfId="42178"/>
    <cellStyle name="Обычный 4 3 130 8" xfId="42179"/>
    <cellStyle name="Процентный 4 3 130 8" xfId="42180"/>
    <cellStyle name="Обычный 5 3 130 8" xfId="42181"/>
    <cellStyle name="Процентный 5 3 130 8" xfId="42182"/>
    <cellStyle name="Обычный 4 2 2 130 8" xfId="42183"/>
    <cellStyle name="Процентный 4 2 2 130 8" xfId="42184"/>
    <cellStyle name="Обычный 5 2 2 130 8" xfId="42185"/>
    <cellStyle name="Процентный 5 2 2 130 8" xfId="42186"/>
    <cellStyle name="Обычный 6 2 130 8" xfId="42187"/>
    <cellStyle name="Процентный 6 2 130 8" xfId="42188"/>
    <cellStyle name="Обычный 7 2 130 8" xfId="42189"/>
    <cellStyle name="Процентный 7 2 130 8" xfId="42190"/>
    <cellStyle name="Обычный 8 126 8" xfId="42191"/>
    <cellStyle name="Процентный 8 126 8" xfId="42192"/>
    <cellStyle name="Обычный 9 92 8" xfId="42193"/>
    <cellStyle name="Процентный 9 93 8" xfId="42194"/>
    <cellStyle name="Обычный 10 85 8" xfId="42195"/>
    <cellStyle name="Процентный 10 85 8" xfId="42196"/>
    <cellStyle name="Обычный 11 73 8" xfId="42197"/>
    <cellStyle name="Процентный 11 73 8" xfId="42198"/>
    <cellStyle name="Обычный 4 185 8" xfId="42199"/>
    <cellStyle name="Процентный 4 185 8" xfId="42200"/>
    <cellStyle name="Обычный 5 178 8" xfId="42201"/>
    <cellStyle name="Процентный 5 178 8" xfId="42202"/>
    <cellStyle name="Обычный 4 2 172 8" xfId="42203"/>
    <cellStyle name="Процентный 4 2 172 8" xfId="42204"/>
    <cellStyle name="Обычный 5 2 172 8" xfId="42205"/>
    <cellStyle name="Процентный 5 2 172 8" xfId="42206"/>
    <cellStyle name="Обычный 6 169 8" xfId="42207"/>
    <cellStyle name="Процентный 6 169 8" xfId="42208"/>
    <cellStyle name="Обычный 7 139 8" xfId="42209"/>
    <cellStyle name="Процентный 7 139 8" xfId="42210"/>
    <cellStyle name="Обычный 4 3 131 8" xfId="42211"/>
    <cellStyle name="Процентный 4 3 131 8" xfId="42212"/>
    <cellStyle name="Обычный 5 3 131 8" xfId="42213"/>
    <cellStyle name="Процентный 5 3 131 8" xfId="42214"/>
    <cellStyle name="Обычный 4 2 2 131 8" xfId="42215"/>
    <cellStyle name="Процентный 4 2 2 131 8" xfId="42216"/>
    <cellStyle name="Обычный 5 2 2 131 8" xfId="42217"/>
    <cellStyle name="Процентный 5 2 2 131 8" xfId="42218"/>
    <cellStyle name="Обычный 6 2 131 8" xfId="42219"/>
    <cellStyle name="Процентный 6 2 131 8" xfId="42220"/>
    <cellStyle name="Обычный 7 2 131 8" xfId="42221"/>
    <cellStyle name="Процентный 7 2 131 8" xfId="42222"/>
    <cellStyle name="Обычный 8 127 8" xfId="42223"/>
    <cellStyle name="Процентный 8 127 8" xfId="42224"/>
    <cellStyle name="Обычный 9 93 8" xfId="42225"/>
    <cellStyle name="Процентный 9 94 8" xfId="42226"/>
    <cellStyle name="Обычный 10 86 8" xfId="42227"/>
    <cellStyle name="Процентный 10 86 8" xfId="42228"/>
    <cellStyle name="Обычный 11 74 8" xfId="42229"/>
    <cellStyle name="Процентный 11 74 8" xfId="42230"/>
    <cellStyle name="Обычный 4 186 8" xfId="42231"/>
    <cellStyle name="Процентный 4 186 8" xfId="42232"/>
    <cellStyle name="Обычный 5 179 8" xfId="42233"/>
    <cellStyle name="Процентный 5 179 8" xfId="42234"/>
    <cellStyle name="Обычный 4 2 173 8" xfId="42235"/>
    <cellStyle name="Процентный 4 2 173 8" xfId="42236"/>
    <cellStyle name="Обычный 5 2 173 8" xfId="42237"/>
    <cellStyle name="Процентный 5 2 173 8" xfId="42238"/>
    <cellStyle name="Обычный 6 170 8" xfId="42239"/>
    <cellStyle name="Процентный 6 170 8" xfId="42240"/>
    <cellStyle name="Обычный 7 140 8" xfId="42241"/>
    <cellStyle name="Процентный 7 140 8" xfId="42242"/>
    <cellStyle name="Обычный 4 3 132 8" xfId="42243"/>
    <cellStyle name="Процентный 4 3 132 8" xfId="42244"/>
    <cellStyle name="Обычный 5 3 132 8" xfId="42245"/>
    <cellStyle name="Процентный 5 3 132 8" xfId="42246"/>
    <cellStyle name="Обычный 4 2 2 132 8" xfId="42247"/>
    <cellStyle name="Процентный 4 2 2 132 8" xfId="42248"/>
    <cellStyle name="Обычный 5 2 2 132 8" xfId="42249"/>
    <cellStyle name="Процентный 5 2 2 132 8" xfId="42250"/>
    <cellStyle name="Обычный 6 2 132 8" xfId="42251"/>
    <cellStyle name="Процентный 6 2 132 8" xfId="42252"/>
    <cellStyle name="Обычный 7 2 132 8" xfId="42253"/>
    <cellStyle name="Процентный 7 2 132 8" xfId="42254"/>
    <cellStyle name="Обычный 8 128 8" xfId="42255"/>
    <cellStyle name="Процентный 8 128 8" xfId="42256"/>
    <cellStyle name="Обычный 9 94 8" xfId="42257"/>
    <cellStyle name="Процентный 9 95 8" xfId="42258"/>
    <cellStyle name="Обычный 10 87 8" xfId="42259"/>
    <cellStyle name="Процентный 10 87 8" xfId="42260"/>
    <cellStyle name="Обычный 11 75 8" xfId="42261"/>
    <cellStyle name="Процентный 11 75 8" xfId="42262"/>
    <cellStyle name="Обычный 4 187 8" xfId="42263"/>
    <cellStyle name="Процентный 4 187 8" xfId="42264"/>
    <cellStyle name="Обычный 5 180 8" xfId="42265"/>
    <cellStyle name="Процентный 5 180 8" xfId="42266"/>
    <cellStyle name="Обычный 4 2 174 8" xfId="42267"/>
    <cellStyle name="Процентный 4 2 174 8" xfId="42268"/>
    <cellStyle name="Обычный 5 2 174 8" xfId="42269"/>
    <cellStyle name="Процентный 5 2 174 8" xfId="42270"/>
    <cellStyle name="Обычный 6 171 8" xfId="42271"/>
    <cellStyle name="Процентный 6 171 8" xfId="42272"/>
    <cellStyle name="Обычный 7 141 8" xfId="42273"/>
    <cellStyle name="Процентный 7 141 8" xfId="42274"/>
    <cellStyle name="Обычный 4 3 133 8" xfId="42275"/>
    <cellStyle name="Процентный 4 3 133 8" xfId="42276"/>
    <cellStyle name="Обычный 5 3 133 8" xfId="42277"/>
    <cellStyle name="Процентный 5 3 133 8" xfId="42278"/>
    <cellStyle name="Обычный 4 2 2 133 8" xfId="42279"/>
    <cellStyle name="Процентный 4 2 2 133 8" xfId="42280"/>
    <cellStyle name="Обычный 5 2 2 133 8" xfId="42281"/>
    <cellStyle name="Процентный 5 2 2 133 8" xfId="42282"/>
    <cellStyle name="Обычный 6 2 133 8" xfId="42283"/>
    <cellStyle name="Процентный 6 2 133 8" xfId="42284"/>
    <cellStyle name="Обычный 7 2 133 8" xfId="42285"/>
    <cellStyle name="Процентный 7 2 133 8" xfId="42286"/>
    <cellStyle name="Обычный 8 129 8" xfId="42287"/>
    <cellStyle name="Процентный 8 129 8" xfId="42288"/>
    <cellStyle name="Обычный 9 95 8" xfId="42289"/>
    <cellStyle name="Процентный 9 96 8" xfId="42290"/>
    <cellStyle name="Обычный 10 88 8" xfId="42291"/>
    <cellStyle name="Процентный 10 88 8" xfId="42292"/>
    <cellStyle name="Обычный 11 76 8" xfId="42293"/>
    <cellStyle name="Процентный 11 76 8" xfId="42294"/>
    <cellStyle name="Обычный 4 188 8" xfId="42295"/>
    <cellStyle name="Процентный 4 188 8" xfId="42296"/>
    <cellStyle name="Обычный 5 181 8" xfId="42297"/>
    <cellStyle name="Процентный 5 181 8" xfId="42298"/>
    <cellStyle name="Обычный 4 2 175 8" xfId="42299"/>
    <cellStyle name="Процентный 4 2 175 8" xfId="42300"/>
    <cellStyle name="Обычный 5 2 175 8" xfId="42301"/>
    <cellStyle name="Процентный 5 2 175 8" xfId="42302"/>
    <cellStyle name="Обычный 6 172 8" xfId="42303"/>
    <cellStyle name="Процентный 6 172 8" xfId="42304"/>
    <cellStyle name="Обычный 7 142 8" xfId="42305"/>
    <cellStyle name="Процентный 7 142 8" xfId="42306"/>
    <cellStyle name="Обычный 4 3 134 8" xfId="42307"/>
    <cellStyle name="Процентный 4 3 134 8" xfId="42308"/>
    <cellStyle name="Обычный 5 3 134 8" xfId="42309"/>
    <cellStyle name="Процентный 5 3 134 8" xfId="42310"/>
    <cellStyle name="Обычный 4 2 2 134 8" xfId="42311"/>
    <cellStyle name="Процентный 4 2 2 134 8" xfId="42312"/>
    <cellStyle name="Обычный 5 2 2 134 8" xfId="42313"/>
    <cellStyle name="Процентный 5 2 2 134 8" xfId="42314"/>
    <cellStyle name="Обычный 6 2 134 8" xfId="42315"/>
    <cellStyle name="Процентный 6 2 134 8" xfId="42316"/>
    <cellStyle name="Обычный 7 2 134 8" xfId="42317"/>
    <cellStyle name="Процентный 7 2 134 8" xfId="42318"/>
    <cellStyle name="Обычный 8 130 8" xfId="42319"/>
    <cellStyle name="Процентный 8 130 8" xfId="42320"/>
    <cellStyle name="Обычный 9 96 8" xfId="42321"/>
    <cellStyle name="Процентный 9 97 8" xfId="42322"/>
    <cellStyle name="Обычный 10 89 8" xfId="42323"/>
    <cellStyle name="Процентный 10 89 8" xfId="42324"/>
    <cellStyle name="Обычный 11 77 8" xfId="42325"/>
    <cellStyle name="Процентный 11 77 8" xfId="42326"/>
    <cellStyle name="Обычный 4 189 8" xfId="42327"/>
    <cellStyle name="Процентный 4 189 8" xfId="42328"/>
    <cellStyle name="Обычный 5 182 8" xfId="42329"/>
    <cellStyle name="Процентный 5 182 8" xfId="42330"/>
    <cellStyle name="Обычный 4 2 176 8" xfId="42331"/>
    <cellStyle name="Процентный 4 2 176 8" xfId="42332"/>
    <cellStyle name="Обычный 5 2 176 8" xfId="42333"/>
    <cellStyle name="Процентный 5 2 176 8" xfId="42334"/>
    <cellStyle name="Обычный 6 173 8" xfId="42335"/>
    <cellStyle name="Процентный 6 173 8" xfId="42336"/>
    <cellStyle name="Обычный 7 143 8" xfId="42337"/>
    <cellStyle name="Процентный 7 143 8" xfId="42338"/>
    <cellStyle name="Обычный 4 3 135 8" xfId="42339"/>
    <cellStyle name="Процентный 4 3 135 8" xfId="42340"/>
    <cellStyle name="Обычный 5 3 135 8" xfId="42341"/>
    <cellStyle name="Процентный 5 3 135 8" xfId="42342"/>
    <cellStyle name="Обычный 4 2 2 135 8" xfId="42343"/>
    <cellStyle name="Процентный 4 2 2 135 8" xfId="42344"/>
    <cellStyle name="Обычный 5 2 2 135 8" xfId="42345"/>
    <cellStyle name="Процентный 5 2 2 135 8" xfId="42346"/>
    <cellStyle name="Обычный 6 2 135 8" xfId="42347"/>
    <cellStyle name="Процентный 6 2 135 8" xfId="42348"/>
    <cellStyle name="Обычный 7 2 135 8" xfId="42349"/>
    <cellStyle name="Процентный 7 2 135 8" xfId="42350"/>
    <cellStyle name="Обычный 8 131 8" xfId="42351"/>
    <cellStyle name="Процентный 8 131 8" xfId="42352"/>
    <cellStyle name="Обычный 9 97 8" xfId="42353"/>
    <cellStyle name="Процентный 9 98 8" xfId="42354"/>
    <cellStyle name="Обычный 10 90 8" xfId="42355"/>
    <cellStyle name="Процентный 10 90 8" xfId="42356"/>
    <cellStyle name="Обычный 11 78 8" xfId="42357"/>
    <cellStyle name="Процентный 11 78 8" xfId="42358"/>
    <cellStyle name="Обычный 4 190 8" xfId="42359"/>
    <cellStyle name="Процентный 4 190 8" xfId="42360"/>
    <cellStyle name="Обычный 5 183 8" xfId="42361"/>
    <cellStyle name="Процентный 5 183 8" xfId="42362"/>
    <cellStyle name="Обычный 4 2 177 8" xfId="42363"/>
    <cellStyle name="Процентный 4 2 177 8" xfId="42364"/>
    <cellStyle name="Обычный 5 2 177 8" xfId="42365"/>
    <cellStyle name="Процентный 5 2 177 8" xfId="42366"/>
    <cellStyle name="Обычный 6 174 8" xfId="42367"/>
    <cellStyle name="Процентный 6 174 8" xfId="42368"/>
    <cellStyle name="Обычный 7 144 8" xfId="42369"/>
    <cellStyle name="Процентный 7 144 8" xfId="42370"/>
    <cellStyle name="Обычный 4 3 136 8" xfId="42371"/>
    <cellStyle name="Процентный 4 3 136 8" xfId="42372"/>
    <cellStyle name="Обычный 5 3 136 8" xfId="42373"/>
    <cellStyle name="Процентный 5 3 136 8" xfId="42374"/>
    <cellStyle name="Обычный 4 2 2 136 8" xfId="42375"/>
    <cellStyle name="Процентный 4 2 2 136 8" xfId="42376"/>
    <cellStyle name="Обычный 5 2 2 136 8" xfId="42377"/>
    <cellStyle name="Процентный 5 2 2 136 8" xfId="42378"/>
    <cellStyle name="Обычный 6 2 136 8" xfId="42379"/>
    <cellStyle name="Процентный 6 2 136 8" xfId="42380"/>
    <cellStyle name="Обычный 7 2 136 8" xfId="42381"/>
    <cellStyle name="Процентный 7 2 136 8" xfId="42382"/>
    <cellStyle name="Обычный 8 132 8" xfId="42383"/>
    <cellStyle name="Процентный 8 132 8" xfId="42384"/>
    <cellStyle name="Обычный 9 98 8" xfId="42385"/>
    <cellStyle name="Процентный 9 99 8" xfId="42386"/>
    <cellStyle name="Обычный 10 91 8" xfId="42387"/>
    <cellStyle name="Процентный 10 91 8" xfId="42388"/>
    <cellStyle name="Обычный 11 79 8" xfId="42389"/>
    <cellStyle name="Процентный 11 79 8" xfId="42390"/>
    <cellStyle name="Обычный 4 191 8" xfId="42391"/>
    <cellStyle name="Процентный 4 191 8" xfId="42392"/>
    <cellStyle name="Обычный 5 184 8" xfId="42393"/>
    <cellStyle name="Процентный 5 184 8" xfId="42394"/>
    <cellStyle name="Обычный 4 2 178 8" xfId="42395"/>
    <cellStyle name="Процентный 4 2 178 8" xfId="42396"/>
    <cellStyle name="Обычный 5 2 178 8" xfId="42397"/>
    <cellStyle name="Процентный 5 2 178 8" xfId="42398"/>
    <cellStyle name="Обычный 6 175 8" xfId="42399"/>
    <cellStyle name="Процентный 6 175 8" xfId="42400"/>
    <cellStyle name="Обычный 7 145 8" xfId="42401"/>
    <cellStyle name="Процентный 7 145 8" xfId="42402"/>
    <cellStyle name="Обычный 4 3 137 8" xfId="42403"/>
    <cellStyle name="Процентный 4 3 137 8" xfId="42404"/>
    <cellStyle name="Обычный 5 3 137 8" xfId="42405"/>
    <cellStyle name="Процентный 5 3 137 8" xfId="42406"/>
    <cellStyle name="Обычный 4 2 2 137 8" xfId="42407"/>
    <cellStyle name="Процентный 4 2 2 137 8" xfId="42408"/>
    <cellStyle name="Обычный 5 2 2 137 8" xfId="42409"/>
    <cellStyle name="Процентный 5 2 2 137 8" xfId="42410"/>
    <cellStyle name="Обычный 6 2 137 8" xfId="42411"/>
    <cellStyle name="Процентный 6 2 137 8" xfId="42412"/>
    <cellStyle name="Обычный 7 2 137 8" xfId="42413"/>
    <cellStyle name="Процентный 7 2 137 8" xfId="42414"/>
    <cellStyle name="Обычный 8 133 8" xfId="42415"/>
    <cellStyle name="Процентный 8 133 8" xfId="42416"/>
    <cellStyle name="Обычный 9 99 8" xfId="42417"/>
    <cellStyle name="Процентный 9 100 8" xfId="42418"/>
    <cellStyle name="Обычный 10 92 8" xfId="42419"/>
    <cellStyle name="Процентный 10 92 8" xfId="42420"/>
    <cellStyle name="Обычный 11 80 8" xfId="42421"/>
    <cellStyle name="Процентный 11 80 8" xfId="42422"/>
    <cellStyle name="Обычный 4 192 8" xfId="42423"/>
    <cellStyle name="Процентный 4 192 8" xfId="42424"/>
    <cellStyle name="Обычный 5 185 8" xfId="42425"/>
    <cellStyle name="Процентный 5 185 8" xfId="42426"/>
    <cellStyle name="Обычный 4 2 179 8" xfId="42427"/>
    <cellStyle name="Процентный 4 2 179 8" xfId="42428"/>
    <cellStyle name="Обычный 5 2 179 8" xfId="42429"/>
    <cellStyle name="Процентный 5 2 179 8" xfId="42430"/>
    <cellStyle name="Обычный 6 176 8" xfId="42431"/>
    <cellStyle name="Процентный 6 176 8" xfId="42432"/>
    <cellStyle name="Обычный 7 146 8" xfId="42433"/>
    <cellStyle name="Процентный 7 146 8" xfId="42434"/>
    <cellStyle name="Обычный 4 3 138 8" xfId="42435"/>
    <cellStyle name="Процентный 4 3 138 8" xfId="42436"/>
    <cellStyle name="Обычный 5 3 138 8" xfId="42437"/>
    <cellStyle name="Процентный 5 3 138 8" xfId="42438"/>
    <cellStyle name="Обычный 4 2 2 138 8" xfId="42439"/>
    <cellStyle name="Процентный 4 2 2 138 8" xfId="42440"/>
    <cellStyle name="Обычный 5 2 2 138 8" xfId="42441"/>
    <cellStyle name="Процентный 5 2 2 138 8" xfId="42442"/>
    <cellStyle name="Обычный 6 2 138 8" xfId="42443"/>
    <cellStyle name="Процентный 6 2 138 8" xfId="42444"/>
    <cellStyle name="Обычный 7 2 138 8" xfId="42445"/>
    <cellStyle name="Процентный 7 2 138 8" xfId="42446"/>
    <cellStyle name="Обычный 8 134 8" xfId="42447"/>
    <cellStyle name="Процентный 8 134 8" xfId="42448"/>
    <cellStyle name="Обычный 9 100 8" xfId="42449"/>
    <cellStyle name="Процентный 9 101 8" xfId="42450"/>
    <cellStyle name="Обычный 10 93 8" xfId="42451"/>
    <cellStyle name="Процентный 10 93 8" xfId="42452"/>
    <cellStyle name="Обычный 11 81 8" xfId="42453"/>
    <cellStyle name="Процентный 11 81 8" xfId="42454"/>
    <cellStyle name="Обычный 4 193 8" xfId="42455"/>
    <cellStyle name="Процентный 4 193 8" xfId="42456"/>
    <cellStyle name="Обычный 5 186 8" xfId="42457"/>
    <cellStyle name="Процентный 5 186 8" xfId="42458"/>
    <cellStyle name="Обычный 4 2 180 8" xfId="42459"/>
    <cellStyle name="Процентный 4 2 180 8" xfId="42460"/>
    <cellStyle name="Обычный 5 2 180 8" xfId="42461"/>
    <cellStyle name="Процентный 5 2 180 8" xfId="42462"/>
    <cellStyle name="Обычный 6 177 8" xfId="42463"/>
    <cellStyle name="Процентный 6 177 8" xfId="42464"/>
    <cellStyle name="Обычный 7 147 8" xfId="42465"/>
    <cellStyle name="Процентный 7 147 8" xfId="42466"/>
    <cellStyle name="Обычный 4 3 139 8" xfId="42467"/>
    <cellStyle name="Процентный 4 3 139 8" xfId="42468"/>
    <cellStyle name="Обычный 5 3 139 8" xfId="42469"/>
    <cellStyle name="Процентный 5 3 139 8" xfId="42470"/>
    <cellStyle name="Обычный 4 2 2 139 8" xfId="42471"/>
    <cellStyle name="Процентный 4 2 2 139 8" xfId="42472"/>
    <cellStyle name="Обычный 5 2 2 139 8" xfId="42473"/>
    <cellStyle name="Процентный 5 2 2 139 8" xfId="42474"/>
    <cellStyle name="Обычный 6 2 139 8" xfId="42475"/>
    <cellStyle name="Процентный 6 2 139 8" xfId="42476"/>
    <cellStyle name="Обычный 7 2 139 8" xfId="42477"/>
    <cellStyle name="Процентный 7 2 139 8" xfId="42478"/>
    <cellStyle name="Обычный 8 135 8" xfId="42479"/>
    <cellStyle name="Процентный 8 135 8" xfId="42480"/>
    <cellStyle name="Обычный 9 101 8" xfId="42481"/>
    <cellStyle name="Процентный 9 102 8" xfId="42482"/>
    <cellStyle name="Обычный 10 94 8" xfId="42483"/>
    <cellStyle name="Процентный 10 94 8" xfId="42484"/>
    <cellStyle name="Обычный 11 82 8" xfId="42485"/>
    <cellStyle name="Процентный 11 82 8" xfId="42486"/>
    <cellStyle name="Обычный 4 194 8" xfId="42487"/>
    <cellStyle name="Процентный 4 194 8" xfId="42488"/>
    <cellStyle name="Обычный 5 187 8" xfId="42489"/>
    <cellStyle name="Процентный 5 187 8" xfId="42490"/>
    <cellStyle name="Обычный 4 2 181 8" xfId="42491"/>
    <cellStyle name="Процентный 4 2 181 8" xfId="42492"/>
    <cellStyle name="Обычный 5 2 181 8" xfId="42493"/>
    <cellStyle name="Процентный 5 2 181 8" xfId="42494"/>
    <cellStyle name="Обычный 6 178 8" xfId="42495"/>
    <cellStyle name="Процентный 6 178 8" xfId="42496"/>
    <cellStyle name="Обычный 7 148 8" xfId="42497"/>
    <cellStyle name="Процентный 7 148 8" xfId="42498"/>
    <cellStyle name="Обычный 4 3 140 8" xfId="42499"/>
    <cellStyle name="Процентный 4 3 140 8" xfId="42500"/>
    <cellStyle name="Обычный 5 3 140 8" xfId="42501"/>
    <cellStyle name="Процентный 5 3 140 8" xfId="42502"/>
    <cellStyle name="Обычный 4 2 2 140 8" xfId="42503"/>
    <cellStyle name="Процентный 4 2 2 140 8" xfId="42504"/>
    <cellStyle name="Обычный 5 2 2 140 8" xfId="42505"/>
    <cellStyle name="Процентный 5 2 2 140 8" xfId="42506"/>
    <cellStyle name="Обычный 6 2 140 8" xfId="42507"/>
    <cellStyle name="Процентный 6 2 140 8" xfId="42508"/>
    <cellStyle name="Обычный 7 2 140 8" xfId="42509"/>
    <cellStyle name="Процентный 7 2 140 8" xfId="42510"/>
    <cellStyle name="Обычный 8 136 8" xfId="42511"/>
    <cellStyle name="Процентный 8 136 8" xfId="42512"/>
    <cellStyle name="Обычный 9 102 8" xfId="42513"/>
    <cellStyle name="Процентный 9 103 8" xfId="42514"/>
    <cellStyle name="Обычный 10 95 8" xfId="42515"/>
    <cellStyle name="Процентный 10 95 8" xfId="42516"/>
    <cellStyle name="Обычный 11 83 8" xfId="42517"/>
    <cellStyle name="Процентный 11 83 8" xfId="42518"/>
    <cellStyle name="Обычный 4 195 8" xfId="42519"/>
    <cellStyle name="Процентный 4 195 8" xfId="42520"/>
    <cellStyle name="Обычный 5 188 8" xfId="42521"/>
    <cellStyle name="Процентный 5 188 8" xfId="42522"/>
    <cellStyle name="Обычный 4 2 182 8" xfId="42523"/>
    <cellStyle name="Процентный 4 2 182 8" xfId="42524"/>
    <cellStyle name="Обычный 5 2 182 8" xfId="42525"/>
    <cellStyle name="Процентный 5 2 182 8" xfId="42526"/>
    <cellStyle name="Обычный 6 179 8" xfId="42527"/>
    <cellStyle name="Процентный 6 179 8" xfId="42528"/>
    <cellStyle name="Обычный 7 149 8" xfId="42529"/>
    <cellStyle name="Процентный 7 149 8" xfId="42530"/>
    <cellStyle name="Обычный 4 3 141 8" xfId="42531"/>
    <cellStyle name="Процентный 4 3 141 8" xfId="42532"/>
    <cellStyle name="Обычный 5 3 141 8" xfId="42533"/>
    <cellStyle name="Процентный 5 3 141 8" xfId="42534"/>
    <cellStyle name="Обычный 4 2 2 141 8" xfId="42535"/>
    <cellStyle name="Процентный 4 2 2 141 8" xfId="42536"/>
    <cellStyle name="Обычный 5 2 2 141 8" xfId="42537"/>
    <cellStyle name="Процентный 5 2 2 141 8" xfId="42538"/>
    <cellStyle name="Обычный 6 2 141 8" xfId="42539"/>
    <cellStyle name="Процентный 6 2 141 8" xfId="42540"/>
    <cellStyle name="Обычный 7 2 141 8" xfId="42541"/>
    <cellStyle name="Процентный 7 2 141 8" xfId="42542"/>
    <cellStyle name="Обычный 8 137 8" xfId="42543"/>
    <cellStyle name="Процентный 8 137 8" xfId="42544"/>
    <cellStyle name="Обычный 9 103 8" xfId="42545"/>
    <cellStyle name="Процентный 9 104 8" xfId="42546"/>
    <cellStyle name="Обычный 10 96 8" xfId="42547"/>
    <cellStyle name="Процентный 10 96 8" xfId="42548"/>
    <cellStyle name="Обычный 11 84 8" xfId="42549"/>
    <cellStyle name="Процентный 11 84 8" xfId="42550"/>
    <cellStyle name="Обычный 4 196 8" xfId="42551"/>
    <cellStyle name="Процентный 4 196 8" xfId="42552"/>
    <cellStyle name="Обычный 5 189 8" xfId="42553"/>
    <cellStyle name="Процентный 5 189 8" xfId="42554"/>
    <cellStyle name="Обычный 4 2 183 8" xfId="42555"/>
    <cellStyle name="Процентный 4 2 183 8" xfId="42556"/>
    <cellStyle name="Обычный 5 2 183 8" xfId="42557"/>
    <cellStyle name="Процентный 5 2 183 8" xfId="42558"/>
    <cellStyle name="Обычный 6 180 8" xfId="42559"/>
    <cellStyle name="Процентный 6 180 8" xfId="42560"/>
    <cellStyle name="Обычный 7 150 8" xfId="42561"/>
    <cellStyle name="Процентный 7 150 8" xfId="42562"/>
    <cellStyle name="Обычный 4 3 142 8" xfId="42563"/>
    <cellStyle name="Процентный 4 3 142 8" xfId="42564"/>
    <cellStyle name="Обычный 5 3 142 8" xfId="42565"/>
    <cellStyle name="Процентный 5 3 142 8" xfId="42566"/>
    <cellStyle name="Обычный 4 2 2 142 8" xfId="42567"/>
    <cellStyle name="Процентный 4 2 2 142 8" xfId="42568"/>
    <cellStyle name="Обычный 5 2 2 142 8" xfId="42569"/>
    <cellStyle name="Процентный 5 2 2 142 8" xfId="42570"/>
    <cellStyle name="Обычный 6 2 142 8" xfId="42571"/>
    <cellStyle name="Процентный 6 2 142 8" xfId="42572"/>
    <cellStyle name="Обычный 7 2 142 8" xfId="42573"/>
    <cellStyle name="Процентный 7 2 142 8" xfId="42574"/>
    <cellStyle name="Обычный 8 138 8" xfId="42575"/>
    <cellStyle name="Процентный 8 138 8" xfId="42576"/>
    <cellStyle name="Обычный 9 104 8" xfId="42577"/>
    <cellStyle name="Процентный 9 105 8" xfId="42578"/>
    <cellStyle name="Обычный 10 97 8" xfId="42579"/>
    <cellStyle name="Процентный 10 97 8" xfId="42580"/>
    <cellStyle name="Обычный 11 85 8" xfId="42581"/>
    <cellStyle name="Процентный 11 85 8" xfId="42582"/>
    <cellStyle name="Обычный 4 197 8" xfId="42583"/>
    <cellStyle name="Процентный 4 197 8" xfId="42584"/>
    <cellStyle name="Обычный 5 190 8" xfId="42585"/>
    <cellStyle name="Процентный 5 190 8" xfId="42586"/>
    <cellStyle name="Обычный 4 2 184 8" xfId="42587"/>
    <cellStyle name="Процентный 4 2 184 8" xfId="42588"/>
    <cellStyle name="Обычный 5 2 184 8" xfId="42589"/>
    <cellStyle name="Процентный 5 2 184 8" xfId="42590"/>
    <cellStyle name="Обычный 6 181 8" xfId="42591"/>
    <cellStyle name="Процентный 6 181 8" xfId="42592"/>
    <cellStyle name="Обычный 7 151 8" xfId="42593"/>
    <cellStyle name="Процентный 7 151 8" xfId="42594"/>
    <cellStyle name="Обычный 4 3 143 8" xfId="42595"/>
    <cellStyle name="Процентный 4 3 143 8" xfId="42596"/>
    <cellStyle name="Обычный 5 3 143 8" xfId="42597"/>
    <cellStyle name="Процентный 5 3 143 8" xfId="42598"/>
    <cellStyle name="Обычный 4 2 2 143 8" xfId="42599"/>
    <cellStyle name="Процентный 4 2 2 143 8" xfId="42600"/>
    <cellStyle name="Обычный 5 2 2 143 8" xfId="42601"/>
    <cellStyle name="Процентный 5 2 2 143 8" xfId="42602"/>
    <cellStyle name="Обычный 6 2 143 8" xfId="42603"/>
    <cellStyle name="Процентный 6 2 143 8" xfId="42604"/>
    <cellStyle name="Обычный 7 2 143 8" xfId="42605"/>
    <cellStyle name="Процентный 7 2 143 8" xfId="42606"/>
    <cellStyle name="Обычный 8 139 8" xfId="42607"/>
    <cellStyle name="Процентный 8 139 8" xfId="42608"/>
    <cellStyle name="Обычный 9 105 8" xfId="42609"/>
    <cellStyle name="Процентный 9 106 8" xfId="42610"/>
    <cellStyle name="Обычный 10 98 8" xfId="42611"/>
    <cellStyle name="Процентный 10 98 8" xfId="42612"/>
    <cellStyle name="Обычный 11 86 8" xfId="42613"/>
    <cellStyle name="Процентный 11 86 8" xfId="42614"/>
    <cellStyle name="Обычный 4 198 8" xfId="42615"/>
    <cellStyle name="Процентный 4 198 8" xfId="42616"/>
    <cellStyle name="Обычный 5 191 8" xfId="42617"/>
    <cellStyle name="Процентный 5 191 8" xfId="42618"/>
    <cellStyle name="Обычный 4 2 185 8" xfId="42619"/>
    <cellStyle name="Процентный 4 2 185 8" xfId="42620"/>
    <cellStyle name="Обычный 5 2 185 8" xfId="42621"/>
    <cellStyle name="Процентный 5 2 185 8" xfId="42622"/>
    <cellStyle name="Обычный 6 182 8" xfId="42623"/>
    <cellStyle name="Процентный 6 182 8" xfId="42624"/>
    <cellStyle name="Обычный 7 152 8" xfId="42625"/>
    <cellStyle name="Процентный 7 152 8" xfId="42626"/>
    <cellStyle name="Обычный 4 3 144 8" xfId="42627"/>
    <cellStyle name="Процентный 4 3 144 8" xfId="42628"/>
    <cellStyle name="Обычный 5 3 144 8" xfId="42629"/>
    <cellStyle name="Процентный 5 3 144 8" xfId="42630"/>
    <cellStyle name="Обычный 4 2 2 144 8" xfId="42631"/>
    <cellStyle name="Процентный 4 2 2 144 8" xfId="42632"/>
    <cellStyle name="Обычный 5 2 2 144 8" xfId="42633"/>
    <cellStyle name="Процентный 5 2 2 144 8" xfId="42634"/>
    <cellStyle name="Обычный 6 2 144 8" xfId="42635"/>
    <cellStyle name="Процентный 6 2 144 8" xfId="42636"/>
    <cellStyle name="Обычный 7 2 144 8" xfId="42637"/>
    <cellStyle name="Процентный 7 2 144 8" xfId="42638"/>
    <cellStyle name="Обычный 8 140 8" xfId="42639"/>
    <cellStyle name="Процентный 8 140 8" xfId="42640"/>
    <cellStyle name="Обычный 9 106 8" xfId="42641"/>
    <cellStyle name="Процентный 9 107 8" xfId="42642"/>
    <cellStyle name="Обычный 10 99 8" xfId="42643"/>
    <cellStyle name="Процентный 10 99 8" xfId="42644"/>
    <cellStyle name="Обычный 11 87 8" xfId="42645"/>
    <cellStyle name="Процентный 11 87 8" xfId="42646"/>
    <cellStyle name="Обычный 4 199 8" xfId="42647"/>
    <cellStyle name="Процентный 4 199 8" xfId="42648"/>
    <cellStyle name="Обычный 5 192 8" xfId="42649"/>
    <cellStyle name="Процентный 5 192 8" xfId="42650"/>
    <cellStyle name="Обычный 4 2 186 8" xfId="42651"/>
    <cellStyle name="Процентный 4 2 186 8" xfId="42652"/>
    <cellStyle name="Обычный 5 2 186 8" xfId="42653"/>
    <cellStyle name="Процентный 5 2 186 8" xfId="42654"/>
    <cellStyle name="Обычный 6 183 8" xfId="42655"/>
    <cellStyle name="Процентный 6 183 8" xfId="42656"/>
    <cellStyle name="Обычный 7 153 8" xfId="42657"/>
    <cellStyle name="Процентный 7 153 8" xfId="42658"/>
    <cellStyle name="Обычный 4 3 145 8" xfId="42659"/>
    <cellStyle name="Процентный 4 3 145 8" xfId="42660"/>
    <cellStyle name="Обычный 5 3 145 8" xfId="42661"/>
    <cellStyle name="Процентный 5 3 145 8" xfId="42662"/>
    <cellStyle name="Обычный 4 2 2 145 8" xfId="42663"/>
    <cellStyle name="Процентный 4 2 2 145 8" xfId="42664"/>
    <cellStyle name="Обычный 5 2 2 145 8" xfId="42665"/>
    <cellStyle name="Процентный 5 2 2 145 8" xfId="42666"/>
    <cellStyle name="Обычный 6 2 145 8" xfId="42667"/>
    <cellStyle name="Процентный 6 2 145 8" xfId="42668"/>
    <cellStyle name="Обычный 7 2 145 8" xfId="42669"/>
    <cellStyle name="Процентный 7 2 145 8" xfId="42670"/>
    <cellStyle name="Обычный 8 141 8" xfId="42671"/>
    <cellStyle name="Процентный 8 141 8" xfId="42672"/>
    <cellStyle name="Обычный 9 107 8" xfId="42673"/>
    <cellStyle name="Процентный 9 108 8" xfId="42674"/>
    <cellStyle name="Обычный 10 100 8" xfId="42675"/>
    <cellStyle name="Процентный 10 100 8" xfId="42676"/>
    <cellStyle name="Обычный 11 88 8" xfId="42677"/>
    <cellStyle name="Процентный 11 88 8" xfId="42678"/>
    <cellStyle name="Обычный 4 200 8" xfId="42679"/>
    <cellStyle name="Процентный 4 200 8" xfId="42680"/>
    <cellStyle name="Обычный 5 193 8" xfId="42681"/>
    <cellStyle name="Процентный 5 193 8" xfId="42682"/>
    <cellStyle name="Обычный 4 2 187 8" xfId="42683"/>
    <cellStyle name="Процентный 4 2 187 8" xfId="42684"/>
    <cellStyle name="Обычный 5 2 187 8" xfId="42685"/>
    <cellStyle name="Процентный 5 2 187 8" xfId="42686"/>
    <cellStyle name="Обычный 6 184 8" xfId="42687"/>
    <cellStyle name="Процентный 6 184 8" xfId="42688"/>
    <cellStyle name="Обычный 7 154 8" xfId="42689"/>
    <cellStyle name="Процентный 7 154 8" xfId="42690"/>
    <cellStyle name="Обычный 4 3 146 8" xfId="42691"/>
    <cellStyle name="Процентный 4 3 146 8" xfId="42692"/>
    <cellStyle name="Обычный 5 3 146 8" xfId="42693"/>
    <cellStyle name="Процентный 5 3 146 8" xfId="42694"/>
    <cellStyle name="Обычный 4 2 2 146 8" xfId="42695"/>
    <cellStyle name="Процентный 4 2 2 146 8" xfId="42696"/>
    <cellStyle name="Обычный 5 2 2 146 8" xfId="42697"/>
    <cellStyle name="Процентный 5 2 2 146 8" xfId="42698"/>
    <cellStyle name="Обычный 6 2 146 8" xfId="42699"/>
    <cellStyle name="Процентный 6 2 146 8" xfId="42700"/>
    <cellStyle name="Обычный 7 2 146 8" xfId="42701"/>
    <cellStyle name="Процентный 7 2 146 8" xfId="42702"/>
    <cellStyle name="Обычный 8 142 8" xfId="42703"/>
    <cellStyle name="Процентный 8 142 8" xfId="42704"/>
    <cellStyle name="Обычный 9 108 8" xfId="42705"/>
    <cellStyle name="Процентный 9 109 8" xfId="42706"/>
    <cellStyle name="Обычный 10 101 8" xfId="42707"/>
    <cellStyle name="Процентный 10 101 8" xfId="42708"/>
    <cellStyle name="Обычный 11 89 8" xfId="42709"/>
    <cellStyle name="Процентный 11 89 8" xfId="42710"/>
    <cellStyle name="Обычный 4 201 8" xfId="42711"/>
    <cellStyle name="Процентный 4 201 8" xfId="42712"/>
    <cellStyle name="Обычный 5 194 8" xfId="42713"/>
    <cellStyle name="Процентный 5 194 8" xfId="42714"/>
    <cellStyle name="Обычный 4 2 188 8" xfId="42715"/>
    <cellStyle name="Процентный 4 2 188 8" xfId="42716"/>
    <cellStyle name="Обычный 5 2 188 8" xfId="42717"/>
    <cellStyle name="Процентный 5 2 188 8" xfId="42718"/>
    <cellStyle name="Обычный 6 185 8" xfId="42719"/>
    <cellStyle name="Процентный 6 185 8" xfId="42720"/>
    <cellStyle name="Обычный 7 155 8" xfId="42721"/>
    <cellStyle name="Процентный 7 155 8" xfId="42722"/>
    <cellStyle name="Обычный 4 3 147 8" xfId="42723"/>
    <cellStyle name="Процентный 4 3 147 8" xfId="42724"/>
    <cellStyle name="Обычный 5 3 147 8" xfId="42725"/>
    <cellStyle name="Процентный 5 3 147 8" xfId="42726"/>
    <cellStyle name="Обычный 4 2 2 147 8" xfId="42727"/>
    <cellStyle name="Процентный 4 2 2 147 8" xfId="42728"/>
    <cellStyle name="Обычный 5 2 2 147 8" xfId="42729"/>
    <cellStyle name="Процентный 5 2 2 147 8" xfId="42730"/>
    <cellStyle name="Обычный 6 2 147 8" xfId="42731"/>
    <cellStyle name="Процентный 6 2 147 8" xfId="42732"/>
    <cellStyle name="Обычный 7 2 147 8" xfId="42733"/>
    <cellStyle name="Процентный 7 2 147 8" xfId="42734"/>
    <cellStyle name="Обычный 8 143 8" xfId="42735"/>
    <cellStyle name="Процентный 8 143 8" xfId="42736"/>
    <cellStyle name="Обычный 9 109 8" xfId="42737"/>
    <cellStyle name="Процентный 9 110 8" xfId="42738"/>
    <cellStyle name="Обычный 10 102 8" xfId="42739"/>
    <cellStyle name="Процентный 10 102 8" xfId="42740"/>
    <cellStyle name="Обычный 11 90 8" xfId="42741"/>
    <cellStyle name="Процентный 11 90 8" xfId="42742"/>
    <cellStyle name="Обычный 4 202 8" xfId="42743"/>
    <cellStyle name="Процентный 4 202 8" xfId="42744"/>
    <cellStyle name="Обычный 5 195 8" xfId="42745"/>
    <cellStyle name="Процентный 5 195 8" xfId="42746"/>
    <cellStyle name="Обычный 4 2 189 8" xfId="42747"/>
    <cellStyle name="Процентный 4 2 189 8" xfId="42748"/>
    <cellStyle name="Обычный 5 2 189 8" xfId="42749"/>
    <cellStyle name="Процентный 5 2 189 8" xfId="42750"/>
    <cellStyle name="Обычный 6 186 8" xfId="42751"/>
    <cellStyle name="Процентный 6 186 8" xfId="42752"/>
    <cellStyle name="Обычный 7 156 8" xfId="42753"/>
    <cellStyle name="Процентный 7 156 8" xfId="42754"/>
    <cellStyle name="Обычный 4 3 148 8" xfId="42755"/>
    <cellStyle name="Процентный 4 3 148 8" xfId="42756"/>
    <cellStyle name="Обычный 5 3 148 8" xfId="42757"/>
    <cellStyle name="Процентный 5 3 148 8" xfId="42758"/>
    <cellStyle name="Обычный 4 2 2 148 8" xfId="42759"/>
    <cellStyle name="Процентный 4 2 2 148 8" xfId="42760"/>
    <cellStyle name="Обычный 5 2 2 148 8" xfId="42761"/>
    <cellStyle name="Процентный 5 2 2 148 8" xfId="42762"/>
    <cellStyle name="Обычный 6 2 148 8" xfId="42763"/>
    <cellStyle name="Процентный 6 2 148 8" xfId="42764"/>
    <cellStyle name="Обычный 7 2 148 8" xfId="42765"/>
    <cellStyle name="Процентный 7 2 148 8" xfId="42766"/>
    <cellStyle name="Обычный 8 144 8" xfId="42767"/>
    <cellStyle name="Процентный 8 144 8" xfId="42768"/>
    <cellStyle name="Обычный 9 110 8" xfId="42769"/>
    <cellStyle name="Процентный 9 111 8" xfId="42770"/>
    <cellStyle name="Обычный 10 103 8" xfId="42771"/>
    <cellStyle name="Процентный 10 103 8" xfId="42772"/>
    <cellStyle name="Обычный 11 91 8" xfId="42773"/>
    <cellStyle name="Процентный 11 91 8" xfId="42774"/>
    <cellStyle name="Обычный 3 11" xfId="42775"/>
    <cellStyle name="Обычный 4 210" xfId="42776"/>
    <cellStyle name="Процентный 4 210" xfId="42777"/>
    <cellStyle name="Обычный 4 2 197" xfId="42778"/>
    <cellStyle name="Процентный 4 2 197" xfId="42779"/>
    <cellStyle name="Обычный 4 3 156" xfId="42780"/>
    <cellStyle name="Процентный 4 3 156" xfId="42781"/>
    <cellStyle name="Обычный 5 203" xfId="42782"/>
    <cellStyle name="Процентный 5 203" xfId="42783"/>
    <cellStyle name="Обычный 4 4 10" xfId="42784"/>
    <cellStyle name="Процентный 4 4 10" xfId="42785"/>
    <cellStyle name="Обычный 4 5 10" xfId="42786"/>
    <cellStyle name="Процентный 4 5 10" xfId="42787"/>
    <cellStyle name="Обычный 4 6 10" xfId="42788"/>
    <cellStyle name="Процентный 4 6 10" xfId="42789"/>
    <cellStyle name="Обычный 4 7 10" xfId="42790"/>
    <cellStyle name="Процентный 4 7 10" xfId="42791"/>
    <cellStyle name="Обычный 4 8 10" xfId="42792"/>
    <cellStyle name="Процентный 4 8 10" xfId="42793"/>
    <cellStyle name="Обычный 4 9 10" xfId="42794"/>
    <cellStyle name="Процентный 4 9 10" xfId="42795"/>
    <cellStyle name="Обычный 5 2 197" xfId="42796"/>
    <cellStyle name="Процентный 5 2 197" xfId="42797"/>
    <cellStyle name="Обычный 4 10 10" xfId="42798"/>
    <cellStyle name="Процентный 4 10 10" xfId="42799"/>
    <cellStyle name="Обычный 5 3 156" xfId="42800"/>
    <cellStyle name="Процентный 5 3 156" xfId="42801"/>
    <cellStyle name="Обычный 4 11 10" xfId="42802"/>
    <cellStyle name="Процентный 4 11 10" xfId="42803"/>
    <cellStyle name="Обычный 5 4 10" xfId="42804"/>
    <cellStyle name="Процентный 5 4 10" xfId="42805"/>
    <cellStyle name="Обычный 4 12 10" xfId="42806"/>
    <cellStyle name="Процентный 4 12 10" xfId="42807"/>
    <cellStyle name="Обычный 5 5 10" xfId="42808"/>
    <cellStyle name="Процентный 5 5 10" xfId="42809"/>
    <cellStyle name="Обычный 4 13 10" xfId="42810"/>
    <cellStyle name="Процентный 4 13 10" xfId="42811"/>
    <cellStyle name="Обычный 5 6 10" xfId="42812"/>
    <cellStyle name="Процентный 5 6 10" xfId="42813"/>
    <cellStyle name="Обычный 4 14 10" xfId="42814"/>
    <cellStyle name="Процентный 4 14 10" xfId="42815"/>
    <cellStyle name="Обычный 5 7 10" xfId="42816"/>
    <cellStyle name="Процентный 5 7 10" xfId="42817"/>
    <cellStyle name="Обычный 4 15 10" xfId="42818"/>
    <cellStyle name="Процентный 4 15 10" xfId="42819"/>
    <cellStyle name="Обычный 5 8 10" xfId="42820"/>
    <cellStyle name="Процентный 5 8 10" xfId="42821"/>
    <cellStyle name="Обычный 4 2 2 156" xfId="42822"/>
    <cellStyle name="Процентный 4 2 2 156" xfId="42823"/>
    <cellStyle name="Обычный 5 2 2 156" xfId="42824"/>
    <cellStyle name="Процентный 5 2 2 156" xfId="42825"/>
    <cellStyle name="Обычный 4 16 10" xfId="42826"/>
    <cellStyle name="Процентный 4 16 10" xfId="42827"/>
    <cellStyle name="Обычный 5 9 10" xfId="42828"/>
    <cellStyle name="Процентный 5 9 10" xfId="42829"/>
    <cellStyle name="Обычный 4 2 3 10" xfId="42830"/>
    <cellStyle name="Процентный 4 2 3 10" xfId="42831"/>
    <cellStyle name="Обычный 5 2 3 10" xfId="42832"/>
    <cellStyle name="Процентный 5 2 3 10" xfId="42833"/>
    <cellStyle name="Обычный 4 17 10" xfId="42834"/>
    <cellStyle name="Процентный 4 17 10" xfId="42835"/>
    <cellStyle name="Обычный 5 10 10" xfId="42836"/>
    <cellStyle name="Процентный 5 10 10" xfId="42837"/>
    <cellStyle name="Обычный 4 2 4 10" xfId="42838"/>
    <cellStyle name="Процентный 4 2 4 10" xfId="42839"/>
    <cellStyle name="Обычный 5 2 4 10" xfId="42840"/>
    <cellStyle name="Процентный 5 2 4 10" xfId="42841"/>
    <cellStyle name="Обычный 6 194" xfId="42842"/>
    <cellStyle name="Процентный 6 194" xfId="42843"/>
    <cellStyle name="Обычный 4 18 10" xfId="42844"/>
    <cellStyle name="Процентный 4 18 10" xfId="42845"/>
    <cellStyle name="Обычный 5 11 10" xfId="42846"/>
    <cellStyle name="Процентный 5 11 10" xfId="42847"/>
    <cellStyle name="Обычный 4 2 5 10" xfId="42848"/>
    <cellStyle name="Процентный 4 2 5 10" xfId="42849"/>
    <cellStyle name="Обычный 5 2 5 10" xfId="42850"/>
    <cellStyle name="Процентный 5 2 5 10" xfId="42851"/>
    <cellStyle name="Обычный 6 2 156" xfId="42852"/>
    <cellStyle name="Процентный 6 2 156" xfId="42853"/>
    <cellStyle name="Обычный 4 19 10" xfId="42854"/>
    <cellStyle name="Процентный 4 19 10" xfId="42855"/>
    <cellStyle name="Обычный 5 12 10" xfId="42856"/>
    <cellStyle name="Процентный 5 12 10" xfId="42857"/>
    <cellStyle name="Обычный 4 2 6 10" xfId="42858"/>
    <cellStyle name="Процентный 4 2 6 10" xfId="42859"/>
    <cellStyle name="Обычный 5 2 6 10" xfId="42860"/>
    <cellStyle name="Процентный 5 2 6 10" xfId="42861"/>
    <cellStyle name="Обычный 6 3 10" xfId="42862"/>
    <cellStyle name="Процентный 6 3 10" xfId="42863"/>
    <cellStyle name="Обычный 4 20 10" xfId="42864"/>
    <cellStyle name="Процентный 4 20 10" xfId="42865"/>
    <cellStyle name="Обычный 5 13 10" xfId="42866"/>
    <cellStyle name="Процентный 5 13 10" xfId="42867"/>
    <cellStyle name="Обычный 4 2 7 10" xfId="42868"/>
    <cellStyle name="Процентный 4 2 7 10" xfId="42869"/>
    <cellStyle name="Обычный 5 2 7 10" xfId="42870"/>
    <cellStyle name="Процентный 5 2 7 10" xfId="42871"/>
    <cellStyle name="Обычный 6 4 10" xfId="42872"/>
    <cellStyle name="Процентный 6 4 10" xfId="42873"/>
    <cellStyle name="Обычный 4 21 10" xfId="42874"/>
    <cellStyle name="Процентный 4 21 10" xfId="42875"/>
    <cellStyle name="Обычный 5 14 10" xfId="42876"/>
    <cellStyle name="Процентный 5 14 10" xfId="42877"/>
    <cellStyle name="Обычный 4 2 8 10" xfId="42878"/>
    <cellStyle name="Процентный 4 2 8 10" xfId="42879"/>
    <cellStyle name="Обычный 5 2 8 10" xfId="42880"/>
    <cellStyle name="Процентный 5 2 8 10" xfId="42881"/>
    <cellStyle name="Обычный 6 5 10" xfId="42882"/>
    <cellStyle name="Процентный 6 5 10" xfId="42883"/>
    <cellStyle name="Обычный 4 22 10" xfId="42884"/>
    <cellStyle name="Процентный 4 22 10" xfId="42885"/>
    <cellStyle name="Обычный 5 15 10" xfId="42886"/>
    <cellStyle name="Процентный 5 15 10" xfId="42887"/>
    <cellStyle name="Обычный 4 2 9 10" xfId="42888"/>
    <cellStyle name="Процентный 4 2 9 10" xfId="42889"/>
    <cellStyle name="Обычный 5 2 9 10" xfId="42890"/>
    <cellStyle name="Процентный 5 2 9 10" xfId="42891"/>
    <cellStyle name="Обычный 6 6 10" xfId="42892"/>
    <cellStyle name="Процентный 6 6 10" xfId="42893"/>
    <cellStyle name="Обычный 4 23 10" xfId="42894"/>
    <cellStyle name="Процентный 4 23 10" xfId="42895"/>
    <cellStyle name="Обычный 5 16 10" xfId="42896"/>
    <cellStyle name="Процентный 5 16 10" xfId="42897"/>
    <cellStyle name="Обычный 4 2 10 10" xfId="42898"/>
    <cellStyle name="Процентный 4 2 10 10" xfId="42899"/>
    <cellStyle name="Обычный 5 2 10 10" xfId="42900"/>
    <cellStyle name="Процентный 5 2 10 10" xfId="42901"/>
    <cellStyle name="Обычный 6 7 10" xfId="42902"/>
    <cellStyle name="Процентный 6 7 10" xfId="42903"/>
    <cellStyle name="Обычный 4 24 10" xfId="42904"/>
    <cellStyle name="Процентный 4 24 10" xfId="42905"/>
    <cellStyle name="Обычный 5 17 10" xfId="42906"/>
    <cellStyle name="Процентный 5 17 10" xfId="42907"/>
    <cellStyle name="Обычный 4 2 11 10" xfId="42908"/>
    <cellStyle name="Процентный 4 2 11 10" xfId="42909"/>
    <cellStyle name="Обычный 5 2 11 10" xfId="42910"/>
    <cellStyle name="Процентный 5 2 11 10" xfId="42911"/>
    <cellStyle name="Обычный 6 8 10" xfId="42912"/>
    <cellStyle name="Процентный 6 8 10" xfId="42913"/>
    <cellStyle name="Обычный 4 25 10" xfId="42914"/>
    <cellStyle name="Процентный 4 25 10" xfId="42915"/>
    <cellStyle name="Обычный 5 18 10" xfId="42916"/>
    <cellStyle name="Процентный 5 18 10" xfId="42917"/>
    <cellStyle name="Обычный 4 2 12 10" xfId="42918"/>
    <cellStyle name="Процентный 4 2 12 10" xfId="42919"/>
    <cellStyle name="Обычный 5 2 12 10" xfId="42920"/>
    <cellStyle name="Процентный 5 2 12 10" xfId="42921"/>
    <cellStyle name="Обычный 6 9 10" xfId="42922"/>
    <cellStyle name="Процентный 6 9 10" xfId="42923"/>
    <cellStyle name="Обычный 4 26 10" xfId="42924"/>
    <cellStyle name="Процентный 4 26 10" xfId="42925"/>
    <cellStyle name="Обычный 5 19 10" xfId="42926"/>
    <cellStyle name="Процентный 5 19 10" xfId="42927"/>
    <cellStyle name="Обычный 4 2 13 10" xfId="42928"/>
    <cellStyle name="Процентный 4 2 13 10" xfId="42929"/>
    <cellStyle name="Обычный 5 2 13 10" xfId="42930"/>
    <cellStyle name="Процентный 5 2 13 10" xfId="42931"/>
    <cellStyle name="Обычный 6 10 10" xfId="42932"/>
    <cellStyle name="Процентный 6 10 10" xfId="42933"/>
    <cellStyle name="Обычный 4 27 10" xfId="42934"/>
    <cellStyle name="Процентный 4 27 10" xfId="42935"/>
    <cellStyle name="Обычный 5 20 10" xfId="42936"/>
    <cellStyle name="Процентный 5 20 10" xfId="42937"/>
    <cellStyle name="Обычный 4 2 14 10" xfId="42938"/>
    <cellStyle name="Процентный 4 2 14 10" xfId="42939"/>
    <cellStyle name="Обычный 5 2 14 10" xfId="42940"/>
    <cellStyle name="Процентный 5 2 14 10" xfId="42941"/>
    <cellStyle name="Обычный 6 11 10" xfId="42942"/>
    <cellStyle name="Процентный 6 11 10" xfId="42943"/>
    <cellStyle name="Обычный 4 28 10" xfId="42944"/>
    <cellStyle name="Процентный 4 28 10" xfId="42945"/>
    <cellStyle name="Обычный 5 21 10" xfId="42946"/>
    <cellStyle name="Процентный 5 21 10" xfId="42947"/>
    <cellStyle name="Обычный 4 2 15 10" xfId="42948"/>
    <cellStyle name="Процентный 4 2 15 10" xfId="42949"/>
    <cellStyle name="Обычный 5 2 15 10" xfId="42950"/>
    <cellStyle name="Процентный 5 2 15 10" xfId="42951"/>
    <cellStyle name="Обычный 6 12 10" xfId="42952"/>
    <cellStyle name="Процентный 6 12 10" xfId="42953"/>
    <cellStyle name="Обычный 4 29 10" xfId="42954"/>
    <cellStyle name="Процентный 4 29 10" xfId="42955"/>
    <cellStyle name="Обычный 5 22 10" xfId="42956"/>
    <cellStyle name="Процентный 5 22 10" xfId="42957"/>
    <cellStyle name="Обычный 4 2 16 10" xfId="42958"/>
    <cellStyle name="Процентный 4 2 16 10" xfId="42959"/>
    <cellStyle name="Обычный 5 2 16 10" xfId="42960"/>
    <cellStyle name="Процентный 5 2 16 10" xfId="42961"/>
    <cellStyle name="Обычный 6 13 10" xfId="42962"/>
    <cellStyle name="Процентный 6 13 10" xfId="42963"/>
    <cellStyle name="Обычный 4 30 10" xfId="42964"/>
    <cellStyle name="Процентный 4 30 10" xfId="42965"/>
    <cellStyle name="Обычный 5 23 10" xfId="42966"/>
    <cellStyle name="Процентный 5 23 10" xfId="42967"/>
    <cellStyle name="Обычный 4 2 17 10" xfId="42968"/>
    <cellStyle name="Процентный 4 2 17 10" xfId="42969"/>
    <cellStyle name="Обычный 5 2 17 10" xfId="42970"/>
    <cellStyle name="Процентный 5 2 17 10" xfId="42971"/>
    <cellStyle name="Обычный 6 14 10" xfId="42972"/>
    <cellStyle name="Процентный 6 14 10" xfId="42973"/>
    <cellStyle name="Обычный 4 31 10" xfId="42974"/>
    <cellStyle name="Процентный 4 31 10" xfId="42975"/>
    <cellStyle name="Обычный 5 24 10" xfId="42976"/>
    <cellStyle name="Процентный 5 24 10" xfId="42977"/>
    <cellStyle name="Обычный 4 2 18 10" xfId="42978"/>
    <cellStyle name="Процентный 4 2 18 10" xfId="42979"/>
    <cellStyle name="Обычный 5 2 18 10" xfId="42980"/>
    <cellStyle name="Процентный 5 2 18 10" xfId="42981"/>
    <cellStyle name="Обычный 6 15 10" xfId="42982"/>
    <cellStyle name="Процентный 6 15 10" xfId="42983"/>
    <cellStyle name="Обычный 4 32 10" xfId="42984"/>
    <cellStyle name="Процентный 4 32 10" xfId="42985"/>
    <cellStyle name="Обычный 5 25 10" xfId="42986"/>
    <cellStyle name="Процентный 5 25 10" xfId="42987"/>
    <cellStyle name="Обычный 4 2 19 10" xfId="42988"/>
    <cellStyle name="Процентный 4 2 19 10" xfId="42989"/>
    <cellStyle name="Обычный 5 2 19 10" xfId="42990"/>
    <cellStyle name="Процентный 5 2 19 10" xfId="42991"/>
    <cellStyle name="Обычный 6 16 10" xfId="42992"/>
    <cellStyle name="Процентный 6 16 10" xfId="42993"/>
    <cellStyle name="Обычный 4 33 10" xfId="42994"/>
    <cellStyle name="Процентный 4 33 10" xfId="42995"/>
    <cellStyle name="Обычный 5 26 10" xfId="42996"/>
    <cellStyle name="Процентный 5 26 10" xfId="42997"/>
    <cellStyle name="Обычный 4 2 20 10" xfId="42998"/>
    <cellStyle name="Процентный 4 2 20 10" xfId="42999"/>
    <cellStyle name="Обычный 5 2 20 10" xfId="43000"/>
    <cellStyle name="Процентный 5 2 20 10" xfId="43001"/>
    <cellStyle name="Обычный 6 17 10" xfId="43002"/>
    <cellStyle name="Процентный 6 17 10" xfId="43003"/>
    <cellStyle name="Обычный 4 34 10" xfId="43004"/>
    <cellStyle name="Процентный 4 34 10" xfId="43005"/>
    <cellStyle name="Обычный 5 27 10" xfId="43006"/>
    <cellStyle name="Процентный 5 27 10" xfId="43007"/>
    <cellStyle name="Обычный 4 2 21 10" xfId="43008"/>
    <cellStyle name="Процентный 4 2 21 10" xfId="43009"/>
    <cellStyle name="Обычный 5 2 21 10" xfId="43010"/>
    <cellStyle name="Процентный 5 2 21 10" xfId="43011"/>
    <cellStyle name="Обычный 6 18 10" xfId="43012"/>
    <cellStyle name="Процентный 6 18 10" xfId="43013"/>
    <cellStyle name="Обычный 4 35 10" xfId="43014"/>
    <cellStyle name="Процентный 4 35 10" xfId="43015"/>
    <cellStyle name="Обычный 5 28 10" xfId="43016"/>
    <cellStyle name="Процентный 5 28 10" xfId="43017"/>
    <cellStyle name="Обычный 4 2 22 10" xfId="43018"/>
    <cellStyle name="Процентный 4 2 22 10" xfId="43019"/>
    <cellStyle name="Обычный 5 2 22 10" xfId="43020"/>
    <cellStyle name="Процентный 5 2 22 10" xfId="43021"/>
    <cellStyle name="Обычный 6 19 10" xfId="43022"/>
    <cellStyle name="Процентный 6 19 10" xfId="43023"/>
    <cellStyle name="Обычный 4 36 10" xfId="43024"/>
    <cellStyle name="Процентный 4 36 10" xfId="43025"/>
    <cellStyle name="Обычный 5 29 10" xfId="43026"/>
    <cellStyle name="Процентный 5 29 10" xfId="43027"/>
    <cellStyle name="Обычный 4 2 23 10" xfId="43028"/>
    <cellStyle name="Процентный 4 2 23 10" xfId="43029"/>
    <cellStyle name="Обычный 5 2 23 10" xfId="43030"/>
    <cellStyle name="Процентный 5 2 23 10" xfId="43031"/>
    <cellStyle name="Обычный 6 20 10" xfId="43032"/>
    <cellStyle name="Процентный 6 20 10" xfId="43033"/>
    <cellStyle name="Обычный 4 37 10" xfId="43034"/>
    <cellStyle name="Процентный 4 37 10" xfId="43035"/>
    <cellStyle name="Обычный 5 30 10" xfId="43036"/>
    <cellStyle name="Процентный 5 30 10" xfId="43037"/>
    <cellStyle name="Обычный 4 2 24 10" xfId="43038"/>
    <cellStyle name="Процентный 4 2 24 10" xfId="43039"/>
    <cellStyle name="Обычный 5 2 24 10" xfId="43040"/>
    <cellStyle name="Процентный 5 2 24 10" xfId="43041"/>
    <cellStyle name="Обычный 6 21 10" xfId="43042"/>
    <cellStyle name="Процентный 6 21 10" xfId="43043"/>
    <cellStyle name="Обычный 4 38 10" xfId="43044"/>
    <cellStyle name="Процентный 4 38 10" xfId="43045"/>
    <cellStyle name="Обычный 5 31 10" xfId="43046"/>
    <cellStyle name="Процентный 5 31 10" xfId="43047"/>
    <cellStyle name="Обычный 4 2 25 10" xfId="43048"/>
    <cellStyle name="Процентный 4 2 25 10" xfId="43049"/>
    <cellStyle name="Обычный 5 2 25 10" xfId="43050"/>
    <cellStyle name="Процентный 5 2 25 10" xfId="43051"/>
    <cellStyle name="Обычный 6 22 10" xfId="43052"/>
    <cellStyle name="Процентный 6 22 10" xfId="43053"/>
    <cellStyle name="Обычный 4 39 10" xfId="43054"/>
    <cellStyle name="Процентный 4 39 10" xfId="43055"/>
    <cellStyle name="Обычный 5 32 10" xfId="43056"/>
    <cellStyle name="Процентный 5 32 10" xfId="43057"/>
    <cellStyle name="Обычный 4 2 26 10" xfId="43058"/>
    <cellStyle name="Процентный 4 2 26 10" xfId="43059"/>
    <cellStyle name="Обычный 5 2 26 10" xfId="43060"/>
    <cellStyle name="Процентный 5 2 26 10" xfId="43061"/>
    <cellStyle name="Обычный 6 23 10" xfId="43062"/>
    <cellStyle name="Процентный 6 23 10" xfId="43063"/>
    <cellStyle name="Обычный 4 40 10" xfId="43064"/>
    <cellStyle name="Процентный 4 40 10" xfId="43065"/>
    <cellStyle name="Обычный 5 33 10" xfId="43066"/>
    <cellStyle name="Процентный 5 33 10" xfId="43067"/>
    <cellStyle name="Обычный 4 2 27 10" xfId="43068"/>
    <cellStyle name="Процентный 4 2 27 10" xfId="43069"/>
    <cellStyle name="Обычный 5 2 27 10" xfId="43070"/>
    <cellStyle name="Процентный 5 2 27 10" xfId="43071"/>
    <cellStyle name="Обычный 6 24 10" xfId="43072"/>
    <cellStyle name="Процентный 6 24 10" xfId="43073"/>
    <cellStyle name="Обычный 4 41 10" xfId="43074"/>
    <cellStyle name="Процентный 4 41 10" xfId="43075"/>
    <cellStyle name="Обычный 5 34 10" xfId="43076"/>
    <cellStyle name="Процентный 5 34 10" xfId="43077"/>
    <cellStyle name="Обычный 4 2 28 10" xfId="43078"/>
    <cellStyle name="Процентный 4 2 28 10" xfId="43079"/>
    <cellStyle name="Обычный 5 2 28 10" xfId="43080"/>
    <cellStyle name="Процентный 5 2 28 10" xfId="43081"/>
    <cellStyle name="Обычный 6 25 10" xfId="43082"/>
    <cellStyle name="Процентный 6 25 10" xfId="43083"/>
    <cellStyle name="Обычный 4 42 10" xfId="43084"/>
    <cellStyle name="Процентный 4 42 10" xfId="43085"/>
    <cellStyle name="Обычный 5 35 10" xfId="43086"/>
    <cellStyle name="Процентный 5 35 10" xfId="43087"/>
    <cellStyle name="Обычный 4 2 29 10" xfId="43088"/>
    <cellStyle name="Процентный 4 2 29 10" xfId="43089"/>
    <cellStyle name="Обычный 5 2 29 10" xfId="43090"/>
    <cellStyle name="Процентный 5 2 29 10" xfId="43091"/>
    <cellStyle name="Обычный 6 26 10" xfId="43092"/>
    <cellStyle name="Процентный 6 26 10" xfId="43093"/>
    <cellStyle name="Обычный 4 43 10" xfId="43094"/>
    <cellStyle name="Процентный 4 43 10" xfId="43095"/>
    <cellStyle name="Обычный 5 36 10" xfId="43096"/>
    <cellStyle name="Процентный 5 36 10" xfId="43097"/>
    <cellStyle name="Обычный 4 2 30 10" xfId="43098"/>
    <cellStyle name="Процентный 4 2 30 10" xfId="43099"/>
    <cellStyle name="Обычный 5 2 30 10" xfId="43100"/>
    <cellStyle name="Процентный 5 2 30 10" xfId="43101"/>
    <cellStyle name="Обычный 6 27 10" xfId="43102"/>
    <cellStyle name="Процентный 6 27 10" xfId="43103"/>
    <cellStyle name="Обычный 4 44 10" xfId="43104"/>
    <cellStyle name="Процентный 4 44 10" xfId="43105"/>
    <cellStyle name="Обычный 5 37 10" xfId="43106"/>
    <cellStyle name="Процентный 5 37 10" xfId="43107"/>
    <cellStyle name="Обычный 4 2 31 10" xfId="43108"/>
    <cellStyle name="Процентный 4 2 31 10" xfId="43109"/>
    <cellStyle name="Обычный 5 2 31 10" xfId="43110"/>
    <cellStyle name="Процентный 5 2 31 10" xfId="43111"/>
    <cellStyle name="Обычный 6 28 10" xfId="43112"/>
    <cellStyle name="Процентный 6 28 10" xfId="43113"/>
    <cellStyle name="Обычный 4 45 10" xfId="43114"/>
    <cellStyle name="Процентный 4 45 10" xfId="43115"/>
    <cellStyle name="Обычный 5 38 10" xfId="43116"/>
    <cellStyle name="Процентный 5 38 10" xfId="43117"/>
    <cellStyle name="Обычный 4 2 32 10" xfId="43118"/>
    <cellStyle name="Процентный 4 2 32 10" xfId="43119"/>
    <cellStyle name="Обычный 5 2 32 10" xfId="43120"/>
    <cellStyle name="Процентный 5 2 32 10" xfId="43121"/>
    <cellStyle name="Обычный 6 29 10" xfId="43122"/>
    <cellStyle name="Процентный 6 29 10" xfId="43123"/>
    <cellStyle name="Обычный 4 46 10" xfId="43124"/>
    <cellStyle name="Процентный 4 46 10" xfId="43125"/>
    <cellStyle name="Обычный 5 39 10" xfId="43126"/>
    <cellStyle name="Процентный 5 39 10" xfId="43127"/>
    <cellStyle name="Обычный 4 2 33 10" xfId="43128"/>
    <cellStyle name="Процентный 4 2 33 10" xfId="43129"/>
    <cellStyle name="Обычный 5 2 33 10" xfId="43130"/>
    <cellStyle name="Процентный 5 2 33 10" xfId="43131"/>
    <cellStyle name="Обычный 6 30 10" xfId="43132"/>
    <cellStyle name="Процентный 6 30 10" xfId="43133"/>
    <cellStyle name="Обычный 4 47 10" xfId="43134"/>
    <cellStyle name="Процентный 4 47 10" xfId="43135"/>
    <cellStyle name="Обычный 5 40 10" xfId="43136"/>
    <cellStyle name="Процентный 5 40 10" xfId="43137"/>
    <cellStyle name="Обычный 4 2 34 10" xfId="43138"/>
    <cellStyle name="Процентный 4 2 34 10" xfId="43139"/>
    <cellStyle name="Обычный 5 2 34 10" xfId="43140"/>
    <cellStyle name="Процентный 5 2 34 10" xfId="43141"/>
    <cellStyle name="Обычный 6 31 10" xfId="43142"/>
    <cellStyle name="Процентный 6 31 10" xfId="43143"/>
    <cellStyle name="Обычный 7 164" xfId="43144"/>
    <cellStyle name="Процентный 7 164" xfId="43145"/>
    <cellStyle name="Обычный 4 48 10" xfId="43146"/>
    <cellStyle name="Процентный 4 48 10" xfId="43147"/>
    <cellStyle name="Обычный 5 41 10" xfId="43148"/>
    <cellStyle name="Процентный 5 41 10" xfId="43149"/>
    <cellStyle name="Обычный 4 2 35 10" xfId="43150"/>
    <cellStyle name="Процентный 4 2 35 10" xfId="43151"/>
    <cellStyle name="Обычный 5 2 35 10" xfId="43152"/>
    <cellStyle name="Процентный 5 2 35 10" xfId="43153"/>
    <cellStyle name="Обычный 6 32 10" xfId="43154"/>
    <cellStyle name="Процентный 6 32 10" xfId="43155"/>
    <cellStyle name="Обычный 7 2 156" xfId="43156"/>
    <cellStyle name="Процентный 7 2 156" xfId="43157"/>
    <cellStyle name="Обычный 4 49 10" xfId="43158"/>
    <cellStyle name="Процентный 4 49 10" xfId="43159"/>
    <cellStyle name="Обычный 5 42 10" xfId="43160"/>
    <cellStyle name="Процентный 5 42 10" xfId="43161"/>
    <cellStyle name="Обычный 4 2 36 10" xfId="43162"/>
    <cellStyle name="Процентный 4 2 36 10" xfId="43163"/>
    <cellStyle name="Обычный 5 2 36 10" xfId="43164"/>
    <cellStyle name="Процентный 5 2 36 10" xfId="43165"/>
    <cellStyle name="Обычный 6 33 10" xfId="43166"/>
    <cellStyle name="Процентный 6 33 10" xfId="43167"/>
    <cellStyle name="Обычный 7 3 10" xfId="43168"/>
    <cellStyle name="Процентный 7 3 10" xfId="43169"/>
    <cellStyle name="Обычный 4 50 10" xfId="43170"/>
    <cellStyle name="Процентный 4 50 10" xfId="43171"/>
    <cellStyle name="Обычный 5 43 10" xfId="43172"/>
    <cellStyle name="Процентный 5 43 10" xfId="43173"/>
    <cellStyle name="Обычный 4 2 37 10" xfId="43174"/>
    <cellStyle name="Процентный 4 2 37 10" xfId="43175"/>
    <cellStyle name="Обычный 5 2 37 10" xfId="43176"/>
    <cellStyle name="Процентный 5 2 37 10" xfId="43177"/>
    <cellStyle name="Обычный 6 34 10" xfId="43178"/>
    <cellStyle name="Процентный 6 34 10" xfId="43179"/>
    <cellStyle name="Обычный 7 4 10" xfId="43180"/>
    <cellStyle name="Процентный 7 4 10" xfId="43181"/>
    <cellStyle name="Обычный 4 51 10" xfId="43182"/>
    <cellStyle name="Процентный 4 51 10" xfId="43183"/>
    <cellStyle name="Обычный 5 44 10" xfId="43184"/>
    <cellStyle name="Процентный 5 44 10" xfId="43185"/>
    <cellStyle name="Обычный 4 2 38 10" xfId="43186"/>
    <cellStyle name="Процентный 4 2 38 10" xfId="43187"/>
    <cellStyle name="Обычный 5 2 38 10" xfId="43188"/>
    <cellStyle name="Процентный 5 2 38 10" xfId="43189"/>
    <cellStyle name="Обычный 6 35 10" xfId="43190"/>
    <cellStyle name="Процентный 6 35 10" xfId="43191"/>
    <cellStyle name="Обычный 7 5 10" xfId="43192"/>
    <cellStyle name="Процентный 7 5 10" xfId="43193"/>
    <cellStyle name="Обычный 4 52 10" xfId="43194"/>
    <cellStyle name="Процентный 4 52 10" xfId="43195"/>
    <cellStyle name="Обычный 5 45 10" xfId="43196"/>
    <cellStyle name="Процентный 5 45 10" xfId="43197"/>
    <cellStyle name="Обычный 4 2 39 10" xfId="43198"/>
    <cellStyle name="Процентный 4 2 39 10" xfId="43199"/>
    <cellStyle name="Обычный 5 2 39 10" xfId="43200"/>
    <cellStyle name="Процентный 5 2 39 10" xfId="43201"/>
    <cellStyle name="Обычный 6 36 10" xfId="43202"/>
    <cellStyle name="Процентный 6 36 10" xfId="43203"/>
    <cellStyle name="Обычный 7 6 10" xfId="43204"/>
    <cellStyle name="Процентный 7 6 10" xfId="43205"/>
    <cellStyle name="Обычный 4 53 10" xfId="43206"/>
    <cellStyle name="Процентный 4 53 10" xfId="43207"/>
    <cellStyle name="Обычный 5 46 10" xfId="43208"/>
    <cellStyle name="Процентный 5 46 10" xfId="43209"/>
    <cellStyle name="Обычный 4 2 40 10" xfId="43210"/>
    <cellStyle name="Процентный 4 2 40 10" xfId="43211"/>
    <cellStyle name="Обычный 5 2 40 10" xfId="43212"/>
    <cellStyle name="Процентный 5 2 40 10" xfId="43213"/>
    <cellStyle name="Обычный 6 37 10" xfId="43214"/>
    <cellStyle name="Процентный 6 37 10" xfId="43215"/>
    <cellStyle name="Обычный 7 7 10" xfId="43216"/>
    <cellStyle name="Процентный 7 7 10" xfId="43217"/>
    <cellStyle name="Обычный 4 54 10" xfId="43218"/>
    <cellStyle name="Процентный 4 54 10" xfId="43219"/>
    <cellStyle name="Обычный 5 47 10" xfId="43220"/>
    <cellStyle name="Процентный 5 47 10" xfId="43221"/>
    <cellStyle name="Обычный 4 2 41 10" xfId="43222"/>
    <cellStyle name="Процентный 4 2 41 10" xfId="43223"/>
    <cellStyle name="Обычный 5 2 41 10" xfId="43224"/>
    <cellStyle name="Процентный 5 2 41 10" xfId="43225"/>
    <cellStyle name="Обычный 6 38 10" xfId="43226"/>
    <cellStyle name="Процентный 6 38 10" xfId="43227"/>
    <cellStyle name="Обычный 7 8 10" xfId="43228"/>
    <cellStyle name="Процентный 7 8 10" xfId="43229"/>
    <cellStyle name="Обычный 4 55 10" xfId="43230"/>
    <cellStyle name="Процентный 4 55 10" xfId="43231"/>
    <cellStyle name="Обычный 5 48 10" xfId="43232"/>
    <cellStyle name="Процентный 5 48 10" xfId="43233"/>
    <cellStyle name="Обычный 4 2 42 10" xfId="43234"/>
    <cellStyle name="Процентный 4 2 42 10" xfId="43235"/>
    <cellStyle name="Обычный 5 2 42 10" xfId="43236"/>
    <cellStyle name="Процентный 5 2 42 10" xfId="43237"/>
    <cellStyle name="Обычный 6 39 10" xfId="43238"/>
    <cellStyle name="Процентный 6 39 10" xfId="43239"/>
    <cellStyle name="Обычный 7 9 10" xfId="43240"/>
    <cellStyle name="Процентный 7 9 10" xfId="43241"/>
    <cellStyle name="Обычный 3 3 9" xfId="43242"/>
    <cellStyle name="Обычный 4 56 9" xfId="43243"/>
    <cellStyle name="Процентный 4 56 9" xfId="43244"/>
    <cellStyle name="Обычный 4 2 43 9" xfId="43245"/>
    <cellStyle name="Процентный 4 2 43 9" xfId="43246"/>
    <cellStyle name="Обычный 4 3 2 9" xfId="43247"/>
    <cellStyle name="Процентный 4 3 2 9" xfId="43248"/>
    <cellStyle name="Обычный 5 49 9" xfId="43249"/>
    <cellStyle name="Процентный 5 49 9" xfId="43250"/>
    <cellStyle name="Обычный 4 4 2 9" xfId="43251"/>
    <cellStyle name="Процентный 4 4 2 9" xfId="43252"/>
    <cellStyle name="Обычный 4 5 2 9" xfId="43253"/>
    <cellStyle name="Процентный 4 5 2 9" xfId="43254"/>
    <cellStyle name="Обычный 4 6 2 9" xfId="43255"/>
    <cellStyle name="Процентный 4 6 2 9" xfId="43256"/>
    <cellStyle name="Обычный 4 7 2 9" xfId="43257"/>
    <cellStyle name="Процентный 4 7 2 9" xfId="43258"/>
    <cellStyle name="Обычный 4 8 2 9" xfId="43259"/>
    <cellStyle name="Процентный 4 8 2 9" xfId="43260"/>
    <cellStyle name="Обычный 4 9 2 9" xfId="43261"/>
    <cellStyle name="Процентный 4 9 2 9" xfId="43262"/>
    <cellStyle name="Обычный 5 2 43 9" xfId="43263"/>
    <cellStyle name="Процентный 5 2 43 9" xfId="43264"/>
    <cellStyle name="Обычный 4 10 2 9" xfId="43265"/>
    <cellStyle name="Процентный 4 10 2 9" xfId="43266"/>
    <cellStyle name="Обычный 5 3 2 9" xfId="43267"/>
    <cellStyle name="Процентный 5 3 2 9" xfId="43268"/>
    <cellStyle name="Обычный 4 11 2 9" xfId="43269"/>
    <cellStyle name="Процентный 4 11 2 9" xfId="43270"/>
    <cellStyle name="Обычный 5 4 2 9" xfId="43271"/>
    <cellStyle name="Процентный 5 4 2 9" xfId="43272"/>
    <cellStyle name="Обычный 4 12 2 9" xfId="43273"/>
    <cellStyle name="Процентный 4 12 2 9" xfId="43274"/>
    <cellStyle name="Обычный 5 5 2 9" xfId="43275"/>
    <cellStyle name="Процентный 5 5 2 9" xfId="43276"/>
    <cellStyle name="Обычный 4 13 2 9" xfId="43277"/>
    <cellStyle name="Процентный 4 13 2 9" xfId="43278"/>
    <cellStyle name="Обычный 5 6 2 9" xfId="43279"/>
    <cellStyle name="Процентный 5 6 2 9" xfId="43280"/>
    <cellStyle name="Обычный 4 14 2 9" xfId="43281"/>
    <cellStyle name="Процентный 4 14 2 9" xfId="43282"/>
    <cellStyle name="Обычный 5 7 2 9" xfId="43283"/>
    <cellStyle name="Процентный 5 7 2 9" xfId="43284"/>
    <cellStyle name="Обычный 4 15 2 9" xfId="43285"/>
    <cellStyle name="Процентный 4 15 2 9" xfId="43286"/>
    <cellStyle name="Обычный 5 8 2 9" xfId="43287"/>
    <cellStyle name="Процентный 5 8 2 9" xfId="43288"/>
    <cellStyle name="Обычный 4 2 2 2 9" xfId="43289"/>
    <cellStyle name="Процентный 4 2 2 2 9" xfId="43290"/>
    <cellStyle name="Обычный 5 2 2 2 9" xfId="43291"/>
    <cellStyle name="Процентный 5 2 2 2 9" xfId="43292"/>
    <cellStyle name="Обычный 4 16 2 9" xfId="43293"/>
    <cellStyle name="Процентный 4 16 2 9" xfId="43294"/>
    <cellStyle name="Обычный 5 9 2 9" xfId="43295"/>
    <cellStyle name="Процентный 5 9 2 9" xfId="43296"/>
    <cellStyle name="Обычный 4 2 3 2 9" xfId="43297"/>
    <cellStyle name="Процентный 4 2 3 2 9" xfId="43298"/>
    <cellStyle name="Обычный 5 2 3 2 9" xfId="43299"/>
    <cellStyle name="Процентный 5 2 3 2 9" xfId="43300"/>
    <cellStyle name="Обычный 4 17 2 9" xfId="43301"/>
    <cellStyle name="Процентный 4 17 2 9" xfId="43302"/>
    <cellStyle name="Обычный 5 10 2 9" xfId="43303"/>
    <cellStyle name="Процентный 5 10 2 9" xfId="43304"/>
    <cellStyle name="Обычный 4 2 4 2 9" xfId="43305"/>
    <cellStyle name="Процентный 4 2 4 2 9" xfId="43306"/>
    <cellStyle name="Обычный 5 2 4 2 9" xfId="43307"/>
    <cellStyle name="Процентный 5 2 4 2 9" xfId="43308"/>
    <cellStyle name="Обычный 6 40 9" xfId="43309"/>
    <cellStyle name="Процентный 6 40 9" xfId="43310"/>
    <cellStyle name="Обычный 4 18 2 9" xfId="43311"/>
    <cellStyle name="Процентный 4 18 2 9" xfId="43312"/>
    <cellStyle name="Обычный 5 11 2 9" xfId="43313"/>
    <cellStyle name="Процентный 5 11 2 9" xfId="43314"/>
    <cellStyle name="Обычный 4 2 5 2 9" xfId="43315"/>
    <cellStyle name="Процентный 4 2 5 2 9" xfId="43316"/>
    <cellStyle name="Обычный 5 2 5 2 9" xfId="43317"/>
    <cellStyle name="Процентный 5 2 5 2 9" xfId="43318"/>
    <cellStyle name="Обычный 6 2 2 9" xfId="43319"/>
    <cellStyle name="Процентный 6 2 2 9" xfId="43320"/>
    <cellStyle name="Обычный 4 19 2 9" xfId="43321"/>
    <cellStyle name="Процентный 4 19 2 9" xfId="43322"/>
    <cellStyle name="Обычный 5 12 2 9" xfId="43323"/>
    <cellStyle name="Процентный 5 12 2 9" xfId="43324"/>
    <cellStyle name="Обычный 4 2 6 2 9" xfId="43325"/>
    <cellStyle name="Процентный 4 2 6 2 9" xfId="43326"/>
    <cellStyle name="Обычный 5 2 6 2 9" xfId="43327"/>
    <cellStyle name="Процентный 5 2 6 2 9" xfId="43328"/>
    <cellStyle name="Обычный 6 3 2 9" xfId="43329"/>
    <cellStyle name="Процентный 6 3 2 9" xfId="43330"/>
    <cellStyle name="Обычный 4 20 2 9" xfId="43331"/>
    <cellStyle name="Процентный 4 20 2 9" xfId="43332"/>
    <cellStyle name="Обычный 5 13 2 9" xfId="43333"/>
    <cellStyle name="Процентный 5 13 2 9" xfId="43334"/>
    <cellStyle name="Обычный 4 2 7 2 9" xfId="43335"/>
    <cellStyle name="Процентный 4 2 7 2 9" xfId="43336"/>
    <cellStyle name="Обычный 5 2 7 2 9" xfId="43337"/>
    <cellStyle name="Процентный 5 2 7 2 9" xfId="43338"/>
    <cellStyle name="Обычный 6 4 2 9" xfId="43339"/>
    <cellStyle name="Процентный 6 4 2 9" xfId="43340"/>
    <cellStyle name="Обычный 4 21 2 9" xfId="43341"/>
    <cellStyle name="Процентный 4 21 2 9" xfId="43342"/>
    <cellStyle name="Обычный 5 14 2 9" xfId="43343"/>
    <cellStyle name="Процентный 5 14 2 9" xfId="43344"/>
    <cellStyle name="Обычный 4 2 8 2 9" xfId="43345"/>
    <cellStyle name="Процентный 4 2 8 2 9" xfId="43346"/>
    <cellStyle name="Обычный 5 2 8 2 9" xfId="43347"/>
    <cellStyle name="Процентный 5 2 8 2 9" xfId="43348"/>
    <cellStyle name="Обычный 6 5 2 9" xfId="43349"/>
    <cellStyle name="Процентный 6 5 2 9" xfId="43350"/>
    <cellStyle name="Обычный 4 22 2 9" xfId="43351"/>
    <cellStyle name="Процентный 4 22 2 9" xfId="43352"/>
    <cellStyle name="Обычный 5 15 2 9" xfId="43353"/>
    <cellStyle name="Процентный 5 15 2 9" xfId="43354"/>
    <cellStyle name="Обычный 4 2 9 2 9" xfId="43355"/>
    <cellStyle name="Процентный 4 2 9 2 9" xfId="43356"/>
    <cellStyle name="Обычный 5 2 9 2 9" xfId="43357"/>
    <cellStyle name="Процентный 5 2 9 2 9" xfId="43358"/>
    <cellStyle name="Обычный 6 6 2 9" xfId="43359"/>
    <cellStyle name="Процентный 6 6 2 9" xfId="43360"/>
    <cellStyle name="Обычный 4 23 2 9" xfId="43361"/>
    <cellStyle name="Процентный 4 23 2 9" xfId="43362"/>
    <cellStyle name="Обычный 5 16 2 9" xfId="43363"/>
    <cellStyle name="Процентный 5 16 2 9" xfId="43364"/>
    <cellStyle name="Обычный 4 2 10 2 9" xfId="43365"/>
    <cellStyle name="Процентный 4 2 10 2 9" xfId="43366"/>
    <cellStyle name="Обычный 5 2 10 2 9" xfId="43367"/>
    <cellStyle name="Процентный 5 2 10 2 9" xfId="43368"/>
    <cellStyle name="Обычный 6 7 2 9" xfId="43369"/>
    <cellStyle name="Процентный 6 7 2 9" xfId="43370"/>
    <cellStyle name="Обычный 4 24 2 9" xfId="43371"/>
    <cellStyle name="Процентный 4 24 2 9" xfId="43372"/>
    <cellStyle name="Обычный 5 17 2 9" xfId="43373"/>
    <cellStyle name="Процентный 5 17 2 9" xfId="43374"/>
    <cellStyle name="Обычный 4 2 11 2 9" xfId="43375"/>
    <cellStyle name="Процентный 4 2 11 2 9" xfId="43376"/>
    <cellStyle name="Обычный 5 2 11 2 9" xfId="43377"/>
    <cellStyle name="Процентный 5 2 11 2 9" xfId="43378"/>
    <cellStyle name="Обычный 6 8 2 9" xfId="43379"/>
    <cellStyle name="Процентный 6 8 2 9" xfId="43380"/>
    <cellStyle name="Обычный 4 25 2 9" xfId="43381"/>
    <cellStyle name="Процентный 4 25 2 9" xfId="43382"/>
    <cellStyle name="Обычный 5 18 2 9" xfId="43383"/>
    <cellStyle name="Процентный 5 18 2 9" xfId="43384"/>
    <cellStyle name="Обычный 4 2 12 2 9" xfId="43385"/>
    <cellStyle name="Процентный 4 2 12 2 9" xfId="43386"/>
    <cellStyle name="Обычный 5 2 12 2 9" xfId="43387"/>
    <cellStyle name="Процентный 5 2 12 2 9" xfId="43388"/>
    <cellStyle name="Обычный 6 9 2 9" xfId="43389"/>
    <cellStyle name="Процентный 6 9 2 9" xfId="43390"/>
    <cellStyle name="Обычный 4 26 2 9" xfId="43391"/>
    <cellStyle name="Процентный 4 26 2 9" xfId="43392"/>
    <cellStyle name="Обычный 5 19 2 9" xfId="43393"/>
    <cellStyle name="Процентный 5 19 2 9" xfId="43394"/>
    <cellStyle name="Обычный 4 2 13 2 9" xfId="43395"/>
    <cellStyle name="Процентный 4 2 13 2 9" xfId="43396"/>
    <cellStyle name="Обычный 5 2 13 2 9" xfId="43397"/>
    <cellStyle name="Процентный 5 2 13 2 9" xfId="43398"/>
    <cellStyle name="Обычный 6 10 2 9" xfId="43399"/>
    <cellStyle name="Процентный 6 10 2 9" xfId="43400"/>
    <cellStyle name="Обычный 4 27 2 9" xfId="43401"/>
    <cellStyle name="Процентный 4 27 2 9" xfId="43402"/>
    <cellStyle name="Обычный 5 20 2 9" xfId="43403"/>
    <cellStyle name="Процентный 5 20 2 9" xfId="43404"/>
    <cellStyle name="Обычный 4 2 14 2 9" xfId="43405"/>
    <cellStyle name="Процентный 4 2 14 2 9" xfId="43406"/>
    <cellStyle name="Обычный 5 2 14 2 9" xfId="43407"/>
    <cellStyle name="Процентный 5 2 14 2 9" xfId="43408"/>
    <cellStyle name="Обычный 6 11 2 9" xfId="43409"/>
    <cellStyle name="Процентный 6 11 2 9" xfId="43410"/>
    <cellStyle name="Обычный 4 28 2 9" xfId="43411"/>
    <cellStyle name="Процентный 4 28 2 9" xfId="43412"/>
    <cellStyle name="Обычный 5 21 2 9" xfId="43413"/>
    <cellStyle name="Процентный 5 21 2 9" xfId="43414"/>
    <cellStyle name="Обычный 4 2 15 2 9" xfId="43415"/>
    <cellStyle name="Процентный 4 2 15 2 9" xfId="43416"/>
    <cellStyle name="Обычный 5 2 15 2 9" xfId="43417"/>
    <cellStyle name="Процентный 5 2 15 2 9" xfId="43418"/>
    <cellStyle name="Обычный 6 12 2 9" xfId="43419"/>
    <cellStyle name="Процентный 6 12 2 9" xfId="43420"/>
    <cellStyle name="Обычный 4 29 2 9" xfId="43421"/>
    <cellStyle name="Процентный 4 29 2 9" xfId="43422"/>
    <cellStyle name="Обычный 5 22 2 9" xfId="43423"/>
    <cellStyle name="Процентный 5 22 2 9" xfId="43424"/>
    <cellStyle name="Обычный 4 2 16 2 9" xfId="43425"/>
    <cellStyle name="Процентный 4 2 16 2 9" xfId="43426"/>
    <cellStyle name="Обычный 5 2 16 2 9" xfId="43427"/>
    <cellStyle name="Процентный 5 2 16 2 9" xfId="43428"/>
    <cellStyle name="Обычный 6 13 2 9" xfId="43429"/>
    <cellStyle name="Процентный 6 13 2 9" xfId="43430"/>
    <cellStyle name="Обычный 4 30 2 9" xfId="43431"/>
    <cellStyle name="Процентный 4 30 2 9" xfId="43432"/>
    <cellStyle name="Обычный 5 23 2 9" xfId="43433"/>
    <cellStyle name="Процентный 5 23 2 9" xfId="43434"/>
    <cellStyle name="Обычный 4 2 17 2 9" xfId="43435"/>
    <cellStyle name="Процентный 4 2 17 2 9" xfId="43436"/>
    <cellStyle name="Обычный 5 2 17 2 9" xfId="43437"/>
    <cellStyle name="Процентный 5 2 17 2 9" xfId="43438"/>
    <cellStyle name="Обычный 6 14 2 9" xfId="43439"/>
    <cellStyle name="Процентный 6 14 2 9" xfId="43440"/>
    <cellStyle name="Обычный 4 31 2 9" xfId="43441"/>
    <cellStyle name="Процентный 4 31 2 9" xfId="43442"/>
    <cellStyle name="Обычный 5 24 2 9" xfId="43443"/>
    <cellStyle name="Процентный 5 24 2 9" xfId="43444"/>
    <cellStyle name="Обычный 4 2 18 2 9" xfId="43445"/>
    <cellStyle name="Процентный 4 2 18 2 9" xfId="43446"/>
    <cellStyle name="Обычный 5 2 18 2 9" xfId="43447"/>
    <cellStyle name="Процентный 5 2 18 2 9" xfId="43448"/>
    <cellStyle name="Обычный 6 15 2 9" xfId="43449"/>
    <cellStyle name="Процентный 6 15 2 9" xfId="43450"/>
    <cellStyle name="Обычный 4 32 2 9" xfId="43451"/>
    <cellStyle name="Процентный 4 32 2 9" xfId="43452"/>
    <cellStyle name="Обычный 5 25 2 9" xfId="43453"/>
    <cellStyle name="Процентный 5 25 2 9" xfId="43454"/>
    <cellStyle name="Обычный 4 2 19 2 9" xfId="43455"/>
    <cellStyle name="Процентный 4 2 19 2 9" xfId="43456"/>
    <cellStyle name="Обычный 5 2 19 2 9" xfId="43457"/>
    <cellStyle name="Процентный 5 2 19 2 9" xfId="43458"/>
    <cellStyle name="Обычный 6 16 2 9" xfId="43459"/>
    <cellStyle name="Процентный 6 16 2 9" xfId="43460"/>
    <cellStyle name="Обычный 4 33 2 9" xfId="43461"/>
    <cellStyle name="Процентный 4 33 2 9" xfId="43462"/>
    <cellStyle name="Обычный 5 26 2 9" xfId="43463"/>
    <cellStyle name="Процентный 5 26 2 9" xfId="43464"/>
    <cellStyle name="Обычный 4 2 20 2 9" xfId="43465"/>
    <cellStyle name="Процентный 4 2 20 2 9" xfId="43466"/>
    <cellStyle name="Обычный 5 2 20 2 9" xfId="43467"/>
    <cellStyle name="Процентный 5 2 20 2 9" xfId="43468"/>
    <cellStyle name="Обычный 6 17 2 9" xfId="43469"/>
    <cellStyle name="Процентный 6 17 2 9" xfId="43470"/>
    <cellStyle name="Обычный 4 34 2 9" xfId="43471"/>
    <cellStyle name="Процентный 4 34 2 9" xfId="43472"/>
    <cellStyle name="Обычный 5 27 2 9" xfId="43473"/>
    <cellStyle name="Процентный 5 27 2 9" xfId="43474"/>
    <cellStyle name="Обычный 4 2 21 2 9" xfId="43475"/>
    <cellStyle name="Процентный 4 2 21 2 9" xfId="43476"/>
    <cellStyle name="Обычный 5 2 21 2 9" xfId="43477"/>
    <cellStyle name="Процентный 5 2 21 2 9" xfId="43478"/>
    <cellStyle name="Обычный 6 18 2 9" xfId="43479"/>
    <cellStyle name="Процентный 6 18 2 9" xfId="43480"/>
    <cellStyle name="Обычный 4 35 2 9" xfId="43481"/>
    <cellStyle name="Процентный 4 35 2 9" xfId="43482"/>
    <cellStyle name="Обычный 5 28 2 9" xfId="43483"/>
    <cellStyle name="Процентный 5 28 2 9" xfId="43484"/>
    <cellStyle name="Обычный 4 2 22 2 9" xfId="43485"/>
    <cellStyle name="Процентный 4 2 22 2 9" xfId="43486"/>
    <cellStyle name="Обычный 5 2 22 2 9" xfId="43487"/>
    <cellStyle name="Процентный 5 2 22 2 9" xfId="43488"/>
    <cellStyle name="Обычный 6 19 2 9" xfId="43489"/>
    <cellStyle name="Процентный 6 19 2 9" xfId="43490"/>
    <cellStyle name="Обычный 4 36 2 9" xfId="43491"/>
    <cellStyle name="Процентный 4 36 2 9" xfId="43492"/>
    <cellStyle name="Обычный 5 29 2 9" xfId="43493"/>
    <cellStyle name="Процентный 5 29 2 9" xfId="43494"/>
    <cellStyle name="Обычный 4 2 23 2 9" xfId="43495"/>
    <cellStyle name="Процентный 4 2 23 2 9" xfId="43496"/>
    <cellStyle name="Обычный 5 2 23 2 9" xfId="43497"/>
    <cellStyle name="Процентный 5 2 23 2 9" xfId="43498"/>
    <cellStyle name="Обычный 6 20 2 9" xfId="43499"/>
    <cellStyle name="Процентный 6 20 2 9" xfId="43500"/>
    <cellStyle name="Обычный 4 37 2 9" xfId="43501"/>
    <cellStyle name="Процентный 4 37 2 9" xfId="43502"/>
    <cellStyle name="Обычный 5 30 2 9" xfId="43503"/>
    <cellStyle name="Процентный 5 30 2 9" xfId="43504"/>
    <cellStyle name="Обычный 4 2 24 2 9" xfId="43505"/>
    <cellStyle name="Процентный 4 2 24 2 9" xfId="43506"/>
    <cellStyle name="Обычный 5 2 24 2 9" xfId="43507"/>
    <cellStyle name="Процентный 5 2 24 2 9" xfId="43508"/>
    <cellStyle name="Обычный 6 21 2 9" xfId="43509"/>
    <cellStyle name="Процентный 6 21 2 9" xfId="43510"/>
    <cellStyle name="Обычный 4 38 2 9" xfId="43511"/>
    <cellStyle name="Процентный 4 38 2 9" xfId="43512"/>
    <cellStyle name="Обычный 5 31 2 9" xfId="43513"/>
    <cellStyle name="Процентный 5 31 2 9" xfId="43514"/>
    <cellStyle name="Обычный 4 2 25 2 9" xfId="43515"/>
    <cellStyle name="Процентный 4 2 25 2 9" xfId="43516"/>
    <cellStyle name="Обычный 5 2 25 2 9" xfId="43517"/>
    <cellStyle name="Процентный 5 2 25 2 9" xfId="43518"/>
    <cellStyle name="Обычный 6 22 2 9" xfId="43519"/>
    <cellStyle name="Процентный 6 22 2 9" xfId="43520"/>
    <cellStyle name="Обычный 4 39 2 9" xfId="43521"/>
    <cellStyle name="Процентный 4 39 2 9" xfId="43522"/>
    <cellStyle name="Обычный 5 32 2 9" xfId="43523"/>
    <cellStyle name="Процентный 5 32 2 9" xfId="43524"/>
    <cellStyle name="Обычный 4 2 26 2 9" xfId="43525"/>
    <cellStyle name="Процентный 4 2 26 2 9" xfId="43526"/>
    <cellStyle name="Обычный 5 2 26 2 9" xfId="43527"/>
    <cellStyle name="Процентный 5 2 26 2 9" xfId="43528"/>
    <cellStyle name="Обычный 6 23 2 9" xfId="43529"/>
    <cellStyle name="Процентный 6 23 2 9" xfId="43530"/>
    <cellStyle name="Обычный 4 40 2 9" xfId="43531"/>
    <cellStyle name="Процентный 4 40 2 9" xfId="43532"/>
    <cellStyle name="Обычный 5 33 2 9" xfId="43533"/>
    <cellStyle name="Процентный 5 33 2 9" xfId="43534"/>
    <cellStyle name="Обычный 4 2 27 2 9" xfId="43535"/>
    <cellStyle name="Процентный 4 2 27 2 9" xfId="43536"/>
    <cellStyle name="Обычный 5 2 27 2 9" xfId="43537"/>
    <cellStyle name="Процентный 5 2 27 2 9" xfId="43538"/>
    <cellStyle name="Обычный 6 24 2 9" xfId="43539"/>
    <cellStyle name="Процентный 6 24 2 9" xfId="43540"/>
    <cellStyle name="Обычный 4 41 2 9" xfId="43541"/>
    <cellStyle name="Процентный 4 41 2 9" xfId="43542"/>
    <cellStyle name="Обычный 5 34 2 9" xfId="43543"/>
    <cellStyle name="Процентный 5 34 2 9" xfId="43544"/>
    <cellStyle name="Обычный 4 2 28 2 9" xfId="43545"/>
    <cellStyle name="Процентный 4 2 28 2 9" xfId="43546"/>
    <cellStyle name="Обычный 5 2 28 2 9" xfId="43547"/>
    <cellStyle name="Процентный 5 2 28 2 9" xfId="43548"/>
    <cellStyle name="Обычный 6 25 2 9" xfId="43549"/>
    <cellStyle name="Процентный 6 25 2 9" xfId="43550"/>
    <cellStyle name="Обычный 4 42 2 9" xfId="43551"/>
    <cellStyle name="Процентный 4 42 2 9" xfId="43552"/>
    <cellStyle name="Обычный 5 35 2 9" xfId="43553"/>
    <cellStyle name="Процентный 5 35 2 9" xfId="43554"/>
    <cellStyle name="Обычный 4 2 29 2 9" xfId="43555"/>
    <cellStyle name="Процентный 4 2 29 2 9" xfId="43556"/>
    <cellStyle name="Обычный 5 2 29 2 9" xfId="43557"/>
    <cellStyle name="Процентный 5 2 29 2 9" xfId="43558"/>
    <cellStyle name="Обычный 6 26 2 9" xfId="43559"/>
    <cellStyle name="Процентный 6 26 2 9" xfId="43560"/>
    <cellStyle name="Обычный 4 43 2 9" xfId="43561"/>
    <cellStyle name="Процентный 4 43 2 9" xfId="43562"/>
    <cellStyle name="Обычный 5 36 2 9" xfId="43563"/>
    <cellStyle name="Процентный 5 36 2 9" xfId="43564"/>
    <cellStyle name="Обычный 4 2 30 2 9" xfId="43565"/>
    <cellStyle name="Процентный 4 2 30 2 9" xfId="43566"/>
    <cellStyle name="Обычный 5 2 30 2 9" xfId="43567"/>
    <cellStyle name="Процентный 5 2 30 2 9" xfId="43568"/>
    <cellStyle name="Обычный 6 27 2 9" xfId="43569"/>
    <cellStyle name="Процентный 6 27 2 9" xfId="43570"/>
    <cellStyle name="Обычный 4 44 2 9" xfId="43571"/>
    <cellStyle name="Процентный 4 44 2 9" xfId="43572"/>
    <cellStyle name="Обычный 5 37 2 9" xfId="43573"/>
    <cellStyle name="Процентный 5 37 2 9" xfId="43574"/>
    <cellStyle name="Обычный 4 2 31 2 9" xfId="43575"/>
    <cellStyle name="Процентный 4 2 31 2 9" xfId="43576"/>
    <cellStyle name="Обычный 5 2 31 2 9" xfId="43577"/>
    <cellStyle name="Процентный 5 2 31 2 9" xfId="43578"/>
    <cellStyle name="Обычный 6 28 2 9" xfId="43579"/>
    <cellStyle name="Процентный 6 28 2 9" xfId="43580"/>
    <cellStyle name="Обычный 4 45 2 9" xfId="43581"/>
    <cellStyle name="Процентный 4 45 2 9" xfId="43582"/>
    <cellStyle name="Обычный 5 38 2 9" xfId="43583"/>
    <cellStyle name="Процентный 5 38 2 9" xfId="43584"/>
    <cellStyle name="Обычный 4 2 32 2 9" xfId="43585"/>
    <cellStyle name="Процентный 4 2 32 2 9" xfId="43586"/>
    <cellStyle name="Обычный 5 2 32 2 9" xfId="43587"/>
    <cellStyle name="Процентный 5 2 32 2 9" xfId="43588"/>
    <cellStyle name="Обычный 6 29 2 9" xfId="43589"/>
    <cellStyle name="Процентный 6 29 2 9" xfId="43590"/>
    <cellStyle name="Обычный 4 46 2 9" xfId="43591"/>
    <cellStyle name="Процентный 4 46 2 9" xfId="43592"/>
    <cellStyle name="Обычный 5 39 2 9" xfId="43593"/>
    <cellStyle name="Процентный 5 39 2 9" xfId="43594"/>
    <cellStyle name="Обычный 4 2 33 2 9" xfId="43595"/>
    <cellStyle name="Процентный 4 2 33 2 9" xfId="43596"/>
    <cellStyle name="Обычный 5 2 33 2 9" xfId="43597"/>
    <cellStyle name="Процентный 5 2 33 2 9" xfId="43598"/>
    <cellStyle name="Обычный 6 30 2 9" xfId="43599"/>
    <cellStyle name="Процентный 6 30 2 9" xfId="43600"/>
    <cellStyle name="Обычный 4 47 2 9" xfId="43601"/>
    <cellStyle name="Процентный 4 47 2 9" xfId="43602"/>
    <cellStyle name="Обычный 5 40 2 9" xfId="43603"/>
    <cellStyle name="Процентный 5 40 2 9" xfId="43604"/>
    <cellStyle name="Обычный 4 2 34 2 9" xfId="43605"/>
    <cellStyle name="Процентный 4 2 34 2 9" xfId="43606"/>
    <cellStyle name="Обычный 5 2 34 2 9" xfId="43607"/>
    <cellStyle name="Процентный 5 2 34 2 9" xfId="43608"/>
    <cellStyle name="Обычный 6 31 2 9" xfId="43609"/>
    <cellStyle name="Процентный 6 31 2 9" xfId="43610"/>
    <cellStyle name="Обычный 7 10 9" xfId="43611"/>
    <cellStyle name="Процентный 7 10 9" xfId="43612"/>
    <cellStyle name="Обычный 4 48 2 9" xfId="43613"/>
    <cellStyle name="Процентный 4 48 2 9" xfId="43614"/>
    <cellStyle name="Обычный 5 41 2 9" xfId="43615"/>
    <cellStyle name="Процентный 5 41 2 9" xfId="43616"/>
    <cellStyle name="Обычный 4 2 35 2 9" xfId="43617"/>
    <cellStyle name="Процентный 4 2 35 2 9" xfId="43618"/>
    <cellStyle name="Обычный 5 2 35 2 9" xfId="43619"/>
    <cellStyle name="Процентный 5 2 35 2 9" xfId="43620"/>
    <cellStyle name="Обычный 6 32 2 9" xfId="43621"/>
    <cellStyle name="Процентный 6 32 2 9" xfId="43622"/>
    <cellStyle name="Обычный 7 2 2 9" xfId="43623"/>
    <cellStyle name="Процентный 7 2 2 9" xfId="43624"/>
    <cellStyle name="Обычный 4 49 2 9" xfId="43625"/>
    <cellStyle name="Процентный 4 49 2 9" xfId="43626"/>
    <cellStyle name="Обычный 5 42 2 9" xfId="43627"/>
    <cellStyle name="Процентный 5 42 2 9" xfId="43628"/>
    <cellStyle name="Обычный 4 2 36 2 9" xfId="43629"/>
    <cellStyle name="Процентный 4 2 36 2 9" xfId="43630"/>
    <cellStyle name="Обычный 5 2 36 2 9" xfId="43631"/>
    <cellStyle name="Процентный 5 2 36 2 9" xfId="43632"/>
    <cellStyle name="Обычный 6 33 2 9" xfId="43633"/>
    <cellStyle name="Процентный 6 33 2 9" xfId="43634"/>
    <cellStyle name="Обычный 7 3 2 9" xfId="43635"/>
    <cellStyle name="Процентный 7 3 2 9" xfId="43636"/>
    <cellStyle name="Обычный 4 50 2 9" xfId="43637"/>
    <cellStyle name="Процентный 4 50 2 9" xfId="43638"/>
    <cellStyle name="Обычный 5 43 2 9" xfId="43639"/>
    <cellStyle name="Процентный 5 43 2 9" xfId="43640"/>
    <cellStyle name="Обычный 4 2 37 2 9" xfId="43641"/>
    <cellStyle name="Процентный 4 2 37 2 9" xfId="43642"/>
    <cellStyle name="Обычный 5 2 37 2 9" xfId="43643"/>
    <cellStyle name="Процентный 5 2 37 2 9" xfId="43644"/>
    <cellStyle name="Обычный 6 34 2 9" xfId="43645"/>
    <cellStyle name="Процентный 6 34 2 9" xfId="43646"/>
    <cellStyle name="Обычный 7 4 2 9" xfId="43647"/>
    <cellStyle name="Процентный 7 4 2 9" xfId="43648"/>
    <cellStyle name="Обычный 4 51 2 9" xfId="43649"/>
    <cellStyle name="Процентный 4 51 2 9" xfId="43650"/>
    <cellStyle name="Обычный 5 44 2 9" xfId="43651"/>
    <cellStyle name="Процентный 5 44 2 9" xfId="43652"/>
    <cellStyle name="Обычный 4 2 38 2 9" xfId="43653"/>
    <cellStyle name="Процентный 4 2 38 2 9" xfId="43654"/>
    <cellStyle name="Обычный 5 2 38 2 9" xfId="43655"/>
    <cellStyle name="Процентный 5 2 38 2 9" xfId="43656"/>
    <cellStyle name="Обычный 6 35 2 9" xfId="43657"/>
    <cellStyle name="Процентный 6 35 2 9" xfId="43658"/>
    <cellStyle name="Обычный 7 5 2 9" xfId="43659"/>
    <cellStyle name="Процентный 7 5 2 9" xfId="43660"/>
    <cellStyle name="Обычный 4 52 2 9" xfId="43661"/>
    <cellStyle name="Процентный 4 52 2 9" xfId="43662"/>
    <cellStyle name="Обычный 5 45 2 9" xfId="43663"/>
    <cellStyle name="Процентный 5 45 2 9" xfId="43664"/>
    <cellStyle name="Обычный 4 2 39 2 9" xfId="43665"/>
    <cellStyle name="Процентный 4 2 39 2 9" xfId="43666"/>
    <cellStyle name="Обычный 5 2 39 2 9" xfId="43667"/>
    <cellStyle name="Процентный 5 2 39 2 9" xfId="43668"/>
    <cellStyle name="Обычный 6 36 2 9" xfId="43669"/>
    <cellStyle name="Процентный 6 36 2 9" xfId="43670"/>
    <cellStyle name="Обычный 7 6 2 9" xfId="43671"/>
    <cellStyle name="Процентный 7 6 2 9" xfId="43672"/>
    <cellStyle name="Обычный 4 53 2 9" xfId="43673"/>
    <cellStyle name="Процентный 4 53 2 9" xfId="43674"/>
    <cellStyle name="Обычный 5 46 2 9" xfId="43675"/>
    <cellStyle name="Процентный 5 46 2 9" xfId="43676"/>
    <cellStyle name="Обычный 4 2 40 2 9" xfId="43677"/>
    <cellStyle name="Процентный 4 2 40 2 9" xfId="43678"/>
    <cellStyle name="Обычный 5 2 40 2 9" xfId="43679"/>
    <cellStyle name="Процентный 5 2 40 2 9" xfId="43680"/>
    <cellStyle name="Обычный 6 37 2 9" xfId="43681"/>
    <cellStyle name="Процентный 6 37 2 9" xfId="43682"/>
    <cellStyle name="Обычный 7 7 2 9" xfId="43683"/>
    <cellStyle name="Процентный 7 7 2 9" xfId="43684"/>
    <cellStyle name="Обычный 4 54 2 9" xfId="43685"/>
    <cellStyle name="Процентный 4 54 2 9" xfId="43686"/>
    <cellStyle name="Обычный 5 47 2 9" xfId="43687"/>
    <cellStyle name="Процентный 5 47 2 9" xfId="43688"/>
    <cellStyle name="Обычный 4 2 41 2 9" xfId="43689"/>
    <cellStyle name="Процентный 4 2 41 2 9" xfId="43690"/>
    <cellStyle name="Обычный 5 2 41 2 9" xfId="43691"/>
    <cellStyle name="Процентный 5 2 41 2 9" xfId="43692"/>
    <cellStyle name="Обычный 6 38 2 9" xfId="43693"/>
    <cellStyle name="Процентный 6 38 2 9" xfId="43694"/>
    <cellStyle name="Обычный 7 8 2 9" xfId="43695"/>
    <cellStyle name="Процентный 7 8 2 9" xfId="43696"/>
    <cellStyle name="Обычный 4 55 2 9" xfId="43697"/>
    <cellStyle name="Процентный 4 55 2 9" xfId="43698"/>
    <cellStyle name="Обычный 5 48 2 9" xfId="43699"/>
    <cellStyle name="Процентный 5 48 2 9" xfId="43700"/>
    <cellStyle name="Обычный 4 2 42 2 9" xfId="43701"/>
    <cellStyle name="Процентный 4 2 42 2 9" xfId="43702"/>
    <cellStyle name="Обычный 5 2 42 2 9" xfId="43703"/>
    <cellStyle name="Процентный 5 2 42 2 9" xfId="43704"/>
    <cellStyle name="Обычный 6 39 2 9" xfId="43705"/>
    <cellStyle name="Процентный 6 39 2 9" xfId="43706"/>
    <cellStyle name="Обычный 7 9 2 9" xfId="43707"/>
    <cellStyle name="Процентный 7 9 2 9" xfId="43708"/>
    <cellStyle name="Обычный 4 57 9" xfId="43709"/>
    <cellStyle name="Процентный 4 57 9" xfId="43710"/>
    <cellStyle name="Обычный 5 50 9" xfId="43711"/>
    <cellStyle name="Процентный 5 50 9" xfId="43712"/>
    <cellStyle name="Обычный 4 2 44 9" xfId="43713"/>
    <cellStyle name="Процентный 4 2 44 9" xfId="43714"/>
    <cellStyle name="Обычный 5 2 44 9" xfId="43715"/>
    <cellStyle name="Процентный 5 2 44 9" xfId="43716"/>
    <cellStyle name="Обычный 6 41 9" xfId="43717"/>
    <cellStyle name="Процентный 6 41 9" xfId="43718"/>
    <cellStyle name="Обычный 7 11 9" xfId="43719"/>
    <cellStyle name="Процентный 7 11 9" xfId="43720"/>
    <cellStyle name="Обычный 4 3 3 9" xfId="43721"/>
    <cellStyle name="Процентный 4 3 3 9" xfId="43722"/>
    <cellStyle name="Обычный 5 3 3 9" xfId="43723"/>
    <cellStyle name="Процентный 5 3 3 9" xfId="43724"/>
    <cellStyle name="Обычный 4 2 2 3 9" xfId="43725"/>
    <cellStyle name="Процентный 4 2 2 3 9" xfId="43726"/>
    <cellStyle name="Обычный 5 2 2 3 9" xfId="43727"/>
    <cellStyle name="Процентный 5 2 2 3 9" xfId="43728"/>
    <cellStyle name="Обычный 6 2 3 9" xfId="43729"/>
    <cellStyle name="Процентный 6 2 3 9" xfId="43730"/>
    <cellStyle name="Обычный 7 2 3 9" xfId="43731"/>
    <cellStyle name="Процентный 7 2 3 9" xfId="43732"/>
    <cellStyle name="Обычный 4 58 9" xfId="43733"/>
    <cellStyle name="Процентный 4 58 9" xfId="43734"/>
    <cellStyle name="Обычный 5 51 9" xfId="43735"/>
    <cellStyle name="Процентный 5 51 9" xfId="43736"/>
    <cellStyle name="Обычный 4 2 45 9" xfId="43737"/>
    <cellStyle name="Процентный 4 2 45 9" xfId="43738"/>
    <cellStyle name="Обычный 5 2 45 9" xfId="43739"/>
    <cellStyle name="Процентный 5 2 45 9" xfId="43740"/>
    <cellStyle name="Обычный 6 42 9" xfId="43741"/>
    <cellStyle name="Процентный 6 42 9" xfId="43742"/>
    <cellStyle name="Обычный 7 12 9" xfId="43743"/>
    <cellStyle name="Процентный 7 12 9" xfId="43744"/>
    <cellStyle name="Обычный 4 3 4 9" xfId="43745"/>
    <cellStyle name="Процентный 4 3 4 9" xfId="43746"/>
    <cellStyle name="Обычный 5 3 4 9" xfId="43747"/>
    <cellStyle name="Процентный 5 3 4 9" xfId="43748"/>
    <cellStyle name="Обычный 4 2 2 4 9" xfId="43749"/>
    <cellStyle name="Процентный 4 2 2 4 9" xfId="43750"/>
    <cellStyle name="Обычный 5 2 2 4 9" xfId="43751"/>
    <cellStyle name="Процентный 5 2 2 4 9" xfId="43752"/>
    <cellStyle name="Обычный 6 2 4 9" xfId="43753"/>
    <cellStyle name="Процентный 6 2 4 9" xfId="43754"/>
    <cellStyle name="Обычный 7 2 4 9" xfId="43755"/>
    <cellStyle name="Процентный 7 2 4 9" xfId="43756"/>
    <cellStyle name="Обычный 4 59 9" xfId="43757"/>
    <cellStyle name="Процентный 4 59 9" xfId="43758"/>
    <cellStyle name="Обычный 5 52 9" xfId="43759"/>
    <cellStyle name="Процентный 5 52 9" xfId="43760"/>
    <cellStyle name="Обычный 4 2 46 9" xfId="43761"/>
    <cellStyle name="Процентный 4 2 46 9" xfId="43762"/>
    <cellStyle name="Обычный 5 2 46 9" xfId="43763"/>
    <cellStyle name="Процентный 5 2 46 9" xfId="43764"/>
    <cellStyle name="Обычный 6 43 9" xfId="43765"/>
    <cellStyle name="Процентный 6 43 9" xfId="43766"/>
    <cellStyle name="Обычный 7 13 9" xfId="43767"/>
    <cellStyle name="Процентный 7 13 9" xfId="43768"/>
    <cellStyle name="Обычный 4 3 5 9" xfId="43769"/>
    <cellStyle name="Процентный 4 3 5 9" xfId="43770"/>
    <cellStyle name="Обычный 5 3 5 9" xfId="43771"/>
    <cellStyle name="Процентный 5 3 5 9" xfId="43772"/>
    <cellStyle name="Обычный 4 2 2 5 9" xfId="43773"/>
    <cellStyle name="Процентный 4 2 2 5 9" xfId="43774"/>
    <cellStyle name="Обычный 5 2 2 5 9" xfId="43775"/>
    <cellStyle name="Процентный 5 2 2 5 9" xfId="43776"/>
    <cellStyle name="Обычный 6 2 5 9" xfId="43777"/>
    <cellStyle name="Процентный 6 2 5 9" xfId="43778"/>
    <cellStyle name="Обычный 7 2 5 9" xfId="43779"/>
    <cellStyle name="Процентный 7 2 5 9" xfId="43780"/>
    <cellStyle name="Обычный 8 152" xfId="43781"/>
    <cellStyle name="Процентный 8 152" xfId="43782"/>
    <cellStyle name="Обычный 4 60 9" xfId="43783"/>
    <cellStyle name="Процентный 4 60 9" xfId="43784"/>
    <cellStyle name="Обычный 5 53 9" xfId="43785"/>
    <cellStyle name="Процентный 5 53 9" xfId="43786"/>
    <cellStyle name="Обычный 4 2 47 9" xfId="43787"/>
    <cellStyle name="Процентный 4 2 47 9" xfId="43788"/>
    <cellStyle name="Обычный 5 2 47 9" xfId="43789"/>
    <cellStyle name="Процентный 5 2 47 9" xfId="43790"/>
    <cellStyle name="Обычный 6 44 9" xfId="43791"/>
    <cellStyle name="Процентный 6 44 9" xfId="43792"/>
    <cellStyle name="Обычный 7 14 9" xfId="43793"/>
    <cellStyle name="Процентный 7 14 9" xfId="43794"/>
    <cellStyle name="Обычный 4 3 6 9" xfId="43795"/>
    <cellStyle name="Процентный 4 3 6 9" xfId="43796"/>
    <cellStyle name="Обычный 5 3 6 9" xfId="43797"/>
    <cellStyle name="Процентный 5 3 6 9" xfId="43798"/>
    <cellStyle name="Обычный 4 2 2 6 9" xfId="43799"/>
    <cellStyle name="Процентный 4 2 2 6 9" xfId="43800"/>
    <cellStyle name="Обычный 5 2 2 6 9" xfId="43801"/>
    <cellStyle name="Процентный 5 2 2 6 9" xfId="43802"/>
    <cellStyle name="Обычный 6 2 6 9" xfId="43803"/>
    <cellStyle name="Процентный 6 2 6 9" xfId="43804"/>
    <cellStyle name="Обычный 7 2 6 9" xfId="43805"/>
    <cellStyle name="Процентный 7 2 6 9" xfId="43806"/>
    <cellStyle name="Обычный 8 2 9" xfId="43807"/>
    <cellStyle name="Процентный 8 2 9" xfId="43808"/>
    <cellStyle name="Обычный 4 61 9" xfId="43809"/>
    <cellStyle name="Процентный 4 61 9" xfId="43810"/>
    <cellStyle name="Обычный 5 54 9" xfId="43811"/>
    <cellStyle name="Процентный 5 54 9" xfId="43812"/>
    <cellStyle name="Обычный 4 2 48 9" xfId="43813"/>
    <cellStyle name="Процентный 4 2 48 9" xfId="43814"/>
    <cellStyle name="Обычный 5 2 48 9" xfId="43815"/>
    <cellStyle name="Процентный 5 2 48 9" xfId="43816"/>
    <cellStyle name="Обычный 6 45 9" xfId="43817"/>
    <cellStyle name="Процентный 6 45 9" xfId="43818"/>
    <cellStyle name="Обычный 7 15 9" xfId="43819"/>
    <cellStyle name="Процентный 7 15 9" xfId="43820"/>
    <cellStyle name="Обычный 4 3 7 9" xfId="43821"/>
    <cellStyle name="Процентный 4 3 7 9" xfId="43822"/>
    <cellStyle name="Обычный 5 3 7 9" xfId="43823"/>
    <cellStyle name="Процентный 5 3 7 9" xfId="43824"/>
    <cellStyle name="Обычный 4 2 2 7 9" xfId="43825"/>
    <cellStyle name="Процентный 4 2 2 7 9" xfId="43826"/>
    <cellStyle name="Обычный 5 2 2 7 9" xfId="43827"/>
    <cellStyle name="Процентный 5 2 2 7 9" xfId="43828"/>
    <cellStyle name="Обычный 6 2 7 9" xfId="43829"/>
    <cellStyle name="Процентный 6 2 7 9" xfId="43830"/>
    <cellStyle name="Обычный 7 2 7 9" xfId="43831"/>
    <cellStyle name="Процентный 7 2 7 9" xfId="43832"/>
    <cellStyle name="Обычный 8 3 9" xfId="43833"/>
    <cellStyle name="Процентный 8 3 9" xfId="43834"/>
    <cellStyle name="Обычный 4 62 9" xfId="43835"/>
    <cellStyle name="Процентный 4 62 9" xfId="43836"/>
    <cellStyle name="Обычный 5 55 9" xfId="43837"/>
    <cellStyle name="Процентный 5 55 9" xfId="43838"/>
    <cellStyle name="Обычный 4 2 49 9" xfId="43839"/>
    <cellStyle name="Процентный 4 2 49 9" xfId="43840"/>
    <cellStyle name="Обычный 5 2 49 9" xfId="43841"/>
    <cellStyle name="Процентный 5 2 49 9" xfId="43842"/>
    <cellStyle name="Обычный 6 46 9" xfId="43843"/>
    <cellStyle name="Процентный 6 46 9" xfId="43844"/>
    <cellStyle name="Обычный 7 16 9" xfId="43845"/>
    <cellStyle name="Процентный 7 16 9" xfId="43846"/>
    <cellStyle name="Обычный 4 3 8 9" xfId="43847"/>
    <cellStyle name="Процентный 4 3 8 9" xfId="43848"/>
    <cellStyle name="Обычный 5 3 8 9" xfId="43849"/>
    <cellStyle name="Процентный 5 3 8 9" xfId="43850"/>
    <cellStyle name="Обычный 4 2 2 8 9" xfId="43851"/>
    <cellStyle name="Процентный 4 2 2 8 9" xfId="43852"/>
    <cellStyle name="Обычный 5 2 2 8 9" xfId="43853"/>
    <cellStyle name="Процентный 5 2 2 8 9" xfId="43854"/>
    <cellStyle name="Обычный 6 2 8 9" xfId="43855"/>
    <cellStyle name="Процентный 6 2 8 9" xfId="43856"/>
    <cellStyle name="Обычный 7 2 8 9" xfId="43857"/>
    <cellStyle name="Процентный 7 2 8 9" xfId="43858"/>
    <cellStyle name="Обычный 8 4 9" xfId="43859"/>
    <cellStyle name="Процентный 8 4 9" xfId="43860"/>
    <cellStyle name="Обычный 4 63 9" xfId="43861"/>
    <cellStyle name="Процентный 4 63 9" xfId="43862"/>
    <cellStyle name="Обычный 5 56 9" xfId="43863"/>
    <cellStyle name="Процентный 5 56 9" xfId="43864"/>
    <cellStyle name="Обычный 4 2 50 9" xfId="43865"/>
    <cellStyle name="Процентный 4 2 50 9" xfId="43866"/>
    <cellStyle name="Обычный 5 2 50 9" xfId="43867"/>
    <cellStyle name="Процентный 5 2 50 9" xfId="43868"/>
    <cellStyle name="Обычный 6 47 9" xfId="43869"/>
    <cellStyle name="Процентный 6 47 9" xfId="43870"/>
    <cellStyle name="Обычный 7 17 9" xfId="43871"/>
    <cellStyle name="Процентный 7 17 9" xfId="43872"/>
    <cellStyle name="Обычный 4 3 9 9" xfId="43873"/>
    <cellStyle name="Процентный 4 3 9 9" xfId="43874"/>
    <cellStyle name="Обычный 5 3 9 9" xfId="43875"/>
    <cellStyle name="Процентный 5 3 9 9" xfId="43876"/>
    <cellStyle name="Обычный 4 2 2 9 9" xfId="43877"/>
    <cellStyle name="Процентный 4 2 2 9 9" xfId="43878"/>
    <cellStyle name="Обычный 5 2 2 9 9" xfId="43879"/>
    <cellStyle name="Процентный 5 2 2 9 9" xfId="43880"/>
    <cellStyle name="Обычный 6 2 9 9" xfId="43881"/>
    <cellStyle name="Процентный 6 2 9 9" xfId="43882"/>
    <cellStyle name="Обычный 7 2 9 9" xfId="43883"/>
    <cellStyle name="Процентный 7 2 9 9" xfId="43884"/>
    <cellStyle name="Обычный 8 5 9" xfId="43885"/>
    <cellStyle name="Процентный 8 5 9" xfId="43886"/>
    <cellStyle name="Обычный 4 64 9" xfId="43887"/>
    <cellStyle name="Процентный 4 64 9" xfId="43888"/>
    <cellStyle name="Обычный 5 57 9" xfId="43889"/>
    <cellStyle name="Процентный 5 57 9" xfId="43890"/>
    <cellStyle name="Обычный 4 2 51 9" xfId="43891"/>
    <cellStyle name="Процентный 4 2 51 9" xfId="43892"/>
    <cellStyle name="Обычный 5 2 51 9" xfId="43893"/>
    <cellStyle name="Процентный 5 2 51 9" xfId="43894"/>
    <cellStyle name="Обычный 6 48 9" xfId="43895"/>
    <cellStyle name="Процентный 6 48 9" xfId="43896"/>
    <cellStyle name="Обычный 7 18 9" xfId="43897"/>
    <cellStyle name="Процентный 7 18 9" xfId="43898"/>
    <cellStyle name="Обычный 4 3 10 9" xfId="43899"/>
    <cellStyle name="Процентный 4 3 10 9" xfId="43900"/>
    <cellStyle name="Обычный 5 3 10 9" xfId="43901"/>
    <cellStyle name="Процентный 5 3 10 9" xfId="43902"/>
    <cellStyle name="Обычный 4 2 2 10 9" xfId="43903"/>
    <cellStyle name="Процентный 4 2 2 10 9" xfId="43904"/>
    <cellStyle name="Обычный 5 2 2 10 9" xfId="43905"/>
    <cellStyle name="Процентный 5 2 2 10 9" xfId="43906"/>
    <cellStyle name="Обычный 6 2 10 9" xfId="43907"/>
    <cellStyle name="Процентный 6 2 10 9" xfId="43908"/>
    <cellStyle name="Обычный 7 2 10 9" xfId="43909"/>
    <cellStyle name="Процентный 7 2 10 9" xfId="43910"/>
    <cellStyle name="Обычный 8 6 9" xfId="43911"/>
    <cellStyle name="Процентный 8 6 9" xfId="43912"/>
    <cellStyle name="Обычный 4 65 9" xfId="43913"/>
    <cellStyle name="Процентный 4 65 9" xfId="43914"/>
    <cellStyle name="Обычный 5 58 9" xfId="43915"/>
    <cellStyle name="Процентный 5 58 9" xfId="43916"/>
    <cellStyle name="Обычный 4 2 52 9" xfId="43917"/>
    <cellStyle name="Процентный 4 2 52 9" xfId="43918"/>
    <cellStyle name="Обычный 5 2 52 9" xfId="43919"/>
    <cellStyle name="Процентный 5 2 52 9" xfId="43920"/>
    <cellStyle name="Обычный 6 49 9" xfId="43921"/>
    <cellStyle name="Процентный 6 49 9" xfId="43922"/>
    <cellStyle name="Обычный 7 19 9" xfId="43923"/>
    <cellStyle name="Процентный 7 19 9" xfId="43924"/>
    <cellStyle name="Обычный 4 3 11 9" xfId="43925"/>
    <cellStyle name="Процентный 4 3 11 9" xfId="43926"/>
    <cellStyle name="Обычный 5 3 11 9" xfId="43927"/>
    <cellStyle name="Процентный 5 3 11 9" xfId="43928"/>
    <cellStyle name="Обычный 4 2 2 11 9" xfId="43929"/>
    <cellStyle name="Процентный 4 2 2 11 9" xfId="43930"/>
    <cellStyle name="Обычный 5 2 2 11 9" xfId="43931"/>
    <cellStyle name="Процентный 5 2 2 11 9" xfId="43932"/>
    <cellStyle name="Обычный 6 2 11 9" xfId="43933"/>
    <cellStyle name="Процентный 6 2 11 9" xfId="43934"/>
    <cellStyle name="Обычный 7 2 11 9" xfId="43935"/>
    <cellStyle name="Процентный 7 2 11 9" xfId="43936"/>
    <cellStyle name="Обычный 8 7 9" xfId="43937"/>
    <cellStyle name="Процентный 8 7 9" xfId="43938"/>
    <cellStyle name="Обычный 4 66 9" xfId="43939"/>
    <cellStyle name="Процентный 4 66 9" xfId="43940"/>
    <cellStyle name="Обычный 5 59 9" xfId="43941"/>
    <cellStyle name="Процентный 5 59 9" xfId="43942"/>
    <cellStyle name="Обычный 4 2 53 9" xfId="43943"/>
    <cellStyle name="Процентный 4 2 53 9" xfId="43944"/>
    <cellStyle name="Обычный 5 2 53 9" xfId="43945"/>
    <cellStyle name="Процентный 5 2 53 9" xfId="43946"/>
    <cellStyle name="Обычный 6 50 9" xfId="43947"/>
    <cellStyle name="Процентный 6 50 9" xfId="43948"/>
    <cellStyle name="Обычный 7 20 9" xfId="43949"/>
    <cellStyle name="Процентный 7 20 9" xfId="43950"/>
    <cellStyle name="Обычный 4 3 12 9" xfId="43951"/>
    <cellStyle name="Процентный 4 3 12 9" xfId="43952"/>
    <cellStyle name="Обычный 5 3 12 9" xfId="43953"/>
    <cellStyle name="Процентный 5 3 12 9" xfId="43954"/>
    <cellStyle name="Обычный 4 2 2 12 9" xfId="43955"/>
    <cellStyle name="Процентный 4 2 2 12 9" xfId="43956"/>
    <cellStyle name="Обычный 5 2 2 12 9" xfId="43957"/>
    <cellStyle name="Процентный 5 2 2 12 9" xfId="43958"/>
    <cellStyle name="Обычный 6 2 12 9" xfId="43959"/>
    <cellStyle name="Процентный 6 2 12 9" xfId="43960"/>
    <cellStyle name="Обычный 7 2 12 9" xfId="43961"/>
    <cellStyle name="Процентный 7 2 12 9" xfId="43962"/>
    <cellStyle name="Обычный 8 8 9" xfId="43963"/>
    <cellStyle name="Процентный 8 8 9" xfId="43964"/>
    <cellStyle name="Обычный 4 67 9" xfId="43965"/>
    <cellStyle name="Процентный 4 67 9" xfId="43966"/>
    <cellStyle name="Обычный 5 60 9" xfId="43967"/>
    <cellStyle name="Процентный 5 60 9" xfId="43968"/>
    <cellStyle name="Обычный 4 2 54 9" xfId="43969"/>
    <cellStyle name="Процентный 4 2 54 9" xfId="43970"/>
    <cellStyle name="Обычный 5 2 54 9" xfId="43971"/>
    <cellStyle name="Процентный 5 2 54 9" xfId="43972"/>
    <cellStyle name="Обычный 6 51 9" xfId="43973"/>
    <cellStyle name="Процентный 6 51 9" xfId="43974"/>
    <cellStyle name="Обычный 7 21 9" xfId="43975"/>
    <cellStyle name="Процентный 7 21 9" xfId="43976"/>
    <cellStyle name="Обычный 4 3 13 9" xfId="43977"/>
    <cellStyle name="Процентный 4 3 13 9" xfId="43978"/>
    <cellStyle name="Обычный 5 3 13 9" xfId="43979"/>
    <cellStyle name="Процентный 5 3 13 9" xfId="43980"/>
    <cellStyle name="Обычный 4 2 2 13 9" xfId="43981"/>
    <cellStyle name="Процентный 4 2 2 13 9" xfId="43982"/>
    <cellStyle name="Обычный 5 2 2 13 9" xfId="43983"/>
    <cellStyle name="Процентный 5 2 2 13 9" xfId="43984"/>
    <cellStyle name="Обычный 6 2 13 9" xfId="43985"/>
    <cellStyle name="Процентный 6 2 13 9" xfId="43986"/>
    <cellStyle name="Обычный 7 2 13 9" xfId="43987"/>
    <cellStyle name="Процентный 7 2 13 9" xfId="43988"/>
    <cellStyle name="Обычный 8 9 9" xfId="43989"/>
    <cellStyle name="Процентный 8 9 9" xfId="43990"/>
    <cellStyle name="Обычный 4 68 9" xfId="43991"/>
    <cellStyle name="Процентный 4 68 9" xfId="43992"/>
    <cellStyle name="Обычный 5 61 9" xfId="43993"/>
    <cellStyle name="Процентный 5 61 9" xfId="43994"/>
    <cellStyle name="Обычный 4 2 55 9" xfId="43995"/>
    <cellStyle name="Процентный 4 2 55 9" xfId="43996"/>
    <cellStyle name="Обычный 5 2 55 9" xfId="43997"/>
    <cellStyle name="Процентный 5 2 55 9" xfId="43998"/>
    <cellStyle name="Обычный 6 52 9" xfId="43999"/>
    <cellStyle name="Процентный 6 52 9" xfId="44000"/>
    <cellStyle name="Обычный 7 22 9" xfId="44001"/>
    <cellStyle name="Процентный 7 22 9" xfId="44002"/>
    <cellStyle name="Обычный 4 3 14 9" xfId="44003"/>
    <cellStyle name="Процентный 4 3 14 9" xfId="44004"/>
    <cellStyle name="Обычный 5 3 14 9" xfId="44005"/>
    <cellStyle name="Процентный 5 3 14 9" xfId="44006"/>
    <cellStyle name="Обычный 4 2 2 14 9" xfId="44007"/>
    <cellStyle name="Процентный 4 2 2 14 9" xfId="44008"/>
    <cellStyle name="Обычный 5 2 2 14 9" xfId="44009"/>
    <cellStyle name="Процентный 5 2 2 14 9" xfId="44010"/>
    <cellStyle name="Обычный 6 2 14 9" xfId="44011"/>
    <cellStyle name="Процентный 6 2 14 9" xfId="44012"/>
    <cellStyle name="Обычный 7 2 14 9" xfId="44013"/>
    <cellStyle name="Процентный 7 2 14 9" xfId="44014"/>
    <cellStyle name="Обычный 8 10 9" xfId="44015"/>
    <cellStyle name="Процентный 8 10 9" xfId="44016"/>
    <cellStyle name="Обычный 4 69 9" xfId="44017"/>
    <cellStyle name="Процентный 4 69 9" xfId="44018"/>
    <cellStyle name="Обычный 5 62 9" xfId="44019"/>
    <cellStyle name="Процентный 5 62 9" xfId="44020"/>
    <cellStyle name="Обычный 4 2 56 9" xfId="44021"/>
    <cellStyle name="Процентный 4 2 56 9" xfId="44022"/>
    <cellStyle name="Обычный 5 2 56 9" xfId="44023"/>
    <cellStyle name="Процентный 5 2 56 9" xfId="44024"/>
    <cellStyle name="Обычный 6 53 9" xfId="44025"/>
    <cellStyle name="Процентный 6 53 9" xfId="44026"/>
    <cellStyle name="Обычный 7 23 9" xfId="44027"/>
    <cellStyle name="Процентный 7 23 9" xfId="44028"/>
    <cellStyle name="Обычный 4 3 15 9" xfId="44029"/>
    <cellStyle name="Процентный 4 3 15 9" xfId="44030"/>
    <cellStyle name="Обычный 5 3 15 9" xfId="44031"/>
    <cellStyle name="Процентный 5 3 15 9" xfId="44032"/>
    <cellStyle name="Обычный 4 2 2 15 9" xfId="44033"/>
    <cellStyle name="Процентный 4 2 2 15 9" xfId="44034"/>
    <cellStyle name="Обычный 5 2 2 15 9" xfId="44035"/>
    <cellStyle name="Процентный 5 2 2 15 9" xfId="44036"/>
    <cellStyle name="Обычный 6 2 15 9" xfId="44037"/>
    <cellStyle name="Процентный 6 2 15 9" xfId="44038"/>
    <cellStyle name="Обычный 7 2 15 9" xfId="44039"/>
    <cellStyle name="Процентный 7 2 15 9" xfId="44040"/>
    <cellStyle name="Обычный 8 11 9" xfId="44041"/>
    <cellStyle name="Процентный 8 11 9" xfId="44042"/>
    <cellStyle name="Обычный 4 70 9" xfId="44043"/>
    <cellStyle name="Процентный 4 70 9" xfId="44044"/>
    <cellStyle name="Обычный 5 63 9" xfId="44045"/>
    <cellStyle name="Процентный 5 63 9" xfId="44046"/>
    <cellStyle name="Обычный 4 2 57 9" xfId="44047"/>
    <cellStyle name="Процентный 4 2 57 9" xfId="44048"/>
    <cellStyle name="Обычный 5 2 57 9" xfId="44049"/>
    <cellStyle name="Процентный 5 2 57 9" xfId="44050"/>
    <cellStyle name="Обычный 6 54 9" xfId="44051"/>
    <cellStyle name="Процентный 6 54 9" xfId="44052"/>
    <cellStyle name="Обычный 7 24 9" xfId="44053"/>
    <cellStyle name="Процентный 7 24 9" xfId="44054"/>
    <cellStyle name="Обычный 4 3 16 9" xfId="44055"/>
    <cellStyle name="Процентный 4 3 16 9" xfId="44056"/>
    <cellStyle name="Обычный 5 3 16 9" xfId="44057"/>
    <cellStyle name="Процентный 5 3 16 9" xfId="44058"/>
    <cellStyle name="Обычный 4 2 2 16 9" xfId="44059"/>
    <cellStyle name="Процентный 4 2 2 16 9" xfId="44060"/>
    <cellStyle name="Обычный 5 2 2 16 9" xfId="44061"/>
    <cellStyle name="Процентный 5 2 2 16 9" xfId="44062"/>
    <cellStyle name="Обычный 6 2 16 9" xfId="44063"/>
    <cellStyle name="Процентный 6 2 16 9" xfId="44064"/>
    <cellStyle name="Обычный 7 2 16 9" xfId="44065"/>
    <cellStyle name="Процентный 7 2 16 9" xfId="44066"/>
    <cellStyle name="Обычный 8 12 9" xfId="44067"/>
    <cellStyle name="Процентный 8 12 9" xfId="44068"/>
    <cellStyle name="Обычный 4 71 9" xfId="44069"/>
    <cellStyle name="Процентный 4 71 9" xfId="44070"/>
    <cellStyle name="Обычный 5 64 9" xfId="44071"/>
    <cellStyle name="Процентный 5 64 9" xfId="44072"/>
    <cellStyle name="Обычный 4 2 58 9" xfId="44073"/>
    <cellStyle name="Процентный 4 2 58 9" xfId="44074"/>
    <cellStyle name="Обычный 5 2 58 9" xfId="44075"/>
    <cellStyle name="Процентный 5 2 58 9" xfId="44076"/>
    <cellStyle name="Обычный 6 55 9" xfId="44077"/>
    <cellStyle name="Процентный 6 55 9" xfId="44078"/>
    <cellStyle name="Обычный 7 25 9" xfId="44079"/>
    <cellStyle name="Процентный 7 25 9" xfId="44080"/>
    <cellStyle name="Обычный 4 3 17 9" xfId="44081"/>
    <cellStyle name="Процентный 4 3 17 9" xfId="44082"/>
    <cellStyle name="Обычный 5 3 17 9" xfId="44083"/>
    <cellStyle name="Процентный 5 3 17 9" xfId="44084"/>
    <cellStyle name="Обычный 4 2 2 17 9" xfId="44085"/>
    <cellStyle name="Процентный 4 2 2 17 9" xfId="44086"/>
    <cellStyle name="Обычный 5 2 2 17 9" xfId="44087"/>
    <cellStyle name="Процентный 5 2 2 17 9" xfId="44088"/>
    <cellStyle name="Обычный 6 2 17 9" xfId="44089"/>
    <cellStyle name="Процентный 6 2 17 9" xfId="44090"/>
    <cellStyle name="Обычный 7 2 17 9" xfId="44091"/>
    <cellStyle name="Процентный 7 2 17 9" xfId="44092"/>
    <cellStyle name="Обычный 8 13 9" xfId="44093"/>
    <cellStyle name="Процентный 8 13 9" xfId="44094"/>
    <cellStyle name="Обычный 4 72 9" xfId="44095"/>
    <cellStyle name="Процентный 4 72 9" xfId="44096"/>
    <cellStyle name="Обычный 5 65 9" xfId="44097"/>
    <cellStyle name="Процентный 5 65 9" xfId="44098"/>
    <cellStyle name="Обычный 4 2 59 9" xfId="44099"/>
    <cellStyle name="Процентный 4 2 59 9" xfId="44100"/>
    <cellStyle name="Обычный 5 2 59 9" xfId="44101"/>
    <cellStyle name="Процентный 5 2 59 9" xfId="44102"/>
    <cellStyle name="Обычный 6 56 9" xfId="44103"/>
    <cellStyle name="Процентный 6 56 9" xfId="44104"/>
    <cellStyle name="Обычный 7 26 9" xfId="44105"/>
    <cellStyle name="Процентный 7 26 9" xfId="44106"/>
    <cellStyle name="Обычный 4 3 18 9" xfId="44107"/>
    <cellStyle name="Процентный 4 3 18 9" xfId="44108"/>
    <cellStyle name="Обычный 5 3 18 9" xfId="44109"/>
    <cellStyle name="Процентный 5 3 18 9" xfId="44110"/>
    <cellStyle name="Обычный 4 2 2 18 9" xfId="44111"/>
    <cellStyle name="Процентный 4 2 2 18 9" xfId="44112"/>
    <cellStyle name="Обычный 5 2 2 18 9" xfId="44113"/>
    <cellStyle name="Процентный 5 2 2 18 9" xfId="44114"/>
    <cellStyle name="Обычный 6 2 18 9" xfId="44115"/>
    <cellStyle name="Процентный 6 2 18 9" xfId="44116"/>
    <cellStyle name="Обычный 7 2 18 9" xfId="44117"/>
    <cellStyle name="Процентный 7 2 18 9" xfId="44118"/>
    <cellStyle name="Обычный 8 14 9" xfId="44119"/>
    <cellStyle name="Процентный 8 14 9" xfId="44120"/>
    <cellStyle name="Обычный 4 73 9" xfId="44121"/>
    <cellStyle name="Процентный 4 73 9" xfId="44122"/>
    <cellStyle name="Обычный 5 66 9" xfId="44123"/>
    <cellStyle name="Процентный 5 66 9" xfId="44124"/>
    <cellStyle name="Обычный 4 2 60 9" xfId="44125"/>
    <cellStyle name="Процентный 4 2 60 9" xfId="44126"/>
    <cellStyle name="Обычный 5 2 60 9" xfId="44127"/>
    <cellStyle name="Процентный 5 2 60 9" xfId="44128"/>
    <cellStyle name="Обычный 6 57 9" xfId="44129"/>
    <cellStyle name="Процентный 6 57 9" xfId="44130"/>
    <cellStyle name="Обычный 7 27 9" xfId="44131"/>
    <cellStyle name="Процентный 7 27 9" xfId="44132"/>
    <cellStyle name="Обычный 4 3 19 9" xfId="44133"/>
    <cellStyle name="Процентный 4 3 19 9" xfId="44134"/>
    <cellStyle name="Обычный 5 3 19 9" xfId="44135"/>
    <cellStyle name="Процентный 5 3 19 9" xfId="44136"/>
    <cellStyle name="Обычный 4 2 2 19 9" xfId="44137"/>
    <cellStyle name="Процентный 4 2 2 19 9" xfId="44138"/>
    <cellStyle name="Обычный 5 2 2 19 9" xfId="44139"/>
    <cellStyle name="Процентный 5 2 2 19 9" xfId="44140"/>
    <cellStyle name="Обычный 6 2 19 9" xfId="44141"/>
    <cellStyle name="Процентный 6 2 19 9" xfId="44142"/>
    <cellStyle name="Обычный 7 2 19 9" xfId="44143"/>
    <cellStyle name="Процентный 7 2 19 9" xfId="44144"/>
    <cellStyle name="Обычный 8 15 9" xfId="44145"/>
    <cellStyle name="Процентный 8 15 9" xfId="44146"/>
    <cellStyle name="Обычный 4 74 9" xfId="44147"/>
    <cellStyle name="Процентный 4 74 9" xfId="44148"/>
    <cellStyle name="Обычный 5 67 9" xfId="44149"/>
    <cellStyle name="Процентный 5 67 9" xfId="44150"/>
    <cellStyle name="Обычный 4 2 61 9" xfId="44151"/>
    <cellStyle name="Процентный 4 2 61 9" xfId="44152"/>
    <cellStyle name="Обычный 5 2 61 9" xfId="44153"/>
    <cellStyle name="Процентный 5 2 61 9" xfId="44154"/>
    <cellStyle name="Обычный 6 58 9" xfId="44155"/>
    <cellStyle name="Процентный 6 58 9" xfId="44156"/>
    <cellStyle name="Обычный 7 28 9" xfId="44157"/>
    <cellStyle name="Процентный 7 28 9" xfId="44158"/>
    <cellStyle name="Обычный 4 3 20 9" xfId="44159"/>
    <cellStyle name="Процентный 4 3 20 9" xfId="44160"/>
    <cellStyle name="Обычный 5 3 20 9" xfId="44161"/>
    <cellStyle name="Процентный 5 3 20 9" xfId="44162"/>
    <cellStyle name="Обычный 4 2 2 20 9" xfId="44163"/>
    <cellStyle name="Процентный 4 2 2 20 9" xfId="44164"/>
    <cellStyle name="Обычный 5 2 2 20 9" xfId="44165"/>
    <cellStyle name="Процентный 5 2 2 20 9" xfId="44166"/>
    <cellStyle name="Обычный 6 2 20 9" xfId="44167"/>
    <cellStyle name="Процентный 6 2 20 9" xfId="44168"/>
    <cellStyle name="Обычный 7 2 20 9" xfId="44169"/>
    <cellStyle name="Процентный 7 2 20 9" xfId="44170"/>
    <cellStyle name="Обычный 8 16 9" xfId="44171"/>
    <cellStyle name="Процентный 8 16 9" xfId="44172"/>
    <cellStyle name="Обычный 4 75 9" xfId="44173"/>
    <cellStyle name="Процентный 4 75 9" xfId="44174"/>
    <cellStyle name="Обычный 5 68 9" xfId="44175"/>
    <cellStyle name="Процентный 5 68 9" xfId="44176"/>
    <cellStyle name="Обычный 4 2 62 9" xfId="44177"/>
    <cellStyle name="Процентный 4 2 62 9" xfId="44178"/>
    <cellStyle name="Обычный 5 2 62 9" xfId="44179"/>
    <cellStyle name="Процентный 5 2 62 9" xfId="44180"/>
    <cellStyle name="Обычный 6 59 9" xfId="44181"/>
    <cellStyle name="Процентный 6 59 9" xfId="44182"/>
    <cellStyle name="Обычный 7 29 9" xfId="44183"/>
    <cellStyle name="Процентный 7 29 9" xfId="44184"/>
    <cellStyle name="Обычный 4 3 21 9" xfId="44185"/>
    <cellStyle name="Процентный 4 3 21 9" xfId="44186"/>
    <cellStyle name="Обычный 5 3 21 9" xfId="44187"/>
    <cellStyle name="Процентный 5 3 21 9" xfId="44188"/>
    <cellStyle name="Обычный 4 2 2 21 9" xfId="44189"/>
    <cellStyle name="Процентный 4 2 2 21 9" xfId="44190"/>
    <cellStyle name="Обычный 5 2 2 21 9" xfId="44191"/>
    <cellStyle name="Процентный 5 2 2 21 9" xfId="44192"/>
    <cellStyle name="Обычный 6 2 21 9" xfId="44193"/>
    <cellStyle name="Процентный 6 2 21 9" xfId="44194"/>
    <cellStyle name="Обычный 7 2 21 9" xfId="44195"/>
    <cellStyle name="Процентный 7 2 21 9" xfId="44196"/>
    <cellStyle name="Обычный 8 17 9" xfId="44197"/>
    <cellStyle name="Процентный 8 17 9" xfId="44198"/>
    <cellStyle name="Обычный 4 76 9" xfId="44199"/>
    <cellStyle name="Процентный 4 76 9" xfId="44200"/>
    <cellStyle name="Обычный 5 69 9" xfId="44201"/>
    <cellStyle name="Процентный 5 69 9" xfId="44202"/>
    <cellStyle name="Обычный 4 2 63 9" xfId="44203"/>
    <cellStyle name="Процентный 4 2 63 9" xfId="44204"/>
    <cellStyle name="Обычный 5 2 63 9" xfId="44205"/>
    <cellStyle name="Процентный 5 2 63 9" xfId="44206"/>
    <cellStyle name="Обычный 6 60 9" xfId="44207"/>
    <cellStyle name="Процентный 6 60 9" xfId="44208"/>
    <cellStyle name="Обычный 7 30 9" xfId="44209"/>
    <cellStyle name="Процентный 7 30 9" xfId="44210"/>
    <cellStyle name="Обычный 4 3 22 9" xfId="44211"/>
    <cellStyle name="Процентный 4 3 22 9" xfId="44212"/>
    <cellStyle name="Обычный 5 3 22 9" xfId="44213"/>
    <cellStyle name="Процентный 5 3 22 9" xfId="44214"/>
    <cellStyle name="Обычный 4 2 2 22 9" xfId="44215"/>
    <cellStyle name="Процентный 4 2 2 22 9" xfId="44216"/>
    <cellStyle name="Обычный 5 2 2 22 9" xfId="44217"/>
    <cellStyle name="Процентный 5 2 2 22 9" xfId="44218"/>
    <cellStyle name="Обычный 6 2 22 9" xfId="44219"/>
    <cellStyle name="Процентный 6 2 22 9" xfId="44220"/>
    <cellStyle name="Обычный 7 2 22 9" xfId="44221"/>
    <cellStyle name="Процентный 7 2 22 9" xfId="44222"/>
    <cellStyle name="Обычный 8 18 9" xfId="44223"/>
    <cellStyle name="Процентный 8 18 9" xfId="44224"/>
    <cellStyle name="Обычный 4 77 9" xfId="44225"/>
    <cellStyle name="Процентный 4 77 9" xfId="44226"/>
    <cellStyle name="Обычный 5 70 9" xfId="44227"/>
    <cellStyle name="Процентный 5 70 9" xfId="44228"/>
    <cellStyle name="Обычный 4 2 64 9" xfId="44229"/>
    <cellStyle name="Процентный 4 2 64 9" xfId="44230"/>
    <cellStyle name="Обычный 5 2 64 9" xfId="44231"/>
    <cellStyle name="Процентный 5 2 64 9" xfId="44232"/>
    <cellStyle name="Обычный 6 61 9" xfId="44233"/>
    <cellStyle name="Процентный 6 61 9" xfId="44234"/>
    <cellStyle name="Обычный 7 31 9" xfId="44235"/>
    <cellStyle name="Процентный 7 31 9" xfId="44236"/>
    <cellStyle name="Обычный 4 3 23 9" xfId="44237"/>
    <cellStyle name="Процентный 4 3 23 9" xfId="44238"/>
    <cellStyle name="Обычный 5 3 23 9" xfId="44239"/>
    <cellStyle name="Процентный 5 3 23 9" xfId="44240"/>
    <cellStyle name="Обычный 4 2 2 23 9" xfId="44241"/>
    <cellStyle name="Процентный 4 2 2 23 9" xfId="44242"/>
    <cellStyle name="Обычный 5 2 2 23 9" xfId="44243"/>
    <cellStyle name="Процентный 5 2 2 23 9" xfId="44244"/>
    <cellStyle name="Обычный 6 2 23 9" xfId="44245"/>
    <cellStyle name="Процентный 6 2 23 9" xfId="44246"/>
    <cellStyle name="Обычный 7 2 23 9" xfId="44247"/>
    <cellStyle name="Процентный 7 2 23 9" xfId="44248"/>
    <cellStyle name="Обычный 8 19 9" xfId="44249"/>
    <cellStyle name="Процентный 8 19 9" xfId="44250"/>
    <cellStyle name="Обычный 4 78 9" xfId="44251"/>
    <cellStyle name="Процентный 4 78 9" xfId="44252"/>
    <cellStyle name="Обычный 5 71 9" xfId="44253"/>
    <cellStyle name="Процентный 5 71 9" xfId="44254"/>
    <cellStyle name="Обычный 4 2 65 9" xfId="44255"/>
    <cellStyle name="Процентный 4 2 65 9" xfId="44256"/>
    <cellStyle name="Обычный 5 2 65 9" xfId="44257"/>
    <cellStyle name="Процентный 5 2 65 9" xfId="44258"/>
    <cellStyle name="Обычный 6 62 9" xfId="44259"/>
    <cellStyle name="Процентный 6 62 9" xfId="44260"/>
    <cellStyle name="Обычный 7 32 9" xfId="44261"/>
    <cellStyle name="Процентный 7 32 9" xfId="44262"/>
    <cellStyle name="Обычный 4 3 24 9" xfId="44263"/>
    <cellStyle name="Процентный 4 3 24 9" xfId="44264"/>
    <cellStyle name="Обычный 5 3 24 9" xfId="44265"/>
    <cellStyle name="Процентный 5 3 24 9" xfId="44266"/>
    <cellStyle name="Обычный 4 2 2 24 9" xfId="44267"/>
    <cellStyle name="Процентный 4 2 2 24 9" xfId="44268"/>
    <cellStyle name="Обычный 5 2 2 24 9" xfId="44269"/>
    <cellStyle name="Процентный 5 2 2 24 9" xfId="44270"/>
    <cellStyle name="Обычный 6 2 24 9" xfId="44271"/>
    <cellStyle name="Процентный 6 2 24 9" xfId="44272"/>
    <cellStyle name="Обычный 7 2 24 9" xfId="44273"/>
    <cellStyle name="Процентный 7 2 24 9" xfId="44274"/>
    <cellStyle name="Обычный 8 20 9" xfId="44275"/>
    <cellStyle name="Процентный 8 20 9" xfId="44276"/>
    <cellStyle name="Обычный 4 79 9" xfId="44277"/>
    <cellStyle name="Процентный 4 79 9" xfId="44278"/>
    <cellStyle name="Обычный 5 72 9" xfId="44279"/>
    <cellStyle name="Процентный 5 72 9" xfId="44280"/>
    <cellStyle name="Обычный 4 2 66 9" xfId="44281"/>
    <cellStyle name="Процентный 4 2 66 9" xfId="44282"/>
    <cellStyle name="Обычный 5 2 66 9" xfId="44283"/>
    <cellStyle name="Процентный 5 2 66 9" xfId="44284"/>
    <cellStyle name="Обычный 6 63 9" xfId="44285"/>
    <cellStyle name="Процентный 6 63 9" xfId="44286"/>
    <cellStyle name="Обычный 7 33 9" xfId="44287"/>
    <cellStyle name="Процентный 7 33 9" xfId="44288"/>
    <cellStyle name="Обычный 4 3 25 9" xfId="44289"/>
    <cellStyle name="Процентный 4 3 25 9" xfId="44290"/>
    <cellStyle name="Обычный 5 3 25 9" xfId="44291"/>
    <cellStyle name="Процентный 5 3 25 9" xfId="44292"/>
    <cellStyle name="Обычный 4 2 2 25 9" xfId="44293"/>
    <cellStyle name="Процентный 4 2 2 25 9" xfId="44294"/>
    <cellStyle name="Обычный 5 2 2 25 9" xfId="44295"/>
    <cellStyle name="Процентный 5 2 2 25 9" xfId="44296"/>
    <cellStyle name="Обычный 6 2 25 9" xfId="44297"/>
    <cellStyle name="Процентный 6 2 25 9" xfId="44298"/>
    <cellStyle name="Обычный 7 2 25 9" xfId="44299"/>
    <cellStyle name="Процентный 7 2 25 9" xfId="44300"/>
    <cellStyle name="Обычный 8 21 9" xfId="44301"/>
    <cellStyle name="Процентный 8 21 9" xfId="44302"/>
    <cellStyle name="Обычный 4 80 9" xfId="44303"/>
    <cellStyle name="Процентный 4 80 9" xfId="44304"/>
    <cellStyle name="Обычный 5 73 9" xfId="44305"/>
    <cellStyle name="Процентный 5 73 9" xfId="44306"/>
    <cellStyle name="Обычный 4 2 67 9" xfId="44307"/>
    <cellStyle name="Процентный 4 2 67 9" xfId="44308"/>
    <cellStyle name="Обычный 5 2 67 9" xfId="44309"/>
    <cellStyle name="Процентный 5 2 67 9" xfId="44310"/>
    <cellStyle name="Обычный 6 64 9" xfId="44311"/>
    <cellStyle name="Процентный 6 64 9" xfId="44312"/>
    <cellStyle name="Обычный 7 34 9" xfId="44313"/>
    <cellStyle name="Процентный 7 34 9" xfId="44314"/>
    <cellStyle name="Обычный 4 3 26 9" xfId="44315"/>
    <cellStyle name="Процентный 4 3 26 9" xfId="44316"/>
    <cellStyle name="Обычный 5 3 26 9" xfId="44317"/>
    <cellStyle name="Процентный 5 3 26 9" xfId="44318"/>
    <cellStyle name="Обычный 4 2 2 26 9" xfId="44319"/>
    <cellStyle name="Процентный 4 2 2 26 9" xfId="44320"/>
    <cellStyle name="Обычный 5 2 2 26 9" xfId="44321"/>
    <cellStyle name="Процентный 5 2 2 26 9" xfId="44322"/>
    <cellStyle name="Обычный 6 2 26 9" xfId="44323"/>
    <cellStyle name="Процентный 6 2 26 9" xfId="44324"/>
    <cellStyle name="Обычный 7 2 26 9" xfId="44325"/>
    <cellStyle name="Процентный 7 2 26 9" xfId="44326"/>
    <cellStyle name="Обычный 8 22 9" xfId="44327"/>
    <cellStyle name="Процентный 8 22 9" xfId="44328"/>
    <cellStyle name="Обычный 4 81 9" xfId="44329"/>
    <cellStyle name="Процентный 4 81 9" xfId="44330"/>
    <cellStyle name="Обычный 5 74 9" xfId="44331"/>
    <cellStyle name="Процентный 5 74 9" xfId="44332"/>
    <cellStyle name="Обычный 4 2 68 9" xfId="44333"/>
    <cellStyle name="Процентный 4 2 68 9" xfId="44334"/>
    <cellStyle name="Обычный 5 2 68 9" xfId="44335"/>
    <cellStyle name="Процентный 5 2 68 9" xfId="44336"/>
    <cellStyle name="Обычный 6 65 9" xfId="44337"/>
    <cellStyle name="Процентный 6 65 9" xfId="44338"/>
    <cellStyle name="Обычный 7 35 9" xfId="44339"/>
    <cellStyle name="Процентный 7 35 9" xfId="44340"/>
    <cellStyle name="Обычный 4 3 27 9" xfId="44341"/>
    <cellStyle name="Процентный 4 3 27 9" xfId="44342"/>
    <cellStyle name="Обычный 5 3 27 9" xfId="44343"/>
    <cellStyle name="Процентный 5 3 27 9" xfId="44344"/>
    <cellStyle name="Обычный 4 2 2 27 9" xfId="44345"/>
    <cellStyle name="Процентный 4 2 2 27 9" xfId="44346"/>
    <cellStyle name="Обычный 5 2 2 27 9" xfId="44347"/>
    <cellStyle name="Процентный 5 2 2 27 9" xfId="44348"/>
    <cellStyle name="Обычный 6 2 27 9" xfId="44349"/>
    <cellStyle name="Процентный 6 2 27 9" xfId="44350"/>
    <cellStyle name="Обычный 7 2 27 9" xfId="44351"/>
    <cellStyle name="Процентный 7 2 27 9" xfId="44352"/>
    <cellStyle name="Обычный 8 23 9" xfId="44353"/>
    <cellStyle name="Процентный 8 23 9" xfId="44354"/>
    <cellStyle name="Обычный 4 82 9" xfId="44355"/>
    <cellStyle name="Процентный 4 82 9" xfId="44356"/>
    <cellStyle name="Обычный 5 75 9" xfId="44357"/>
    <cellStyle name="Процентный 5 75 9" xfId="44358"/>
    <cellStyle name="Обычный 4 2 69 9" xfId="44359"/>
    <cellStyle name="Процентный 4 2 69 9" xfId="44360"/>
    <cellStyle name="Обычный 5 2 69 9" xfId="44361"/>
    <cellStyle name="Процентный 5 2 69 9" xfId="44362"/>
    <cellStyle name="Обычный 6 66 9" xfId="44363"/>
    <cellStyle name="Процентный 6 66 9" xfId="44364"/>
    <cellStyle name="Обычный 7 36 9" xfId="44365"/>
    <cellStyle name="Процентный 7 36 9" xfId="44366"/>
    <cellStyle name="Обычный 4 3 28 9" xfId="44367"/>
    <cellStyle name="Процентный 4 3 28 9" xfId="44368"/>
    <cellStyle name="Обычный 5 3 28 9" xfId="44369"/>
    <cellStyle name="Процентный 5 3 28 9" xfId="44370"/>
    <cellStyle name="Обычный 4 2 2 28 9" xfId="44371"/>
    <cellStyle name="Процентный 4 2 2 28 9" xfId="44372"/>
    <cellStyle name="Обычный 5 2 2 28 9" xfId="44373"/>
    <cellStyle name="Процентный 5 2 2 28 9" xfId="44374"/>
    <cellStyle name="Обычный 6 2 28 9" xfId="44375"/>
    <cellStyle name="Процентный 6 2 28 9" xfId="44376"/>
    <cellStyle name="Обычный 7 2 28 9" xfId="44377"/>
    <cellStyle name="Процентный 7 2 28 9" xfId="44378"/>
    <cellStyle name="Обычный 8 24 9" xfId="44379"/>
    <cellStyle name="Процентный 8 24 9" xfId="44380"/>
    <cellStyle name="Обычный 4 83 9" xfId="44381"/>
    <cellStyle name="Процентный 4 83 9" xfId="44382"/>
    <cellStyle name="Обычный 5 76 9" xfId="44383"/>
    <cellStyle name="Процентный 5 76 9" xfId="44384"/>
    <cellStyle name="Обычный 4 2 70 9" xfId="44385"/>
    <cellStyle name="Процентный 4 2 70 9" xfId="44386"/>
    <cellStyle name="Обычный 5 2 70 9" xfId="44387"/>
    <cellStyle name="Процентный 5 2 70 9" xfId="44388"/>
    <cellStyle name="Обычный 6 67 9" xfId="44389"/>
    <cellStyle name="Процентный 6 67 9" xfId="44390"/>
    <cellStyle name="Обычный 7 37 9" xfId="44391"/>
    <cellStyle name="Процентный 7 37 9" xfId="44392"/>
    <cellStyle name="Обычный 4 3 29 9" xfId="44393"/>
    <cellStyle name="Процентный 4 3 29 9" xfId="44394"/>
    <cellStyle name="Обычный 5 3 29 9" xfId="44395"/>
    <cellStyle name="Процентный 5 3 29 9" xfId="44396"/>
    <cellStyle name="Обычный 4 2 2 29 9" xfId="44397"/>
    <cellStyle name="Процентный 4 2 2 29 9" xfId="44398"/>
    <cellStyle name="Обычный 5 2 2 29 9" xfId="44399"/>
    <cellStyle name="Процентный 5 2 2 29 9" xfId="44400"/>
    <cellStyle name="Обычный 6 2 29 9" xfId="44401"/>
    <cellStyle name="Процентный 6 2 29 9" xfId="44402"/>
    <cellStyle name="Обычный 7 2 29 9" xfId="44403"/>
    <cellStyle name="Процентный 7 2 29 9" xfId="44404"/>
    <cellStyle name="Обычный 8 25 9" xfId="44405"/>
    <cellStyle name="Процентный 8 25 9" xfId="44406"/>
    <cellStyle name="Обычный 4 84 9" xfId="44407"/>
    <cellStyle name="Процентный 4 84 9" xfId="44408"/>
    <cellStyle name="Обычный 5 77 9" xfId="44409"/>
    <cellStyle name="Процентный 5 77 9" xfId="44410"/>
    <cellStyle name="Обычный 4 2 71 9" xfId="44411"/>
    <cellStyle name="Процентный 4 2 71 9" xfId="44412"/>
    <cellStyle name="Обычный 5 2 71 9" xfId="44413"/>
    <cellStyle name="Процентный 5 2 71 9" xfId="44414"/>
    <cellStyle name="Обычный 6 68 9" xfId="44415"/>
    <cellStyle name="Процентный 6 68 9" xfId="44416"/>
    <cellStyle name="Обычный 7 38 9" xfId="44417"/>
    <cellStyle name="Процентный 7 38 9" xfId="44418"/>
    <cellStyle name="Обычный 4 3 30 9" xfId="44419"/>
    <cellStyle name="Процентный 4 3 30 9" xfId="44420"/>
    <cellStyle name="Обычный 5 3 30 9" xfId="44421"/>
    <cellStyle name="Процентный 5 3 30 9" xfId="44422"/>
    <cellStyle name="Обычный 4 2 2 30 9" xfId="44423"/>
    <cellStyle name="Процентный 4 2 2 30 9" xfId="44424"/>
    <cellStyle name="Обычный 5 2 2 30 9" xfId="44425"/>
    <cellStyle name="Процентный 5 2 2 30 9" xfId="44426"/>
    <cellStyle name="Обычный 6 2 30 9" xfId="44427"/>
    <cellStyle name="Процентный 6 2 30 9" xfId="44428"/>
    <cellStyle name="Обычный 7 2 30 9" xfId="44429"/>
    <cellStyle name="Процентный 7 2 30 9" xfId="44430"/>
    <cellStyle name="Обычный 8 26 9" xfId="44431"/>
    <cellStyle name="Процентный 8 26 9" xfId="44432"/>
    <cellStyle name="Обычный 4 85 9" xfId="44433"/>
    <cellStyle name="Процентный 4 85 9" xfId="44434"/>
    <cellStyle name="Обычный 5 78 9" xfId="44435"/>
    <cellStyle name="Процентный 5 78 9" xfId="44436"/>
    <cellStyle name="Обычный 4 2 72 9" xfId="44437"/>
    <cellStyle name="Процентный 4 2 72 9" xfId="44438"/>
    <cellStyle name="Обычный 5 2 72 9" xfId="44439"/>
    <cellStyle name="Процентный 5 2 72 9" xfId="44440"/>
    <cellStyle name="Обычный 6 69 9" xfId="44441"/>
    <cellStyle name="Процентный 6 69 9" xfId="44442"/>
    <cellStyle name="Обычный 7 39 9" xfId="44443"/>
    <cellStyle name="Процентный 7 39 9" xfId="44444"/>
    <cellStyle name="Обычный 4 3 31 9" xfId="44445"/>
    <cellStyle name="Процентный 4 3 31 9" xfId="44446"/>
    <cellStyle name="Обычный 5 3 31 9" xfId="44447"/>
    <cellStyle name="Процентный 5 3 31 9" xfId="44448"/>
    <cellStyle name="Обычный 4 2 2 31 9" xfId="44449"/>
    <cellStyle name="Процентный 4 2 2 31 9" xfId="44450"/>
    <cellStyle name="Обычный 5 2 2 31 9" xfId="44451"/>
    <cellStyle name="Процентный 5 2 2 31 9" xfId="44452"/>
    <cellStyle name="Обычный 6 2 31 9" xfId="44453"/>
    <cellStyle name="Процентный 6 2 31 9" xfId="44454"/>
    <cellStyle name="Обычный 7 2 31 9" xfId="44455"/>
    <cellStyle name="Процентный 7 2 31 9" xfId="44456"/>
    <cellStyle name="Обычный 8 27 9" xfId="44457"/>
    <cellStyle name="Процентный 8 27 9" xfId="44458"/>
    <cellStyle name="Обычный 4 86 9" xfId="44459"/>
    <cellStyle name="Процентный 4 86 9" xfId="44460"/>
    <cellStyle name="Обычный 5 79 9" xfId="44461"/>
    <cellStyle name="Процентный 5 79 9" xfId="44462"/>
    <cellStyle name="Обычный 4 2 73 9" xfId="44463"/>
    <cellStyle name="Процентный 4 2 73 9" xfId="44464"/>
    <cellStyle name="Обычный 5 2 73 9" xfId="44465"/>
    <cellStyle name="Процентный 5 2 73 9" xfId="44466"/>
    <cellStyle name="Обычный 6 70 9" xfId="44467"/>
    <cellStyle name="Процентный 6 70 9" xfId="44468"/>
    <cellStyle name="Обычный 7 40 9" xfId="44469"/>
    <cellStyle name="Процентный 7 40 9" xfId="44470"/>
    <cellStyle name="Обычный 4 3 32 9" xfId="44471"/>
    <cellStyle name="Процентный 4 3 32 9" xfId="44472"/>
    <cellStyle name="Обычный 5 3 32 9" xfId="44473"/>
    <cellStyle name="Процентный 5 3 32 9" xfId="44474"/>
    <cellStyle name="Обычный 4 2 2 32 9" xfId="44475"/>
    <cellStyle name="Процентный 4 2 2 32 9" xfId="44476"/>
    <cellStyle name="Обычный 5 2 2 32 9" xfId="44477"/>
    <cellStyle name="Процентный 5 2 2 32 9" xfId="44478"/>
    <cellStyle name="Обычный 6 2 32 9" xfId="44479"/>
    <cellStyle name="Процентный 6 2 32 9" xfId="44480"/>
    <cellStyle name="Обычный 7 2 32 9" xfId="44481"/>
    <cellStyle name="Процентный 7 2 32 9" xfId="44482"/>
    <cellStyle name="Обычный 8 28 9" xfId="44483"/>
    <cellStyle name="Процентный 8 28 9" xfId="44484"/>
    <cellStyle name="Обычный 4 87 9" xfId="44485"/>
    <cellStyle name="Процентный 4 87 9" xfId="44486"/>
    <cellStyle name="Обычный 5 80 9" xfId="44487"/>
    <cellStyle name="Процентный 5 80 9" xfId="44488"/>
    <cellStyle name="Обычный 4 2 74 9" xfId="44489"/>
    <cellStyle name="Процентный 4 2 74 9" xfId="44490"/>
    <cellStyle name="Обычный 5 2 74 9" xfId="44491"/>
    <cellStyle name="Процентный 5 2 74 9" xfId="44492"/>
    <cellStyle name="Обычный 6 71 9" xfId="44493"/>
    <cellStyle name="Процентный 6 71 9" xfId="44494"/>
    <cellStyle name="Обычный 7 41 9" xfId="44495"/>
    <cellStyle name="Процентный 7 41 9" xfId="44496"/>
    <cellStyle name="Обычный 4 3 33 9" xfId="44497"/>
    <cellStyle name="Процентный 4 3 33 9" xfId="44498"/>
    <cellStyle name="Обычный 5 3 33 9" xfId="44499"/>
    <cellStyle name="Процентный 5 3 33 9" xfId="44500"/>
    <cellStyle name="Обычный 4 2 2 33 9" xfId="44501"/>
    <cellStyle name="Процентный 4 2 2 33 9" xfId="44502"/>
    <cellStyle name="Обычный 5 2 2 33 9" xfId="44503"/>
    <cellStyle name="Процентный 5 2 2 33 9" xfId="44504"/>
    <cellStyle name="Обычный 6 2 33 9" xfId="44505"/>
    <cellStyle name="Процентный 6 2 33 9" xfId="44506"/>
    <cellStyle name="Обычный 7 2 33 9" xfId="44507"/>
    <cellStyle name="Процентный 7 2 33 9" xfId="44508"/>
    <cellStyle name="Обычный 8 29 9" xfId="44509"/>
    <cellStyle name="Процентный 8 29 9" xfId="44510"/>
    <cellStyle name="Обычный 4 88 9" xfId="44511"/>
    <cellStyle name="Процентный 4 88 9" xfId="44512"/>
    <cellStyle name="Обычный 5 81 9" xfId="44513"/>
    <cellStyle name="Процентный 5 81 9" xfId="44514"/>
    <cellStyle name="Обычный 4 2 75 9" xfId="44515"/>
    <cellStyle name="Процентный 4 2 75 9" xfId="44516"/>
    <cellStyle name="Обычный 5 2 75 9" xfId="44517"/>
    <cellStyle name="Процентный 5 2 75 9" xfId="44518"/>
    <cellStyle name="Обычный 6 72 9" xfId="44519"/>
    <cellStyle name="Процентный 6 72 9" xfId="44520"/>
    <cellStyle name="Обычный 7 42 9" xfId="44521"/>
    <cellStyle name="Процентный 7 42 9" xfId="44522"/>
    <cellStyle name="Обычный 4 3 34 9" xfId="44523"/>
    <cellStyle name="Процентный 4 3 34 9" xfId="44524"/>
    <cellStyle name="Обычный 5 3 34 9" xfId="44525"/>
    <cellStyle name="Процентный 5 3 34 9" xfId="44526"/>
    <cellStyle name="Обычный 4 2 2 34 9" xfId="44527"/>
    <cellStyle name="Процентный 4 2 2 34 9" xfId="44528"/>
    <cellStyle name="Обычный 5 2 2 34 9" xfId="44529"/>
    <cellStyle name="Процентный 5 2 2 34 9" xfId="44530"/>
    <cellStyle name="Обычный 6 2 34 9" xfId="44531"/>
    <cellStyle name="Процентный 6 2 34 9" xfId="44532"/>
    <cellStyle name="Обычный 7 2 34 9" xfId="44533"/>
    <cellStyle name="Процентный 7 2 34 9" xfId="44534"/>
    <cellStyle name="Обычный 8 30 9" xfId="44535"/>
    <cellStyle name="Процентный 8 30 9" xfId="44536"/>
    <cellStyle name="Обычный 4 89 9" xfId="44537"/>
    <cellStyle name="Процентный 4 89 9" xfId="44538"/>
    <cellStyle name="Обычный 5 82 9" xfId="44539"/>
    <cellStyle name="Процентный 5 82 9" xfId="44540"/>
    <cellStyle name="Обычный 4 2 76 9" xfId="44541"/>
    <cellStyle name="Процентный 4 2 76 9" xfId="44542"/>
    <cellStyle name="Обычный 5 2 76 9" xfId="44543"/>
    <cellStyle name="Процентный 5 2 76 9" xfId="44544"/>
    <cellStyle name="Обычный 6 73 9" xfId="44545"/>
    <cellStyle name="Процентный 6 73 9" xfId="44546"/>
    <cellStyle name="Обычный 7 43 9" xfId="44547"/>
    <cellStyle name="Процентный 7 43 9" xfId="44548"/>
    <cellStyle name="Обычный 4 3 35 9" xfId="44549"/>
    <cellStyle name="Процентный 4 3 35 9" xfId="44550"/>
    <cellStyle name="Обычный 5 3 35 9" xfId="44551"/>
    <cellStyle name="Процентный 5 3 35 9" xfId="44552"/>
    <cellStyle name="Обычный 4 2 2 35 9" xfId="44553"/>
    <cellStyle name="Процентный 4 2 2 35 9" xfId="44554"/>
    <cellStyle name="Обычный 5 2 2 35 9" xfId="44555"/>
    <cellStyle name="Процентный 5 2 2 35 9" xfId="44556"/>
    <cellStyle name="Обычный 6 2 35 9" xfId="44557"/>
    <cellStyle name="Процентный 6 2 35 9" xfId="44558"/>
    <cellStyle name="Обычный 7 2 35 9" xfId="44559"/>
    <cellStyle name="Процентный 7 2 35 9" xfId="44560"/>
    <cellStyle name="Обычный 8 31 9" xfId="44561"/>
    <cellStyle name="Процентный 8 31 9" xfId="44562"/>
    <cellStyle name="Обычный 4 90 9" xfId="44563"/>
    <cellStyle name="Процентный 4 90 9" xfId="44564"/>
    <cellStyle name="Обычный 5 83 9" xfId="44565"/>
    <cellStyle name="Процентный 5 83 9" xfId="44566"/>
    <cellStyle name="Обычный 4 2 77 9" xfId="44567"/>
    <cellStyle name="Процентный 4 2 77 9" xfId="44568"/>
    <cellStyle name="Обычный 5 2 77 9" xfId="44569"/>
    <cellStyle name="Процентный 5 2 77 9" xfId="44570"/>
    <cellStyle name="Обычный 6 74 9" xfId="44571"/>
    <cellStyle name="Процентный 6 74 9" xfId="44572"/>
    <cellStyle name="Обычный 7 44 9" xfId="44573"/>
    <cellStyle name="Процентный 7 44 9" xfId="44574"/>
    <cellStyle name="Обычный 4 3 36 9" xfId="44575"/>
    <cellStyle name="Процентный 4 3 36 9" xfId="44576"/>
    <cellStyle name="Обычный 5 3 36 9" xfId="44577"/>
    <cellStyle name="Процентный 5 3 36 9" xfId="44578"/>
    <cellStyle name="Обычный 4 2 2 36 9" xfId="44579"/>
    <cellStyle name="Процентный 4 2 2 36 9" xfId="44580"/>
    <cellStyle name="Обычный 5 2 2 36 9" xfId="44581"/>
    <cellStyle name="Процентный 5 2 2 36 9" xfId="44582"/>
    <cellStyle name="Обычный 6 2 36 9" xfId="44583"/>
    <cellStyle name="Процентный 6 2 36 9" xfId="44584"/>
    <cellStyle name="Обычный 7 2 36 9" xfId="44585"/>
    <cellStyle name="Процентный 7 2 36 9" xfId="44586"/>
    <cellStyle name="Обычный 8 32 9" xfId="44587"/>
    <cellStyle name="Процентный 8 32 9" xfId="44588"/>
    <cellStyle name="Обычный 4 91 9" xfId="44589"/>
    <cellStyle name="Процентный 4 91 9" xfId="44590"/>
    <cellStyle name="Обычный 5 84 9" xfId="44591"/>
    <cellStyle name="Процентный 5 84 9" xfId="44592"/>
    <cellStyle name="Обычный 4 2 78 9" xfId="44593"/>
    <cellStyle name="Процентный 4 2 78 9" xfId="44594"/>
    <cellStyle name="Обычный 5 2 78 9" xfId="44595"/>
    <cellStyle name="Процентный 5 2 78 9" xfId="44596"/>
    <cellStyle name="Обычный 6 75 9" xfId="44597"/>
    <cellStyle name="Процентный 6 75 9" xfId="44598"/>
    <cellStyle name="Обычный 7 45 9" xfId="44599"/>
    <cellStyle name="Процентный 7 45 9" xfId="44600"/>
    <cellStyle name="Обычный 4 3 37 9" xfId="44601"/>
    <cellStyle name="Процентный 4 3 37 9" xfId="44602"/>
    <cellStyle name="Обычный 5 3 37 9" xfId="44603"/>
    <cellStyle name="Процентный 5 3 37 9" xfId="44604"/>
    <cellStyle name="Обычный 4 2 2 37 9" xfId="44605"/>
    <cellStyle name="Процентный 4 2 2 37 9" xfId="44606"/>
    <cellStyle name="Обычный 5 2 2 37 9" xfId="44607"/>
    <cellStyle name="Процентный 5 2 2 37 9" xfId="44608"/>
    <cellStyle name="Обычный 6 2 37 9" xfId="44609"/>
    <cellStyle name="Процентный 6 2 37 9" xfId="44610"/>
    <cellStyle name="Обычный 7 2 37 9" xfId="44611"/>
    <cellStyle name="Процентный 7 2 37 9" xfId="44612"/>
    <cellStyle name="Обычный 8 33 9" xfId="44613"/>
    <cellStyle name="Процентный 8 33 9" xfId="44614"/>
    <cellStyle name="Обычный 4 92 9" xfId="44615"/>
    <cellStyle name="Процентный 4 92 9" xfId="44616"/>
    <cellStyle name="Обычный 5 85 9" xfId="44617"/>
    <cellStyle name="Процентный 5 85 9" xfId="44618"/>
    <cellStyle name="Обычный 4 2 79 9" xfId="44619"/>
    <cellStyle name="Процентный 4 2 79 9" xfId="44620"/>
    <cellStyle name="Обычный 5 2 79 9" xfId="44621"/>
    <cellStyle name="Процентный 5 2 79 9" xfId="44622"/>
    <cellStyle name="Обычный 6 76 9" xfId="44623"/>
    <cellStyle name="Процентный 6 76 9" xfId="44624"/>
    <cellStyle name="Обычный 7 46 9" xfId="44625"/>
    <cellStyle name="Процентный 7 46 9" xfId="44626"/>
    <cellStyle name="Обычный 4 3 38 9" xfId="44627"/>
    <cellStyle name="Процентный 4 3 38 9" xfId="44628"/>
    <cellStyle name="Обычный 5 3 38 9" xfId="44629"/>
    <cellStyle name="Процентный 5 3 38 9" xfId="44630"/>
    <cellStyle name="Обычный 4 2 2 38 9" xfId="44631"/>
    <cellStyle name="Процентный 4 2 2 38 9" xfId="44632"/>
    <cellStyle name="Обычный 5 2 2 38 9" xfId="44633"/>
    <cellStyle name="Процентный 5 2 2 38 9" xfId="44634"/>
    <cellStyle name="Обычный 6 2 38 9" xfId="44635"/>
    <cellStyle name="Процентный 6 2 38 9" xfId="44636"/>
    <cellStyle name="Обычный 7 2 38 9" xfId="44637"/>
    <cellStyle name="Процентный 7 2 38 9" xfId="44638"/>
    <cellStyle name="Обычный 8 34 9" xfId="44639"/>
    <cellStyle name="Процентный 8 34 9" xfId="44640"/>
    <cellStyle name="Обычный 4 93 9" xfId="44641"/>
    <cellStyle name="Процентный 4 93 9" xfId="44642"/>
    <cellStyle name="Обычный 5 86 9" xfId="44643"/>
    <cellStyle name="Процентный 5 86 9" xfId="44644"/>
    <cellStyle name="Обычный 4 2 80 9" xfId="44645"/>
    <cellStyle name="Процентный 4 2 80 9" xfId="44646"/>
    <cellStyle name="Обычный 5 2 80 9" xfId="44647"/>
    <cellStyle name="Процентный 5 2 80 9" xfId="44648"/>
    <cellStyle name="Обычный 6 77 9" xfId="44649"/>
    <cellStyle name="Процентный 6 77 9" xfId="44650"/>
    <cellStyle name="Обычный 7 47 9" xfId="44651"/>
    <cellStyle name="Процентный 7 47 9" xfId="44652"/>
    <cellStyle name="Обычный 4 3 39 9" xfId="44653"/>
    <cellStyle name="Процентный 4 3 39 9" xfId="44654"/>
    <cellStyle name="Обычный 5 3 39 9" xfId="44655"/>
    <cellStyle name="Процентный 5 3 39 9" xfId="44656"/>
    <cellStyle name="Обычный 4 2 2 39 9" xfId="44657"/>
    <cellStyle name="Процентный 4 2 2 39 9" xfId="44658"/>
    <cellStyle name="Обычный 5 2 2 39 9" xfId="44659"/>
    <cellStyle name="Процентный 5 2 2 39 9" xfId="44660"/>
    <cellStyle name="Обычный 6 2 39 9" xfId="44661"/>
    <cellStyle name="Процентный 6 2 39 9" xfId="44662"/>
    <cellStyle name="Обычный 7 2 39 9" xfId="44663"/>
    <cellStyle name="Процентный 7 2 39 9" xfId="44664"/>
    <cellStyle name="Обычный 8 35 9" xfId="44665"/>
    <cellStyle name="Процентный 8 35 9" xfId="44666"/>
    <cellStyle name="Обычный 9 118" xfId="44667"/>
    <cellStyle name="Процентный 9 2 9" xfId="44668"/>
    <cellStyle name="Обычный 4 94 9" xfId="44669"/>
    <cellStyle name="Процентный 4 94 9" xfId="44670"/>
    <cellStyle name="Обычный 5 87 9" xfId="44671"/>
    <cellStyle name="Процентный 5 87 9" xfId="44672"/>
    <cellStyle name="Обычный 4 2 81 9" xfId="44673"/>
    <cellStyle name="Процентный 4 2 81 9" xfId="44674"/>
    <cellStyle name="Обычный 5 2 81 9" xfId="44675"/>
    <cellStyle name="Процентный 5 2 81 9" xfId="44676"/>
    <cellStyle name="Обычный 6 78 9" xfId="44677"/>
    <cellStyle name="Процентный 6 78 9" xfId="44678"/>
    <cellStyle name="Обычный 7 48 9" xfId="44679"/>
    <cellStyle name="Процентный 7 48 9" xfId="44680"/>
    <cellStyle name="Обычный 4 3 40 9" xfId="44681"/>
    <cellStyle name="Процентный 4 3 40 9" xfId="44682"/>
    <cellStyle name="Обычный 5 3 40 9" xfId="44683"/>
    <cellStyle name="Процентный 5 3 40 9" xfId="44684"/>
    <cellStyle name="Обычный 4 2 2 40 9" xfId="44685"/>
    <cellStyle name="Процентный 4 2 2 40 9" xfId="44686"/>
    <cellStyle name="Обычный 5 2 2 40 9" xfId="44687"/>
    <cellStyle name="Процентный 5 2 2 40 9" xfId="44688"/>
    <cellStyle name="Обычный 6 2 40 9" xfId="44689"/>
    <cellStyle name="Процентный 6 2 40 9" xfId="44690"/>
    <cellStyle name="Обычный 7 2 40 9" xfId="44691"/>
    <cellStyle name="Процентный 7 2 40 9" xfId="44692"/>
    <cellStyle name="Обычный 8 36 9" xfId="44693"/>
    <cellStyle name="Процентный 8 36 9" xfId="44694"/>
    <cellStyle name="Обычный 9 2 9" xfId="44695"/>
    <cellStyle name="Процентный 9 3 9" xfId="44696"/>
    <cellStyle name="Обычный 4 95 9" xfId="44697"/>
    <cellStyle name="Процентный 4 95 9" xfId="44698"/>
    <cellStyle name="Обычный 5 88 9" xfId="44699"/>
    <cellStyle name="Процентный 5 88 9" xfId="44700"/>
    <cellStyle name="Обычный 4 2 82 9" xfId="44701"/>
    <cellStyle name="Процентный 4 2 82 9" xfId="44702"/>
    <cellStyle name="Обычный 5 2 82 9" xfId="44703"/>
    <cellStyle name="Процентный 5 2 82 9" xfId="44704"/>
    <cellStyle name="Обычный 6 79 9" xfId="44705"/>
    <cellStyle name="Процентный 6 79 9" xfId="44706"/>
    <cellStyle name="Обычный 7 49 9" xfId="44707"/>
    <cellStyle name="Процентный 7 49 9" xfId="44708"/>
    <cellStyle name="Обычный 4 3 41 9" xfId="44709"/>
    <cellStyle name="Процентный 4 3 41 9" xfId="44710"/>
    <cellStyle name="Обычный 5 3 41 9" xfId="44711"/>
    <cellStyle name="Процентный 5 3 41 9" xfId="44712"/>
    <cellStyle name="Обычный 4 2 2 41 9" xfId="44713"/>
    <cellStyle name="Процентный 4 2 2 41 9" xfId="44714"/>
    <cellStyle name="Обычный 5 2 2 41 9" xfId="44715"/>
    <cellStyle name="Процентный 5 2 2 41 9" xfId="44716"/>
    <cellStyle name="Обычный 6 2 41 9" xfId="44717"/>
    <cellStyle name="Процентный 6 2 41 9" xfId="44718"/>
    <cellStyle name="Обычный 7 2 41 9" xfId="44719"/>
    <cellStyle name="Процентный 7 2 41 9" xfId="44720"/>
    <cellStyle name="Обычный 8 37 9" xfId="44721"/>
    <cellStyle name="Процентный 8 37 9" xfId="44722"/>
    <cellStyle name="Обычный 9 3 9" xfId="44723"/>
    <cellStyle name="Процентный 9 4 9" xfId="44724"/>
    <cellStyle name="Обычный 4 96 9" xfId="44725"/>
    <cellStyle name="Процентный 4 96 9" xfId="44726"/>
    <cellStyle name="Обычный 5 89 9" xfId="44727"/>
    <cellStyle name="Процентный 5 89 9" xfId="44728"/>
    <cellStyle name="Обычный 4 2 83 9" xfId="44729"/>
    <cellStyle name="Процентный 4 2 83 9" xfId="44730"/>
    <cellStyle name="Обычный 5 2 83 9" xfId="44731"/>
    <cellStyle name="Процентный 5 2 83 9" xfId="44732"/>
    <cellStyle name="Обычный 6 80 9" xfId="44733"/>
    <cellStyle name="Процентный 6 80 9" xfId="44734"/>
    <cellStyle name="Обычный 7 50 9" xfId="44735"/>
    <cellStyle name="Процентный 7 50 9" xfId="44736"/>
    <cellStyle name="Обычный 4 3 42 9" xfId="44737"/>
    <cellStyle name="Процентный 4 3 42 9" xfId="44738"/>
    <cellStyle name="Обычный 5 3 42 9" xfId="44739"/>
    <cellStyle name="Процентный 5 3 42 9" xfId="44740"/>
    <cellStyle name="Обычный 4 2 2 42 9" xfId="44741"/>
    <cellStyle name="Процентный 4 2 2 42 9" xfId="44742"/>
    <cellStyle name="Обычный 5 2 2 42 9" xfId="44743"/>
    <cellStyle name="Процентный 5 2 2 42 9" xfId="44744"/>
    <cellStyle name="Обычный 6 2 42 9" xfId="44745"/>
    <cellStyle name="Процентный 6 2 42 9" xfId="44746"/>
    <cellStyle name="Обычный 7 2 42 9" xfId="44747"/>
    <cellStyle name="Процентный 7 2 42 9" xfId="44748"/>
    <cellStyle name="Обычный 8 38 9" xfId="44749"/>
    <cellStyle name="Процентный 8 38 9" xfId="44750"/>
    <cellStyle name="Обычный 9 4 9" xfId="44751"/>
    <cellStyle name="Процентный 9 5 9" xfId="44752"/>
    <cellStyle name="Обычный 4 97 9" xfId="44753"/>
    <cellStyle name="Процентный 4 97 9" xfId="44754"/>
    <cellStyle name="Обычный 5 90 9" xfId="44755"/>
    <cellStyle name="Процентный 5 90 9" xfId="44756"/>
    <cellStyle name="Обычный 4 2 84 9" xfId="44757"/>
    <cellStyle name="Процентный 4 2 84 9" xfId="44758"/>
    <cellStyle name="Обычный 5 2 84 9" xfId="44759"/>
    <cellStyle name="Процентный 5 2 84 9" xfId="44760"/>
    <cellStyle name="Обычный 6 81 9" xfId="44761"/>
    <cellStyle name="Процентный 6 81 9" xfId="44762"/>
    <cellStyle name="Обычный 7 51 9" xfId="44763"/>
    <cellStyle name="Процентный 7 51 9" xfId="44764"/>
    <cellStyle name="Обычный 4 3 43 9" xfId="44765"/>
    <cellStyle name="Процентный 4 3 43 9" xfId="44766"/>
    <cellStyle name="Обычный 5 3 43 9" xfId="44767"/>
    <cellStyle name="Процентный 5 3 43 9" xfId="44768"/>
    <cellStyle name="Обычный 4 2 2 43 9" xfId="44769"/>
    <cellStyle name="Процентный 4 2 2 43 9" xfId="44770"/>
    <cellStyle name="Обычный 5 2 2 43 9" xfId="44771"/>
    <cellStyle name="Процентный 5 2 2 43 9" xfId="44772"/>
    <cellStyle name="Обычный 6 2 43 9" xfId="44773"/>
    <cellStyle name="Процентный 6 2 43 9" xfId="44774"/>
    <cellStyle name="Обычный 7 2 43 9" xfId="44775"/>
    <cellStyle name="Процентный 7 2 43 9" xfId="44776"/>
    <cellStyle name="Обычный 8 39 9" xfId="44777"/>
    <cellStyle name="Процентный 8 39 9" xfId="44778"/>
    <cellStyle name="Обычный 9 5 9" xfId="44779"/>
    <cellStyle name="Процентный 9 6 9" xfId="44780"/>
    <cellStyle name="Обычный 4 98 9" xfId="44781"/>
    <cellStyle name="Процентный 4 98 9" xfId="44782"/>
    <cellStyle name="Обычный 5 91 9" xfId="44783"/>
    <cellStyle name="Процентный 5 91 9" xfId="44784"/>
    <cellStyle name="Обычный 4 2 85 9" xfId="44785"/>
    <cellStyle name="Процентный 4 2 85 9" xfId="44786"/>
    <cellStyle name="Обычный 5 2 85 9" xfId="44787"/>
    <cellStyle name="Процентный 5 2 85 9" xfId="44788"/>
    <cellStyle name="Обычный 6 82 9" xfId="44789"/>
    <cellStyle name="Процентный 6 82 9" xfId="44790"/>
    <cellStyle name="Обычный 7 52 9" xfId="44791"/>
    <cellStyle name="Процентный 7 52 9" xfId="44792"/>
    <cellStyle name="Обычный 4 3 44 9" xfId="44793"/>
    <cellStyle name="Процентный 4 3 44 9" xfId="44794"/>
    <cellStyle name="Обычный 5 3 44 9" xfId="44795"/>
    <cellStyle name="Процентный 5 3 44 9" xfId="44796"/>
    <cellStyle name="Обычный 4 2 2 44 9" xfId="44797"/>
    <cellStyle name="Процентный 4 2 2 44 9" xfId="44798"/>
    <cellStyle name="Обычный 5 2 2 44 9" xfId="44799"/>
    <cellStyle name="Процентный 5 2 2 44 9" xfId="44800"/>
    <cellStyle name="Обычный 6 2 44 9" xfId="44801"/>
    <cellStyle name="Процентный 6 2 44 9" xfId="44802"/>
    <cellStyle name="Обычный 7 2 44 9" xfId="44803"/>
    <cellStyle name="Процентный 7 2 44 9" xfId="44804"/>
    <cellStyle name="Обычный 8 40 9" xfId="44805"/>
    <cellStyle name="Процентный 8 40 9" xfId="44806"/>
    <cellStyle name="Обычный 9 6 9" xfId="44807"/>
    <cellStyle name="Процентный 9 7 9" xfId="44808"/>
    <cellStyle name="Обычный 4 99 9" xfId="44809"/>
    <cellStyle name="Процентный 4 99 9" xfId="44810"/>
    <cellStyle name="Обычный 5 92 9" xfId="44811"/>
    <cellStyle name="Процентный 5 92 9" xfId="44812"/>
    <cellStyle name="Обычный 4 2 86 9" xfId="44813"/>
    <cellStyle name="Процентный 4 2 86 9" xfId="44814"/>
    <cellStyle name="Обычный 5 2 86 9" xfId="44815"/>
    <cellStyle name="Процентный 5 2 86 9" xfId="44816"/>
    <cellStyle name="Обычный 6 83 9" xfId="44817"/>
    <cellStyle name="Процентный 6 83 9" xfId="44818"/>
    <cellStyle name="Обычный 7 53 9" xfId="44819"/>
    <cellStyle name="Процентный 7 53 9" xfId="44820"/>
    <cellStyle name="Обычный 4 3 45 9" xfId="44821"/>
    <cellStyle name="Процентный 4 3 45 9" xfId="44822"/>
    <cellStyle name="Обычный 5 3 45 9" xfId="44823"/>
    <cellStyle name="Процентный 5 3 45 9" xfId="44824"/>
    <cellStyle name="Обычный 4 2 2 45 9" xfId="44825"/>
    <cellStyle name="Процентный 4 2 2 45 9" xfId="44826"/>
    <cellStyle name="Обычный 5 2 2 45 9" xfId="44827"/>
    <cellStyle name="Процентный 5 2 2 45 9" xfId="44828"/>
    <cellStyle name="Обычный 6 2 45 9" xfId="44829"/>
    <cellStyle name="Процентный 6 2 45 9" xfId="44830"/>
    <cellStyle name="Обычный 7 2 45 9" xfId="44831"/>
    <cellStyle name="Процентный 7 2 45 9" xfId="44832"/>
    <cellStyle name="Обычный 8 41 9" xfId="44833"/>
    <cellStyle name="Процентный 8 41 9" xfId="44834"/>
    <cellStyle name="Обычный 9 7 9" xfId="44835"/>
    <cellStyle name="Процентный 9 8 9" xfId="44836"/>
    <cellStyle name="Обычный 4 100 9" xfId="44837"/>
    <cellStyle name="Процентный 4 100 9" xfId="44838"/>
    <cellStyle name="Обычный 5 93 9" xfId="44839"/>
    <cellStyle name="Процентный 5 93 9" xfId="44840"/>
    <cellStyle name="Обычный 4 2 87 9" xfId="44841"/>
    <cellStyle name="Процентный 4 2 87 9" xfId="44842"/>
    <cellStyle name="Обычный 5 2 87 9" xfId="44843"/>
    <cellStyle name="Процентный 5 2 87 9" xfId="44844"/>
    <cellStyle name="Обычный 6 84 9" xfId="44845"/>
    <cellStyle name="Процентный 6 84 9" xfId="44846"/>
    <cellStyle name="Обычный 7 54 9" xfId="44847"/>
    <cellStyle name="Процентный 7 54 9" xfId="44848"/>
    <cellStyle name="Обычный 4 3 46 9" xfId="44849"/>
    <cellStyle name="Процентный 4 3 46 9" xfId="44850"/>
    <cellStyle name="Обычный 5 3 46 9" xfId="44851"/>
    <cellStyle name="Процентный 5 3 46 9" xfId="44852"/>
    <cellStyle name="Обычный 4 2 2 46 9" xfId="44853"/>
    <cellStyle name="Процентный 4 2 2 46 9" xfId="44854"/>
    <cellStyle name="Обычный 5 2 2 46 9" xfId="44855"/>
    <cellStyle name="Процентный 5 2 2 46 9" xfId="44856"/>
    <cellStyle name="Обычный 6 2 46 9" xfId="44857"/>
    <cellStyle name="Процентный 6 2 46 9" xfId="44858"/>
    <cellStyle name="Обычный 7 2 46 9" xfId="44859"/>
    <cellStyle name="Процентный 7 2 46 9" xfId="44860"/>
    <cellStyle name="Обычный 8 42 9" xfId="44861"/>
    <cellStyle name="Процентный 8 42 9" xfId="44862"/>
    <cellStyle name="Обычный 9 8 9" xfId="44863"/>
    <cellStyle name="Процентный 9 9 9" xfId="44864"/>
    <cellStyle name="Обычный 10 111" xfId="44865"/>
    <cellStyle name="Процентный 10 111" xfId="44866"/>
    <cellStyle name="Обычный 4 101 9" xfId="44867"/>
    <cellStyle name="Процентный 4 101 9" xfId="44868"/>
    <cellStyle name="Обычный 5 94 9" xfId="44869"/>
    <cellStyle name="Процентный 5 94 9" xfId="44870"/>
    <cellStyle name="Обычный 4 2 88 9" xfId="44871"/>
    <cellStyle name="Процентный 4 2 88 9" xfId="44872"/>
    <cellStyle name="Обычный 5 2 88 9" xfId="44873"/>
    <cellStyle name="Процентный 5 2 88 9" xfId="44874"/>
    <cellStyle name="Обычный 6 85 9" xfId="44875"/>
    <cellStyle name="Процентный 6 85 9" xfId="44876"/>
    <cellStyle name="Обычный 7 55 9" xfId="44877"/>
    <cellStyle name="Процентный 7 55 9" xfId="44878"/>
    <cellStyle name="Обычный 4 3 47 9" xfId="44879"/>
    <cellStyle name="Процентный 4 3 47 9" xfId="44880"/>
    <cellStyle name="Обычный 5 3 47 9" xfId="44881"/>
    <cellStyle name="Процентный 5 3 47 9" xfId="44882"/>
    <cellStyle name="Обычный 4 2 2 47 9" xfId="44883"/>
    <cellStyle name="Процентный 4 2 2 47 9" xfId="44884"/>
    <cellStyle name="Обычный 5 2 2 47 9" xfId="44885"/>
    <cellStyle name="Процентный 5 2 2 47 9" xfId="44886"/>
    <cellStyle name="Обычный 6 2 47 9" xfId="44887"/>
    <cellStyle name="Процентный 6 2 47 9" xfId="44888"/>
    <cellStyle name="Обычный 7 2 47 9" xfId="44889"/>
    <cellStyle name="Процентный 7 2 47 9" xfId="44890"/>
    <cellStyle name="Обычный 8 43 9" xfId="44891"/>
    <cellStyle name="Процентный 8 43 9" xfId="44892"/>
    <cellStyle name="Обычный 9 9 9" xfId="44893"/>
    <cellStyle name="Процентный 9 10 9" xfId="44894"/>
    <cellStyle name="Обычный 10 2 9" xfId="44895"/>
    <cellStyle name="Процентный 10 2 9" xfId="44896"/>
    <cellStyle name="Обычный 4 102 9" xfId="44897"/>
    <cellStyle name="Процентный 4 102 9" xfId="44898"/>
    <cellStyle name="Обычный 5 95 9" xfId="44899"/>
    <cellStyle name="Процентный 5 95 9" xfId="44900"/>
    <cellStyle name="Обычный 4 2 89 9" xfId="44901"/>
    <cellStyle name="Процентный 4 2 89 9" xfId="44902"/>
    <cellStyle name="Обычный 5 2 89 9" xfId="44903"/>
    <cellStyle name="Процентный 5 2 89 9" xfId="44904"/>
    <cellStyle name="Обычный 6 86 9" xfId="44905"/>
    <cellStyle name="Процентный 6 86 9" xfId="44906"/>
    <cellStyle name="Обычный 7 56 9" xfId="44907"/>
    <cellStyle name="Процентный 7 56 9" xfId="44908"/>
    <cellStyle name="Обычный 4 3 48 9" xfId="44909"/>
    <cellStyle name="Процентный 4 3 48 9" xfId="44910"/>
    <cellStyle name="Обычный 5 3 48 9" xfId="44911"/>
    <cellStyle name="Процентный 5 3 48 9" xfId="44912"/>
    <cellStyle name="Обычный 4 2 2 48 9" xfId="44913"/>
    <cellStyle name="Процентный 4 2 2 48 9" xfId="44914"/>
    <cellStyle name="Обычный 5 2 2 48 9" xfId="44915"/>
    <cellStyle name="Процентный 5 2 2 48 9" xfId="44916"/>
    <cellStyle name="Обычный 6 2 48 9" xfId="44917"/>
    <cellStyle name="Процентный 6 2 48 9" xfId="44918"/>
    <cellStyle name="Обычный 7 2 48 9" xfId="44919"/>
    <cellStyle name="Процентный 7 2 48 9" xfId="44920"/>
    <cellStyle name="Обычный 8 44 9" xfId="44921"/>
    <cellStyle name="Процентный 8 44 9" xfId="44922"/>
    <cellStyle name="Обычный 9 10 9" xfId="44923"/>
    <cellStyle name="Процентный 9 11 9" xfId="44924"/>
    <cellStyle name="Обычный 10 3 9" xfId="44925"/>
    <cellStyle name="Процентный 10 3 9" xfId="44926"/>
    <cellStyle name="Обычный 4 103 9" xfId="44927"/>
    <cellStyle name="Процентный 4 103 9" xfId="44928"/>
    <cellStyle name="Обычный 5 96 9" xfId="44929"/>
    <cellStyle name="Процентный 5 96 9" xfId="44930"/>
    <cellStyle name="Обычный 4 2 90 9" xfId="44931"/>
    <cellStyle name="Процентный 4 2 90 9" xfId="44932"/>
    <cellStyle name="Обычный 5 2 90 9" xfId="44933"/>
    <cellStyle name="Процентный 5 2 90 9" xfId="44934"/>
    <cellStyle name="Обычный 6 87 9" xfId="44935"/>
    <cellStyle name="Процентный 6 87 9" xfId="44936"/>
    <cellStyle name="Обычный 7 57 9" xfId="44937"/>
    <cellStyle name="Процентный 7 57 9" xfId="44938"/>
    <cellStyle name="Обычный 4 3 49 9" xfId="44939"/>
    <cellStyle name="Процентный 4 3 49 9" xfId="44940"/>
    <cellStyle name="Обычный 5 3 49 9" xfId="44941"/>
    <cellStyle name="Процентный 5 3 49 9" xfId="44942"/>
    <cellStyle name="Обычный 4 2 2 49 9" xfId="44943"/>
    <cellStyle name="Процентный 4 2 2 49 9" xfId="44944"/>
    <cellStyle name="Обычный 5 2 2 49 9" xfId="44945"/>
    <cellStyle name="Процентный 5 2 2 49 9" xfId="44946"/>
    <cellStyle name="Обычный 6 2 49 9" xfId="44947"/>
    <cellStyle name="Процентный 6 2 49 9" xfId="44948"/>
    <cellStyle name="Обычный 7 2 49 9" xfId="44949"/>
    <cellStyle name="Процентный 7 2 49 9" xfId="44950"/>
    <cellStyle name="Обычный 8 45 9" xfId="44951"/>
    <cellStyle name="Процентный 8 45 9" xfId="44952"/>
    <cellStyle name="Обычный 9 11 9" xfId="44953"/>
    <cellStyle name="Процентный 9 12 9" xfId="44954"/>
    <cellStyle name="Обычный 10 4 9" xfId="44955"/>
    <cellStyle name="Процентный 10 4 9" xfId="44956"/>
    <cellStyle name="Обычный 4 104 9" xfId="44957"/>
    <cellStyle name="Процентный 4 104 9" xfId="44958"/>
    <cellStyle name="Обычный 5 97 9" xfId="44959"/>
    <cellStyle name="Процентный 5 97 9" xfId="44960"/>
    <cellStyle name="Обычный 4 2 91 9" xfId="44961"/>
    <cellStyle name="Процентный 4 2 91 9" xfId="44962"/>
    <cellStyle name="Обычный 5 2 91 9" xfId="44963"/>
    <cellStyle name="Процентный 5 2 91 9" xfId="44964"/>
    <cellStyle name="Обычный 6 88 9" xfId="44965"/>
    <cellStyle name="Процентный 6 88 9" xfId="44966"/>
    <cellStyle name="Обычный 7 58 9" xfId="44967"/>
    <cellStyle name="Процентный 7 58 9" xfId="44968"/>
    <cellStyle name="Обычный 4 3 50 9" xfId="44969"/>
    <cellStyle name="Процентный 4 3 50 9" xfId="44970"/>
    <cellStyle name="Обычный 5 3 50 9" xfId="44971"/>
    <cellStyle name="Процентный 5 3 50 9" xfId="44972"/>
    <cellStyle name="Обычный 4 2 2 50 9" xfId="44973"/>
    <cellStyle name="Процентный 4 2 2 50 9" xfId="44974"/>
    <cellStyle name="Обычный 5 2 2 50 9" xfId="44975"/>
    <cellStyle name="Процентный 5 2 2 50 9" xfId="44976"/>
    <cellStyle name="Обычный 6 2 50 9" xfId="44977"/>
    <cellStyle name="Процентный 6 2 50 9" xfId="44978"/>
    <cellStyle name="Обычный 7 2 50 9" xfId="44979"/>
    <cellStyle name="Процентный 7 2 50 9" xfId="44980"/>
    <cellStyle name="Обычный 8 46 9" xfId="44981"/>
    <cellStyle name="Процентный 8 46 9" xfId="44982"/>
    <cellStyle name="Обычный 9 12 9" xfId="44983"/>
    <cellStyle name="Процентный 9 13 9" xfId="44984"/>
    <cellStyle name="Обычный 10 5 9" xfId="44985"/>
    <cellStyle name="Процентный 10 5 9" xfId="44986"/>
    <cellStyle name="Обычный 4 105 9" xfId="44987"/>
    <cellStyle name="Процентный 4 105 9" xfId="44988"/>
    <cellStyle name="Обычный 5 98 9" xfId="44989"/>
    <cellStyle name="Процентный 5 98 9" xfId="44990"/>
    <cellStyle name="Обычный 4 2 92 9" xfId="44991"/>
    <cellStyle name="Процентный 4 2 92 9" xfId="44992"/>
    <cellStyle name="Обычный 5 2 92 9" xfId="44993"/>
    <cellStyle name="Процентный 5 2 92 9" xfId="44994"/>
    <cellStyle name="Обычный 6 89 9" xfId="44995"/>
    <cellStyle name="Процентный 6 89 9" xfId="44996"/>
    <cellStyle name="Обычный 7 59 9" xfId="44997"/>
    <cellStyle name="Процентный 7 59 9" xfId="44998"/>
    <cellStyle name="Обычный 4 3 51 9" xfId="44999"/>
    <cellStyle name="Процентный 4 3 51 9" xfId="45000"/>
    <cellStyle name="Обычный 5 3 51 9" xfId="45001"/>
    <cellStyle name="Процентный 5 3 51 9" xfId="45002"/>
    <cellStyle name="Обычный 4 2 2 51 9" xfId="45003"/>
    <cellStyle name="Процентный 4 2 2 51 9" xfId="45004"/>
    <cellStyle name="Обычный 5 2 2 51 9" xfId="45005"/>
    <cellStyle name="Процентный 5 2 2 51 9" xfId="45006"/>
    <cellStyle name="Обычный 6 2 51 9" xfId="45007"/>
    <cellStyle name="Процентный 6 2 51 9" xfId="45008"/>
    <cellStyle name="Обычный 7 2 51 9" xfId="45009"/>
    <cellStyle name="Процентный 7 2 51 9" xfId="45010"/>
    <cellStyle name="Обычный 8 47 9" xfId="45011"/>
    <cellStyle name="Процентный 8 47 9" xfId="45012"/>
    <cellStyle name="Обычный 9 13 9" xfId="45013"/>
    <cellStyle name="Процентный 9 14 9" xfId="45014"/>
    <cellStyle name="Обычный 10 6 9" xfId="45015"/>
    <cellStyle name="Процентный 10 6 9" xfId="45016"/>
    <cellStyle name="Обычный 4 106 9" xfId="45017"/>
    <cellStyle name="Процентный 4 106 9" xfId="45018"/>
    <cellStyle name="Обычный 5 99 9" xfId="45019"/>
    <cellStyle name="Процентный 5 99 9" xfId="45020"/>
    <cellStyle name="Обычный 4 2 93 9" xfId="45021"/>
    <cellStyle name="Процентный 4 2 93 9" xfId="45022"/>
    <cellStyle name="Обычный 5 2 93 9" xfId="45023"/>
    <cellStyle name="Процентный 5 2 93 9" xfId="45024"/>
    <cellStyle name="Обычный 6 90 9" xfId="45025"/>
    <cellStyle name="Процентный 6 90 9" xfId="45026"/>
    <cellStyle name="Обычный 7 60 9" xfId="45027"/>
    <cellStyle name="Процентный 7 60 9" xfId="45028"/>
    <cellStyle name="Обычный 4 3 52 9" xfId="45029"/>
    <cellStyle name="Процентный 4 3 52 9" xfId="45030"/>
    <cellStyle name="Обычный 5 3 52 9" xfId="45031"/>
    <cellStyle name="Процентный 5 3 52 9" xfId="45032"/>
    <cellStyle name="Обычный 4 2 2 52 9" xfId="45033"/>
    <cellStyle name="Процентный 4 2 2 52 9" xfId="45034"/>
    <cellStyle name="Обычный 5 2 2 52 9" xfId="45035"/>
    <cellStyle name="Процентный 5 2 2 52 9" xfId="45036"/>
    <cellStyle name="Обычный 6 2 52 9" xfId="45037"/>
    <cellStyle name="Процентный 6 2 52 9" xfId="45038"/>
    <cellStyle name="Обычный 7 2 52 9" xfId="45039"/>
    <cellStyle name="Процентный 7 2 52 9" xfId="45040"/>
    <cellStyle name="Обычный 8 48 9" xfId="45041"/>
    <cellStyle name="Процентный 8 48 9" xfId="45042"/>
    <cellStyle name="Обычный 9 14 9" xfId="45043"/>
    <cellStyle name="Процентный 9 15 9" xfId="45044"/>
    <cellStyle name="Обычный 10 7 9" xfId="45045"/>
    <cellStyle name="Процентный 10 7 9" xfId="45046"/>
    <cellStyle name="Обычный 4 107 9" xfId="45047"/>
    <cellStyle name="Процентный 4 107 9" xfId="45048"/>
    <cellStyle name="Обычный 5 100 9" xfId="45049"/>
    <cellStyle name="Процентный 5 100 9" xfId="45050"/>
    <cellStyle name="Обычный 4 2 94 9" xfId="45051"/>
    <cellStyle name="Процентный 4 2 94 9" xfId="45052"/>
    <cellStyle name="Обычный 5 2 94 9" xfId="45053"/>
    <cellStyle name="Процентный 5 2 94 9" xfId="45054"/>
    <cellStyle name="Обычный 6 91 9" xfId="45055"/>
    <cellStyle name="Процентный 6 91 9" xfId="45056"/>
    <cellStyle name="Обычный 7 61 9" xfId="45057"/>
    <cellStyle name="Процентный 7 61 9" xfId="45058"/>
    <cellStyle name="Обычный 4 3 53 9" xfId="45059"/>
    <cellStyle name="Процентный 4 3 53 9" xfId="45060"/>
    <cellStyle name="Обычный 5 3 53 9" xfId="45061"/>
    <cellStyle name="Процентный 5 3 53 9" xfId="45062"/>
    <cellStyle name="Обычный 4 2 2 53 9" xfId="45063"/>
    <cellStyle name="Процентный 4 2 2 53 9" xfId="45064"/>
    <cellStyle name="Обычный 5 2 2 53 9" xfId="45065"/>
    <cellStyle name="Процентный 5 2 2 53 9" xfId="45066"/>
    <cellStyle name="Обычный 6 2 53 9" xfId="45067"/>
    <cellStyle name="Процентный 6 2 53 9" xfId="45068"/>
    <cellStyle name="Обычный 7 2 53 9" xfId="45069"/>
    <cellStyle name="Процентный 7 2 53 9" xfId="45070"/>
    <cellStyle name="Обычный 8 49 9" xfId="45071"/>
    <cellStyle name="Процентный 8 49 9" xfId="45072"/>
    <cellStyle name="Обычный 9 15 9" xfId="45073"/>
    <cellStyle name="Процентный 9 16 9" xfId="45074"/>
    <cellStyle name="Обычный 10 8 9" xfId="45075"/>
    <cellStyle name="Процентный 10 8 9" xfId="45076"/>
    <cellStyle name="Обычный 4 108 9" xfId="45077"/>
    <cellStyle name="Процентный 4 108 9" xfId="45078"/>
    <cellStyle name="Обычный 5 101 9" xfId="45079"/>
    <cellStyle name="Процентный 5 101 9" xfId="45080"/>
    <cellStyle name="Обычный 4 2 95 9" xfId="45081"/>
    <cellStyle name="Процентный 4 2 95 9" xfId="45082"/>
    <cellStyle name="Обычный 5 2 95 9" xfId="45083"/>
    <cellStyle name="Процентный 5 2 95 9" xfId="45084"/>
    <cellStyle name="Обычный 6 92 9" xfId="45085"/>
    <cellStyle name="Процентный 6 92 9" xfId="45086"/>
    <cellStyle name="Обычный 7 62 9" xfId="45087"/>
    <cellStyle name="Процентный 7 62 9" xfId="45088"/>
    <cellStyle name="Обычный 4 3 54 9" xfId="45089"/>
    <cellStyle name="Процентный 4 3 54 9" xfId="45090"/>
    <cellStyle name="Обычный 5 3 54 9" xfId="45091"/>
    <cellStyle name="Процентный 5 3 54 9" xfId="45092"/>
    <cellStyle name="Обычный 4 2 2 54 9" xfId="45093"/>
    <cellStyle name="Процентный 4 2 2 54 9" xfId="45094"/>
    <cellStyle name="Обычный 5 2 2 54 9" xfId="45095"/>
    <cellStyle name="Процентный 5 2 2 54 9" xfId="45096"/>
    <cellStyle name="Обычный 6 2 54 9" xfId="45097"/>
    <cellStyle name="Процентный 6 2 54 9" xfId="45098"/>
    <cellStyle name="Обычный 7 2 54 9" xfId="45099"/>
    <cellStyle name="Процентный 7 2 54 9" xfId="45100"/>
    <cellStyle name="Обычный 8 50 9" xfId="45101"/>
    <cellStyle name="Процентный 8 50 9" xfId="45102"/>
    <cellStyle name="Обычный 9 16 9" xfId="45103"/>
    <cellStyle name="Процентный 9 17 9" xfId="45104"/>
    <cellStyle name="Обычный 10 9 9" xfId="45105"/>
    <cellStyle name="Процентный 10 9 9" xfId="45106"/>
    <cellStyle name="Обычный 4 109 9" xfId="45107"/>
    <cellStyle name="Процентный 4 109 9" xfId="45108"/>
    <cellStyle name="Обычный 5 102 9" xfId="45109"/>
    <cellStyle name="Процентный 5 102 9" xfId="45110"/>
    <cellStyle name="Обычный 4 2 96 9" xfId="45111"/>
    <cellStyle name="Процентный 4 2 96 9" xfId="45112"/>
    <cellStyle name="Обычный 5 2 96 9" xfId="45113"/>
    <cellStyle name="Процентный 5 2 96 9" xfId="45114"/>
    <cellStyle name="Обычный 6 93 9" xfId="45115"/>
    <cellStyle name="Процентный 6 93 9" xfId="45116"/>
    <cellStyle name="Обычный 7 63 9" xfId="45117"/>
    <cellStyle name="Процентный 7 63 9" xfId="45118"/>
    <cellStyle name="Обычный 4 3 55 9" xfId="45119"/>
    <cellStyle name="Процентный 4 3 55 9" xfId="45120"/>
    <cellStyle name="Обычный 5 3 55 9" xfId="45121"/>
    <cellStyle name="Процентный 5 3 55 9" xfId="45122"/>
    <cellStyle name="Обычный 4 2 2 55 9" xfId="45123"/>
    <cellStyle name="Процентный 4 2 2 55 9" xfId="45124"/>
    <cellStyle name="Обычный 5 2 2 55 9" xfId="45125"/>
    <cellStyle name="Процентный 5 2 2 55 9" xfId="45126"/>
    <cellStyle name="Обычный 6 2 55 9" xfId="45127"/>
    <cellStyle name="Процентный 6 2 55 9" xfId="45128"/>
    <cellStyle name="Обычный 7 2 55 9" xfId="45129"/>
    <cellStyle name="Процентный 7 2 55 9" xfId="45130"/>
    <cellStyle name="Обычный 8 51 9" xfId="45131"/>
    <cellStyle name="Процентный 8 51 9" xfId="45132"/>
    <cellStyle name="Обычный 9 17 9" xfId="45133"/>
    <cellStyle name="Процентный 9 18 9" xfId="45134"/>
    <cellStyle name="Обычный 10 10 9" xfId="45135"/>
    <cellStyle name="Процентный 10 10 9" xfId="45136"/>
    <cellStyle name="Обычный 4 110 9" xfId="45137"/>
    <cellStyle name="Процентный 4 110 9" xfId="45138"/>
    <cellStyle name="Обычный 5 103 9" xfId="45139"/>
    <cellStyle name="Процентный 5 103 9" xfId="45140"/>
    <cellStyle name="Обычный 4 2 97 9" xfId="45141"/>
    <cellStyle name="Процентный 4 2 97 9" xfId="45142"/>
    <cellStyle name="Обычный 5 2 97 9" xfId="45143"/>
    <cellStyle name="Процентный 5 2 97 9" xfId="45144"/>
    <cellStyle name="Обычный 6 94 9" xfId="45145"/>
    <cellStyle name="Процентный 6 94 9" xfId="45146"/>
    <cellStyle name="Обычный 7 64 9" xfId="45147"/>
    <cellStyle name="Процентный 7 64 9" xfId="45148"/>
    <cellStyle name="Обычный 4 3 56 9" xfId="45149"/>
    <cellStyle name="Процентный 4 3 56 9" xfId="45150"/>
    <cellStyle name="Обычный 5 3 56 9" xfId="45151"/>
    <cellStyle name="Процентный 5 3 56 9" xfId="45152"/>
    <cellStyle name="Обычный 4 2 2 56 9" xfId="45153"/>
    <cellStyle name="Процентный 4 2 2 56 9" xfId="45154"/>
    <cellStyle name="Обычный 5 2 2 56 9" xfId="45155"/>
    <cellStyle name="Процентный 5 2 2 56 9" xfId="45156"/>
    <cellStyle name="Обычный 6 2 56 9" xfId="45157"/>
    <cellStyle name="Процентный 6 2 56 9" xfId="45158"/>
    <cellStyle name="Обычный 7 2 56 9" xfId="45159"/>
    <cellStyle name="Процентный 7 2 56 9" xfId="45160"/>
    <cellStyle name="Обычный 8 52 9" xfId="45161"/>
    <cellStyle name="Процентный 8 52 9" xfId="45162"/>
    <cellStyle name="Обычный 9 18 9" xfId="45163"/>
    <cellStyle name="Процентный 9 19 9" xfId="45164"/>
    <cellStyle name="Обычный 10 11 9" xfId="45165"/>
    <cellStyle name="Процентный 10 11 9" xfId="45166"/>
    <cellStyle name="Обычный 4 111 9" xfId="45167"/>
    <cellStyle name="Процентный 4 111 9" xfId="45168"/>
    <cellStyle name="Обычный 5 104 9" xfId="45169"/>
    <cellStyle name="Процентный 5 104 9" xfId="45170"/>
    <cellStyle name="Обычный 4 2 98 9" xfId="45171"/>
    <cellStyle name="Процентный 4 2 98 9" xfId="45172"/>
    <cellStyle name="Обычный 5 2 98 9" xfId="45173"/>
    <cellStyle name="Процентный 5 2 98 9" xfId="45174"/>
    <cellStyle name="Обычный 6 95 9" xfId="45175"/>
    <cellStyle name="Процентный 6 95 9" xfId="45176"/>
    <cellStyle name="Обычный 7 65 9" xfId="45177"/>
    <cellStyle name="Процентный 7 65 9" xfId="45178"/>
    <cellStyle name="Обычный 4 3 57 9" xfId="45179"/>
    <cellStyle name="Процентный 4 3 57 9" xfId="45180"/>
    <cellStyle name="Обычный 5 3 57 9" xfId="45181"/>
    <cellStyle name="Процентный 5 3 57 9" xfId="45182"/>
    <cellStyle name="Обычный 4 2 2 57 9" xfId="45183"/>
    <cellStyle name="Процентный 4 2 2 57 9" xfId="45184"/>
    <cellStyle name="Обычный 5 2 2 57 9" xfId="45185"/>
    <cellStyle name="Процентный 5 2 2 57 9" xfId="45186"/>
    <cellStyle name="Обычный 6 2 57 9" xfId="45187"/>
    <cellStyle name="Процентный 6 2 57 9" xfId="45188"/>
    <cellStyle name="Обычный 7 2 57 9" xfId="45189"/>
    <cellStyle name="Процентный 7 2 57 9" xfId="45190"/>
    <cellStyle name="Обычный 8 53 9" xfId="45191"/>
    <cellStyle name="Процентный 8 53 9" xfId="45192"/>
    <cellStyle name="Обычный 9 19 9" xfId="45193"/>
    <cellStyle name="Процентный 9 20 9" xfId="45194"/>
    <cellStyle name="Обычный 10 12 9" xfId="45195"/>
    <cellStyle name="Процентный 10 12 9" xfId="45196"/>
    <cellStyle name="Обычный 4 112 9" xfId="45197"/>
    <cellStyle name="Процентный 4 112 9" xfId="45198"/>
    <cellStyle name="Обычный 5 105 9" xfId="45199"/>
    <cellStyle name="Процентный 5 105 9" xfId="45200"/>
    <cellStyle name="Обычный 4 2 99 9" xfId="45201"/>
    <cellStyle name="Процентный 4 2 99 9" xfId="45202"/>
    <cellStyle name="Обычный 5 2 99 9" xfId="45203"/>
    <cellStyle name="Процентный 5 2 99 9" xfId="45204"/>
    <cellStyle name="Обычный 6 96 9" xfId="45205"/>
    <cellStyle name="Процентный 6 96 9" xfId="45206"/>
    <cellStyle name="Обычный 7 66 9" xfId="45207"/>
    <cellStyle name="Процентный 7 66 9" xfId="45208"/>
    <cellStyle name="Обычный 4 3 58 9" xfId="45209"/>
    <cellStyle name="Процентный 4 3 58 9" xfId="45210"/>
    <cellStyle name="Обычный 5 3 58 9" xfId="45211"/>
    <cellStyle name="Процентный 5 3 58 9" xfId="45212"/>
    <cellStyle name="Обычный 4 2 2 58 9" xfId="45213"/>
    <cellStyle name="Процентный 4 2 2 58 9" xfId="45214"/>
    <cellStyle name="Обычный 5 2 2 58 9" xfId="45215"/>
    <cellStyle name="Процентный 5 2 2 58 9" xfId="45216"/>
    <cellStyle name="Обычный 6 2 58 9" xfId="45217"/>
    <cellStyle name="Процентный 6 2 58 9" xfId="45218"/>
    <cellStyle name="Обычный 7 2 58 9" xfId="45219"/>
    <cellStyle name="Процентный 7 2 58 9" xfId="45220"/>
    <cellStyle name="Обычный 8 54 9" xfId="45221"/>
    <cellStyle name="Процентный 8 54 9" xfId="45222"/>
    <cellStyle name="Обычный 9 20 9" xfId="45223"/>
    <cellStyle name="Процентный 9 21 9" xfId="45224"/>
    <cellStyle name="Обычный 10 13 9" xfId="45225"/>
    <cellStyle name="Процентный 10 13 9" xfId="45226"/>
    <cellStyle name="Обычный 11 99" xfId="45227"/>
    <cellStyle name="Процентный 11 99" xfId="45228"/>
    <cellStyle name="Обычный 4 113 9" xfId="45229"/>
    <cellStyle name="Процентный 4 113 9" xfId="45230"/>
    <cellStyle name="Обычный 5 106 9" xfId="45231"/>
    <cellStyle name="Процентный 5 106 9" xfId="45232"/>
    <cellStyle name="Обычный 4 2 100 9" xfId="45233"/>
    <cellStyle name="Процентный 4 2 100 9" xfId="45234"/>
    <cellStyle name="Обычный 5 2 100 9" xfId="45235"/>
    <cellStyle name="Процентный 5 2 100 9" xfId="45236"/>
    <cellStyle name="Обычный 6 97 9" xfId="45237"/>
    <cellStyle name="Процентный 6 97 9" xfId="45238"/>
    <cellStyle name="Обычный 7 67 9" xfId="45239"/>
    <cellStyle name="Процентный 7 67 9" xfId="45240"/>
    <cellStyle name="Обычный 4 3 59 9" xfId="45241"/>
    <cellStyle name="Процентный 4 3 59 9" xfId="45242"/>
    <cellStyle name="Обычный 5 3 59 9" xfId="45243"/>
    <cellStyle name="Процентный 5 3 59 9" xfId="45244"/>
    <cellStyle name="Обычный 4 2 2 59 9" xfId="45245"/>
    <cellStyle name="Процентный 4 2 2 59 9" xfId="45246"/>
    <cellStyle name="Обычный 5 2 2 59 9" xfId="45247"/>
    <cellStyle name="Процентный 5 2 2 59 9" xfId="45248"/>
    <cellStyle name="Обычный 6 2 59 9" xfId="45249"/>
    <cellStyle name="Процентный 6 2 59 9" xfId="45250"/>
    <cellStyle name="Обычный 7 2 59 9" xfId="45251"/>
    <cellStyle name="Процентный 7 2 59 9" xfId="45252"/>
    <cellStyle name="Обычный 8 55 9" xfId="45253"/>
    <cellStyle name="Процентный 8 55 9" xfId="45254"/>
    <cellStyle name="Обычный 9 21 9" xfId="45255"/>
    <cellStyle name="Процентный 9 22 9" xfId="45256"/>
    <cellStyle name="Обычный 10 14 9" xfId="45257"/>
    <cellStyle name="Процентный 10 14 9" xfId="45258"/>
    <cellStyle name="Обычный 11 2 9" xfId="45259"/>
    <cellStyle name="Процентный 11 2 9" xfId="45260"/>
    <cellStyle name="Обычный 12 9" xfId="45261"/>
    <cellStyle name="Процентный 12 9" xfId="45262"/>
    <cellStyle name="Обычный 4 114 9" xfId="45263"/>
    <cellStyle name="Процентный 4 114 9" xfId="45264"/>
    <cellStyle name="Обычный 5 107 9" xfId="45265"/>
    <cellStyle name="Процентный 5 107 9" xfId="45266"/>
    <cellStyle name="Обычный 4 2 101 9" xfId="45267"/>
    <cellStyle name="Процентный 4 2 101 9" xfId="45268"/>
    <cellStyle name="Обычный 5 2 101 9" xfId="45269"/>
    <cellStyle name="Процентный 5 2 101 9" xfId="45270"/>
    <cellStyle name="Обычный 6 98 9" xfId="45271"/>
    <cellStyle name="Процентный 6 98 9" xfId="45272"/>
    <cellStyle name="Обычный 7 68 9" xfId="45273"/>
    <cellStyle name="Процентный 7 68 9" xfId="45274"/>
    <cellStyle name="Обычный 4 3 60 9" xfId="45275"/>
    <cellStyle name="Процентный 4 3 60 9" xfId="45276"/>
    <cellStyle name="Обычный 5 3 60 9" xfId="45277"/>
    <cellStyle name="Процентный 5 3 60 9" xfId="45278"/>
    <cellStyle name="Обычный 4 2 2 60 9" xfId="45279"/>
    <cellStyle name="Процентный 4 2 2 60 9" xfId="45280"/>
    <cellStyle name="Обычный 5 2 2 60 9" xfId="45281"/>
    <cellStyle name="Процентный 5 2 2 60 9" xfId="45282"/>
    <cellStyle name="Обычный 6 2 60 9" xfId="45283"/>
    <cellStyle name="Процентный 6 2 60 9" xfId="45284"/>
    <cellStyle name="Обычный 7 2 60 9" xfId="45285"/>
    <cellStyle name="Процентный 7 2 60 9" xfId="45286"/>
    <cellStyle name="Обычный 8 56 9" xfId="45287"/>
    <cellStyle name="Процентный 8 56 9" xfId="45288"/>
    <cellStyle name="Обычный 9 22 9" xfId="45289"/>
    <cellStyle name="Процентный 9 23 9" xfId="45290"/>
    <cellStyle name="Обычный 10 15 9" xfId="45291"/>
    <cellStyle name="Процентный 10 15 9" xfId="45292"/>
    <cellStyle name="Обычный 11 3 9" xfId="45293"/>
    <cellStyle name="Процентный 11 3 9" xfId="45294"/>
    <cellStyle name="Обычный 4 115 9" xfId="45295"/>
    <cellStyle name="Процентный 4 115 9" xfId="45296"/>
    <cellStyle name="Обычный 5 108 9" xfId="45297"/>
    <cellStyle name="Процентный 5 108 9" xfId="45298"/>
    <cellStyle name="Обычный 4 2 102 9" xfId="45299"/>
    <cellStyle name="Процентный 4 2 102 9" xfId="45300"/>
    <cellStyle name="Обычный 5 2 102 9" xfId="45301"/>
    <cellStyle name="Процентный 5 2 102 9" xfId="45302"/>
    <cellStyle name="Обычный 6 99 9" xfId="45303"/>
    <cellStyle name="Процентный 6 99 9" xfId="45304"/>
    <cellStyle name="Обычный 7 69 9" xfId="45305"/>
    <cellStyle name="Процентный 7 69 9" xfId="45306"/>
    <cellStyle name="Обычный 4 3 61 9" xfId="45307"/>
    <cellStyle name="Процентный 4 3 61 9" xfId="45308"/>
    <cellStyle name="Обычный 5 3 61 9" xfId="45309"/>
    <cellStyle name="Процентный 5 3 61 9" xfId="45310"/>
    <cellStyle name="Обычный 4 2 2 61 9" xfId="45311"/>
    <cellStyle name="Процентный 4 2 2 61 9" xfId="45312"/>
    <cellStyle name="Обычный 5 2 2 61 9" xfId="45313"/>
    <cellStyle name="Процентный 5 2 2 61 9" xfId="45314"/>
    <cellStyle name="Обычный 6 2 61 9" xfId="45315"/>
    <cellStyle name="Процентный 6 2 61 9" xfId="45316"/>
    <cellStyle name="Обычный 7 2 61 9" xfId="45317"/>
    <cellStyle name="Процентный 7 2 61 9" xfId="45318"/>
    <cellStyle name="Обычный 8 57 9" xfId="45319"/>
    <cellStyle name="Процентный 8 57 9" xfId="45320"/>
    <cellStyle name="Обычный 9 23 9" xfId="45321"/>
    <cellStyle name="Процентный 9 24 9" xfId="45322"/>
    <cellStyle name="Обычный 10 16 9" xfId="45323"/>
    <cellStyle name="Процентный 10 16 9" xfId="45324"/>
    <cellStyle name="Обычный 11 4 9" xfId="45325"/>
    <cellStyle name="Процентный 11 4 9" xfId="45326"/>
    <cellStyle name="Обычный 4 116 9" xfId="45327"/>
    <cellStyle name="Процентный 4 116 9" xfId="45328"/>
    <cellStyle name="Обычный 5 109 9" xfId="45329"/>
    <cellStyle name="Процентный 5 109 9" xfId="45330"/>
    <cellStyle name="Обычный 4 2 103 9" xfId="45331"/>
    <cellStyle name="Процентный 4 2 103 9" xfId="45332"/>
    <cellStyle name="Обычный 5 2 103 9" xfId="45333"/>
    <cellStyle name="Процентный 5 2 103 9" xfId="45334"/>
    <cellStyle name="Обычный 6 100 9" xfId="45335"/>
    <cellStyle name="Процентный 6 100 9" xfId="45336"/>
    <cellStyle name="Обычный 7 70 9" xfId="45337"/>
    <cellStyle name="Процентный 7 70 9" xfId="45338"/>
    <cellStyle name="Обычный 4 3 62 9" xfId="45339"/>
    <cellStyle name="Процентный 4 3 62 9" xfId="45340"/>
    <cellStyle name="Обычный 5 3 62 9" xfId="45341"/>
    <cellStyle name="Процентный 5 3 62 9" xfId="45342"/>
    <cellStyle name="Обычный 4 2 2 62 9" xfId="45343"/>
    <cellStyle name="Процентный 4 2 2 62 9" xfId="45344"/>
    <cellStyle name="Обычный 5 2 2 62 9" xfId="45345"/>
    <cellStyle name="Процентный 5 2 2 62 9" xfId="45346"/>
    <cellStyle name="Обычный 6 2 62 9" xfId="45347"/>
    <cellStyle name="Процентный 6 2 62 9" xfId="45348"/>
    <cellStyle name="Обычный 7 2 62 9" xfId="45349"/>
    <cellStyle name="Процентный 7 2 62 9" xfId="45350"/>
    <cellStyle name="Обычный 8 58 9" xfId="45351"/>
    <cellStyle name="Процентный 8 58 9" xfId="45352"/>
    <cellStyle name="Обычный 9 24 9" xfId="45353"/>
    <cellStyle name="Процентный 9 25 9" xfId="45354"/>
    <cellStyle name="Обычный 10 17 9" xfId="45355"/>
    <cellStyle name="Процентный 10 17 9" xfId="45356"/>
    <cellStyle name="Обычный 11 5 9" xfId="45357"/>
    <cellStyle name="Процентный 11 5 9" xfId="45358"/>
    <cellStyle name="Обычный 4 117 9" xfId="45359"/>
    <cellStyle name="Процентный 4 117 9" xfId="45360"/>
    <cellStyle name="Обычный 5 110 9" xfId="45361"/>
    <cellStyle name="Процентный 5 110 9" xfId="45362"/>
    <cellStyle name="Обычный 4 2 104 9" xfId="45363"/>
    <cellStyle name="Процентный 4 2 104 9" xfId="45364"/>
    <cellStyle name="Обычный 5 2 104 9" xfId="45365"/>
    <cellStyle name="Процентный 5 2 104 9" xfId="45366"/>
    <cellStyle name="Обычный 6 101 9" xfId="45367"/>
    <cellStyle name="Процентный 6 101 9" xfId="45368"/>
    <cellStyle name="Обычный 7 71 9" xfId="45369"/>
    <cellStyle name="Процентный 7 71 9" xfId="45370"/>
    <cellStyle name="Обычный 4 3 63 9" xfId="45371"/>
    <cellStyle name="Процентный 4 3 63 9" xfId="45372"/>
    <cellStyle name="Обычный 5 3 63 9" xfId="45373"/>
    <cellStyle name="Процентный 5 3 63 9" xfId="45374"/>
    <cellStyle name="Обычный 4 2 2 63 9" xfId="45375"/>
    <cellStyle name="Процентный 4 2 2 63 9" xfId="45376"/>
    <cellStyle name="Обычный 5 2 2 63 9" xfId="45377"/>
    <cellStyle name="Процентный 5 2 2 63 9" xfId="45378"/>
    <cellStyle name="Обычный 6 2 63 9" xfId="45379"/>
    <cellStyle name="Процентный 6 2 63 9" xfId="45380"/>
    <cellStyle name="Обычный 7 2 63 9" xfId="45381"/>
    <cellStyle name="Процентный 7 2 63 9" xfId="45382"/>
    <cellStyle name="Обычный 8 59 9" xfId="45383"/>
    <cellStyle name="Процентный 8 59 9" xfId="45384"/>
    <cellStyle name="Обычный 9 25 9" xfId="45385"/>
    <cellStyle name="Процентный 9 26 9" xfId="45386"/>
    <cellStyle name="Обычный 10 18 9" xfId="45387"/>
    <cellStyle name="Процентный 10 18 9" xfId="45388"/>
    <cellStyle name="Обычный 11 6 9" xfId="45389"/>
    <cellStyle name="Процентный 11 6 9" xfId="45390"/>
    <cellStyle name="Обычный 4 118 9" xfId="45391"/>
    <cellStyle name="Процентный 4 118 9" xfId="45392"/>
    <cellStyle name="Обычный 5 111 9" xfId="45393"/>
    <cellStyle name="Процентный 5 111 9" xfId="45394"/>
    <cellStyle name="Обычный 4 2 105 9" xfId="45395"/>
    <cellStyle name="Процентный 4 2 105 9" xfId="45396"/>
    <cellStyle name="Обычный 5 2 105 9" xfId="45397"/>
    <cellStyle name="Процентный 5 2 105 9" xfId="45398"/>
    <cellStyle name="Обычный 6 102 9" xfId="45399"/>
    <cellStyle name="Процентный 6 102 9" xfId="45400"/>
    <cellStyle name="Обычный 7 72 9" xfId="45401"/>
    <cellStyle name="Процентный 7 72 9" xfId="45402"/>
    <cellStyle name="Обычный 4 3 64 9" xfId="45403"/>
    <cellStyle name="Процентный 4 3 64 9" xfId="45404"/>
    <cellStyle name="Обычный 5 3 64 9" xfId="45405"/>
    <cellStyle name="Процентный 5 3 64 9" xfId="45406"/>
    <cellStyle name="Обычный 4 2 2 64 9" xfId="45407"/>
    <cellStyle name="Процентный 4 2 2 64 9" xfId="45408"/>
    <cellStyle name="Обычный 5 2 2 64 9" xfId="45409"/>
    <cellStyle name="Процентный 5 2 2 64 9" xfId="45410"/>
    <cellStyle name="Обычный 6 2 64 9" xfId="45411"/>
    <cellStyle name="Процентный 6 2 64 9" xfId="45412"/>
    <cellStyle name="Обычный 7 2 64 9" xfId="45413"/>
    <cellStyle name="Процентный 7 2 64 9" xfId="45414"/>
    <cellStyle name="Обычный 8 60 9" xfId="45415"/>
    <cellStyle name="Процентный 8 60 9" xfId="45416"/>
    <cellStyle name="Обычный 9 26 9" xfId="45417"/>
    <cellStyle name="Процентный 9 27 9" xfId="45418"/>
    <cellStyle name="Обычный 10 19 9" xfId="45419"/>
    <cellStyle name="Процентный 10 19 9" xfId="45420"/>
    <cellStyle name="Обычный 11 7 9" xfId="45421"/>
    <cellStyle name="Процентный 11 7 9" xfId="45422"/>
    <cellStyle name="Обычный 4 119 9" xfId="45423"/>
    <cellStyle name="Процентный 4 119 9" xfId="45424"/>
    <cellStyle name="Обычный 5 112 9" xfId="45425"/>
    <cellStyle name="Процентный 5 112 9" xfId="45426"/>
    <cellStyle name="Обычный 4 2 106 9" xfId="45427"/>
    <cellStyle name="Процентный 4 2 106 9" xfId="45428"/>
    <cellStyle name="Обычный 5 2 106 9" xfId="45429"/>
    <cellStyle name="Процентный 5 2 106 9" xfId="45430"/>
    <cellStyle name="Обычный 6 103 9" xfId="45431"/>
    <cellStyle name="Процентный 6 103 9" xfId="45432"/>
    <cellStyle name="Обычный 7 73 9" xfId="45433"/>
    <cellStyle name="Процентный 7 73 9" xfId="45434"/>
    <cellStyle name="Обычный 4 3 65 9" xfId="45435"/>
    <cellStyle name="Процентный 4 3 65 9" xfId="45436"/>
    <cellStyle name="Обычный 5 3 65 9" xfId="45437"/>
    <cellStyle name="Процентный 5 3 65 9" xfId="45438"/>
    <cellStyle name="Обычный 4 2 2 65 9" xfId="45439"/>
    <cellStyle name="Процентный 4 2 2 65 9" xfId="45440"/>
    <cellStyle name="Обычный 5 2 2 65 9" xfId="45441"/>
    <cellStyle name="Процентный 5 2 2 65 9" xfId="45442"/>
    <cellStyle name="Обычный 6 2 65 9" xfId="45443"/>
    <cellStyle name="Процентный 6 2 65 9" xfId="45444"/>
    <cellStyle name="Обычный 7 2 65 9" xfId="45445"/>
    <cellStyle name="Процентный 7 2 65 9" xfId="45446"/>
    <cellStyle name="Обычный 8 61 9" xfId="45447"/>
    <cellStyle name="Процентный 8 61 9" xfId="45448"/>
    <cellStyle name="Обычный 9 27 9" xfId="45449"/>
    <cellStyle name="Процентный 9 28 9" xfId="45450"/>
    <cellStyle name="Обычный 10 20 9" xfId="45451"/>
    <cellStyle name="Процентный 10 20 9" xfId="45452"/>
    <cellStyle name="Обычный 11 8 9" xfId="45453"/>
    <cellStyle name="Процентный 11 8 9" xfId="45454"/>
    <cellStyle name="Обычный 4 120 9" xfId="45455"/>
    <cellStyle name="Процентный 4 120 9" xfId="45456"/>
    <cellStyle name="Обычный 5 113 9" xfId="45457"/>
    <cellStyle name="Процентный 5 113 9" xfId="45458"/>
    <cellStyle name="Обычный 4 2 107 9" xfId="45459"/>
    <cellStyle name="Процентный 4 2 107 9" xfId="45460"/>
    <cellStyle name="Обычный 5 2 107 9" xfId="45461"/>
    <cellStyle name="Процентный 5 2 107 9" xfId="45462"/>
    <cellStyle name="Обычный 6 104 9" xfId="45463"/>
    <cellStyle name="Процентный 6 104 9" xfId="45464"/>
    <cellStyle name="Обычный 7 74 9" xfId="45465"/>
    <cellStyle name="Процентный 7 74 9" xfId="45466"/>
    <cellStyle name="Обычный 4 3 66 9" xfId="45467"/>
    <cellStyle name="Процентный 4 3 66 9" xfId="45468"/>
    <cellStyle name="Обычный 5 3 66 9" xfId="45469"/>
    <cellStyle name="Процентный 5 3 66 9" xfId="45470"/>
    <cellStyle name="Обычный 4 2 2 66 9" xfId="45471"/>
    <cellStyle name="Процентный 4 2 2 66 9" xfId="45472"/>
    <cellStyle name="Обычный 5 2 2 66 9" xfId="45473"/>
    <cellStyle name="Процентный 5 2 2 66 9" xfId="45474"/>
    <cellStyle name="Обычный 6 2 66 9" xfId="45475"/>
    <cellStyle name="Процентный 6 2 66 9" xfId="45476"/>
    <cellStyle name="Обычный 7 2 66 9" xfId="45477"/>
    <cellStyle name="Процентный 7 2 66 9" xfId="45478"/>
    <cellStyle name="Обычный 8 62 9" xfId="45479"/>
    <cellStyle name="Процентный 8 62 9" xfId="45480"/>
    <cellStyle name="Обычный 9 28 9" xfId="45481"/>
    <cellStyle name="Процентный 9 29 9" xfId="45482"/>
    <cellStyle name="Обычный 10 21 9" xfId="45483"/>
    <cellStyle name="Процентный 10 21 9" xfId="45484"/>
    <cellStyle name="Обычный 11 9 9" xfId="45485"/>
    <cellStyle name="Процентный 11 9 9" xfId="45486"/>
    <cellStyle name="Обычный 13 9" xfId="45487"/>
    <cellStyle name="Процентный 13 9" xfId="45488"/>
    <cellStyle name="Обычный 4 121 9" xfId="45489"/>
    <cellStyle name="Процентный 4 121 9" xfId="45490"/>
    <cellStyle name="Обычный 5 114 9" xfId="45491"/>
    <cellStyle name="Процентный 5 114 9" xfId="45492"/>
    <cellStyle name="Обычный 4 2 108 9" xfId="45493"/>
    <cellStyle name="Процентный 4 2 108 9" xfId="45494"/>
    <cellStyle name="Обычный 5 2 108 9" xfId="45495"/>
    <cellStyle name="Процентный 5 2 108 9" xfId="45496"/>
    <cellStyle name="Обычный 6 105 9" xfId="45497"/>
    <cellStyle name="Процентный 6 105 9" xfId="45498"/>
    <cellStyle name="Обычный 7 75 9" xfId="45499"/>
    <cellStyle name="Процентный 7 75 9" xfId="45500"/>
    <cellStyle name="Обычный 4 3 67 9" xfId="45501"/>
    <cellStyle name="Процентный 4 3 67 9" xfId="45502"/>
    <cellStyle name="Обычный 5 3 67 9" xfId="45503"/>
    <cellStyle name="Процентный 5 3 67 9" xfId="45504"/>
    <cellStyle name="Обычный 4 2 2 67 9" xfId="45505"/>
    <cellStyle name="Процентный 4 2 2 67 9" xfId="45506"/>
    <cellStyle name="Обычный 5 2 2 67 9" xfId="45507"/>
    <cellStyle name="Процентный 5 2 2 67 9" xfId="45508"/>
    <cellStyle name="Обычный 6 2 67 9" xfId="45509"/>
    <cellStyle name="Процентный 6 2 67 9" xfId="45510"/>
    <cellStyle name="Обычный 7 2 67 9" xfId="45511"/>
    <cellStyle name="Процентный 7 2 67 9" xfId="45512"/>
    <cellStyle name="Обычный 8 63 9" xfId="45513"/>
    <cellStyle name="Процентный 8 63 9" xfId="45514"/>
    <cellStyle name="Обычный 9 29 9" xfId="45515"/>
    <cellStyle name="Процентный 9 30 9" xfId="45516"/>
    <cellStyle name="Обычный 10 22 9" xfId="45517"/>
    <cellStyle name="Процентный 10 22 9" xfId="45518"/>
    <cellStyle name="Обычный 11 10 9" xfId="45519"/>
    <cellStyle name="Процентный 11 10 9" xfId="45520"/>
    <cellStyle name="Обычный 4 122 9" xfId="45521"/>
    <cellStyle name="Процентный 4 122 9" xfId="45522"/>
    <cellStyle name="Обычный 5 115 9" xfId="45523"/>
    <cellStyle name="Процентный 5 115 9" xfId="45524"/>
    <cellStyle name="Обычный 4 2 109 9" xfId="45525"/>
    <cellStyle name="Процентный 4 2 109 9" xfId="45526"/>
    <cellStyle name="Обычный 5 2 109 9" xfId="45527"/>
    <cellStyle name="Процентный 5 2 109 9" xfId="45528"/>
    <cellStyle name="Обычный 6 106 9" xfId="45529"/>
    <cellStyle name="Процентный 6 106 9" xfId="45530"/>
    <cellStyle name="Обычный 7 76 9" xfId="45531"/>
    <cellStyle name="Процентный 7 76 9" xfId="45532"/>
    <cellStyle name="Обычный 4 3 68 9" xfId="45533"/>
    <cellStyle name="Процентный 4 3 68 9" xfId="45534"/>
    <cellStyle name="Обычный 5 3 68 9" xfId="45535"/>
    <cellStyle name="Процентный 5 3 68 9" xfId="45536"/>
    <cellStyle name="Обычный 4 2 2 68 9" xfId="45537"/>
    <cellStyle name="Процентный 4 2 2 68 9" xfId="45538"/>
    <cellStyle name="Обычный 5 2 2 68 9" xfId="45539"/>
    <cellStyle name="Процентный 5 2 2 68 9" xfId="45540"/>
    <cellStyle name="Обычный 6 2 68 9" xfId="45541"/>
    <cellStyle name="Процентный 6 2 68 9" xfId="45542"/>
    <cellStyle name="Обычный 7 2 68 9" xfId="45543"/>
    <cellStyle name="Процентный 7 2 68 9" xfId="45544"/>
    <cellStyle name="Обычный 8 64 9" xfId="45545"/>
    <cellStyle name="Процентный 8 64 9" xfId="45546"/>
    <cellStyle name="Обычный 9 30 9" xfId="45547"/>
    <cellStyle name="Процентный 9 31 9" xfId="45548"/>
    <cellStyle name="Обычный 10 23 9" xfId="45549"/>
    <cellStyle name="Процентный 10 23 9" xfId="45550"/>
    <cellStyle name="Обычный 11 11 9" xfId="45551"/>
    <cellStyle name="Процентный 11 11 9" xfId="45552"/>
    <cellStyle name="Обычный 4 123 9" xfId="45553"/>
    <cellStyle name="Процентный 4 123 9" xfId="45554"/>
    <cellStyle name="Обычный 5 116 9" xfId="45555"/>
    <cellStyle name="Процентный 5 116 9" xfId="45556"/>
    <cellStyle name="Обычный 4 2 110 9" xfId="45557"/>
    <cellStyle name="Процентный 4 2 110 9" xfId="45558"/>
    <cellStyle name="Обычный 5 2 110 9" xfId="45559"/>
    <cellStyle name="Процентный 5 2 110 9" xfId="45560"/>
    <cellStyle name="Обычный 6 107 9" xfId="45561"/>
    <cellStyle name="Процентный 6 107 9" xfId="45562"/>
    <cellStyle name="Обычный 7 77 9" xfId="45563"/>
    <cellStyle name="Процентный 7 77 9" xfId="45564"/>
    <cellStyle name="Обычный 4 3 69 9" xfId="45565"/>
    <cellStyle name="Процентный 4 3 69 9" xfId="45566"/>
    <cellStyle name="Обычный 5 3 69 9" xfId="45567"/>
    <cellStyle name="Процентный 5 3 69 9" xfId="45568"/>
    <cellStyle name="Обычный 4 2 2 69 9" xfId="45569"/>
    <cellStyle name="Процентный 4 2 2 69 9" xfId="45570"/>
    <cellStyle name="Обычный 5 2 2 69 9" xfId="45571"/>
    <cellStyle name="Процентный 5 2 2 69 9" xfId="45572"/>
    <cellStyle name="Обычный 6 2 69 9" xfId="45573"/>
    <cellStyle name="Процентный 6 2 69 9" xfId="45574"/>
    <cellStyle name="Обычный 7 2 69 9" xfId="45575"/>
    <cellStyle name="Процентный 7 2 69 9" xfId="45576"/>
    <cellStyle name="Обычный 8 65 9" xfId="45577"/>
    <cellStyle name="Процентный 8 65 9" xfId="45578"/>
    <cellStyle name="Обычный 9 31 9" xfId="45579"/>
    <cellStyle name="Процентный 9 32 9" xfId="45580"/>
    <cellStyle name="Обычный 10 24 9" xfId="45581"/>
    <cellStyle name="Процентный 10 24 9" xfId="45582"/>
    <cellStyle name="Обычный 11 12 9" xfId="45583"/>
    <cellStyle name="Процентный 11 12 9" xfId="45584"/>
    <cellStyle name="Обычный 4 124 9" xfId="45585"/>
    <cellStyle name="Процентный 4 124 9" xfId="45586"/>
    <cellStyle name="Обычный 5 117 9" xfId="45587"/>
    <cellStyle name="Процентный 5 117 9" xfId="45588"/>
    <cellStyle name="Обычный 4 2 111 9" xfId="45589"/>
    <cellStyle name="Процентный 4 2 111 9" xfId="45590"/>
    <cellStyle name="Обычный 5 2 111 9" xfId="45591"/>
    <cellStyle name="Процентный 5 2 111 9" xfId="45592"/>
    <cellStyle name="Обычный 6 108 9" xfId="45593"/>
    <cellStyle name="Процентный 6 108 9" xfId="45594"/>
    <cellStyle name="Обычный 7 78 9" xfId="45595"/>
    <cellStyle name="Процентный 7 78 9" xfId="45596"/>
    <cellStyle name="Обычный 4 3 70 9" xfId="45597"/>
    <cellStyle name="Процентный 4 3 70 9" xfId="45598"/>
    <cellStyle name="Обычный 5 3 70 9" xfId="45599"/>
    <cellStyle name="Процентный 5 3 70 9" xfId="45600"/>
    <cellStyle name="Обычный 4 2 2 70 9" xfId="45601"/>
    <cellStyle name="Процентный 4 2 2 70 9" xfId="45602"/>
    <cellStyle name="Обычный 5 2 2 70 9" xfId="45603"/>
    <cellStyle name="Процентный 5 2 2 70 9" xfId="45604"/>
    <cellStyle name="Обычный 6 2 70 9" xfId="45605"/>
    <cellStyle name="Процентный 6 2 70 9" xfId="45606"/>
    <cellStyle name="Обычный 7 2 70 9" xfId="45607"/>
    <cellStyle name="Процентный 7 2 70 9" xfId="45608"/>
    <cellStyle name="Обычный 8 66 9" xfId="45609"/>
    <cellStyle name="Процентный 8 66 9" xfId="45610"/>
    <cellStyle name="Обычный 9 32 9" xfId="45611"/>
    <cellStyle name="Процентный 9 33 9" xfId="45612"/>
    <cellStyle name="Обычный 10 25 9" xfId="45613"/>
    <cellStyle name="Процентный 10 25 9" xfId="45614"/>
    <cellStyle name="Обычный 11 13 9" xfId="45615"/>
    <cellStyle name="Процентный 11 13 9" xfId="45616"/>
    <cellStyle name="Обычный 4 125 9" xfId="45617"/>
    <cellStyle name="Процентный 4 125 9" xfId="45618"/>
    <cellStyle name="Обычный 5 118 9" xfId="45619"/>
    <cellStyle name="Процентный 5 118 9" xfId="45620"/>
    <cellStyle name="Обычный 4 2 112 9" xfId="45621"/>
    <cellStyle name="Процентный 4 2 112 9" xfId="45622"/>
    <cellStyle name="Обычный 5 2 112 9" xfId="45623"/>
    <cellStyle name="Процентный 5 2 112 9" xfId="45624"/>
    <cellStyle name="Обычный 6 109 9" xfId="45625"/>
    <cellStyle name="Процентный 6 109 9" xfId="45626"/>
    <cellStyle name="Обычный 7 79 9" xfId="45627"/>
    <cellStyle name="Процентный 7 79 9" xfId="45628"/>
    <cellStyle name="Обычный 4 3 71 9" xfId="45629"/>
    <cellStyle name="Процентный 4 3 71 9" xfId="45630"/>
    <cellStyle name="Обычный 5 3 71 9" xfId="45631"/>
    <cellStyle name="Процентный 5 3 71 9" xfId="45632"/>
    <cellStyle name="Обычный 4 2 2 71 9" xfId="45633"/>
    <cellStyle name="Процентный 4 2 2 71 9" xfId="45634"/>
    <cellStyle name="Обычный 5 2 2 71 9" xfId="45635"/>
    <cellStyle name="Процентный 5 2 2 71 9" xfId="45636"/>
    <cellStyle name="Обычный 6 2 71 9" xfId="45637"/>
    <cellStyle name="Процентный 6 2 71 9" xfId="45638"/>
    <cellStyle name="Обычный 7 2 71 9" xfId="45639"/>
    <cellStyle name="Процентный 7 2 71 9" xfId="45640"/>
    <cellStyle name="Обычный 8 67 9" xfId="45641"/>
    <cellStyle name="Процентный 8 67 9" xfId="45642"/>
    <cellStyle name="Обычный 9 33 9" xfId="45643"/>
    <cellStyle name="Процентный 9 34 9" xfId="45644"/>
    <cellStyle name="Обычный 10 26 9" xfId="45645"/>
    <cellStyle name="Процентный 10 26 9" xfId="45646"/>
    <cellStyle name="Обычный 11 14 9" xfId="45647"/>
    <cellStyle name="Процентный 11 14 9" xfId="45648"/>
    <cellStyle name="Обычный 4 126 9" xfId="45649"/>
    <cellStyle name="Процентный 4 126 9" xfId="45650"/>
    <cellStyle name="Обычный 5 119 9" xfId="45651"/>
    <cellStyle name="Процентный 5 119 9" xfId="45652"/>
    <cellStyle name="Обычный 4 2 113 9" xfId="45653"/>
    <cellStyle name="Процентный 4 2 113 9" xfId="45654"/>
    <cellStyle name="Обычный 5 2 113 9" xfId="45655"/>
    <cellStyle name="Процентный 5 2 113 9" xfId="45656"/>
    <cellStyle name="Обычный 6 110 9" xfId="45657"/>
    <cellStyle name="Процентный 6 110 9" xfId="45658"/>
    <cellStyle name="Обычный 7 80 9" xfId="45659"/>
    <cellStyle name="Процентный 7 80 9" xfId="45660"/>
    <cellStyle name="Обычный 4 3 72 9" xfId="45661"/>
    <cellStyle name="Процентный 4 3 72 9" xfId="45662"/>
    <cellStyle name="Обычный 5 3 72 9" xfId="45663"/>
    <cellStyle name="Процентный 5 3 72 9" xfId="45664"/>
    <cellStyle name="Обычный 4 2 2 72 9" xfId="45665"/>
    <cellStyle name="Процентный 4 2 2 72 9" xfId="45666"/>
    <cellStyle name="Обычный 5 2 2 72 9" xfId="45667"/>
    <cellStyle name="Процентный 5 2 2 72 9" xfId="45668"/>
    <cellStyle name="Обычный 6 2 72 9" xfId="45669"/>
    <cellStyle name="Процентный 6 2 72 9" xfId="45670"/>
    <cellStyle name="Обычный 7 2 72 9" xfId="45671"/>
    <cellStyle name="Процентный 7 2 72 9" xfId="45672"/>
    <cellStyle name="Обычный 8 68 9" xfId="45673"/>
    <cellStyle name="Процентный 8 68 9" xfId="45674"/>
    <cellStyle name="Обычный 9 34 9" xfId="45675"/>
    <cellStyle name="Процентный 9 35 9" xfId="45676"/>
    <cellStyle name="Обычный 10 27 9" xfId="45677"/>
    <cellStyle name="Процентный 10 27 9" xfId="45678"/>
    <cellStyle name="Обычный 11 15 9" xfId="45679"/>
    <cellStyle name="Процентный 11 15 9" xfId="45680"/>
    <cellStyle name="Обычный 4 127 9" xfId="45681"/>
    <cellStyle name="Процентный 4 127 9" xfId="45682"/>
    <cellStyle name="Обычный 5 120 9" xfId="45683"/>
    <cellStyle name="Процентный 5 120 9" xfId="45684"/>
    <cellStyle name="Обычный 4 2 114 9" xfId="45685"/>
    <cellStyle name="Процентный 4 2 114 9" xfId="45686"/>
    <cellStyle name="Обычный 5 2 114 9" xfId="45687"/>
    <cellStyle name="Процентный 5 2 114 9" xfId="45688"/>
    <cellStyle name="Обычный 6 111 9" xfId="45689"/>
    <cellStyle name="Процентный 6 111 9" xfId="45690"/>
    <cellStyle name="Обычный 7 81 9" xfId="45691"/>
    <cellStyle name="Процентный 7 81 9" xfId="45692"/>
    <cellStyle name="Обычный 4 3 73 9" xfId="45693"/>
    <cellStyle name="Процентный 4 3 73 9" xfId="45694"/>
    <cellStyle name="Обычный 5 3 73 9" xfId="45695"/>
    <cellStyle name="Процентный 5 3 73 9" xfId="45696"/>
    <cellStyle name="Обычный 4 2 2 73 9" xfId="45697"/>
    <cellStyle name="Процентный 4 2 2 73 9" xfId="45698"/>
    <cellStyle name="Обычный 5 2 2 73 9" xfId="45699"/>
    <cellStyle name="Процентный 5 2 2 73 9" xfId="45700"/>
    <cellStyle name="Обычный 6 2 73 9" xfId="45701"/>
    <cellStyle name="Процентный 6 2 73 9" xfId="45702"/>
    <cellStyle name="Обычный 7 2 73 9" xfId="45703"/>
    <cellStyle name="Процентный 7 2 73 9" xfId="45704"/>
    <cellStyle name="Обычный 8 69 9" xfId="45705"/>
    <cellStyle name="Процентный 8 69 9" xfId="45706"/>
    <cellStyle name="Обычный 9 35 9" xfId="45707"/>
    <cellStyle name="Процентный 9 36 9" xfId="45708"/>
    <cellStyle name="Обычный 10 28 9" xfId="45709"/>
    <cellStyle name="Процентный 10 28 9" xfId="45710"/>
    <cellStyle name="Обычный 11 16 9" xfId="45711"/>
    <cellStyle name="Процентный 11 16 9" xfId="45712"/>
    <cellStyle name="Обычный 4 128 9" xfId="45713"/>
    <cellStyle name="Процентный 4 128 9" xfId="45714"/>
    <cellStyle name="Обычный 5 121 9" xfId="45715"/>
    <cellStyle name="Процентный 5 121 9" xfId="45716"/>
    <cellStyle name="Обычный 4 2 115 9" xfId="45717"/>
    <cellStyle name="Процентный 4 2 115 9" xfId="45718"/>
    <cellStyle name="Обычный 5 2 115 9" xfId="45719"/>
    <cellStyle name="Процентный 5 2 115 9" xfId="45720"/>
    <cellStyle name="Обычный 6 112 9" xfId="45721"/>
    <cellStyle name="Процентный 6 112 9" xfId="45722"/>
    <cellStyle name="Обычный 7 82 9" xfId="45723"/>
    <cellStyle name="Процентный 7 82 9" xfId="45724"/>
    <cellStyle name="Обычный 4 3 74 9" xfId="45725"/>
    <cellStyle name="Процентный 4 3 74 9" xfId="45726"/>
    <cellStyle name="Обычный 5 3 74 9" xfId="45727"/>
    <cellStyle name="Процентный 5 3 74 9" xfId="45728"/>
    <cellStyle name="Обычный 4 2 2 74 9" xfId="45729"/>
    <cellStyle name="Процентный 4 2 2 74 9" xfId="45730"/>
    <cellStyle name="Обычный 5 2 2 74 9" xfId="45731"/>
    <cellStyle name="Процентный 5 2 2 74 9" xfId="45732"/>
    <cellStyle name="Обычный 6 2 74 9" xfId="45733"/>
    <cellStyle name="Процентный 6 2 74 9" xfId="45734"/>
    <cellStyle name="Обычный 7 2 74 9" xfId="45735"/>
    <cellStyle name="Процентный 7 2 74 9" xfId="45736"/>
    <cellStyle name="Обычный 8 70 9" xfId="45737"/>
    <cellStyle name="Процентный 8 70 9" xfId="45738"/>
    <cellStyle name="Обычный 9 36 9" xfId="45739"/>
    <cellStyle name="Процентный 9 37 9" xfId="45740"/>
    <cellStyle name="Обычный 10 29 9" xfId="45741"/>
    <cellStyle name="Процентный 10 29 9" xfId="45742"/>
    <cellStyle name="Обычный 11 17 9" xfId="45743"/>
    <cellStyle name="Процентный 11 17 9" xfId="45744"/>
    <cellStyle name="Обычный 4 129 9" xfId="45745"/>
    <cellStyle name="Процентный 4 129 9" xfId="45746"/>
    <cellStyle name="Обычный 5 122 9" xfId="45747"/>
    <cellStyle name="Процентный 5 122 9" xfId="45748"/>
    <cellStyle name="Обычный 4 2 116 9" xfId="45749"/>
    <cellStyle name="Процентный 4 2 116 9" xfId="45750"/>
    <cellStyle name="Обычный 5 2 116 9" xfId="45751"/>
    <cellStyle name="Процентный 5 2 116 9" xfId="45752"/>
    <cellStyle name="Обычный 6 113 9" xfId="45753"/>
    <cellStyle name="Процентный 6 113 9" xfId="45754"/>
    <cellStyle name="Обычный 7 83 9" xfId="45755"/>
    <cellStyle name="Процентный 7 83 9" xfId="45756"/>
    <cellStyle name="Обычный 4 3 75 9" xfId="45757"/>
    <cellStyle name="Процентный 4 3 75 9" xfId="45758"/>
    <cellStyle name="Обычный 5 3 75 9" xfId="45759"/>
    <cellStyle name="Процентный 5 3 75 9" xfId="45760"/>
    <cellStyle name="Обычный 4 2 2 75 9" xfId="45761"/>
    <cellStyle name="Процентный 4 2 2 75 9" xfId="45762"/>
    <cellStyle name="Обычный 5 2 2 75 9" xfId="45763"/>
    <cellStyle name="Процентный 5 2 2 75 9" xfId="45764"/>
    <cellStyle name="Обычный 6 2 75 9" xfId="45765"/>
    <cellStyle name="Процентный 6 2 75 9" xfId="45766"/>
    <cellStyle name="Обычный 7 2 75 9" xfId="45767"/>
    <cellStyle name="Процентный 7 2 75 9" xfId="45768"/>
    <cellStyle name="Обычный 8 71 9" xfId="45769"/>
    <cellStyle name="Процентный 8 71 9" xfId="45770"/>
    <cellStyle name="Обычный 9 37 9" xfId="45771"/>
    <cellStyle name="Процентный 9 38 9" xfId="45772"/>
    <cellStyle name="Обычный 10 30 9" xfId="45773"/>
    <cellStyle name="Процентный 10 30 9" xfId="45774"/>
    <cellStyle name="Обычный 11 18 9" xfId="45775"/>
    <cellStyle name="Процентный 11 18 9" xfId="45776"/>
    <cellStyle name="Обычный 4 130 9" xfId="45777"/>
    <cellStyle name="Процентный 4 130 9" xfId="45778"/>
    <cellStyle name="Обычный 5 123 9" xfId="45779"/>
    <cellStyle name="Процентный 5 123 9" xfId="45780"/>
    <cellStyle name="Обычный 4 2 117 9" xfId="45781"/>
    <cellStyle name="Процентный 4 2 117 9" xfId="45782"/>
    <cellStyle name="Обычный 5 2 117 9" xfId="45783"/>
    <cellStyle name="Процентный 5 2 117 9" xfId="45784"/>
    <cellStyle name="Обычный 6 114 9" xfId="45785"/>
    <cellStyle name="Процентный 6 114 9" xfId="45786"/>
    <cellStyle name="Обычный 7 84 9" xfId="45787"/>
    <cellStyle name="Процентный 7 84 9" xfId="45788"/>
    <cellStyle name="Обычный 4 3 76 9" xfId="45789"/>
    <cellStyle name="Процентный 4 3 76 9" xfId="45790"/>
    <cellStyle name="Обычный 5 3 76 9" xfId="45791"/>
    <cellStyle name="Процентный 5 3 76 9" xfId="45792"/>
    <cellStyle name="Обычный 4 2 2 76 9" xfId="45793"/>
    <cellStyle name="Процентный 4 2 2 76 9" xfId="45794"/>
    <cellStyle name="Обычный 5 2 2 76 9" xfId="45795"/>
    <cellStyle name="Процентный 5 2 2 76 9" xfId="45796"/>
    <cellStyle name="Обычный 6 2 76 9" xfId="45797"/>
    <cellStyle name="Процентный 6 2 76 9" xfId="45798"/>
    <cellStyle name="Обычный 7 2 76 9" xfId="45799"/>
    <cellStyle name="Процентный 7 2 76 9" xfId="45800"/>
    <cellStyle name="Обычный 8 72 9" xfId="45801"/>
    <cellStyle name="Процентный 8 72 9" xfId="45802"/>
    <cellStyle name="Обычный 9 38 9" xfId="45803"/>
    <cellStyle name="Процентный 9 39 9" xfId="45804"/>
    <cellStyle name="Обычный 10 31 9" xfId="45805"/>
    <cellStyle name="Процентный 10 31 9" xfId="45806"/>
    <cellStyle name="Обычный 11 19 9" xfId="45807"/>
    <cellStyle name="Процентный 11 19 9" xfId="45808"/>
    <cellStyle name="Обычный 4 131 9" xfId="45809"/>
    <cellStyle name="Процентный 4 131 9" xfId="45810"/>
    <cellStyle name="Обычный 5 124 9" xfId="45811"/>
    <cellStyle name="Процентный 5 124 9" xfId="45812"/>
    <cellStyle name="Обычный 4 2 118 9" xfId="45813"/>
    <cellStyle name="Процентный 4 2 118 9" xfId="45814"/>
    <cellStyle name="Обычный 5 2 118 9" xfId="45815"/>
    <cellStyle name="Процентный 5 2 118 9" xfId="45816"/>
    <cellStyle name="Обычный 6 115 9" xfId="45817"/>
    <cellStyle name="Процентный 6 115 9" xfId="45818"/>
    <cellStyle name="Обычный 7 85 9" xfId="45819"/>
    <cellStyle name="Процентный 7 85 9" xfId="45820"/>
    <cellStyle name="Обычный 4 3 77 9" xfId="45821"/>
    <cellStyle name="Процентный 4 3 77 9" xfId="45822"/>
    <cellStyle name="Обычный 5 3 77 9" xfId="45823"/>
    <cellStyle name="Процентный 5 3 77 9" xfId="45824"/>
    <cellStyle name="Обычный 4 2 2 77 9" xfId="45825"/>
    <cellStyle name="Процентный 4 2 2 77 9" xfId="45826"/>
    <cellStyle name="Обычный 5 2 2 77 9" xfId="45827"/>
    <cellStyle name="Процентный 5 2 2 77 9" xfId="45828"/>
    <cellStyle name="Обычный 6 2 77 9" xfId="45829"/>
    <cellStyle name="Процентный 6 2 77 9" xfId="45830"/>
    <cellStyle name="Обычный 7 2 77 9" xfId="45831"/>
    <cellStyle name="Процентный 7 2 77 9" xfId="45832"/>
    <cellStyle name="Обычный 8 73 9" xfId="45833"/>
    <cellStyle name="Процентный 8 73 9" xfId="45834"/>
    <cellStyle name="Обычный 9 39 9" xfId="45835"/>
    <cellStyle name="Процентный 9 40 9" xfId="45836"/>
    <cellStyle name="Обычный 10 32 9" xfId="45837"/>
    <cellStyle name="Процентный 10 32 9" xfId="45838"/>
    <cellStyle name="Обычный 11 20 9" xfId="45839"/>
    <cellStyle name="Процентный 11 20 9" xfId="45840"/>
    <cellStyle name="Обычный 4 132 9" xfId="45841"/>
    <cellStyle name="Процентный 4 132 9" xfId="45842"/>
    <cellStyle name="Обычный 5 125 9" xfId="45843"/>
    <cellStyle name="Процентный 5 125 9" xfId="45844"/>
    <cellStyle name="Обычный 4 2 119 9" xfId="45845"/>
    <cellStyle name="Процентный 4 2 119 9" xfId="45846"/>
    <cellStyle name="Обычный 5 2 119 9" xfId="45847"/>
    <cellStyle name="Процентный 5 2 119 9" xfId="45848"/>
    <cellStyle name="Обычный 6 116 9" xfId="45849"/>
    <cellStyle name="Процентный 6 116 9" xfId="45850"/>
    <cellStyle name="Обычный 7 86 9" xfId="45851"/>
    <cellStyle name="Процентный 7 86 9" xfId="45852"/>
    <cellStyle name="Обычный 4 3 78 9" xfId="45853"/>
    <cellStyle name="Процентный 4 3 78 9" xfId="45854"/>
    <cellStyle name="Обычный 5 3 78 9" xfId="45855"/>
    <cellStyle name="Процентный 5 3 78 9" xfId="45856"/>
    <cellStyle name="Обычный 4 2 2 78 9" xfId="45857"/>
    <cellStyle name="Процентный 4 2 2 78 9" xfId="45858"/>
    <cellStyle name="Обычный 5 2 2 78 9" xfId="45859"/>
    <cellStyle name="Процентный 5 2 2 78 9" xfId="45860"/>
    <cellStyle name="Обычный 6 2 78 9" xfId="45861"/>
    <cellStyle name="Процентный 6 2 78 9" xfId="45862"/>
    <cellStyle name="Обычный 7 2 78 9" xfId="45863"/>
    <cellStyle name="Процентный 7 2 78 9" xfId="45864"/>
    <cellStyle name="Обычный 8 74 9" xfId="45865"/>
    <cellStyle name="Процентный 8 74 9" xfId="45866"/>
    <cellStyle name="Обычный 9 40 9" xfId="45867"/>
    <cellStyle name="Процентный 9 41 9" xfId="45868"/>
    <cellStyle name="Обычный 10 33 9" xfId="45869"/>
    <cellStyle name="Процентный 10 33 9" xfId="45870"/>
    <cellStyle name="Обычный 11 21 9" xfId="45871"/>
    <cellStyle name="Процентный 11 21 9" xfId="45872"/>
    <cellStyle name="Обычный 4 133 9" xfId="45873"/>
    <cellStyle name="Процентный 4 133 9" xfId="45874"/>
    <cellStyle name="Обычный 5 126 9" xfId="45875"/>
    <cellStyle name="Процентный 5 126 9" xfId="45876"/>
    <cellStyle name="Обычный 4 2 120 9" xfId="45877"/>
    <cellStyle name="Процентный 4 2 120 9" xfId="45878"/>
    <cellStyle name="Обычный 5 2 120 9" xfId="45879"/>
    <cellStyle name="Процентный 5 2 120 9" xfId="45880"/>
    <cellStyle name="Обычный 6 117 9" xfId="45881"/>
    <cellStyle name="Процентный 6 117 9" xfId="45882"/>
    <cellStyle name="Обычный 7 87 9" xfId="45883"/>
    <cellStyle name="Процентный 7 87 9" xfId="45884"/>
    <cellStyle name="Обычный 4 3 79 9" xfId="45885"/>
    <cellStyle name="Процентный 4 3 79 9" xfId="45886"/>
    <cellStyle name="Обычный 5 3 79 9" xfId="45887"/>
    <cellStyle name="Процентный 5 3 79 9" xfId="45888"/>
    <cellStyle name="Обычный 4 2 2 79 9" xfId="45889"/>
    <cellStyle name="Процентный 4 2 2 79 9" xfId="45890"/>
    <cellStyle name="Обычный 5 2 2 79 9" xfId="45891"/>
    <cellStyle name="Процентный 5 2 2 79 9" xfId="45892"/>
    <cellStyle name="Обычный 6 2 79 9" xfId="45893"/>
    <cellStyle name="Процентный 6 2 79 9" xfId="45894"/>
    <cellStyle name="Обычный 7 2 79 9" xfId="45895"/>
    <cellStyle name="Процентный 7 2 79 9" xfId="45896"/>
    <cellStyle name="Обычный 8 75 9" xfId="45897"/>
    <cellStyle name="Процентный 8 75 9" xfId="45898"/>
    <cellStyle name="Обычный 9 41 9" xfId="45899"/>
    <cellStyle name="Процентный 9 42 9" xfId="45900"/>
    <cellStyle name="Обычный 10 34 9" xfId="45901"/>
    <cellStyle name="Процентный 10 34 9" xfId="45902"/>
    <cellStyle name="Обычный 11 22 9" xfId="45903"/>
    <cellStyle name="Процентный 11 22 9" xfId="45904"/>
    <cellStyle name="Обычный 4 134 9" xfId="45905"/>
    <cellStyle name="Процентный 4 134 9" xfId="45906"/>
    <cellStyle name="Обычный 5 127 9" xfId="45907"/>
    <cellStyle name="Процентный 5 127 9" xfId="45908"/>
    <cellStyle name="Обычный 4 2 121 9" xfId="45909"/>
    <cellStyle name="Процентный 4 2 121 9" xfId="45910"/>
    <cellStyle name="Обычный 5 2 121 9" xfId="45911"/>
    <cellStyle name="Процентный 5 2 121 9" xfId="45912"/>
    <cellStyle name="Обычный 6 118 9" xfId="45913"/>
    <cellStyle name="Процентный 6 118 9" xfId="45914"/>
    <cellStyle name="Обычный 7 88 9" xfId="45915"/>
    <cellStyle name="Процентный 7 88 9" xfId="45916"/>
    <cellStyle name="Обычный 4 3 80 9" xfId="45917"/>
    <cellStyle name="Процентный 4 3 80 9" xfId="45918"/>
    <cellStyle name="Обычный 5 3 80 9" xfId="45919"/>
    <cellStyle name="Процентный 5 3 80 9" xfId="45920"/>
    <cellStyle name="Обычный 4 2 2 80 9" xfId="45921"/>
    <cellStyle name="Процентный 4 2 2 80 9" xfId="45922"/>
    <cellStyle name="Обычный 5 2 2 80 9" xfId="45923"/>
    <cellStyle name="Процентный 5 2 2 80 9" xfId="45924"/>
    <cellStyle name="Обычный 6 2 80 9" xfId="45925"/>
    <cellStyle name="Процентный 6 2 80 9" xfId="45926"/>
    <cellStyle name="Обычный 7 2 80 9" xfId="45927"/>
    <cellStyle name="Процентный 7 2 80 9" xfId="45928"/>
    <cellStyle name="Обычный 8 76 9" xfId="45929"/>
    <cellStyle name="Процентный 8 76 9" xfId="45930"/>
    <cellStyle name="Обычный 9 42 9" xfId="45931"/>
    <cellStyle name="Процентный 9 43 9" xfId="45932"/>
    <cellStyle name="Обычный 10 35 9" xfId="45933"/>
    <cellStyle name="Процентный 10 35 9" xfId="45934"/>
    <cellStyle name="Обычный 11 23 9" xfId="45935"/>
    <cellStyle name="Процентный 11 23 9" xfId="45936"/>
    <cellStyle name="Обычный 4 135 9" xfId="45937"/>
    <cellStyle name="Процентный 4 135 9" xfId="45938"/>
    <cellStyle name="Обычный 5 128 9" xfId="45939"/>
    <cellStyle name="Процентный 5 128 9" xfId="45940"/>
    <cellStyle name="Обычный 4 2 122 9" xfId="45941"/>
    <cellStyle name="Процентный 4 2 122 9" xfId="45942"/>
    <cellStyle name="Обычный 5 2 122 9" xfId="45943"/>
    <cellStyle name="Процентный 5 2 122 9" xfId="45944"/>
    <cellStyle name="Обычный 6 119 9" xfId="45945"/>
    <cellStyle name="Процентный 6 119 9" xfId="45946"/>
    <cellStyle name="Обычный 7 89 9" xfId="45947"/>
    <cellStyle name="Процентный 7 89 9" xfId="45948"/>
    <cellStyle name="Обычный 4 3 81 9" xfId="45949"/>
    <cellStyle name="Процентный 4 3 81 9" xfId="45950"/>
    <cellStyle name="Обычный 5 3 81 9" xfId="45951"/>
    <cellStyle name="Процентный 5 3 81 9" xfId="45952"/>
    <cellStyle name="Обычный 4 2 2 81 9" xfId="45953"/>
    <cellStyle name="Процентный 4 2 2 81 9" xfId="45954"/>
    <cellStyle name="Обычный 5 2 2 81 9" xfId="45955"/>
    <cellStyle name="Процентный 5 2 2 81 9" xfId="45956"/>
    <cellStyle name="Обычный 6 2 81 9" xfId="45957"/>
    <cellStyle name="Процентный 6 2 81 9" xfId="45958"/>
    <cellStyle name="Обычный 7 2 81 9" xfId="45959"/>
    <cellStyle name="Процентный 7 2 81 9" xfId="45960"/>
    <cellStyle name="Обычный 8 77 9" xfId="45961"/>
    <cellStyle name="Процентный 8 77 9" xfId="45962"/>
    <cellStyle name="Обычный 9 43 9" xfId="45963"/>
    <cellStyle name="Процентный 9 44 9" xfId="45964"/>
    <cellStyle name="Обычный 10 36 9" xfId="45965"/>
    <cellStyle name="Процентный 10 36 9" xfId="45966"/>
    <cellStyle name="Обычный 11 24 9" xfId="45967"/>
    <cellStyle name="Процентный 11 24 9" xfId="45968"/>
    <cellStyle name="Обычный 4 136 9" xfId="45969"/>
    <cellStyle name="Процентный 4 136 9" xfId="45970"/>
    <cellStyle name="Обычный 5 129 9" xfId="45971"/>
    <cellStyle name="Процентный 5 129 9" xfId="45972"/>
    <cellStyle name="Обычный 4 2 123 9" xfId="45973"/>
    <cellStyle name="Процентный 4 2 123 9" xfId="45974"/>
    <cellStyle name="Обычный 5 2 123 9" xfId="45975"/>
    <cellStyle name="Процентный 5 2 123 9" xfId="45976"/>
    <cellStyle name="Обычный 6 120 9" xfId="45977"/>
    <cellStyle name="Процентный 6 120 9" xfId="45978"/>
    <cellStyle name="Обычный 7 90 9" xfId="45979"/>
    <cellStyle name="Процентный 7 90 9" xfId="45980"/>
    <cellStyle name="Обычный 4 3 82 9" xfId="45981"/>
    <cellStyle name="Процентный 4 3 82 9" xfId="45982"/>
    <cellStyle name="Обычный 5 3 82 9" xfId="45983"/>
    <cellStyle name="Процентный 5 3 82 9" xfId="45984"/>
    <cellStyle name="Обычный 4 2 2 82 9" xfId="45985"/>
    <cellStyle name="Процентный 4 2 2 82 9" xfId="45986"/>
    <cellStyle name="Обычный 5 2 2 82 9" xfId="45987"/>
    <cellStyle name="Процентный 5 2 2 82 9" xfId="45988"/>
    <cellStyle name="Обычный 6 2 82 9" xfId="45989"/>
    <cellStyle name="Процентный 6 2 82 9" xfId="45990"/>
    <cellStyle name="Обычный 7 2 82 9" xfId="45991"/>
    <cellStyle name="Процентный 7 2 82 9" xfId="45992"/>
    <cellStyle name="Обычный 8 78 9" xfId="45993"/>
    <cellStyle name="Процентный 8 78 9" xfId="45994"/>
    <cellStyle name="Обычный 9 44 9" xfId="45995"/>
    <cellStyle name="Процентный 9 45 9" xfId="45996"/>
    <cellStyle name="Обычный 10 37 9" xfId="45997"/>
    <cellStyle name="Процентный 10 37 9" xfId="45998"/>
    <cellStyle name="Обычный 11 25 9" xfId="45999"/>
    <cellStyle name="Процентный 11 25 9" xfId="46000"/>
    <cellStyle name="Обычный 4 137 9" xfId="46001"/>
    <cellStyle name="Процентный 4 137 9" xfId="46002"/>
    <cellStyle name="Обычный 5 130 9" xfId="46003"/>
    <cellStyle name="Процентный 5 130 9" xfId="46004"/>
    <cellStyle name="Обычный 4 2 124 9" xfId="46005"/>
    <cellStyle name="Процентный 4 2 124 9" xfId="46006"/>
    <cellStyle name="Обычный 5 2 124 9" xfId="46007"/>
    <cellStyle name="Процентный 5 2 124 9" xfId="46008"/>
    <cellStyle name="Обычный 6 121 9" xfId="46009"/>
    <cellStyle name="Процентный 6 121 9" xfId="46010"/>
    <cellStyle name="Обычный 7 91 9" xfId="46011"/>
    <cellStyle name="Процентный 7 91 9" xfId="46012"/>
    <cellStyle name="Обычный 4 3 83 9" xfId="46013"/>
    <cellStyle name="Процентный 4 3 83 9" xfId="46014"/>
    <cellStyle name="Обычный 5 3 83 9" xfId="46015"/>
    <cellStyle name="Процентный 5 3 83 9" xfId="46016"/>
    <cellStyle name="Обычный 4 2 2 83 9" xfId="46017"/>
    <cellStyle name="Процентный 4 2 2 83 9" xfId="46018"/>
    <cellStyle name="Обычный 5 2 2 83 9" xfId="46019"/>
    <cellStyle name="Процентный 5 2 2 83 9" xfId="46020"/>
    <cellStyle name="Обычный 6 2 83 9" xfId="46021"/>
    <cellStyle name="Процентный 6 2 83 9" xfId="46022"/>
    <cellStyle name="Обычный 7 2 83 9" xfId="46023"/>
    <cellStyle name="Процентный 7 2 83 9" xfId="46024"/>
    <cellStyle name="Обычный 8 79 9" xfId="46025"/>
    <cellStyle name="Процентный 8 79 9" xfId="46026"/>
    <cellStyle name="Обычный 9 45 9" xfId="46027"/>
    <cellStyle name="Процентный 9 46 9" xfId="46028"/>
    <cellStyle name="Обычный 10 38 9" xfId="46029"/>
    <cellStyle name="Процентный 10 38 9" xfId="46030"/>
    <cellStyle name="Обычный 11 26 9" xfId="46031"/>
    <cellStyle name="Процентный 11 26 9" xfId="46032"/>
    <cellStyle name="Обычный 4 138 9" xfId="46033"/>
    <cellStyle name="Процентный 4 138 9" xfId="46034"/>
    <cellStyle name="Обычный 5 131 9" xfId="46035"/>
    <cellStyle name="Процентный 5 131 9" xfId="46036"/>
    <cellStyle name="Обычный 4 2 125 9" xfId="46037"/>
    <cellStyle name="Процентный 4 2 125 9" xfId="46038"/>
    <cellStyle name="Обычный 5 2 125 9" xfId="46039"/>
    <cellStyle name="Процентный 5 2 125 9" xfId="46040"/>
    <cellStyle name="Обычный 6 122 9" xfId="46041"/>
    <cellStyle name="Процентный 6 122 9" xfId="46042"/>
    <cellStyle name="Обычный 7 92 9" xfId="46043"/>
    <cellStyle name="Процентный 7 92 9" xfId="46044"/>
    <cellStyle name="Обычный 4 3 84 9" xfId="46045"/>
    <cellStyle name="Процентный 4 3 84 9" xfId="46046"/>
    <cellStyle name="Обычный 5 3 84 9" xfId="46047"/>
    <cellStyle name="Процентный 5 3 84 9" xfId="46048"/>
    <cellStyle name="Обычный 4 2 2 84 9" xfId="46049"/>
    <cellStyle name="Процентный 4 2 2 84 9" xfId="46050"/>
    <cellStyle name="Обычный 5 2 2 84 9" xfId="46051"/>
    <cellStyle name="Процентный 5 2 2 84 9" xfId="46052"/>
    <cellStyle name="Обычный 6 2 84 9" xfId="46053"/>
    <cellStyle name="Процентный 6 2 84 9" xfId="46054"/>
    <cellStyle name="Обычный 7 2 84 9" xfId="46055"/>
    <cellStyle name="Процентный 7 2 84 9" xfId="46056"/>
    <cellStyle name="Обычный 8 80 9" xfId="46057"/>
    <cellStyle name="Процентный 8 80 9" xfId="46058"/>
    <cellStyle name="Обычный 9 46 9" xfId="46059"/>
    <cellStyle name="Процентный 9 47 9" xfId="46060"/>
    <cellStyle name="Обычный 10 39 9" xfId="46061"/>
    <cellStyle name="Процентный 10 39 9" xfId="46062"/>
    <cellStyle name="Обычный 11 27 9" xfId="46063"/>
    <cellStyle name="Процентный 11 27 9" xfId="46064"/>
    <cellStyle name="Обычный 4 139 9" xfId="46065"/>
    <cellStyle name="Процентный 4 139 9" xfId="46066"/>
    <cellStyle name="Обычный 5 132 9" xfId="46067"/>
    <cellStyle name="Процентный 5 132 9" xfId="46068"/>
    <cellStyle name="Обычный 4 2 126 9" xfId="46069"/>
    <cellStyle name="Процентный 4 2 126 9" xfId="46070"/>
    <cellStyle name="Обычный 5 2 126 9" xfId="46071"/>
    <cellStyle name="Процентный 5 2 126 9" xfId="46072"/>
    <cellStyle name="Обычный 6 123 9" xfId="46073"/>
    <cellStyle name="Процентный 6 123 9" xfId="46074"/>
    <cellStyle name="Обычный 7 93 9" xfId="46075"/>
    <cellStyle name="Процентный 7 93 9" xfId="46076"/>
    <cellStyle name="Обычный 4 3 85 9" xfId="46077"/>
    <cellStyle name="Процентный 4 3 85 9" xfId="46078"/>
    <cellStyle name="Обычный 5 3 85 9" xfId="46079"/>
    <cellStyle name="Процентный 5 3 85 9" xfId="46080"/>
    <cellStyle name="Обычный 4 2 2 85 9" xfId="46081"/>
    <cellStyle name="Процентный 4 2 2 85 9" xfId="46082"/>
    <cellStyle name="Обычный 5 2 2 85 9" xfId="46083"/>
    <cellStyle name="Процентный 5 2 2 85 9" xfId="46084"/>
    <cellStyle name="Обычный 6 2 85 9" xfId="46085"/>
    <cellStyle name="Процентный 6 2 85 9" xfId="46086"/>
    <cellStyle name="Обычный 7 2 85 9" xfId="46087"/>
    <cellStyle name="Процентный 7 2 85 9" xfId="46088"/>
    <cellStyle name="Обычный 8 81 9" xfId="46089"/>
    <cellStyle name="Процентный 8 81 9" xfId="46090"/>
    <cellStyle name="Обычный 9 47 9" xfId="46091"/>
    <cellStyle name="Процентный 9 48 9" xfId="46092"/>
    <cellStyle name="Обычный 10 40 9" xfId="46093"/>
    <cellStyle name="Процентный 10 40 9" xfId="46094"/>
    <cellStyle name="Обычный 11 28 9" xfId="46095"/>
    <cellStyle name="Процентный 11 28 9" xfId="46096"/>
    <cellStyle name="Обычный 4 140 9" xfId="46097"/>
    <cellStyle name="Процентный 4 140 9" xfId="46098"/>
    <cellStyle name="Обычный 5 133 9" xfId="46099"/>
    <cellStyle name="Процентный 5 133 9" xfId="46100"/>
    <cellStyle name="Обычный 4 2 127 9" xfId="46101"/>
    <cellStyle name="Процентный 4 2 127 9" xfId="46102"/>
    <cellStyle name="Обычный 5 2 127 9" xfId="46103"/>
    <cellStyle name="Процентный 5 2 127 9" xfId="46104"/>
    <cellStyle name="Обычный 6 124 9" xfId="46105"/>
    <cellStyle name="Процентный 6 124 9" xfId="46106"/>
    <cellStyle name="Обычный 7 94 9" xfId="46107"/>
    <cellStyle name="Процентный 7 94 9" xfId="46108"/>
    <cellStyle name="Обычный 4 3 86 9" xfId="46109"/>
    <cellStyle name="Процентный 4 3 86 9" xfId="46110"/>
    <cellStyle name="Обычный 5 3 86 9" xfId="46111"/>
    <cellStyle name="Процентный 5 3 86 9" xfId="46112"/>
    <cellStyle name="Обычный 4 2 2 86 9" xfId="46113"/>
    <cellStyle name="Процентный 4 2 2 86 9" xfId="46114"/>
    <cellStyle name="Обычный 5 2 2 86 9" xfId="46115"/>
    <cellStyle name="Процентный 5 2 2 86 9" xfId="46116"/>
    <cellStyle name="Обычный 6 2 86 9" xfId="46117"/>
    <cellStyle name="Процентный 6 2 86 9" xfId="46118"/>
    <cellStyle name="Обычный 7 2 86 9" xfId="46119"/>
    <cellStyle name="Процентный 7 2 86 9" xfId="46120"/>
    <cellStyle name="Обычный 8 82 9" xfId="46121"/>
    <cellStyle name="Процентный 8 82 9" xfId="46122"/>
    <cellStyle name="Обычный 9 48 9" xfId="46123"/>
    <cellStyle name="Процентный 9 49 9" xfId="46124"/>
    <cellStyle name="Обычный 10 41 9" xfId="46125"/>
    <cellStyle name="Процентный 10 41 9" xfId="46126"/>
    <cellStyle name="Обычный 11 29 9" xfId="46127"/>
    <cellStyle name="Процентный 11 29 9" xfId="46128"/>
    <cellStyle name="Обычный 4 141 9" xfId="46129"/>
    <cellStyle name="Процентный 4 141 9" xfId="46130"/>
    <cellStyle name="Обычный 5 134 9" xfId="46131"/>
    <cellStyle name="Процентный 5 134 9" xfId="46132"/>
    <cellStyle name="Обычный 4 2 128 9" xfId="46133"/>
    <cellStyle name="Процентный 4 2 128 9" xfId="46134"/>
    <cellStyle name="Обычный 5 2 128 9" xfId="46135"/>
    <cellStyle name="Процентный 5 2 128 9" xfId="46136"/>
    <cellStyle name="Обычный 6 125 9" xfId="46137"/>
    <cellStyle name="Процентный 6 125 9" xfId="46138"/>
    <cellStyle name="Обычный 7 95 9" xfId="46139"/>
    <cellStyle name="Процентный 7 95 9" xfId="46140"/>
    <cellStyle name="Обычный 4 3 87 9" xfId="46141"/>
    <cellStyle name="Процентный 4 3 87 9" xfId="46142"/>
    <cellStyle name="Обычный 5 3 87 9" xfId="46143"/>
    <cellStyle name="Процентный 5 3 87 9" xfId="46144"/>
    <cellStyle name="Обычный 4 2 2 87 9" xfId="46145"/>
    <cellStyle name="Процентный 4 2 2 87 9" xfId="46146"/>
    <cellStyle name="Обычный 5 2 2 87 9" xfId="46147"/>
    <cellStyle name="Процентный 5 2 2 87 9" xfId="46148"/>
    <cellStyle name="Обычный 6 2 87 9" xfId="46149"/>
    <cellStyle name="Процентный 6 2 87 9" xfId="46150"/>
    <cellStyle name="Обычный 7 2 87 9" xfId="46151"/>
    <cellStyle name="Процентный 7 2 87 9" xfId="46152"/>
    <cellStyle name="Обычный 8 83 9" xfId="46153"/>
    <cellStyle name="Процентный 8 83 9" xfId="46154"/>
    <cellStyle name="Обычный 9 49 9" xfId="46155"/>
    <cellStyle name="Процентный 9 50 9" xfId="46156"/>
    <cellStyle name="Обычный 10 42 9" xfId="46157"/>
    <cellStyle name="Процентный 10 42 9" xfId="46158"/>
    <cellStyle name="Обычный 11 30 9" xfId="46159"/>
    <cellStyle name="Процентный 11 30 9" xfId="46160"/>
    <cellStyle name="Обычный 4 142 9" xfId="46161"/>
    <cellStyle name="Процентный 4 142 9" xfId="46162"/>
    <cellStyle name="Обычный 5 135 9" xfId="46163"/>
    <cellStyle name="Процентный 5 135 9" xfId="46164"/>
    <cellStyle name="Обычный 4 2 129 9" xfId="46165"/>
    <cellStyle name="Процентный 4 2 129 9" xfId="46166"/>
    <cellStyle name="Обычный 5 2 129 9" xfId="46167"/>
    <cellStyle name="Процентный 5 2 129 9" xfId="46168"/>
    <cellStyle name="Обычный 6 126 9" xfId="46169"/>
    <cellStyle name="Процентный 6 126 9" xfId="46170"/>
    <cellStyle name="Обычный 7 96 9" xfId="46171"/>
    <cellStyle name="Процентный 7 96 9" xfId="46172"/>
    <cellStyle name="Обычный 4 3 88 9" xfId="46173"/>
    <cellStyle name="Процентный 4 3 88 9" xfId="46174"/>
    <cellStyle name="Обычный 5 3 88 9" xfId="46175"/>
    <cellStyle name="Процентный 5 3 88 9" xfId="46176"/>
    <cellStyle name="Обычный 4 2 2 88 9" xfId="46177"/>
    <cellStyle name="Процентный 4 2 2 88 9" xfId="46178"/>
    <cellStyle name="Обычный 5 2 2 88 9" xfId="46179"/>
    <cellStyle name="Процентный 5 2 2 88 9" xfId="46180"/>
    <cellStyle name="Обычный 6 2 88 9" xfId="46181"/>
    <cellStyle name="Процентный 6 2 88 9" xfId="46182"/>
    <cellStyle name="Обычный 7 2 88 9" xfId="46183"/>
    <cellStyle name="Процентный 7 2 88 9" xfId="46184"/>
    <cellStyle name="Обычный 8 84 9" xfId="46185"/>
    <cellStyle name="Процентный 8 84 9" xfId="46186"/>
    <cellStyle name="Обычный 9 50 9" xfId="46187"/>
    <cellStyle name="Процентный 9 51 9" xfId="46188"/>
    <cellStyle name="Обычный 10 43 9" xfId="46189"/>
    <cellStyle name="Процентный 10 43 9" xfId="46190"/>
    <cellStyle name="Обычный 11 31 9" xfId="46191"/>
    <cellStyle name="Процентный 11 31 9" xfId="46192"/>
    <cellStyle name="Обычный 4 143 9" xfId="46193"/>
    <cellStyle name="Процентный 4 143 9" xfId="46194"/>
    <cellStyle name="Обычный 5 136 9" xfId="46195"/>
    <cellStyle name="Процентный 5 136 9" xfId="46196"/>
    <cellStyle name="Обычный 4 2 130 9" xfId="46197"/>
    <cellStyle name="Процентный 4 2 130 9" xfId="46198"/>
    <cellStyle name="Обычный 5 2 130 9" xfId="46199"/>
    <cellStyle name="Процентный 5 2 130 9" xfId="46200"/>
    <cellStyle name="Обычный 6 127 9" xfId="46201"/>
    <cellStyle name="Процентный 6 127 9" xfId="46202"/>
    <cellStyle name="Обычный 7 97 9" xfId="46203"/>
    <cellStyle name="Процентный 7 97 9" xfId="46204"/>
    <cellStyle name="Обычный 4 3 89 9" xfId="46205"/>
    <cellStyle name="Процентный 4 3 89 9" xfId="46206"/>
    <cellStyle name="Обычный 5 3 89 9" xfId="46207"/>
    <cellStyle name="Процентный 5 3 89 9" xfId="46208"/>
    <cellStyle name="Обычный 4 2 2 89 9" xfId="46209"/>
    <cellStyle name="Процентный 4 2 2 89 9" xfId="46210"/>
    <cellStyle name="Обычный 5 2 2 89 9" xfId="46211"/>
    <cellStyle name="Процентный 5 2 2 89 9" xfId="46212"/>
    <cellStyle name="Обычный 6 2 89 9" xfId="46213"/>
    <cellStyle name="Процентный 6 2 89 9" xfId="46214"/>
    <cellStyle name="Обычный 7 2 89 9" xfId="46215"/>
    <cellStyle name="Процентный 7 2 89 9" xfId="46216"/>
    <cellStyle name="Обычный 8 85 9" xfId="46217"/>
    <cellStyle name="Процентный 8 85 9" xfId="46218"/>
    <cellStyle name="Обычный 9 51 9" xfId="46219"/>
    <cellStyle name="Процентный 9 52 9" xfId="46220"/>
    <cellStyle name="Обычный 10 44 9" xfId="46221"/>
    <cellStyle name="Процентный 10 44 9" xfId="46222"/>
    <cellStyle name="Обычный 11 32 9" xfId="46223"/>
    <cellStyle name="Процентный 11 32 9" xfId="46224"/>
    <cellStyle name="Обычный 4 144 9" xfId="46225"/>
    <cellStyle name="Процентный 4 144 9" xfId="46226"/>
    <cellStyle name="Обычный 5 137 9" xfId="46227"/>
    <cellStyle name="Процентный 5 137 9" xfId="46228"/>
    <cellStyle name="Обычный 4 2 131 9" xfId="46229"/>
    <cellStyle name="Процентный 4 2 131 9" xfId="46230"/>
    <cellStyle name="Обычный 5 2 131 9" xfId="46231"/>
    <cellStyle name="Процентный 5 2 131 9" xfId="46232"/>
    <cellStyle name="Обычный 6 128 9" xfId="46233"/>
    <cellStyle name="Процентный 6 128 9" xfId="46234"/>
    <cellStyle name="Обычный 7 98 9" xfId="46235"/>
    <cellStyle name="Процентный 7 98 9" xfId="46236"/>
    <cellStyle name="Обычный 4 3 90 9" xfId="46237"/>
    <cellStyle name="Процентный 4 3 90 9" xfId="46238"/>
    <cellStyle name="Обычный 5 3 90 9" xfId="46239"/>
    <cellStyle name="Процентный 5 3 90 9" xfId="46240"/>
    <cellStyle name="Обычный 4 2 2 90 9" xfId="46241"/>
    <cellStyle name="Процентный 4 2 2 90 9" xfId="46242"/>
    <cellStyle name="Обычный 5 2 2 90 9" xfId="46243"/>
    <cellStyle name="Процентный 5 2 2 90 9" xfId="46244"/>
    <cellStyle name="Обычный 6 2 90 9" xfId="46245"/>
    <cellStyle name="Процентный 6 2 90 9" xfId="46246"/>
    <cellStyle name="Обычный 7 2 90 9" xfId="46247"/>
    <cellStyle name="Процентный 7 2 90 9" xfId="46248"/>
    <cellStyle name="Обычный 8 86 9" xfId="46249"/>
    <cellStyle name="Процентный 8 86 9" xfId="46250"/>
    <cellStyle name="Обычный 9 52 9" xfId="46251"/>
    <cellStyle name="Процентный 9 53 9" xfId="46252"/>
    <cellStyle name="Обычный 10 45 9" xfId="46253"/>
    <cellStyle name="Процентный 10 45 9" xfId="46254"/>
    <cellStyle name="Обычный 11 33 9" xfId="46255"/>
    <cellStyle name="Процентный 11 33 9" xfId="46256"/>
    <cellStyle name="Обычный 4 145 9" xfId="46257"/>
    <cellStyle name="Процентный 4 145 9" xfId="46258"/>
    <cellStyle name="Обычный 5 138 9" xfId="46259"/>
    <cellStyle name="Процентный 5 138 9" xfId="46260"/>
    <cellStyle name="Обычный 4 2 132 9" xfId="46261"/>
    <cellStyle name="Процентный 4 2 132 9" xfId="46262"/>
    <cellStyle name="Обычный 5 2 132 9" xfId="46263"/>
    <cellStyle name="Процентный 5 2 132 9" xfId="46264"/>
    <cellStyle name="Обычный 6 129 9" xfId="46265"/>
    <cellStyle name="Процентный 6 129 9" xfId="46266"/>
    <cellStyle name="Обычный 7 99 9" xfId="46267"/>
    <cellStyle name="Процентный 7 99 9" xfId="46268"/>
    <cellStyle name="Обычный 4 3 91 9" xfId="46269"/>
    <cellStyle name="Процентный 4 3 91 9" xfId="46270"/>
    <cellStyle name="Обычный 5 3 91 9" xfId="46271"/>
    <cellStyle name="Процентный 5 3 91 9" xfId="46272"/>
    <cellStyle name="Обычный 4 2 2 91 9" xfId="46273"/>
    <cellStyle name="Процентный 4 2 2 91 9" xfId="46274"/>
    <cellStyle name="Обычный 5 2 2 91 9" xfId="46275"/>
    <cellStyle name="Процентный 5 2 2 91 9" xfId="46276"/>
    <cellStyle name="Обычный 6 2 91 9" xfId="46277"/>
    <cellStyle name="Процентный 6 2 91 9" xfId="46278"/>
    <cellStyle name="Обычный 7 2 91 9" xfId="46279"/>
    <cellStyle name="Процентный 7 2 91 9" xfId="46280"/>
    <cellStyle name="Обычный 8 87 9" xfId="46281"/>
    <cellStyle name="Процентный 8 87 9" xfId="46282"/>
    <cellStyle name="Обычный 9 53 9" xfId="46283"/>
    <cellStyle name="Процентный 9 54 9" xfId="46284"/>
    <cellStyle name="Обычный 10 46 9" xfId="46285"/>
    <cellStyle name="Процентный 10 46 9" xfId="46286"/>
    <cellStyle name="Обычный 11 34 9" xfId="46287"/>
    <cellStyle name="Процентный 11 34 9" xfId="46288"/>
    <cellStyle name="Обычный 4 146 9" xfId="46289"/>
    <cellStyle name="Процентный 4 146 9" xfId="46290"/>
    <cellStyle name="Обычный 5 139 9" xfId="46291"/>
    <cellStyle name="Процентный 5 139 9" xfId="46292"/>
    <cellStyle name="Обычный 4 2 133 9" xfId="46293"/>
    <cellStyle name="Процентный 4 2 133 9" xfId="46294"/>
    <cellStyle name="Обычный 5 2 133 9" xfId="46295"/>
    <cellStyle name="Процентный 5 2 133 9" xfId="46296"/>
    <cellStyle name="Обычный 6 130 9" xfId="46297"/>
    <cellStyle name="Процентный 6 130 9" xfId="46298"/>
    <cellStyle name="Обычный 7 100 9" xfId="46299"/>
    <cellStyle name="Процентный 7 100 9" xfId="46300"/>
    <cellStyle name="Обычный 4 3 92 9" xfId="46301"/>
    <cellStyle name="Процентный 4 3 92 9" xfId="46302"/>
    <cellStyle name="Обычный 5 3 92 9" xfId="46303"/>
    <cellStyle name="Процентный 5 3 92 9" xfId="46304"/>
    <cellStyle name="Обычный 4 2 2 92 9" xfId="46305"/>
    <cellStyle name="Процентный 4 2 2 92 9" xfId="46306"/>
    <cellStyle name="Обычный 5 2 2 92 9" xfId="46307"/>
    <cellStyle name="Процентный 5 2 2 92 9" xfId="46308"/>
    <cellStyle name="Обычный 6 2 92 9" xfId="46309"/>
    <cellStyle name="Процентный 6 2 92 9" xfId="46310"/>
    <cellStyle name="Обычный 7 2 92 9" xfId="46311"/>
    <cellStyle name="Процентный 7 2 92 9" xfId="46312"/>
    <cellStyle name="Обычный 8 88 9" xfId="46313"/>
    <cellStyle name="Процентный 8 88 9" xfId="46314"/>
    <cellStyle name="Обычный 9 54 9" xfId="46315"/>
    <cellStyle name="Процентный 9 55 9" xfId="46316"/>
    <cellStyle name="Обычный 10 47 9" xfId="46317"/>
    <cellStyle name="Процентный 10 47 9" xfId="46318"/>
    <cellStyle name="Обычный 11 35 9" xfId="46319"/>
    <cellStyle name="Процентный 11 35 9" xfId="46320"/>
    <cellStyle name="Обычный 4 147 9" xfId="46321"/>
    <cellStyle name="Процентный 4 147 9" xfId="46322"/>
    <cellStyle name="Обычный 5 140 9" xfId="46323"/>
    <cellStyle name="Процентный 5 140 9" xfId="46324"/>
    <cellStyle name="Обычный 4 2 134 9" xfId="46325"/>
    <cellStyle name="Процентный 4 2 134 9" xfId="46326"/>
    <cellStyle name="Обычный 5 2 134 9" xfId="46327"/>
    <cellStyle name="Процентный 5 2 134 9" xfId="46328"/>
    <cellStyle name="Обычный 6 131 9" xfId="46329"/>
    <cellStyle name="Процентный 6 131 9" xfId="46330"/>
    <cellStyle name="Обычный 7 101 9" xfId="46331"/>
    <cellStyle name="Процентный 7 101 9" xfId="46332"/>
    <cellStyle name="Обычный 4 3 93 9" xfId="46333"/>
    <cellStyle name="Процентный 4 3 93 9" xfId="46334"/>
    <cellStyle name="Обычный 5 3 93 9" xfId="46335"/>
    <cellStyle name="Процентный 5 3 93 9" xfId="46336"/>
    <cellStyle name="Обычный 4 2 2 93 9" xfId="46337"/>
    <cellStyle name="Процентный 4 2 2 93 9" xfId="46338"/>
    <cellStyle name="Обычный 5 2 2 93 9" xfId="46339"/>
    <cellStyle name="Процентный 5 2 2 93 9" xfId="46340"/>
    <cellStyle name="Обычный 6 2 93 9" xfId="46341"/>
    <cellStyle name="Процентный 6 2 93 9" xfId="46342"/>
    <cellStyle name="Обычный 7 2 93 9" xfId="46343"/>
    <cellStyle name="Процентный 7 2 93 9" xfId="46344"/>
    <cellStyle name="Обычный 8 89 9" xfId="46345"/>
    <cellStyle name="Процентный 8 89 9" xfId="46346"/>
    <cellStyle name="Обычный 9 55 9" xfId="46347"/>
    <cellStyle name="Процентный 9 56 9" xfId="46348"/>
    <cellStyle name="Обычный 10 48 9" xfId="46349"/>
    <cellStyle name="Процентный 10 48 9" xfId="46350"/>
    <cellStyle name="Обычный 11 36 9" xfId="46351"/>
    <cellStyle name="Процентный 11 36 9" xfId="46352"/>
    <cellStyle name="Обычный 4 148 9" xfId="46353"/>
    <cellStyle name="Процентный 4 148 9" xfId="46354"/>
    <cellStyle name="Обычный 5 141 9" xfId="46355"/>
    <cellStyle name="Процентный 5 141 9" xfId="46356"/>
    <cellStyle name="Обычный 4 2 135 9" xfId="46357"/>
    <cellStyle name="Процентный 4 2 135 9" xfId="46358"/>
    <cellStyle name="Обычный 5 2 135 9" xfId="46359"/>
    <cellStyle name="Процентный 5 2 135 9" xfId="46360"/>
    <cellStyle name="Обычный 6 132 9" xfId="46361"/>
    <cellStyle name="Процентный 6 132 9" xfId="46362"/>
    <cellStyle name="Обычный 7 102 9" xfId="46363"/>
    <cellStyle name="Процентный 7 102 9" xfId="46364"/>
    <cellStyle name="Обычный 4 3 94 9" xfId="46365"/>
    <cellStyle name="Процентный 4 3 94 9" xfId="46366"/>
    <cellStyle name="Обычный 5 3 94 9" xfId="46367"/>
    <cellStyle name="Процентный 5 3 94 9" xfId="46368"/>
    <cellStyle name="Обычный 4 2 2 94 9" xfId="46369"/>
    <cellStyle name="Процентный 4 2 2 94 9" xfId="46370"/>
    <cellStyle name="Обычный 5 2 2 94 9" xfId="46371"/>
    <cellStyle name="Процентный 5 2 2 94 9" xfId="46372"/>
    <cellStyle name="Обычный 6 2 94 9" xfId="46373"/>
    <cellStyle name="Процентный 6 2 94 9" xfId="46374"/>
    <cellStyle name="Обычный 7 2 94 9" xfId="46375"/>
    <cellStyle name="Процентный 7 2 94 9" xfId="46376"/>
    <cellStyle name="Обычный 8 90 9" xfId="46377"/>
    <cellStyle name="Процентный 8 90 9" xfId="46378"/>
    <cellStyle name="Обычный 9 56 9" xfId="46379"/>
    <cellStyle name="Процентный 9 57 9" xfId="46380"/>
    <cellStyle name="Обычный 10 49 9" xfId="46381"/>
    <cellStyle name="Процентный 10 49 9" xfId="46382"/>
    <cellStyle name="Обычный 11 37 9" xfId="46383"/>
    <cellStyle name="Процентный 11 37 9" xfId="46384"/>
    <cellStyle name="Обычный 4 149 9" xfId="46385"/>
    <cellStyle name="Процентный 4 149 9" xfId="46386"/>
    <cellStyle name="Обычный 5 142 9" xfId="46387"/>
    <cellStyle name="Процентный 5 142 9" xfId="46388"/>
    <cellStyle name="Обычный 4 2 136 9" xfId="46389"/>
    <cellStyle name="Процентный 4 2 136 9" xfId="46390"/>
    <cellStyle name="Обычный 5 2 136 9" xfId="46391"/>
    <cellStyle name="Процентный 5 2 136 9" xfId="46392"/>
    <cellStyle name="Обычный 6 133 9" xfId="46393"/>
    <cellStyle name="Процентный 6 133 9" xfId="46394"/>
    <cellStyle name="Обычный 7 103 9" xfId="46395"/>
    <cellStyle name="Процентный 7 103 9" xfId="46396"/>
    <cellStyle name="Обычный 4 3 95 9" xfId="46397"/>
    <cellStyle name="Процентный 4 3 95 9" xfId="46398"/>
    <cellStyle name="Обычный 5 3 95 9" xfId="46399"/>
    <cellStyle name="Процентный 5 3 95 9" xfId="46400"/>
    <cellStyle name="Обычный 4 2 2 95 9" xfId="46401"/>
    <cellStyle name="Процентный 4 2 2 95 9" xfId="46402"/>
    <cellStyle name="Обычный 5 2 2 95 9" xfId="46403"/>
    <cellStyle name="Процентный 5 2 2 95 9" xfId="46404"/>
    <cellStyle name="Обычный 6 2 95 9" xfId="46405"/>
    <cellStyle name="Процентный 6 2 95 9" xfId="46406"/>
    <cellStyle name="Обычный 7 2 95 9" xfId="46407"/>
    <cellStyle name="Процентный 7 2 95 9" xfId="46408"/>
    <cellStyle name="Обычный 8 91 9" xfId="46409"/>
    <cellStyle name="Процентный 8 91 9" xfId="46410"/>
    <cellStyle name="Обычный 9 57 9" xfId="46411"/>
    <cellStyle name="Процентный 9 58 9" xfId="46412"/>
    <cellStyle name="Обычный 10 50 9" xfId="46413"/>
    <cellStyle name="Процентный 10 50 9" xfId="46414"/>
    <cellStyle name="Обычный 11 38 9" xfId="46415"/>
    <cellStyle name="Процентный 11 38 9" xfId="46416"/>
    <cellStyle name="Обычный 4 150 9" xfId="46417"/>
    <cellStyle name="Процентный 4 150 9" xfId="46418"/>
    <cellStyle name="Обычный 5 143 9" xfId="46419"/>
    <cellStyle name="Процентный 5 143 9" xfId="46420"/>
    <cellStyle name="Обычный 4 2 137 9" xfId="46421"/>
    <cellStyle name="Процентный 4 2 137 9" xfId="46422"/>
    <cellStyle name="Обычный 5 2 137 9" xfId="46423"/>
    <cellStyle name="Процентный 5 2 137 9" xfId="46424"/>
    <cellStyle name="Обычный 6 134 9" xfId="46425"/>
    <cellStyle name="Процентный 6 134 9" xfId="46426"/>
    <cellStyle name="Обычный 7 104 9" xfId="46427"/>
    <cellStyle name="Процентный 7 104 9" xfId="46428"/>
    <cellStyle name="Обычный 4 3 96 9" xfId="46429"/>
    <cellStyle name="Процентный 4 3 96 9" xfId="46430"/>
    <cellStyle name="Обычный 5 3 96 9" xfId="46431"/>
    <cellStyle name="Процентный 5 3 96 9" xfId="46432"/>
    <cellStyle name="Обычный 4 2 2 96 9" xfId="46433"/>
    <cellStyle name="Процентный 4 2 2 96 9" xfId="46434"/>
    <cellStyle name="Обычный 5 2 2 96 9" xfId="46435"/>
    <cellStyle name="Процентный 5 2 2 96 9" xfId="46436"/>
    <cellStyle name="Обычный 6 2 96 9" xfId="46437"/>
    <cellStyle name="Процентный 6 2 96 9" xfId="46438"/>
    <cellStyle name="Обычный 7 2 96 9" xfId="46439"/>
    <cellStyle name="Процентный 7 2 96 9" xfId="46440"/>
    <cellStyle name="Обычный 8 92 9" xfId="46441"/>
    <cellStyle name="Процентный 8 92 9" xfId="46442"/>
    <cellStyle name="Обычный 9 58 9" xfId="46443"/>
    <cellStyle name="Процентный 9 59 9" xfId="46444"/>
    <cellStyle name="Обычный 10 51 9" xfId="46445"/>
    <cellStyle name="Процентный 10 51 9" xfId="46446"/>
    <cellStyle name="Обычный 11 39 9" xfId="46447"/>
    <cellStyle name="Процентный 11 39 9" xfId="46448"/>
    <cellStyle name="Обычный 4 151 9" xfId="46449"/>
    <cellStyle name="Процентный 4 151 9" xfId="46450"/>
    <cellStyle name="Обычный 5 144 9" xfId="46451"/>
    <cellStyle name="Процентный 5 144 9" xfId="46452"/>
    <cellStyle name="Обычный 4 2 138 9" xfId="46453"/>
    <cellStyle name="Процентный 4 2 138 9" xfId="46454"/>
    <cellStyle name="Обычный 5 2 138 9" xfId="46455"/>
    <cellStyle name="Процентный 5 2 138 9" xfId="46456"/>
    <cellStyle name="Обычный 6 135 9" xfId="46457"/>
    <cellStyle name="Процентный 6 135 9" xfId="46458"/>
    <cellStyle name="Обычный 7 105 9" xfId="46459"/>
    <cellStyle name="Процентный 7 105 9" xfId="46460"/>
    <cellStyle name="Обычный 4 3 97 9" xfId="46461"/>
    <cellStyle name="Процентный 4 3 97 9" xfId="46462"/>
    <cellStyle name="Обычный 5 3 97 9" xfId="46463"/>
    <cellStyle name="Процентный 5 3 97 9" xfId="46464"/>
    <cellStyle name="Обычный 4 2 2 97 9" xfId="46465"/>
    <cellStyle name="Процентный 4 2 2 97 9" xfId="46466"/>
    <cellStyle name="Обычный 5 2 2 97 9" xfId="46467"/>
    <cellStyle name="Процентный 5 2 2 97 9" xfId="46468"/>
    <cellStyle name="Обычный 6 2 97 9" xfId="46469"/>
    <cellStyle name="Процентный 6 2 97 9" xfId="46470"/>
    <cellStyle name="Обычный 7 2 97 9" xfId="46471"/>
    <cellStyle name="Процентный 7 2 97 9" xfId="46472"/>
    <cellStyle name="Обычный 8 93 9" xfId="46473"/>
    <cellStyle name="Процентный 8 93 9" xfId="46474"/>
    <cellStyle name="Обычный 9 59 9" xfId="46475"/>
    <cellStyle name="Процентный 9 60 9" xfId="46476"/>
    <cellStyle name="Обычный 10 52 9" xfId="46477"/>
    <cellStyle name="Процентный 10 52 9" xfId="46478"/>
    <cellStyle name="Обычный 11 40 9" xfId="46479"/>
    <cellStyle name="Процентный 11 40 9" xfId="46480"/>
    <cellStyle name="Обычный 4 152 9" xfId="46481"/>
    <cellStyle name="Процентный 4 152 9" xfId="46482"/>
    <cellStyle name="Обычный 5 145 9" xfId="46483"/>
    <cellStyle name="Процентный 5 145 9" xfId="46484"/>
    <cellStyle name="Обычный 4 2 139 9" xfId="46485"/>
    <cellStyle name="Процентный 4 2 139 9" xfId="46486"/>
    <cellStyle name="Обычный 5 2 139 9" xfId="46487"/>
    <cellStyle name="Процентный 5 2 139 9" xfId="46488"/>
    <cellStyle name="Обычный 6 136 9" xfId="46489"/>
    <cellStyle name="Процентный 6 136 9" xfId="46490"/>
    <cellStyle name="Обычный 7 106 9" xfId="46491"/>
    <cellStyle name="Процентный 7 106 9" xfId="46492"/>
    <cellStyle name="Обычный 4 3 98 9" xfId="46493"/>
    <cellStyle name="Процентный 4 3 98 9" xfId="46494"/>
    <cellStyle name="Обычный 5 3 98 9" xfId="46495"/>
    <cellStyle name="Процентный 5 3 98 9" xfId="46496"/>
    <cellStyle name="Обычный 4 2 2 98 9" xfId="46497"/>
    <cellStyle name="Процентный 4 2 2 98 9" xfId="46498"/>
    <cellStyle name="Обычный 5 2 2 98 9" xfId="46499"/>
    <cellStyle name="Процентный 5 2 2 98 9" xfId="46500"/>
    <cellStyle name="Обычный 6 2 98 9" xfId="46501"/>
    <cellStyle name="Процентный 6 2 98 9" xfId="46502"/>
    <cellStyle name="Обычный 7 2 98 9" xfId="46503"/>
    <cellStyle name="Процентный 7 2 98 9" xfId="46504"/>
    <cellStyle name="Обычный 8 94 9" xfId="46505"/>
    <cellStyle name="Процентный 8 94 9" xfId="46506"/>
    <cellStyle name="Обычный 9 60 9" xfId="46507"/>
    <cellStyle name="Процентный 9 61 9" xfId="46508"/>
    <cellStyle name="Обычный 10 53 9" xfId="46509"/>
    <cellStyle name="Процентный 10 53 9" xfId="46510"/>
    <cellStyle name="Обычный 11 41 9" xfId="46511"/>
    <cellStyle name="Процентный 11 41 9" xfId="46512"/>
    <cellStyle name="Обычный 4 153 9" xfId="46513"/>
    <cellStyle name="Процентный 4 153 9" xfId="46514"/>
    <cellStyle name="Обычный 5 146 9" xfId="46515"/>
    <cellStyle name="Процентный 5 146 9" xfId="46516"/>
    <cellStyle name="Обычный 4 2 140 9" xfId="46517"/>
    <cellStyle name="Процентный 4 2 140 9" xfId="46518"/>
    <cellStyle name="Обычный 5 2 140 9" xfId="46519"/>
    <cellStyle name="Процентный 5 2 140 9" xfId="46520"/>
    <cellStyle name="Обычный 6 137 9" xfId="46521"/>
    <cellStyle name="Процентный 6 137 9" xfId="46522"/>
    <cellStyle name="Обычный 7 107 9" xfId="46523"/>
    <cellStyle name="Процентный 7 107 9" xfId="46524"/>
    <cellStyle name="Обычный 4 3 99 9" xfId="46525"/>
    <cellStyle name="Процентный 4 3 99 9" xfId="46526"/>
    <cellStyle name="Обычный 5 3 99 9" xfId="46527"/>
    <cellStyle name="Процентный 5 3 99 9" xfId="46528"/>
    <cellStyle name="Обычный 4 2 2 99 9" xfId="46529"/>
    <cellStyle name="Процентный 4 2 2 99 9" xfId="46530"/>
    <cellStyle name="Обычный 5 2 2 99 9" xfId="46531"/>
    <cellStyle name="Процентный 5 2 2 99 9" xfId="46532"/>
    <cellStyle name="Обычный 6 2 99 9" xfId="46533"/>
    <cellStyle name="Процентный 6 2 99 9" xfId="46534"/>
    <cellStyle name="Обычный 7 2 99 9" xfId="46535"/>
    <cellStyle name="Процентный 7 2 99 9" xfId="46536"/>
    <cellStyle name="Обычный 8 95 9" xfId="46537"/>
    <cellStyle name="Процентный 8 95 9" xfId="46538"/>
    <cellStyle name="Обычный 9 61 9" xfId="46539"/>
    <cellStyle name="Процентный 9 62 9" xfId="46540"/>
    <cellStyle name="Обычный 10 54 9" xfId="46541"/>
    <cellStyle name="Процентный 10 54 9" xfId="46542"/>
    <cellStyle name="Обычный 11 42 9" xfId="46543"/>
    <cellStyle name="Процентный 11 42 9" xfId="46544"/>
    <cellStyle name="Обычный 4 154 9" xfId="46545"/>
    <cellStyle name="Процентный 4 154 9" xfId="46546"/>
    <cellStyle name="Обычный 5 147 9" xfId="46547"/>
    <cellStyle name="Процентный 5 147 9" xfId="46548"/>
    <cellStyle name="Обычный 4 2 141 9" xfId="46549"/>
    <cellStyle name="Процентный 4 2 141 9" xfId="46550"/>
    <cellStyle name="Обычный 5 2 141 9" xfId="46551"/>
    <cellStyle name="Процентный 5 2 141 9" xfId="46552"/>
    <cellStyle name="Обычный 6 138 9" xfId="46553"/>
    <cellStyle name="Процентный 6 138 9" xfId="46554"/>
    <cellStyle name="Обычный 7 108 9" xfId="46555"/>
    <cellStyle name="Процентный 7 108 9" xfId="46556"/>
    <cellStyle name="Обычный 4 3 100 9" xfId="46557"/>
    <cellStyle name="Процентный 4 3 100 9" xfId="46558"/>
    <cellStyle name="Обычный 5 3 100 9" xfId="46559"/>
    <cellStyle name="Процентный 5 3 100 9" xfId="46560"/>
    <cellStyle name="Обычный 4 2 2 100 9" xfId="46561"/>
    <cellStyle name="Процентный 4 2 2 100 9" xfId="46562"/>
    <cellStyle name="Обычный 5 2 2 100 9" xfId="46563"/>
    <cellStyle name="Процентный 5 2 2 100 9" xfId="46564"/>
    <cellStyle name="Обычный 6 2 100 9" xfId="46565"/>
    <cellStyle name="Процентный 6 2 100 9" xfId="46566"/>
    <cellStyle name="Обычный 7 2 100 9" xfId="46567"/>
    <cellStyle name="Процентный 7 2 100 9" xfId="46568"/>
    <cellStyle name="Обычный 8 96 9" xfId="46569"/>
    <cellStyle name="Процентный 8 96 9" xfId="46570"/>
    <cellStyle name="Обычный 9 62 9" xfId="46571"/>
    <cellStyle name="Процентный 9 63 9" xfId="46572"/>
    <cellStyle name="Обычный 10 55 9" xfId="46573"/>
    <cellStyle name="Процентный 10 55 9" xfId="46574"/>
    <cellStyle name="Обычный 11 43 9" xfId="46575"/>
    <cellStyle name="Процентный 11 43 9" xfId="46576"/>
    <cellStyle name="Обычный 4 155 9" xfId="46577"/>
    <cellStyle name="Процентный 4 155 9" xfId="46578"/>
    <cellStyle name="Обычный 5 148 9" xfId="46579"/>
    <cellStyle name="Процентный 5 148 9" xfId="46580"/>
    <cellStyle name="Обычный 4 2 142 9" xfId="46581"/>
    <cellStyle name="Процентный 4 2 142 9" xfId="46582"/>
    <cellStyle name="Обычный 5 2 142 9" xfId="46583"/>
    <cellStyle name="Процентный 5 2 142 9" xfId="46584"/>
    <cellStyle name="Обычный 6 139 9" xfId="46585"/>
    <cellStyle name="Процентный 6 139 9" xfId="46586"/>
    <cellStyle name="Обычный 7 109 9" xfId="46587"/>
    <cellStyle name="Процентный 7 109 9" xfId="46588"/>
    <cellStyle name="Обычный 4 3 101 9" xfId="46589"/>
    <cellStyle name="Процентный 4 3 101 9" xfId="46590"/>
    <cellStyle name="Обычный 5 3 101 9" xfId="46591"/>
    <cellStyle name="Процентный 5 3 101 9" xfId="46592"/>
    <cellStyle name="Обычный 4 2 2 101 9" xfId="46593"/>
    <cellStyle name="Процентный 4 2 2 101 9" xfId="46594"/>
    <cellStyle name="Обычный 5 2 2 101 9" xfId="46595"/>
    <cellStyle name="Процентный 5 2 2 101 9" xfId="46596"/>
    <cellStyle name="Обычный 6 2 101 9" xfId="46597"/>
    <cellStyle name="Процентный 6 2 101 9" xfId="46598"/>
    <cellStyle name="Обычный 7 2 101 9" xfId="46599"/>
    <cellStyle name="Процентный 7 2 101 9" xfId="46600"/>
    <cellStyle name="Обычный 8 97 9" xfId="46601"/>
    <cellStyle name="Процентный 8 97 9" xfId="46602"/>
    <cellStyle name="Обычный 9 63 9" xfId="46603"/>
    <cellStyle name="Процентный 9 64 9" xfId="46604"/>
    <cellStyle name="Обычный 10 56 9" xfId="46605"/>
    <cellStyle name="Процентный 10 56 9" xfId="46606"/>
    <cellStyle name="Обычный 11 44 9" xfId="46607"/>
    <cellStyle name="Процентный 11 44 9" xfId="46608"/>
    <cellStyle name="Обычный 4 156 9" xfId="46609"/>
    <cellStyle name="Процентный 4 156 9" xfId="46610"/>
    <cellStyle name="Обычный 5 149 9" xfId="46611"/>
    <cellStyle name="Процентный 5 149 9" xfId="46612"/>
    <cellStyle name="Обычный 4 2 143 9" xfId="46613"/>
    <cellStyle name="Процентный 4 2 143 9" xfId="46614"/>
    <cellStyle name="Обычный 5 2 143 9" xfId="46615"/>
    <cellStyle name="Процентный 5 2 143 9" xfId="46616"/>
    <cellStyle name="Обычный 6 140 9" xfId="46617"/>
    <cellStyle name="Процентный 6 140 9" xfId="46618"/>
    <cellStyle name="Обычный 7 110 9" xfId="46619"/>
    <cellStyle name="Процентный 7 110 9" xfId="46620"/>
    <cellStyle name="Обычный 4 3 102 9" xfId="46621"/>
    <cellStyle name="Процентный 4 3 102 9" xfId="46622"/>
    <cellStyle name="Обычный 5 3 102 9" xfId="46623"/>
    <cellStyle name="Процентный 5 3 102 9" xfId="46624"/>
    <cellStyle name="Обычный 4 2 2 102 9" xfId="46625"/>
    <cellStyle name="Процентный 4 2 2 102 9" xfId="46626"/>
    <cellStyle name="Обычный 5 2 2 102 9" xfId="46627"/>
    <cellStyle name="Процентный 5 2 2 102 9" xfId="46628"/>
    <cellStyle name="Обычный 6 2 102 9" xfId="46629"/>
    <cellStyle name="Процентный 6 2 102 9" xfId="46630"/>
    <cellStyle name="Обычный 7 2 102 9" xfId="46631"/>
    <cellStyle name="Процентный 7 2 102 9" xfId="46632"/>
    <cellStyle name="Обычный 8 98 9" xfId="46633"/>
    <cellStyle name="Процентный 8 98 9" xfId="46634"/>
    <cellStyle name="Обычный 9 64 9" xfId="46635"/>
    <cellStyle name="Процентный 9 65 9" xfId="46636"/>
    <cellStyle name="Обычный 10 57 9" xfId="46637"/>
    <cellStyle name="Процентный 10 57 9" xfId="46638"/>
    <cellStyle name="Обычный 11 45 9" xfId="46639"/>
    <cellStyle name="Процентный 11 45 9" xfId="46640"/>
    <cellStyle name="Обычный 4 157 9" xfId="46641"/>
    <cellStyle name="Процентный 4 157 9" xfId="46642"/>
    <cellStyle name="Обычный 5 150 9" xfId="46643"/>
    <cellStyle name="Процентный 5 150 9" xfId="46644"/>
    <cellStyle name="Обычный 4 2 144 9" xfId="46645"/>
    <cellStyle name="Процентный 4 2 144 9" xfId="46646"/>
    <cellStyle name="Обычный 5 2 144 9" xfId="46647"/>
    <cellStyle name="Процентный 5 2 144 9" xfId="46648"/>
    <cellStyle name="Обычный 6 141 9" xfId="46649"/>
    <cellStyle name="Процентный 6 141 9" xfId="46650"/>
    <cellStyle name="Обычный 7 111 9" xfId="46651"/>
    <cellStyle name="Процентный 7 111 9" xfId="46652"/>
    <cellStyle name="Обычный 4 3 103 9" xfId="46653"/>
    <cellStyle name="Процентный 4 3 103 9" xfId="46654"/>
    <cellStyle name="Обычный 5 3 103 9" xfId="46655"/>
    <cellStyle name="Процентный 5 3 103 9" xfId="46656"/>
    <cellStyle name="Обычный 4 2 2 103 9" xfId="46657"/>
    <cellStyle name="Процентный 4 2 2 103 9" xfId="46658"/>
    <cellStyle name="Обычный 5 2 2 103 9" xfId="46659"/>
    <cellStyle name="Процентный 5 2 2 103 9" xfId="46660"/>
    <cellStyle name="Обычный 6 2 103 9" xfId="46661"/>
    <cellStyle name="Процентный 6 2 103 9" xfId="46662"/>
    <cellStyle name="Обычный 7 2 103 9" xfId="46663"/>
    <cellStyle name="Процентный 7 2 103 9" xfId="46664"/>
    <cellStyle name="Обычный 8 99 9" xfId="46665"/>
    <cellStyle name="Процентный 8 99 9" xfId="46666"/>
    <cellStyle name="Обычный 9 65 9" xfId="46667"/>
    <cellStyle name="Процентный 9 66 9" xfId="46668"/>
    <cellStyle name="Обычный 10 58 9" xfId="46669"/>
    <cellStyle name="Процентный 10 58 9" xfId="46670"/>
    <cellStyle name="Обычный 11 46 9" xfId="46671"/>
    <cellStyle name="Процентный 11 46 9" xfId="46672"/>
    <cellStyle name="Обычный 4 158 9" xfId="46673"/>
    <cellStyle name="Процентный 4 158 9" xfId="46674"/>
    <cellStyle name="Обычный 5 151 9" xfId="46675"/>
    <cellStyle name="Процентный 5 151 9" xfId="46676"/>
    <cellStyle name="Обычный 4 2 145 9" xfId="46677"/>
    <cellStyle name="Процентный 4 2 145 9" xfId="46678"/>
    <cellStyle name="Обычный 5 2 145 9" xfId="46679"/>
    <cellStyle name="Процентный 5 2 145 9" xfId="46680"/>
    <cellStyle name="Обычный 6 142 9" xfId="46681"/>
    <cellStyle name="Процентный 6 142 9" xfId="46682"/>
    <cellStyle name="Обычный 7 112 9" xfId="46683"/>
    <cellStyle name="Процентный 7 112 9" xfId="46684"/>
    <cellStyle name="Обычный 4 3 104 9" xfId="46685"/>
    <cellStyle name="Процентный 4 3 104 9" xfId="46686"/>
    <cellStyle name="Обычный 5 3 104 9" xfId="46687"/>
    <cellStyle name="Процентный 5 3 104 9" xfId="46688"/>
    <cellStyle name="Обычный 4 2 2 104 9" xfId="46689"/>
    <cellStyle name="Процентный 4 2 2 104 9" xfId="46690"/>
    <cellStyle name="Обычный 5 2 2 104 9" xfId="46691"/>
    <cellStyle name="Процентный 5 2 2 104 9" xfId="46692"/>
    <cellStyle name="Обычный 6 2 104 9" xfId="46693"/>
    <cellStyle name="Процентный 6 2 104 9" xfId="46694"/>
    <cellStyle name="Обычный 7 2 104 9" xfId="46695"/>
    <cellStyle name="Процентный 7 2 104 9" xfId="46696"/>
    <cellStyle name="Обычный 8 100 9" xfId="46697"/>
    <cellStyle name="Процентный 8 100 9" xfId="46698"/>
    <cellStyle name="Обычный 9 66 9" xfId="46699"/>
    <cellStyle name="Процентный 9 67 9" xfId="46700"/>
    <cellStyle name="Обычный 10 59 9" xfId="46701"/>
    <cellStyle name="Процентный 10 59 9" xfId="46702"/>
    <cellStyle name="Обычный 11 47 9" xfId="46703"/>
    <cellStyle name="Процентный 11 47 9" xfId="46704"/>
    <cellStyle name="Обычный 4 159 9" xfId="46705"/>
    <cellStyle name="Процентный 4 159 9" xfId="46706"/>
    <cellStyle name="Обычный 5 152 9" xfId="46707"/>
    <cellStyle name="Процентный 5 152 9" xfId="46708"/>
    <cellStyle name="Обычный 4 2 146 9" xfId="46709"/>
    <cellStyle name="Процентный 4 2 146 9" xfId="46710"/>
    <cellStyle name="Обычный 5 2 146 9" xfId="46711"/>
    <cellStyle name="Процентный 5 2 146 9" xfId="46712"/>
    <cellStyle name="Обычный 6 143 9" xfId="46713"/>
    <cellStyle name="Процентный 6 143 9" xfId="46714"/>
    <cellStyle name="Обычный 7 113 9" xfId="46715"/>
    <cellStyle name="Процентный 7 113 9" xfId="46716"/>
    <cellStyle name="Обычный 4 3 105 9" xfId="46717"/>
    <cellStyle name="Процентный 4 3 105 9" xfId="46718"/>
    <cellStyle name="Обычный 5 3 105 9" xfId="46719"/>
    <cellStyle name="Процентный 5 3 105 9" xfId="46720"/>
    <cellStyle name="Обычный 4 2 2 105 9" xfId="46721"/>
    <cellStyle name="Процентный 4 2 2 105 9" xfId="46722"/>
    <cellStyle name="Обычный 5 2 2 105 9" xfId="46723"/>
    <cellStyle name="Процентный 5 2 2 105 9" xfId="46724"/>
    <cellStyle name="Обычный 6 2 105 9" xfId="46725"/>
    <cellStyle name="Процентный 6 2 105 9" xfId="46726"/>
    <cellStyle name="Обычный 7 2 105 9" xfId="46727"/>
    <cellStyle name="Процентный 7 2 105 9" xfId="46728"/>
    <cellStyle name="Обычный 8 101 9" xfId="46729"/>
    <cellStyle name="Процентный 8 101 9" xfId="46730"/>
    <cellStyle name="Обычный 9 67 9" xfId="46731"/>
    <cellStyle name="Процентный 9 68 9" xfId="46732"/>
    <cellStyle name="Обычный 10 60 9" xfId="46733"/>
    <cellStyle name="Процентный 10 60 9" xfId="46734"/>
    <cellStyle name="Обычный 11 48 9" xfId="46735"/>
    <cellStyle name="Процентный 11 48 9" xfId="46736"/>
    <cellStyle name="Обычный 4 160 9" xfId="46737"/>
    <cellStyle name="Процентный 4 160 9" xfId="46738"/>
    <cellStyle name="Обычный 5 153 9" xfId="46739"/>
    <cellStyle name="Процентный 5 153 9" xfId="46740"/>
    <cellStyle name="Обычный 4 2 147 9" xfId="46741"/>
    <cellStyle name="Процентный 4 2 147 9" xfId="46742"/>
    <cellStyle name="Обычный 5 2 147 9" xfId="46743"/>
    <cellStyle name="Процентный 5 2 147 9" xfId="46744"/>
    <cellStyle name="Обычный 6 144 9" xfId="46745"/>
    <cellStyle name="Процентный 6 144 9" xfId="46746"/>
    <cellStyle name="Обычный 7 114 9" xfId="46747"/>
    <cellStyle name="Процентный 7 114 9" xfId="46748"/>
    <cellStyle name="Обычный 4 3 106 9" xfId="46749"/>
    <cellStyle name="Процентный 4 3 106 9" xfId="46750"/>
    <cellStyle name="Обычный 5 3 106 9" xfId="46751"/>
    <cellStyle name="Процентный 5 3 106 9" xfId="46752"/>
    <cellStyle name="Обычный 4 2 2 106 9" xfId="46753"/>
    <cellStyle name="Процентный 4 2 2 106 9" xfId="46754"/>
    <cellStyle name="Обычный 5 2 2 106 9" xfId="46755"/>
    <cellStyle name="Процентный 5 2 2 106 9" xfId="46756"/>
    <cellStyle name="Обычный 6 2 106 9" xfId="46757"/>
    <cellStyle name="Процентный 6 2 106 9" xfId="46758"/>
    <cellStyle name="Обычный 7 2 106 9" xfId="46759"/>
    <cellStyle name="Процентный 7 2 106 9" xfId="46760"/>
    <cellStyle name="Обычный 8 102 9" xfId="46761"/>
    <cellStyle name="Процентный 8 102 9" xfId="46762"/>
    <cellStyle name="Обычный 9 68 9" xfId="46763"/>
    <cellStyle name="Процентный 9 69 9" xfId="46764"/>
    <cellStyle name="Обычный 10 61 9" xfId="46765"/>
    <cellStyle name="Процентный 10 61 9" xfId="46766"/>
    <cellStyle name="Обычный 11 49 9" xfId="46767"/>
    <cellStyle name="Процентный 11 49 9" xfId="46768"/>
    <cellStyle name="Обычный 4 161 9" xfId="46769"/>
    <cellStyle name="Процентный 4 161 9" xfId="46770"/>
    <cellStyle name="Обычный 5 154 9" xfId="46771"/>
    <cellStyle name="Процентный 5 154 9" xfId="46772"/>
    <cellStyle name="Обычный 4 2 148 9" xfId="46773"/>
    <cellStyle name="Процентный 4 2 148 9" xfId="46774"/>
    <cellStyle name="Обычный 5 2 148 9" xfId="46775"/>
    <cellStyle name="Процентный 5 2 148 9" xfId="46776"/>
    <cellStyle name="Обычный 6 145 9" xfId="46777"/>
    <cellStyle name="Процентный 6 145 9" xfId="46778"/>
    <cellStyle name="Обычный 7 115 9" xfId="46779"/>
    <cellStyle name="Процентный 7 115 9" xfId="46780"/>
    <cellStyle name="Обычный 4 3 107 9" xfId="46781"/>
    <cellStyle name="Процентный 4 3 107 9" xfId="46782"/>
    <cellStyle name="Обычный 5 3 107 9" xfId="46783"/>
    <cellStyle name="Процентный 5 3 107 9" xfId="46784"/>
    <cellStyle name="Обычный 4 2 2 107 9" xfId="46785"/>
    <cellStyle name="Процентный 4 2 2 107 9" xfId="46786"/>
    <cellStyle name="Обычный 5 2 2 107 9" xfId="46787"/>
    <cellStyle name="Процентный 5 2 2 107 9" xfId="46788"/>
    <cellStyle name="Обычный 6 2 107 9" xfId="46789"/>
    <cellStyle name="Процентный 6 2 107 9" xfId="46790"/>
    <cellStyle name="Обычный 7 2 107 9" xfId="46791"/>
    <cellStyle name="Процентный 7 2 107 9" xfId="46792"/>
    <cellStyle name="Обычный 8 103 9" xfId="46793"/>
    <cellStyle name="Процентный 8 103 9" xfId="46794"/>
    <cellStyle name="Обычный 9 69 9" xfId="46795"/>
    <cellStyle name="Процентный 9 70 9" xfId="46796"/>
    <cellStyle name="Обычный 10 62 9" xfId="46797"/>
    <cellStyle name="Процентный 10 62 9" xfId="46798"/>
    <cellStyle name="Обычный 11 50 9" xfId="46799"/>
    <cellStyle name="Процентный 11 50 9" xfId="46800"/>
    <cellStyle name="Обычный 4 162 9" xfId="46801"/>
    <cellStyle name="Процентный 4 162 9" xfId="46802"/>
    <cellStyle name="Обычный 5 155 9" xfId="46803"/>
    <cellStyle name="Процентный 5 155 9" xfId="46804"/>
    <cellStyle name="Обычный 4 2 149 9" xfId="46805"/>
    <cellStyle name="Процентный 4 2 149 9" xfId="46806"/>
    <cellStyle name="Обычный 5 2 149 9" xfId="46807"/>
    <cellStyle name="Процентный 5 2 149 9" xfId="46808"/>
    <cellStyle name="Обычный 6 146 9" xfId="46809"/>
    <cellStyle name="Процентный 6 146 9" xfId="46810"/>
    <cellStyle name="Обычный 7 116 9" xfId="46811"/>
    <cellStyle name="Процентный 7 116 9" xfId="46812"/>
    <cellStyle name="Обычный 4 3 108 9" xfId="46813"/>
    <cellStyle name="Процентный 4 3 108 9" xfId="46814"/>
    <cellStyle name="Обычный 5 3 108 9" xfId="46815"/>
    <cellStyle name="Процентный 5 3 108 9" xfId="46816"/>
    <cellStyle name="Обычный 4 2 2 108 9" xfId="46817"/>
    <cellStyle name="Процентный 4 2 2 108 9" xfId="46818"/>
    <cellStyle name="Обычный 5 2 2 108 9" xfId="46819"/>
    <cellStyle name="Процентный 5 2 2 108 9" xfId="46820"/>
    <cellStyle name="Обычный 6 2 108 9" xfId="46821"/>
    <cellStyle name="Процентный 6 2 108 9" xfId="46822"/>
    <cellStyle name="Обычный 7 2 108 9" xfId="46823"/>
    <cellStyle name="Процентный 7 2 108 9" xfId="46824"/>
    <cellStyle name="Обычный 8 104 9" xfId="46825"/>
    <cellStyle name="Процентный 8 104 9" xfId="46826"/>
    <cellStyle name="Обычный 9 70 9" xfId="46827"/>
    <cellStyle name="Процентный 9 71 9" xfId="46828"/>
    <cellStyle name="Обычный 10 63 9" xfId="46829"/>
    <cellStyle name="Процентный 10 63 9" xfId="46830"/>
    <cellStyle name="Обычный 11 51 9" xfId="46831"/>
    <cellStyle name="Процентный 11 51 9" xfId="46832"/>
    <cellStyle name="Обычный 4 163 9" xfId="46833"/>
    <cellStyle name="Процентный 4 163 9" xfId="46834"/>
    <cellStyle name="Обычный 5 156 9" xfId="46835"/>
    <cellStyle name="Процентный 5 156 9" xfId="46836"/>
    <cellStyle name="Обычный 4 2 150 9" xfId="46837"/>
    <cellStyle name="Процентный 4 2 150 9" xfId="46838"/>
    <cellStyle name="Обычный 5 2 150 9" xfId="46839"/>
    <cellStyle name="Процентный 5 2 150 9" xfId="46840"/>
    <cellStyle name="Обычный 6 147 9" xfId="46841"/>
    <cellStyle name="Процентный 6 147 9" xfId="46842"/>
    <cellStyle name="Обычный 7 117 9" xfId="46843"/>
    <cellStyle name="Процентный 7 117 9" xfId="46844"/>
    <cellStyle name="Обычный 4 3 109 9" xfId="46845"/>
    <cellStyle name="Процентный 4 3 109 9" xfId="46846"/>
    <cellStyle name="Обычный 5 3 109 9" xfId="46847"/>
    <cellStyle name="Процентный 5 3 109 9" xfId="46848"/>
    <cellStyle name="Обычный 4 2 2 109 9" xfId="46849"/>
    <cellStyle name="Процентный 4 2 2 109 9" xfId="46850"/>
    <cellStyle name="Обычный 5 2 2 109 9" xfId="46851"/>
    <cellStyle name="Процентный 5 2 2 109 9" xfId="46852"/>
    <cellStyle name="Обычный 6 2 109 9" xfId="46853"/>
    <cellStyle name="Процентный 6 2 109 9" xfId="46854"/>
    <cellStyle name="Обычный 7 2 109 9" xfId="46855"/>
    <cellStyle name="Процентный 7 2 109 9" xfId="46856"/>
    <cellStyle name="Обычный 8 105 9" xfId="46857"/>
    <cellStyle name="Процентный 8 105 9" xfId="46858"/>
    <cellStyle name="Обычный 9 71 9" xfId="46859"/>
    <cellStyle name="Процентный 9 72 9" xfId="46860"/>
    <cellStyle name="Обычный 10 64 9" xfId="46861"/>
    <cellStyle name="Процентный 10 64 9" xfId="46862"/>
    <cellStyle name="Обычный 11 52 9" xfId="46863"/>
    <cellStyle name="Процентный 11 52 9" xfId="46864"/>
    <cellStyle name="Обычный 4 164 9" xfId="46865"/>
    <cellStyle name="Процентный 4 164 9" xfId="46866"/>
    <cellStyle name="Обычный 5 157 9" xfId="46867"/>
    <cellStyle name="Процентный 5 157 9" xfId="46868"/>
    <cellStyle name="Обычный 4 2 151 9" xfId="46869"/>
    <cellStyle name="Процентный 4 2 151 9" xfId="46870"/>
    <cellStyle name="Обычный 5 2 151 9" xfId="46871"/>
    <cellStyle name="Процентный 5 2 151 9" xfId="46872"/>
    <cellStyle name="Обычный 6 148 9" xfId="46873"/>
    <cellStyle name="Процентный 6 148 9" xfId="46874"/>
    <cellStyle name="Обычный 7 118 9" xfId="46875"/>
    <cellStyle name="Процентный 7 118 9" xfId="46876"/>
    <cellStyle name="Обычный 4 3 110 9" xfId="46877"/>
    <cellStyle name="Процентный 4 3 110 9" xfId="46878"/>
    <cellStyle name="Обычный 5 3 110 9" xfId="46879"/>
    <cellStyle name="Процентный 5 3 110 9" xfId="46880"/>
    <cellStyle name="Обычный 4 2 2 110 9" xfId="46881"/>
    <cellStyle name="Процентный 4 2 2 110 9" xfId="46882"/>
    <cellStyle name="Обычный 5 2 2 110 9" xfId="46883"/>
    <cellStyle name="Процентный 5 2 2 110 9" xfId="46884"/>
    <cellStyle name="Обычный 6 2 110 9" xfId="46885"/>
    <cellStyle name="Процентный 6 2 110 9" xfId="46886"/>
    <cellStyle name="Обычный 7 2 110 9" xfId="46887"/>
    <cellStyle name="Процентный 7 2 110 9" xfId="46888"/>
    <cellStyle name="Обычный 8 106 9" xfId="46889"/>
    <cellStyle name="Процентный 8 106 9" xfId="46890"/>
    <cellStyle name="Обычный 9 72 9" xfId="46891"/>
    <cellStyle name="Процентный 9 73 9" xfId="46892"/>
    <cellStyle name="Обычный 10 65 9" xfId="46893"/>
    <cellStyle name="Процентный 10 65 9" xfId="46894"/>
    <cellStyle name="Обычный 11 53 9" xfId="46895"/>
    <cellStyle name="Процентный 11 53 9" xfId="46896"/>
    <cellStyle name="Обычный 4 165 9" xfId="46897"/>
    <cellStyle name="Процентный 4 165 9" xfId="46898"/>
    <cellStyle name="Обычный 5 158 9" xfId="46899"/>
    <cellStyle name="Процентный 5 158 9" xfId="46900"/>
    <cellStyle name="Обычный 4 2 152 9" xfId="46901"/>
    <cellStyle name="Процентный 4 2 152 9" xfId="46902"/>
    <cellStyle name="Обычный 5 2 152 9" xfId="46903"/>
    <cellStyle name="Процентный 5 2 152 9" xfId="46904"/>
    <cellStyle name="Обычный 6 149 9" xfId="46905"/>
    <cellStyle name="Процентный 6 149 9" xfId="46906"/>
    <cellStyle name="Обычный 7 119 9" xfId="46907"/>
    <cellStyle name="Процентный 7 119 9" xfId="46908"/>
    <cellStyle name="Обычный 4 3 111 9" xfId="46909"/>
    <cellStyle name="Процентный 4 3 111 9" xfId="46910"/>
    <cellStyle name="Обычный 5 3 111 9" xfId="46911"/>
    <cellStyle name="Процентный 5 3 111 9" xfId="46912"/>
    <cellStyle name="Обычный 4 2 2 111 9" xfId="46913"/>
    <cellStyle name="Процентный 4 2 2 111 9" xfId="46914"/>
    <cellStyle name="Обычный 5 2 2 111 9" xfId="46915"/>
    <cellStyle name="Процентный 5 2 2 111 9" xfId="46916"/>
    <cellStyle name="Обычный 6 2 111 9" xfId="46917"/>
    <cellStyle name="Процентный 6 2 111 9" xfId="46918"/>
    <cellStyle name="Обычный 7 2 111 9" xfId="46919"/>
    <cellStyle name="Процентный 7 2 111 9" xfId="46920"/>
    <cellStyle name="Обычный 8 107 9" xfId="46921"/>
    <cellStyle name="Процентный 8 107 9" xfId="46922"/>
    <cellStyle name="Обычный 9 73 9" xfId="46923"/>
    <cellStyle name="Процентный 9 74 9" xfId="46924"/>
    <cellStyle name="Обычный 10 66 9" xfId="46925"/>
    <cellStyle name="Процентный 10 66 9" xfId="46926"/>
    <cellStyle name="Обычный 11 54 9" xfId="46927"/>
    <cellStyle name="Процентный 11 54 9" xfId="46928"/>
    <cellStyle name="Обычный 4 166 9" xfId="46929"/>
    <cellStyle name="Процентный 4 166 9" xfId="46930"/>
    <cellStyle name="Обычный 5 159 9" xfId="46931"/>
    <cellStyle name="Процентный 5 159 9" xfId="46932"/>
    <cellStyle name="Обычный 4 2 153 9" xfId="46933"/>
    <cellStyle name="Процентный 4 2 153 9" xfId="46934"/>
    <cellStyle name="Обычный 5 2 153 9" xfId="46935"/>
    <cellStyle name="Процентный 5 2 153 9" xfId="46936"/>
    <cellStyle name="Обычный 6 150 9" xfId="46937"/>
    <cellStyle name="Процентный 6 150 9" xfId="46938"/>
    <cellStyle name="Обычный 7 120 9" xfId="46939"/>
    <cellStyle name="Процентный 7 120 9" xfId="46940"/>
    <cellStyle name="Обычный 4 3 112 9" xfId="46941"/>
    <cellStyle name="Процентный 4 3 112 9" xfId="46942"/>
    <cellStyle name="Обычный 5 3 112 9" xfId="46943"/>
    <cellStyle name="Процентный 5 3 112 9" xfId="46944"/>
    <cellStyle name="Обычный 4 2 2 112 9" xfId="46945"/>
    <cellStyle name="Процентный 4 2 2 112 9" xfId="46946"/>
    <cellStyle name="Обычный 5 2 2 112 9" xfId="46947"/>
    <cellStyle name="Процентный 5 2 2 112 9" xfId="46948"/>
    <cellStyle name="Обычный 6 2 112 9" xfId="46949"/>
    <cellStyle name="Процентный 6 2 112 9" xfId="46950"/>
    <cellStyle name="Обычный 7 2 112 9" xfId="46951"/>
    <cellStyle name="Процентный 7 2 112 9" xfId="46952"/>
    <cellStyle name="Обычный 8 108 9" xfId="46953"/>
    <cellStyle name="Процентный 8 108 9" xfId="46954"/>
    <cellStyle name="Обычный 9 74 9" xfId="46955"/>
    <cellStyle name="Процентный 9 75 9" xfId="46956"/>
    <cellStyle name="Обычный 10 67 9" xfId="46957"/>
    <cellStyle name="Процентный 10 67 9" xfId="46958"/>
    <cellStyle name="Обычный 11 55 9" xfId="46959"/>
    <cellStyle name="Процентный 11 55 9" xfId="46960"/>
    <cellStyle name="Обычный 4 167 9" xfId="46961"/>
    <cellStyle name="Процентный 4 167 9" xfId="46962"/>
    <cellStyle name="Обычный 5 160 9" xfId="46963"/>
    <cellStyle name="Процентный 5 160 9" xfId="46964"/>
    <cellStyle name="Обычный 4 2 154 9" xfId="46965"/>
    <cellStyle name="Процентный 4 2 154 9" xfId="46966"/>
    <cellStyle name="Обычный 5 2 154 9" xfId="46967"/>
    <cellStyle name="Процентный 5 2 154 9" xfId="46968"/>
    <cellStyle name="Обычный 6 151 9" xfId="46969"/>
    <cellStyle name="Процентный 6 151 9" xfId="46970"/>
    <cellStyle name="Обычный 7 121 9" xfId="46971"/>
    <cellStyle name="Процентный 7 121 9" xfId="46972"/>
    <cellStyle name="Обычный 4 3 113 9" xfId="46973"/>
    <cellStyle name="Процентный 4 3 113 9" xfId="46974"/>
    <cellStyle name="Обычный 5 3 113 9" xfId="46975"/>
    <cellStyle name="Процентный 5 3 113 9" xfId="46976"/>
    <cellStyle name="Обычный 4 2 2 113 9" xfId="46977"/>
    <cellStyle name="Процентный 4 2 2 113 9" xfId="46978"/>
    <cellStyle name="Обычный 5 2 2 113 9" xfId="46979"/>
    <cellStyle name="Процентный 5 2 2 113 9" xfId="46980"/>
    <cellStyle name="Обычный 6 2 113 9" xfId="46981"/>
    <cellStyle name="Процентный 6 2 113 9" xfId="46982"/>
    <cellStyle name="Обычный 7 2 113 9" xfId="46983"/>
    <cellStyle name="Процентный 7 2 113 9" xfId="46984"/>
    <cellStyle name="Обычный 8 109 9" xfId="46985"/>
    <cellStyle name="Процентный 8 109 9" xfId="46986"/>
    <cellStyle name="Обычный 9 75 9" xfId="46987"/>
    <cellStyle name="Процентный 9 76 9" xfId="46988"/>
    <cellStyle name="Обычный 10 68 9" xfId="46989"/>
    <cellStyle name="Процентный 10 68 9" xfId="46990"/>
    <cellStyle name="Обычный 11 56 9" xfId="46991"/>
    <cellStyle name="Процентный 11 56 9" xfId="46992"/>
    <cellStyle name="Обычный 4 168 9" xfId="46993"/>
    <cellStyle name="Процентный 4 168 9" xfId="46994"/>
    <cellStyle name="Обычный 5 161 9" xfId="46995"/>
    <cellStyle name="Процентный 5 161 9" xfId="46996"/>
    <cellStyle name="Обычный 4 2 155 9" xfId="46997"/>
    <cellStyle name="Процентный 4 2 155 9" xfId="46998"/>
    <cellStyle name="Обычный 5 2 155 9" xfId="46999"/>
    <cellStyle name="Процентный 5 2 155 9" xfId="47000"/>
    <cellStyle name="Обычный 6 152 9" xfId="47001"/>
    <cellStyle name="Процентный 6 152 9" xfId="47002"/>
    <cellStyle name="Обычный 7 122 9" xfId="47003"/>
    <cellStyle name="Процентный 7 122 9" xfId="47004"/>
    <cellStyle name="Обычный 4 3 114 9" xfId="47005"/>
    <cellStyle name="Процентный 4 3 114 9" xfId="47006"/>
    <cellStyle name="Обычный 5 3 114 9" xfId="47007"/>
    <cellStyle name="Процентный 5 3 114 9" xfId="47008"/>
    <cellStyle name="Обычный 4 2 2 114 9" xfId="47009"/>
    <cellStyle name="Процентный 4 2 2 114 9" xfId="47010"/>
    <cellStyle name="Обычный 5 2 2 114 9" xfId="47011"/>
    <cellStyle name="Процентный 5 2 2 114 9" xfId="47012"/>
    <cellStyle name="Обычный 6 2 114 9" xfId="47013"/>
    <cellStyle name="Процентный 6 2 114 9" xfId="47014"/>
    <cellStyle name="Обычный 7 2 114 9" xfId="47015"/>
    <cellStyle name="Процентный 7 2 114 9" xfId="47016"/>
    <cellStyle name="Обычный 8 110 9" xfId="47017"/>
    <cellStyle name="Процентный 8 110 9" xfId="47018"/>
    <cellStyle name="Обычный 9 76 9" xfId="47019"/>
    <cellStyle name="Процентный 9 77 9" xfId="47020"/>
    <cellStyle name="Обычный 10 69 9" xfId="47021"/>
    <cellStyle name="Процентный 10 69 9" xfId="47022"/>
    <cellStyle name="Обычный 11 57 9" xfId="47023"/>
    <cellStyle name="Процентный 11 57 9" xfId="47024"/>
    <cellStyle name="Обычный 4 169 9" xfId="47025"/>
    <cellStyle name="Процентный 4 169 9" xfId="47026"/>
    <cellStyle name="Обычный 5 162 9" xfId="47027"/>
    <cellStyle name="Процентный 5 162 9" xfId="47028"/>
    <cellStyle name="Обычный 4 2 156 9" xfId="47029"/>
    <cellStyle name="Процентный 4 2 156 9" xfId="47030"/>
    <cellStyle name="Обычный 5 2 156 9" xfId="47031"/>
    <cellStyle name="Процентный 5 2 156 9" xfId="47032"/>
    <cellStyle name="Обычный 6 153 9" xfId="47033"/>
    <cellStyle name="Процентный 6 153 9" xfId="47034"/>
    <cellStyle name="Обычный 7 123 9" xfId="47035"/>
    <cellStyle name="Процентный 7 123 9" xfId="47036"/>
    <cellStyle name="Обычный 4 3 115 9" xfId="47037"/>
    <cellStyle name="Процентный 4 3 115 9" xfId="47038"/>
    <cellStyle name="Обычный 5 3 115 9" xfId="47039"/>
    <cellStyle name="Процентный 5 3 115 9" xfId="47040"/>
    <cellStyle name="Обычный 4 2 2 115 9" xfId="47041"/>
    <cellStyle name="Процентный 4 2 2 115 9" xfId="47042"/>
    <cellStyle name="Обычный 5 2 2 115 9" xfId="47043"/>
    <cellStyle name="Процентный 5 2 2 115 9" xfId="47044"/>
    <cellStyle name="Обычный 6 2 115 9" xfId="47045"/>
    <cellStyle name="Процентный 6 2 115 9" xfId="47046"/>
    <cellStyle name="Обычный 7 2 115 9" xfId="47047"/>
    <cellStyle name="Процентный 7 2 115 9" xfId="47048"/>
    <cellStyle name="Обычный 8 111 9" xfId="47049"/>
    <cellStyle name="Процентный 8 111 9" xfId="47050"/>
    <cellStyle name="Обычный 9 77 9" xfId="47051"/>
    <cellStyle name="Процентный 9 78 9" xfId="47052"/>
    <cellStyle name="Обычный 10 70 9" xfId="47053"/>
    <cellStyle name="Процентный 10 70 9" xfId="47054"/>
    <cellStyle name="Обычный 11 58 9" xfId="47055"/>
    <cellStyle name="Процентный 11 58 9" xfId="47056"/>
    <cellStyle name="Обычный 4 170 9" xfId="47057"/>
    <cellStyle name="Процентный 4 170 9" xfId="47058"/>
    <cellStyle name="Обычный 5 163 9" xfId="47059"/>
    <cellStyle name="Процентный 5 163 9" xfId="47060"/>
    <cellStyle name="Обычный 4 2 157 9" xfId="47061"/>
    <cellStyle name="Процентный 4 2 157 9" xfId="47062"/>
    <cellStyle name="Обычный 5 2 157 9" xfId="47063"/>
    <cellStyle name="Процентный 5 2 157 9" xfId="47064"/>
    <cellStyle name="Обычный 6 154 9" xfId="47065"/>
    <cellStyle name="Процентный 6 154 9" xfId="47066"/>
    <cellStyle name="Обычный 7 124 9" xfId="47067"/>
    <cellStyle name="Процентный 7 124 9" xfId="47068"/>
    <cellStyle name="Обычный 4 3 116 9" xfId="47069"/>
    <cellStyle name="Процентный 4 3 116 9" xfId="47070"/>
    <cellStyle name="Обычный 5 3 116 9" xfId="47071"/>
    <cellStyle name="Процентный 5 3 116 9" xfId="47072"/>
    <cellStyle name="Обычный 4 2 2 116 9" xfId="47073"/>
    <cellStyle name="Процентный 4 2 2 116 9" xfId="47074"/>
    <cellStyle name="Обычный 5 2 2 116 9" xfId="47075"/>
    <cellStyle name="Процентный 5 2 2 116 9" xfId="47076"/>
    <cellStyle name="Обычный 6 2 116 9" xfId="47077"/>
    <cellStyle name="Процентный 6 2 116 9" xfId="47078"/>
    <cellStyle name="Обычный 7 2 116 9" xfId="47079"/>
    <cellStyle name="Процентный 7 2 116 9" xfId="47080"/>
    <cellStyle name="Обычный 8 112 9" xfId="47081"/>
    <cellStyle name="Процентный 8 112 9" xfId="47082"/>
    <cellStyle name="Обычный 9 78 9" xfId="47083"/>
    <cellStyle name="Процентный 9 79 9" xfId="47084"/>
    <cellStyle name="Обычный 10 71 9" xfId="47085"/>
    <cellStyle name="Процентный 10 71 9" xfId="47086"/>
    <cellStyle name="Обычный 11 59 9" xfId="47087"/>
    <cellStyle name="Процентный 11 59 9" xfId="47088"/>
    <cellStyle name="Обычный 4 171 9" xfId="47089"/>
    <cellStyle name="Процентный 4 171 9" xfId="47090"/>
    <cellStyle name="Обычный 5 164 9" xfId="47091"/>
    <cellStyle name="Процентный 5 164 9" xfId="47092"/>
    <cellStyle name="Обычный 4 2 158 9" xfId="47093"/>
    <cellStyle name="Процентный 4 2 158 9" xfId="47094"/>
    <cellStyle name="Обычный 5 2 158 9" xfId="47095"/>
    <cellStyle name="Процентный 5 2 158 9" xfId="47096"/>
    <cellStyle name="Обычный 6 155 9" xfId="47097"/>
    <cellStyle name="Процентный 6 155 9" xfId="47098"/>
    <cellStyle name="Обычный 7 125 9" xfId="47099"/>
    <cellStyle name="Процентный 7 125 9" xfId="47100"/>
    <cellStyle name="Обычный 4 3 117 9" xfId="47101"/>
    <cellStyle name="Процентный 4 3 117 9" xfId="47102"/>
    <cellStyle name="Обычный 5 3 117 9" xfId="47103"/>
    <cellStyle name="Процентный 5 3 117 9" xfId="47104"/>
    <cellStyle name="Обычный 4 2 2 117 9" xfId="47105"/>
    <cellStyle name="Процентный 4 2 2 117 9" xfId="47106"/>
    <cellStyle name="Обычный 5 2 2 117 9" xfId="47107"/>
    <cellStyle name="Процентный 5 2 2 117 9" xfId="47108"/>
    <cellStyle name="Обычный 6 2 117 9" xfId="47109"/>
    <cellStyle name="Процентный 6 2 117 9" xfId="47110"/>
    <cellStyle name="Обычный 7 2 117 9" xfId="47111"/>
    <cellStyle name="Процентный 7 2 117 9" xfId="47112"/>
    <cellStyle name="Обычный 8 113 9" xfId="47113"/>
    <cellStyle name="Процентный 8 113 9" xfId="47114"/>
    <cellStyle name="Обычный 9 79 9" xfId="47115"/>
    <cellStyle name="Процентный 9 80 9" xfId="47116"/>
    <cellStyle name="Обычный 10 72 9" xfId="47117"/>
    <cellStyle name="Процентный 10 72 9" xfId="47118"/>
    <cellStyle name="Обычный 11 60 9" xfId="47119"/>
    <cellStyle name="Процентный 11 60 9" xfId="47120"/>
    <cellStyle name="Обычный 4 172 9" xfId="47121"/>
    <cellStyle name="Процентный 4 172 9" xfId="47122"/>
    <cellStyle name="Обычный 5 165 9" xfId="47123"/>
    <cellStyle name="Процентный 5 165 9" xfId="47124"/>
    <cellStyle name="Обычный 4 2 159 9" xfId="47125"/>
    <cellStyle name="Процентный 4 2 159 9" xfId="47126"/>
    <cellStyle name="Обычный 5 2 159 9" xfId="47127"/>
    <cellStyle name="Процентный 5 2 159 9" xfId="47128"/>
    <cellStyle name="Обычный 6 156 9" xfId="47129"/>
    <cellStyle name="Процентный 6 156 9" xfId="47130"/>
    <cellStyle name="Обычный 7 126 9" xfId="47131"/>
    <cellStyle name="Процентный 7 126 9" xfId="47132"/>
    <cellStyle name="Обычный 4 3 118 9" xfId="47133"/>
    <cellStyle name="Процентный 4 3 118 9" xfId="47134"/>
    <cellStyle name="Обычный 5 3 118 9" xfId="47135"/>
    <cellStyle name="Процентный 5 3 118 9" xfId="47136"/>
    <cellStyle name="Обычный 4 2 2 118 9" xfId="47137"/>
    <cellStyle name="Процентный 4 2 2 118 9" xfId="47138"/>
    <cellStyle name="Обычный 5 2 2 118 9" xfId="47139"/>
    <cellStyle name="Процентный 5 2 2 118 9" xfId="47140"/>
    <cellStyle name="Обычный 6 2 118 9" xfId="47141"/>
    <cellStyle name="Процентный 6 2 118 9" xfId="47142"/>
    <cellStyle name="Обычный 7 2 118 9" xfId="47143"/>
    <cellStyle name="Процентный 7 2 118 9" xfId="47144"/>
    <cellStyle name="Обычный 8 114 9" xfId="47145"/>
    <cellStyle name="Процентный 8 114 9" xfId="47146"/>
    <cellStyle name="Обычный 9 80 9" xfId="47147"/>
    <cellStyle name="Процентный 9 81 9" xfId="47148"/>
    <cellStyle name="Обычный 10 73 9" xfId="47149"/>
    <cellStyle name="Процентный 10 73 9" xfId="47150"/>
    <cellStyle name="Обычный 11 61 9" xfId="47151"/>
    <cellStyle name="Процентный 11 61 9" xfId="47152"/>
    <cellStyle name="Обычный 4 173 9" xfId="47153"/>
    <cellStyle name="Процентный 4 173 9" xfId="47154"/>
    <cellStyle name="Обычный 5 166 9" xfId="47155"/>
    <cellStyle name="Процентный 5 166 9" xfId="47156"/>
    <cellStyle name="Обычный 4 2 160 9" xfId="47157"/>
    <cellStyle name="Процентный 4 2 160 9" xfId="47158"/>
    <cellStyle name="Обычный 5 2 160 9" xfId="47159"/>
    <cellStyle name="Процентный 5 2 160 9" xfId="47160"/>
    <cellStyle name="Обычный 6 157 9" xfId="47161"/>
    <cellStyle name="Процентный 6 157 9" xfId="47162"/>
    <cellStyle name="Обычный 7 127 9" xfId="47163"/>
    <cellStyle name="Процентный 7 127 9" xfId="47164"/>
    <cellStyle name="Обычный 4 3 119 9" xfId="47165"/>
    <cellStyle name="Процентный 4 3 119 9" xfId="47166"/>
    <cellStyle name="Обычный 5 3 119 9" xfId="47167"/>
    <cellStyle name="Процентный 5 3 119 9" xfId="47168"/>
    <cellStyle name="Обычный 4 2 2 119 9" xfId="47169"/>
    <cellStyle name="Процентный 4 2 2 119 9" xfId="47170"/>
    <cellStyle name="Обычный 5 2 2 119 9" xfId="47171"/>
    <cellStyle name="Процентный 5 2 2 119 9" xfId="47172"/>
    <cellStyle name="Обычный 6 2 119 9" xfId="47173"/>
    <cellStyle name="Процентный 6 2 119 9" xfId="47174"/>
    <cellStyle name="Обычный 7 2 119 9" xfId="47175"/>
    <cellStyle name="Процентный 7 2 119 9" xfId="47176"/>
    <cellStyle name="Обычный 8 115 9" xfId="47177"/>
    <cellStyle name="Процентный 8 115 9" xfId="47178"/>
    <cellStyle name="Обычный 9 81 9" xfId="47179"/>
    <cellStyle name="Процентный 9 82 9" xfId="47180"/>
    <cellStyle name="Обычный 10 74 9" xfId="47181"/>
    <cellStyle name="Процентный 10 74 9" xfId="47182"/>
    <cellStyle name="Обычный 11 62 9" xfId="47183"/>
    <cellStyle name="Процентный 11 62 9" xfId="47184"/>
    <cellStyle name="Обычный 4 174 9" xfId="47185"/>
    <cellStyle name="Процентный 4 174 9" xfId="47186"/>
    <cellStyle name="Обычный 5 167 9" xfId="47187"/>
    <cellStyle name="Процентный 5 167 9" xfId="47188"/>
    <cellStyle name="Обычный 4 2 161 9" xfId="47189"/>
    <cellStyle name="Процентный 4 2 161 9" xfId="47190"/>
    <cellStyle name="Обычный 5 2 161 9" xfId="47191"/>
    <cellStyle name="Процентный 5 2 161 9" xfId="47192"/>
    <cellStyle name="Обычный 6 158 9" xfId="47193"/>
    <cellStyle name="Процентный 6 158 9" xfId="47194"/>
    <cellStyle name="Обычный 7 128 9" xfId="47195"/>
    <cellStyle name="Процентный 7 128 9" xfId="47196"/>
    <cellStyle name="Обычный 4 3 120 9" xfId="47197"/>
    <cellStyle name="Процентный 4 3 120 9" xfId="47198"/>
    <cellStyle name="Обычный 5 3 120 9" xfId="47199"/>
    <cellStyle name="Процентный 5 3 120 9" xfId="47200"/>
    <cellStyle name="Обычный 4 2 2 120 9" xfId="47201"/>
    <cellStyle name="Процентный 4 2 2 120 9" xfId="47202"/>
    <cellStyle name="Обычный 5 2 2 120 9" xfId="47203"/>
    <cellStyle name="Процентный 5 2 2 120 9" xfId="47204"/>
    <cellStyle name="Обычный 6 2 120 9" xfId="47205"/>
    <cellStyle name="Процентный 6 2 120 9" xfId="47206"/>
    <cellStyle name="Обычный 7 2 120 9" xfId="47207"/>
    <cellStyle name="Процентный 7 2 120 9" xfId="47208"/>
    <cellStyle name="Обычный 8 116 9" xfId="47209"/>
    <cellStyle name="Процентный 8 116 9" xfId="47210"/>
    <cellStyle name="Обычный 9 82 9" xfId="47211"/>
    <cellStyle name="Процентный 9 83 9" xfId="47212"/>
    <cellStyle name="Обычный 10 75 9" xfId="47213"/>
    <cellStyle name="Процентный 10 75 9" xfId="47214"/>
    <cellStyle name="Обычный 11 63 9" xfId="47215"/>
    <cellStyle name="Процентный 11 63 9" xfId="47216"/>
    <cellStyle name="Обычный 4 175 9" xfId="47217"/>
    <cellStyle name="Процентный 4 175 9" xfId="47218"/>
    <cellStyle name="Обычный 5 168 9" xfId="47219"/>
    <cellStyle name="Процентный 5 168 9" xfId="47220"/>
    <cellStyle name="Обычный 4 2 162 9" xfId="47221"/>
    <cellStyle name="Процентный 4 2 162 9" xfId="47222"/>
    <cellStyle name="Обычный 5 2 162 9" xfId="47223"/>
    <cellStyle name="Процентный 5 2 162 9" xfId="47224"/>
    <cellStyle name="Обычный 6 159 9" xfId="47225"/>
    <cellStyle name="Процентный 6 159 9" xfId="47226"/>
    <cellStyle name="Обычный 7 129 9" xfId="47227"/>
    <cellStyle name="Процентный 7 129 9" xfId="47228"/>
    <cellStyle name="Обычный 4 3 121 9" xfId="47229"/>
    <cellStyle name="Процентный 4 3 121 9" xfId="47230"/>
    <cellStyle name="Обычный 5 3 121 9" xfId="47231"/>
    <cellStyle name="Процентный 5 3 121 9" xfId="47232"/>
    <cellStyle name="Обычный 4 2 2 121 9" xfId="47233"/>
    <cellStyle name="Процентный 4 2 2 121 9" xfId="47234"/>
    <cellStyle name="Обычный 5 2 2 121 9" xfId="47235"/>
    <cellStyle name="Процентный 5 2 2 121 9" xfId="47236"/>
    <cellStyle name="Обычный 6 2 121 9" xfId="47237"/>
    <cellStyle name="Процентный 6 2 121 9" xfId="47238"/>
    <cellStyle name="Обычный 7 2 121 9" xfId="47239"/>
    <cellStyle name="Процентный 7 2 121 9" xfId="47240"/>
    <cellStyle name="Обычный 8 117 9" xfId="47241"/>
    <cellStyle name="Процентный 8 117 9" xfId="47242"/>
    <cellStyle name="Обычный 9 83 9" xfId="47243"/>
    <cellStyle name="Процентный 9 84 9" xfId="47244"/>
    <cellStyle name="Обычный 10 76 9" xfId="47245"/>
    <cellStyle name="Процентный 10 76 9" xfId="47246"/>
    <cellStyle name="Обычный 11 64 9" xfId="47247"/>
    <cellStyle name="Процентный 11 64 9" xfId="47248"/>
    <cellStyle name="Обычный 4 176 9" xfId="47249"/>
    <cellStyle name="Процентный 4 176 9" xfId="47250"/>
    <cellStyle name="Обычный 5 169 9" xfId="47251"/>
    <cellStyle name="Процентный 5 169 9" xfId="47252"/>
    <cellStyle name="Обычный 4 2 163 9" xfId="47253"/>
    <cellStyle name="Процентный 4 2 163 9" xfId="47254"/>
    <cellStyle name="Обычный 5 2 163 9" xfId="47255"/>
    <cellStyle name="Процентный 5 2 163 9" xfId="47256"/>
    <cellStyle name="Обычный 6 160 9" xfId="47257"/>
    <cellStyle name="Процентный 6 160 9" xfId="47258"/>
    <cellStyle name="Обычный 7 130 9" xfId="47259"/>
    <cellStyle name="Процентный 7 130 9" xfId="47260"/>
    <cellStyle name="Обычный 4 3 122 9" xfId="47261"/>
    <cellStyle name="Процентный 4 3 122 9" xfId="47262"/>
    <cellStyle name="Обычный 5 3 122 9" xfId="47263"/>
    <cellStyle name="Процентный 5 3 122 9" xfId="47264"/>
    <cellStyle name="Обычный 4 2 2 122 9" xfId="47265"/>
    <cellStyle name="Процентный 4 2 2 122 9" xfId="47266"/>
    <cellStyle name="Обычный 5 2 2 122 9" xfId="47267"/>
    <cellStyle name="Процентный 5 2 2 122 9" xfId="47268"/>
    <cellStyle name="Обычный 6 2 122 9" xfId="47269"/>
    <cellStyle name="Процентный 6 2 122 9" xfId="47270"/>
    <cellStyle name="Обычный 7 2 122 9" xfId="47271"/>
    <cellStyle name="Процентный 7 2 122 9" xfId="47272"/>
    <cellStyle name="Обычный 8 118 9" xfId="47273"/>
    <cellStyle name="Процентный 8 118 9" xfId="47274"/>
    <cellStyle name="Обычный 9 84 9" xfId="47275"/>
    <cellStyle name="Процентный 9 85 9" xfId="47276"/>
    <cellStyle name="Обычный 10 77 9" xfId="47277"/>
    <cellStyle name="Процентный 10 77 9" xfId="47278"/>
    <cellStyle name="Обычный 11 65 9" xfId="47279"/>
    <cellStyle name="Процентный 11 65 9" xfId="47280"/>
    <cellStyle name="Обычный 4 177 9" xfId="47281"/>
    <cellStyle name="Процентный 4 177 9" xfId="47282"/>
    <cellStyle name="Обычный 5 170 9" xfId="47283"/>
    <cellStyle name="Процентный 5 170 9" xfId="47284"/>
    <cellStyle name="Обычный 4 2 164 9" xfId="47285"/>
    <cellStyle name="Процентный 4 2 164 9" xfId="47286"/>
    <cellStyle name="Обычный 5 2 164 9" xfId="47287"/>
    <cellStyle name="Процентный 5 2 164 9" xfId="47288"/>
    <cellStyle name="Обычный 6 161 9" xfId="47289"/>
    <cellStyle name="Процентный 6 161 9" xfId="47290"/>
    <cellStyle name="Обычный 7 131 9" xfId="47291"/>
    <cellStyle name="Процентный 7 131 9" xfId="47292"/>
    <cellStyle name="Обычный 4 3 123 9" xfId="47293"/>
    <cellStyle name="Процентный 4 3 123 9" xfId="47294"/>
    <cellStyle name="Обычный 5 3 123 9" xfId="47295"/>
    <cellStyle name="Процентный 5 3 123 9" xfId="47296"/>
    <cellStyle name="Обычный 4 2 2 123 9" xfId="47297"/>
    <cellStyle name="Процентный 4 2 2 123 9" xfId="47298"/>
    <cellStyle name="Обычный 5 2 2 123 9" xfId="47299"/>
    <cellStyle name="Процентный 5 2 2 123 9" xfId="47300"/>
    <cellStyle name="Обычный 6 2 123 9" xfId="47301"/>
    <cellStyle name="Процентный 6 2 123 9" xfId="47302"/>
    <cellStyle name="Обычный 7 2 123 9" xfId="47303"/>
    <cellStyle name="Процентный 7 2 123 9" xfId="47304"/>
    <cellStyle name="Обычный 8 119 9" xfId="47305"/>
    <cellStyle name="Процентный 8 119 9" xfId="47306"/>
    <cellStyle name="Обычный 9 85 9" xfId="47307"/>
    <cellStyle name="Процентный 9 86 9" xfId="47308"/>
    <cellStyle name="Обычный 10 78 9" xfId="47309"/>
    <cellStyle name="Процентный 10 78 9" xfId="47310"/>
    <cellStyle name="Обычный 11 66 9" xfId="47311"/>
    <cellStyle name="Процентный 11 66 9" xfId="47312"/>
    <cellStyle name="Обычный 4 178 9" xfId="47313"/>
    <cellStyle name="Процентный 4 178 9" xfId="47314"/>
    <cellStyle name="Обычный 5 171 9" xfId="47315"/>
    <cellStyle name="Процентный 5 171 9" xfId="47316"/>
    <cellStyle name="Обычный 4 2 165 9" xfId="47317"/>
    <cellStyle name="Процентный 4 2 165 9" xfId="47318"/>
    <cellStyle name="Обычный 5 2 165 9" xfId="47319"/>
    <cellStyle name="Процентный 5 2 165 9" xfId="47320"/>
    <cellStyle name="Обычный 6 162 9" xfId="47321"/>
    <cellStyle name="Процентный 6 162 9" xfId="47322"/>
    <cellStyle name="Обычный 7 132 9" xfId="47323"/>
    <cellStyle name="Процентный 7 132 9" xfId="47324"/>
    <cellStyle name="Обычный 4 3 124 9" xfId="47325"/>
    <cellStyle name="Процентный 4 3 124 9" xfId="47326"/>
    <cellStyle name="Обычный 5 3 124 9" xfId="47327"/>
    <cellStyle name="Процентный 5 3 124 9" xfId="47328"/>
    <cellStyle name="Обычный 4 2 2 124 9" xfId="47329"/>
    <cellStyle name="Процентный 4 2 2 124 9" xfId="47330"/>
    <cellStyle name="Обычный 5 2 2 124 9" xfId="47331"/>
    <cellStyle name="Процентный 5 2 2 124 9" xfId="47332"/>
    <cellStyle name="Обычный 6 2 124 9" xfId="47333"/>
    <cellStyle name="Процентный 6 2 124 9" xfId="47334"/>
    <cellStyle name="Обычный 7 2 124 9" xfId="47335"/>
    <cellStyle name="Процентный 7 2 124 9" xfId="47336"/>
    <cellStyle name="Обычный 8 120 9" xfId="47337"/>
    <cellStyle name="Процентный 8 120 9" xfId="47338"/>
    <cellStyle name="Обычный 9 86 9" xfId="47339"/>
    <cellStyle name="Процентный 9 87 9" xfId="47340"/>
    <cellStyle name="Обычный 10 79 9" xfId="47341"/>
    <cellStyle name="Процентный 10 79 9" xfId="47342"/>
    <cellStyle name="Обычный 11 67 9" xfId="47343"/>
    <cellStyle name="Процентный 11 67 9" xfId="47344"/>
    <cellStyle name="Обычный 4 179 9" xfId="47345"/>
    <cellStyle name="Процентный 4 179 9" xfId="47346"/>
    <cellStyle name="Обычный 5 172 9" xfId="47347"/>
    <cellStyle name="Процентный 5 172 9" xfId="47348"/>
    <cellStyle name="Обычный 4 2 166 9" xfId="47349"/>
    <cellStyle name="Процентный 4 2 166 9" xfId="47350"/>
    <cellStyle name="Обычный 5 2 166 9" xfId="47351"/>
    <cellStyle name="Процентный 5 2 166 9" xfId="47352"/>
    <cellStyle name="Обычный 6 163 9" xfId="47353"/>
    <cellStyle name="Процентный 6 163 9" xfId="47354"/>
    <cellStyle name="Обычный 7 133 9" xfId="47355"/>
    <cellStyle name="Процентный 7 133 9" xfId="47356"/>
    <cellStyle name="Обычный 4 3 125 9" xfId="47357"/>
    <cellStyle name="Процентный 4 3 125 9" xfId="47358"/>
    <cellStyle name="Обычный 5 3 125 9" xfId="47359"/>
    <cellStyle name="Процентный 5 3 125 9" xfId="47360"/>
    <cellStyle name="Обычный 4 2 2 125 9" xfId="47361"/>
    <cellStyle name="Процентный 4 2 2 125 9" xfId="47362"/>
    <cellStyle name="Обычный 5 2 2 125 9" xfId="47363"/>
    <cellStyle name="Процентный 5 2 2 125 9" xfId="47364"/>
    <cellStyle name="Обычный 6 2 125 9" xfId="47365"/>
    <cellStyle name="Процентный 6 2 125 9" xfId="47366"/>
    <cellStyle name="Обычный 7 2 125 9" xfId="47367"/>
    <cellStyle name="Процентный 7 2 125 9" xfId="47368"/>
    <cellStyle name="Обычный 8 121 9" xfId="47369"/>
    <cellStyle name="Процентный 8 121 9" xfId="47370"/>
    <cellStyle name="Обычный 9 87 9" xfId="47371"/>
    <cellStyle name="Процентный 9 88 9" xfId="47372"/>
    <cellStyle name="Обычный 10 80 9" xfId="47373"/>
    <cellStyle name="Процентный 10 80 9" xfId="47374"/>
    <cellStyle name="Обычный 11 68 9" xfId="47375"/>
    <cellStyle name="Процентный 11 68 9" xfId="47376"/>
    <cellStyle name="Обычный 4 180 9" xfId="47377"/>
    <cellStyle name="Процентный 4 180 9" xfId="47378"/>
    <cellStyle name="Обычный 5 173 9" xfId="47379"/>
    <cellStyle name="Процентный 5 173 9" xfId="47380"/>
    <cellStyle name="Обычный 4 2 167 9" xfId="47381"/>
    <cellStyle name="Процентный 4 2 167 9" xfId="47382"/>
    <cellStyle name="Обычный 5 2 167 9" xfId="47383"/>
    <cellStyle name="Процентный 5 2 167 9" xfId="47384"/>
    <cellStyle name="Обычный 6 164 9" xfId="47385"/>
    <cellStyle name="Процентный 6 164 9" xfId="47386"/>
    <cellStyle name="Обычный 7 134 9" xfId="47387"/>
    <cellStyle name="Процентный 7 134 9" xfId="47388"/>
    <cellStyle name="Обычный 4 3 126 9" xfId="47389"/>
    <cellStyle name="Процентный 4 3 126 9" xfId="47390"/>
    <cellStyle name="Обычный 5 3 126 9" xfId="47391"/>
    <cellStyle name="Процентный 5 3 126 9" xfId="47392"/>
    <cellStyle name="Обычный 4 2 2 126 9" xfId="47393"/>
    <cellStyle name="Процентный 4 2 2 126 9" xfId="47394"/>
    <cellStyle name="Обычный 5 2 2 126 9" xfId="47395"/>
    <cellStyle name="Процентный 5 2 2 126 9" xfId="47396"/>
    <cellStyle name="Обычный 6 2 126 9" xfId="47397"/>
    <cellStyle name="Процентный 6 2 126 9" xfId="47398"/>
    <cellStyle name="Обычный 7 2 126 9" xfId="47399"/>
    <cellStyle name="Процентный 7 2 126 9" xfId="47400"/>
    <cellStyle name="Обычный 8 122 9" xfId="47401"/>
    <cellStyle name="Процентный 8 122 9" xfId="47402"/>
    <cellStyle name="Обычный 9 88 9" xfId="47403"/>
    <cellStyle name="Процентный 9 89 9" xfId="47404"/>
    <cellStyle name="Обычный 10 81 9" xfId="47405"/>
    <cellStyle name="Процентный 10 81 9" xfId="47406"/>
    <cellStyle name="Обычный 11 69 9" xfId="47407"/>
    <cellStyle name="Процентный 11 69 9" xfId="47408"/>
    <cellStyle name="Обычный 4 181 9" xfId="47409"/>
    <cellStyle name="Процентный 4 181 9" xfId="47410"/>
    <cellStyle name="Обычный 5 174 9" xfId="47411"/>
    <cellStyle name="Процентный 5 174 9" xfId="47412"/>
    <cellStyle name="Обычный 4 2 168 9" xfId="47413"/>
    <cellStyle name="Процентный 4 2 168 9" xfId="47414"/>
    <cellStyle name="Обычный 5 2 168 9" xfId="47415"/>
    <cellStyle name="Процентный 5 2 168 9" xfId="47416"/>
    <cellStyle name="Обычный 6 165 9" xfId="47417"/>
    <cellStyle name="Процентный 6 165 9" xfId="47418"/>
    <cellStyle name="Обычный 7 135 9" xfId="47419"/>
    <cellStyle name="Процентный 7 135 9" xfId="47420"/>
    <cellStyle name="Обычный 4 3 127 9" xfId="47421"/>
    <cellStyle name="Процентный 4 3 127 9" xfId="47422"/>
    <cellStyle name="Обычный 5 3 127 9" xfId="47423"/>
    <cellStyle name="Процентный 5 3 127 9" xfId="47424"/>
    <cellStyle name="Обычный 4 2 2 127 9" xfId="47425"/>
    <cellStyle name="Процентный 4 2 2 127 9" xfId="47426"/>
    <cellStyle name="Обычный 5 2 2 127 9" xfId="47427"/>
    <cellStyle name="Процентный 5 2 2 127 9" xfId="47428"/>
    <cellStyle name="Обычный 6 2 127 9" xfId="47429"/>
    <cellStyle name="Процентный 6 2 127 9" xfId="47430"/>
    <cellStyle name="Обычный 7 2 127 9" xfId="47431"/>
    <cellStyle name="Процентный 7 2 127 9" xfId="47432"/>
    <cellStyle name="Обычный 8 123 9" xfId="47433"/>
    <cellStyle name="Процентный 8 123 9" xfId="47434"/>
    <cellStyle name="Обычный 9 89 9" xfId="47435"/>
    <cellStyle name="Процентный 9 90 9" xfId="47436"/>
    <cellStyle name="Обычный 10 82 9" xfId="47437"/>
    <cellStyle name="Процентный 10 82 9" xfId="47438"/>
    <cellStyle name="Обычный 11 70 9" xfId="47439"/>
    <cellStyle name="Процентный 11 70 9" xfId="47440"/>
    <cellStyle name="Обычный 14 9" xfId="47441"/>
    <cellStyle name="Процентный 14 9" xfId="47442"/>
    <cellStyle name="Обычный 4 182 9" xfId="47443"/>
    <cellStyle name="Процентный 4 182 9" xfId="47444"/>
    <cellStyle name="Обычный 5 175 9" xfId="47445"/>
    <cellStyle name="Процентный 5 175 9" xfId="47446"/>
    <cellStyle name="Обычный 4 2 169 9" xfId="47447"/>
    <cellStyle name="Процентный 4 2 169 9" xfId="47448"/>
    <cellStyle name="Обычный 5 2 169 9" xfId="47449"/>
    <cellStyle name="Процентный 5 2 169 9" xfId="47450"/>
    <cellStyle name="Обычный 6 166 9" xfId="47451"/>
    <cellStyle name="Процентный 6 166 9" xfId="47452"/>
    <cellStyle name="Обычный 7 136 9" xfId="47453"/>
    <cellStyle name="Процентный 7 136 9" xfId="47454"/>
    <cellStyle name="Обычный 4 3 128 9" xfId="47455"/>
    <cellStyle name="Процентный 4 3 128 9" xfId="47456"/>
    <cellStyle name="Обычный 5 3 128 9" xfId="47457"/>
    <cellStyle name="Процентный 5 3 128 9" xfId="47458"/>
    <cellStyle name="Обычный 4 2 2 128 9" xfId="47459"/>
    <cellStyle name="Процентный 4 2 2 128 9" xfId="47460"/>
    <cellStyle name="Обычный 5 2 2 128 9" xfId="47461"/>
    <cellStyle name="Процентный 5 2 2 128 9" xfId="47462"/>
    <cellStyle name="Обычный 6 2 128 9" xfId="47463"/>
    <cellStyle name="Процентный 6 2 128 9" xfId="47464"/>
    <cellStyle name="Обычный 7 2 128 9" xfId="47465"/>
    <cellStyle name="Процентный 7 2 128 9" xfId="47466"/>
    <cellStyle name="Обычный 8 124 9" xfId="47467"/>
    <cellStyle name="Процентный 8 124 9" xfId="47468"/>
    <cellStyle name="Обычный 9 90 9" xfId="47469"/>
    <cellStyle name="Процентный 9 91 9" xfId="47470"/>
    <cellStyle name="Обычный 10 83 9" xfId="47471"/>
    <cellStyle name="Процентный 10 83 9" xfId="47472"/>
    <cellStyle name="Обычный 11 71 9" xfId="47473"/>
    <cellStyle name="Процентный 11 71 9" xfId="47474"/>
    <cellStyle name="Обычный 4 183 9" xfId="47475"/>
    <cellStyle name="Процентный 4 183 9" xfId="47476"/>
    <cellStyle name="Обычный 5 176 9" xfId="47477"/>
    <cellStyle name="Процентный 5 176 9" xfId="47478"/>
    <cellStyle name="Обычный 4 2 170 9" xfId="47479"/>
    <cellStyle name="Процентный 4 2 170 9" xfId="47480"/>
    <cellStyle name="Обычный 5 2 170 9" xfId="47481"/>
    <cellStyle name="Процентный 5 2 170 9" xfId="47482"/>
    <cellStyle name="Обычный 6 167 9" xfId="47483"/>
    <cellStyle name="Процентный 6 167 9" xfId="47484"/>
    <cellStyle name="Обычный 7 137 9" xfId="47485"/>
    <cellStyle name="Процентный 7 137 9" xfId="47486"/>
    <cellStyle name="Обычный 4 3 129 9" xfId="47487"/>
    <cellStyle name="Процентный 4 3 129 9" xfId="47488"/>
    <cellStyle name="Обычный 5 3 129 9" xfId="47489"/>
    <cellStyle name="Процентный 5 3 129 9" xfId="47490"/>
    <cellStyle name="Обычный 4 2 2 129 9" xfId="47491"/>
    <cellStyle name="Процентный 4 2 2 129 9" xfId="47492"/>
    <cellStyle name="Обычный 5 2 2 129 9" xfId="47493"/>
    <cellStyle name="Процентный 5 2 2 129 9" xfId="47494"/>
    <cellStyle name="Обычный 6 2 129 9" xfId="47495"/>
    <cellStyle name="Процентный 6 2 129 9" xfId="47496"/>
    <cellStyle name="Обычный 7 2 129 9" xfId="47497"/>
    <cellStyle name="Процентный 7 2 129 9" xfId="47498"/>
    <cellStyle name="Обычный 8 125 9" xfId="47499"/>
    <cellStyle name="Процентный 8 125 9" xfId="47500"/>
    <cellStyle name="Обычный 9 91 9" xfId="47501"/>
    <cellStyle name="Процентный 9 92 9" xfId="47502"/>
    <cellStyle name="Обычный 10 84 9" xfId="47503"/>
    <cellStyle name="Процентный 10 84 9" xfId="47504"/>
    <cellStyle name="Обычный 11 72 9" xfId="47505"/>
    <cellStyle name="Процентный 11 72 9" xfId="47506"/>
    <cellStyle name="Обычный 4 184 9" xfId="47507"/>
    <cellStyle name="Процентный 4 184 9" xfId="47508"/>
    <cellStyle name="Обычный 5 177 9" xfId="47509"/>
    <cellStyle name="Процентный 5 177 9" xfId="47510"/>
    <cellStyle name="Обычный 4 2 171 9" xfId="47511"/>
    <cellStyle name="Процентный 4 2 171 9" xfId="47512"/>
    <cellStyle name="Обычный 5 2 171 9" xfId="47513"/>
    <cellStyle name="Процентный 5 2 171 9" xfId="47514"/>
    <cellStyle name="Обычный 6 168 9" xfId="47515"/>
    <cellStyle name="Процентный 6 168 9" xfId="47516"/>
    <cellStyle name="Обычный 7 138 9" xfId="47517"/>
    <cellStyle name="Процентный 7 138 9" xfId="47518"/>
    <cellStyle name="Обычный 4 3 130 9" xfId="47519"/>
    <cellStyle name="Процентный 4 3 130 9" xfId="47520"/>
    <cellStyle name="Обычный 5 3 130 9" xfId="47521"/>
    <cellStyle name="Процентный 5 3 130 9" xfId="47522"/>
    <cellStyle name="Обычный 4 2 2 130 9" xfId="47523"/>
    <cellStyle name="Процентный 4 2 2 130 9" xfId="47524"/>
    <cellStyle name="Обычный 5 2 2 130 9" xfId="47525"/>
    <cellStyle name="Процентный 5 2 2 130 9" xfId="47526"/>
    <cellStyle name="Обычный 6 2 130 9" xfId="47527"/>
    <cellStyle name="Процентный 6 2 130 9" xfId="47528"/>
    <cellStyle name="Обычный 7 2 130 9" xfId="47529"/>
    <cellStyle name="Процентный 7 2 130 9" xfId="47530"/>
    <cellStyle name="Обычный 8 126 9" xfId="47531"/>
    <cellStyle name="Процентный 8 126 9" xfId="47532"/>
    <cellStyle name="Обычный 9 92 9" xfId="47533"/>
    <cellStyle name="Процентный 9 93 9" xfId="47534"/>
    <cellStyle name="Обычный 10 85 9" xfId="47535"/>
    <cellStyle name="Процентный 10 85 9" xfId="47536"/>
    <cellStyle name="Обычный 11 73 9" xfId="47537"/>
    <cellStyle name="Процентный 11 73 9" xfId="47538"/>
    <cellStyle name="Обычный 4 185 9" xfId="47539"/>
    <cellStyle name="Процентный 4 185 9" xfId="47540"/>
    <cellStyle name="Обычный 5 178 9" xfId="47541"/>
    <cellStyle name="Процентный 5 178 9" xfId="47542"/>
    <cellStyle name="Обычный 4 2 172 9" xfId="47543"/>
    <cellStyle name="Процентный 4 2 172 9" xfId="47544"/>
    <cellStyle name="Обычный 5 2 172 9" xfId="47545"/>
    <cellStyle name="Процентный 5 2 172 9" xfId="47546"/>
    <cellStyle name="Обычный 6 169 9" xfId="47547"/>
    <cellStyle name="Процентный 6 169 9" xfId="47548"/>
    <cellStyle name="Обычный 7 139 9" xfId="47549"/>
    <cellStyle name="Процентный 7 139 9" xfId="47550"/>
    <cellStyle name="Обычный 4 3 131 9" xfId="47551"/>
    <cellStyle name="Процентный 4 3 131 9" xfId="47552"/>
    <cellStyle name="Обычный 5 3 131 9" xfId="47553"/>
    <cellStyle name="Процентный 5 3 131 9" xfId="47554"/>
    <cellStyle name="Обычный 4 2 2 131 9" xfId="47555"/>
    <cellStyle name="Процентный 4 2 2 131 9" xfId="47556"/>
    <cellStyle name="Обычный 5 2 2 131 9" xfId="47557"/>
    <cellStyle name="Процентный 5 2 2 131 9" xfId="47558"/>
    <cellStyle name="Обычный 6 2 131 9" xfId="47559"/>
    <cellStyle name="Процентный 6 2 131 9" xfId="47560"/>
    <cellStyle name="Обычный 7 2 131 9" xfId="47561"/>
    <cellStyle name="Процентный 7 2 131 9" xfId="47562"/>
    <cellStyle name="Обычный 8 127 9" xfId="47563"/>
    <cellStyle name="Процентный 8 127 9" xfId="47564"/>
    <cellStyle name="Обычный 9 93 9" xfId="47565"/>
    <cellStyle name="Процентный 9 94 9" xfId="47566"/>
    <cellStyle name="Обычный 10 86 9" xfId="47567"/>
    <cellStyle name="Процентный 10 86 9" xfId="47568"/>
    <cellStyle name="Обычный 11 74 9" xfId="47569"/>
    <cellStyle name="Процентный 11 74 9" xfId="47570"/>
    <cellStyle name="Обычный 4 186 9" xfId="47571"/>
    <cellStyle name="Процентный 4 186 9" xfId="47572"/>
    <cellStyle name="Обычный 5 179 9" xfId="47573"/>
    <cellStyle name="Процентный 5 179 9" xfId="47574"/>
    <cellStyle name="Обычный 4 2 173 9" xfId="47575"/>
    <cellStyle name="Процентный 4 2 173 9" xfId="47576"/>
    <cellStyle name="Обычный 5 2 173 9" xfId="47577"/>
    <cellStyle name="Процентный 5 2 173 9" xfId="47578"/>
    <cellStyle name="Обычный 6 170 9" xfId="47579"/>
    <cellStyle name="Процентный 6 170 9" xfId="47580"/>
    <cellStyle name="Обычный 7 140 9" xfId="47581"/>
    <cellStyle name="Процентный 7 140 9" xfId="47582"/>
    <cellStyle name="Обычный 4 3 132 9" xfId="47583"/>
    <cellStyle name="Процентный 4 3 132 9" xfId="47584"/>
    <cellStyle name="Обычный 5 3 132 9" xfId="47585"/>
    <cellStyle name="Процентный 5 3 132 9" xfId="47586"/>
    <cellStyle name="Обычный 4 2 2 132 9" xfId="47587"/>
    <cellStyle name="Процентный 4 2 2 132 9" xfId="47588"/>
    <cellStyle name="Обычный 5 2 2 132 9" xfId="47589"/>
    <cellStyle name="Процентный 5 2 2 132 9" xfId="47590"/>
    <cellStyle name="Обычный 6 2 132 9" xfId="47591"/>
    <cellStyle name="Процентный 6 2 132 9" xfId="47592"/>
    <cellStyle name="Обычный 7 2 132 9" xfId="47593"/>
    <cellStyle name="Процентный 7 2 132 9" xfId="47594"/>
    <cellStyle name="Обычный 8 128 9" xfId="47595"/>
    <cellStyle name="Процентный 8 128 9" xfId="47596"/>
    <cellStyle name="Обычный 9 94 9" xfId="47597"/>
    <cellStyle name="Процентный 9 95 9" xfId="47598"/>
    <cellStyle name="Обычный 10 87 9" xfId="47599"/>
    <cellStyle name="Процентный 10 87 9" xfId="47600"/>
    <cellStyle name="Обычный 11 75 9" xfId="47601"/>
    <cellStyle name="Процентный 11 75 9" xfId="47602"/>
    <cellStyle name="Обычный 4 187 9" xfId="47603"/>
    <cellStyle name="Процентный 4 187 9" xfId="47604"/>
    <cellStyle name="Обычный 5 180 9" xfId="47605"/>
    <cellStyle name="Процентный 5 180 9" xfId="47606"/>
    <cellStyle name="Обычный 4 2 174 9" xfId="47607"/>
    <cellStyle name="Процентный 4 2 174 9" xfId="47608"/>
    <cellStyle name="Обычный 5 2 174 9" xfId="47609"/>
    <cellStyle name="Процентный 5 2 174 9" xfId="47610"/>
    <cellStyle name="Обычный 6 171 9" xfId="47611"/>
    <cellStyle name="Процентный 6 171 9" xfId="47612"/>
    <cellStyle name="Обычный 7 141 9" xfId="47613"/>
    <cellStyle name="Процентный 7 141 9" xfId="47614"/>
    <cellStyle name="Обычный 4 3 133 9" xfId="47615"/>
    <cellStyle name="Процентный 4 3 133 9" xfId="47616"/>
    <cellStyle name="Обычный 5 3 133 9" xfId="47617"/>
    <cellStyle name="Процентный 5 3 133 9" xfId="47618"/>
    <cellStyle name="Обычный 4 2 2 133 9" xfId="47619"/>
    <cellStyle name="Процентный 4 2 2 133 9" xfId="47620"/>
    <cellStyle name="Обычный 5 2 2 133 9" xfId="47621"/>
    <cellStyle name="Процентный 5 2 2 133 9" xfId="47622"/>
    <cellStyle name="Обычный 6 2 133 9" xfId="47623"/>
    <cellStyle name="Процентный 6 2 133 9" xfId="47624"/>
    <cellStyle name="Обычный 7 2 133 9" xfId="47625"/>
    <cellStyle name="Процентный 7 2 133 9" xfId="47626"/>
    <cellStyle name="Обычный 8 129 9" xfId="47627"/>
    <cellStyle name="Процентный 8 129 9" xfId="47628"/>
    <cellStyle name="Обычный 9 95 9" xfId="47629"/>
    <cellStyle name="Процентный 9 96 9" xfId="47630"/>
    <cellStyle name="Обычный 10 88 9" xfId="47631"/>
    <cellStyle name="Процентный 10 88 9" xfId="47632"/>
    <cellStyle name="Обычный 11 76 9" xfId="47633"/>
    <cellStyle name="Процентный 11 76 9" xfId="47634"/>
    <cellStyle name="Обычный 4 188 9" xfId="47635"/>
    <cellStyle name="Процентный 4 188 9" xfId="47636"/>
    <cellStyle name="Обычный 5 181 9" xfId="47637"/>
    <cellStyle name="Процентный 5 181 9" xfId="47638"/>
    <cellStyle name="Обычный 4 2 175 9" xfId="47639"/>
    <cellStyle name="Процентный 4 2 175 9" xfId="47640"/>
    <cellStyle name="Обычный 5 2 175 9" xfId="47641"/>
    <cellStyle name="Процентный 5 2 175 9" xfId="47642"/>
    <cellStyle name="Обычный 6 172 9" xfId="47643"/>
    <cellStyle name="Процентный 6 172 9" xfId="47644"/>
    <cellStyle name="Обычный 7 142 9" xfId="47645"/>
    <cellStyle name="Процентный 7 142 9" xfId="47646"/>
    <cellStyle name="Обычный 4 3 134 9" xfId="47647"/>
    <cellStyle name="Процентный 4 3 134 9" xfId="47648"/>
    <cellStyle name="Обычный 5 3 134 9" xfId="47649"/>
    <cellStyle name="Процентный 5 3 134 9" xfId="47650"/>
    <cellStyle name="Обычный 4 2 2 134 9" xfId="47651"/>
    <cellStyle name="Процентный 4 2 2 134 9" xfId="47652"/>
    <cellStyle name="Обычный 5 2 2 134 9" xfId="47653"/>
    <cellStyle name="Процентный 5 2 2 134 9" xfId="47654"/>
    <cellStyle name="Обычный 6 2 134 9" xfId="47655"/>
    <cellStyle name="Процентный 6 2 134 9" xfId="47656"/>
    <cellStyle name="Обычный 7 2 134 9" xfId="47657"/>
    <cellStyle name="Процентный 7 2 134 9" xfId="47658"/>
    <cellStyle name="Обычный 8 130 9" xfId="47659"/>
    <cellStyle name="Процентный 8 130 9" xfId="47660"/>
    <cellStyle name="Обычный 9 96 9" xfId="47661"/>
    <cellStyle name="Процентный 9 97 9" xfId="47662"/>
    <cellStyle name="Обычный 10 89 9" xfId="47663"/>
    <cellStyle name="Процентный 10 89 9" xfId="47664"/>
    <cellStyle name="Обычный 11 77 9" xfId="47665"/>
    <cellStyle name="Процентный 11 77 9" xfId="47666"/>
    <cellStyle name="Обычный 4 189 9" xfId="47667"/>
    <cellStyle name="Процентный 4 189 9" xfId="47668"/>
    <cellStyle name="Обычный 5 182 9" xfId="47669"/>
    <cellStyle name="Процентный 5 182 9" xfId="47670"/>
    <cellStyle name="Обычный 4 2 176 9" xfId="47671"/>
    <cellStyle name="Процентный 4 2 176 9" xfId="47672"/>
    <cellStyle name="Обычный 5 2 176 9" xfId="47673"/>
    <cellStyle name="Процентный 5 2 176 9" xfId="47674"/>
    <cellStyle name="Обычный 6 173 9" xfId="47675"/>
    <cellStyle name="Процентный 6 173 9" xfId="47676"/>
    <cellStyle name="Обычный 7 143 9" xfId="47677"/>
    <cellStyle name="Процентный 7 143 9" xfId="47678"/>
    <cellStyle name="Обычный 4 3 135 9" xfId="47679"/>
    <cellStyle name="Процентный 4 3 135 9" xfId="47680"/>
    <cellStyle name="Обычный 5 3 135 9" xfId="47681"/>
    <cellStyle name="Процентный 5 3 135 9" xfId="47682"/>
    <cellStyle name="Обычный 4 2 2 135 9" xfId="47683"/>
    <cellStyle name="Процентный 4 2 2 135 9" xfId="47684"/>
    <cellStyle name="Обычный 5 2 2 135 9" xfId="47685"/>
    <cellStyle name="Процентный 5 2 2 135 9" xfId="47686"/>
    <cellStyle name="Обычный 6 2 135 9" xfId="47687"/>
    <cellStyle name="Процентный 6 2 135 9" xfId="47688"/>
    <cellStyle name="Обычный 7 2 135 9" xfId="47689"/>
    <cellStyle name="Процентный 7 2 135 9" xfId="47690"/>
    <cellStyle name="Обычный 8 131 9" xfId="47691"/>
    <cellStyle name="Процентный 8 131 9" xfId="47692"/>
    <cellStyle name="Обычный 9 97 9" xfId="47693"/>
    <cellStyle name="Процентный 9 98 9" xfId="47694"/>
    <cellStyle name="Обычный 10 90 9" xfId="47695"/>
    <cellStyle name="Процентный 10 90 9" xfId="47696"/>
    <cellStyle name="Обычный 11 78 9" xfId="47697"/>
    <cellStyle name="Процентный 11 78 9" xfId="47698"/>
    <cellStyle name="Обычный 4 190 9" xfId="47699"/>
    <cellStyle name="Процентный 4 190 9" xfId="47700"/>
    <cellStyle name="Обычный 5 183 9" xfId="47701"/>
    <cellStyle name="Процентный 5 183 9" xfId="47702"/>
    <cellStyle name="Обычный 4 2 177 9" xfId="47703"/>
    <cellStyle name="Процентный 4 2 177 9" xfId="47704"/>
    <cellStyle name="Обычный 5 2 177 9" xfId="47705"/>
    <cellStyle name="Процентный 5 2 177 9" xfId="47706"/>
    <cellStyle name="Обычный 6 174 9" xfId="47707"/>
    <cellStyle name="Процентный 6 174 9" xfId="47708"/>
    <cellStyle name="Обычный 7 144 9" xfId="47709"/>
    <cellStyle name="Процентный 7 144 9" xfId="47710"/>
    <cellStyle name="Обычный 4 3 136 9" xfId="47711"/>
    <cellStyle name="Процентный 4 3 136 9" xfId="47712"/>
    <cellStyle name="Обычный 5 3 136 9" xfId="47713"/>
    <cellStyle name="Процентный 5 3 136 9" xfId="47714"/>
    <cellStyle name="Обычный 4 2 2 136 9" xfId="47715"/>
    <cellStyle name="Процентный 4 2 2 136 9" xfId="47716"/>
    <cellStyle name="Обычный 5 2 2 136 9" xfId="47717"/>
    <cellStyle name="Процентный 5 2 2 136 9" xfId="47718"/>
    <cellStyle name="Обычный 6 2 136 9" xfId="47719"/>
    <cellStyle name="Процентный 6 2 136 9" xfId="47720"/>
    <cellStyle name="Обычный 7 2 136 9" xfId="47721"/>
    <cellStyle name="Процентный 7 2 136 9" xfId="47722"/>
    <cellStyle name="Обычный 8 132 9" xfId="47723"/>
    <cellStyle name="Процентный 8 132 9" xfId="47724"/>
    <cellStyle name="Обычный 9 98 9" xfId="47725"/>
    <cellStyle name="Процентный 9 99 9" xfId="47726"/>
    <cellStyle name="Обычный 10 91 9" xfId="47727"/>
    <cellStyle name="Процентный 10 91 9" xfId="47728"/>
    <cellStyle name="Обычный 11 79 9" xfId="47729"/>
    <cellStyle name="Процентный 11 79 9" xfId="47730"/>
    <cellStyle name="Обычный 4 191 9" xfId="47731"/>
    <cellStyle name="Процентный 4 191 9" xfId="47732"/>
    <cellStyle name="Обычный 5 184 9" xfId="47733"/>
    <cellStyle name="Процентный 5 184 9" xfId="47734"/>
    <cellStyle name="Обычный 4 2 178 9" xfId="47735"/>
    <cellStyle name="Процентный 4 2 178 9" xfId="47736"/>
    <cellStyle name="Обычный 5 2 178 9" xfId="47737"/>
    <cellStyle name="Процентный 5 2 178 9" xfId="47738"/>
    <cellStyle name="Обычный 6 175 9" xfId="47739"/>
    <cellStyle name="Процентный 6 175 9" xfId="47740"/>
    <cellStyle name="Обычный 7 145 9" xfId="47741"/>
    <cellStyle name="Процентный 7 145 9" xfId="47742"/>
    <cellStyle name="Обычный 4 3 137 9" xfId="47743"/>
    <cellStyle name="Процентный 4 3 137 9" xfId="47744"/>
    <cellStyle name="Обычный 5 3 137 9" xfId="47745"/>
    <cellStyle name="Процентный 5 3 137 9" xfId="47746"/>
    <cellStyle name="Обычный 4 2 2 137 9" xfId="47747"/>
    <cellStyle name="Процентный 4 2 2 137 9" xfId="47748"/>
    <cellStyle name="Обычный 5 2 2 137 9" xfId="47749"/>
    <cellStyle name="Процентный 5 2 2 137 9" xfId="47750"/>
    <cellStyle name="Обычный 6 2 137 9" xfId="47751"/>
    <cellStyle name="Процентный 6 2 137 9" xfId="47752"/>
    <cellStyle name="Обычный 7 2 137 9" xfId="47753"/>
    <cellStyle name="Процентный 7 2 137 9" xfId="47754"/>
    <cellStyle name="Обычный 8 133 9" xfId="47755"/>
    <cellStyle name="Процентный 8 133 9" xfId="47756"/>
    <cellStyle name="Обычный 9 99 9" xfId="47757"/>
    <cellStyle name="Процентный 9 100 9" xfId="47758"/>
    <cellStyle name="Обычный 10 92 9" xfId="47759"/>
    <cellStyle name="Процентный 10 92 9" xfId="47760"/>
    <cellStyle name="Обычный 11 80 9" xfId="47761"/>
    <cellStyle name="Процентный 11 80 9" xfId="47762"/>
    <cellStyle name="Обычный 4 192 9" xfId="47763"/>
    <cellStyle name="Процентный 4 192 9" xfId="47764"/>
    <cellStyle name="Обычный 5 185 9" xfId="47765"/>
    <cellStyle name="Процентный 5 185 9" xfId="47766"/>
    <cellStyle name="Обычный 4 2 179 9" xfId="47767"/>
    <cellStyle name="Процентный 4 2 179 9" xfId="47768"/>
    <cellStyle name="Обычный 5 2 179 9" xfId="47769"/>
    <cellStyle name="Процентный 5 2 179 9" xfId="47770"/>
    <cellStyle name="Обычный 6 176 9" xfId="47771"/>
    <cellStyle name="Процентный 6 176 9" xfId="47772"/>
    <cellStyle name="Обычный 7 146 9" xfId="47773"/>
    <cellStyle name="Процентный 7 146 9" xfId="47774"/>
    <cellStyle name="Обычный 4 3 138 9" xfId="47775"/>
    <cellStyle name="Процентный 4 3 138 9" xfId="47776"/>
    <cellStyle name="Обычный 5 3 138 9" xfId="47777"/>
    <cellStyle name="Процентный 5 3 138 9" xfId="47778"/>
    <cellStyle name="Обычный 4 2 2 138 9" xfId="47779"/>
    <cellStyle name="Процентный 4 2 2 138 9" xfId="47780"/>
    <cellStyle name="Обычный 5 2 2 138 9" xfId="47781"/>
    <cellStyle name="Процентный 5 2 2 138 9" xfId="47782"/>
    <cellStyle name="Обычный 6 2 138 9" xfId="47783"/>
    <cellStyle name="Процентный 6 2 138 9" xfId="47784"/>
    <cellStyle name="Обычный 7 2 138 9" xfId="47785"/>
    <cellStyle name="Процентный 7 2 138 9" xfId="47786"/>
    <cellStyle name="Обычный 8 134 9" xfId="47787"/>
    <cellStyle name="Процентный 8 134 9" xfId="47788"/>
    <cellStyle name="Обычный 9 100 9" xfId="47789"/>
    <cellStyle name="Процентный 9 101 9" xfId="47790"/>
    <cellStyle name="Обычный 10 93 9" xfId="47791"/>
    <cellStyle name="Процентный 10 93 9" xfId="47792"/>
    <cellStyle name="Обычный 11 81 9" xfId="47793"/>
    <cellStyle name="Процентный 11 81 9" xfId="47794"/>
    <cellStyle name="Обычный 4 193 9" xfId="47795"/>
    <cellStyle name="Процентный 4 193 9" xfId="47796"/>
    <cellStyle name="Обычный 5 186 9" xfId="47797"/>
    <cellStyle name="Процентный 5 186 9" xfId="47798"/>
    <cellStyle name="Обычный 4 2 180 9" xfId="47799"/>
    <cellStyle name="Процентный 4 2 180 9" xfId="47800"/>
    <cellStyle name="Обычный 5 2 180 9" xfId="47801"/>
    <cellStyle name="Процентный 5 2 180 9" xfId="47802"/>
    <cellStyle name="Обычный 6 177 9" xfId="47803"/>
    <cellStyle name="Процентный 6 177 9" xfId="47804"/>
    <cellStyle name="Обычный 7 147 9" xfId="47805"/>
    <cellStyle name="Процентный 7 147 9" xfId="47806"/>
    <cellStyle name="Обычный 4 3 139 9" xfId="47807"/>
    <cellStyle name="Процентный 4 3 139 9" xfId="47808"/>
    <cellStyle name="Обычный 5 3 139 9" xfId="47809"/>
    <cellStyle name="Процентный 5 3 139 9" xfId="47810"/>
    <cellStyle name="Обычный 4 2 2 139 9" xfId="47811"/>
    <cellStyle name="Процентный 4 2 2 139 9" xfId="47812"/>
    <cellStyle name="Обычный 5 2 2 139 9" xfId="47813"/>
    <cellStyle name="Процентный 5 2 2 139 9" xfId="47814"/>
    <cellStyle name="Обычный 6 2 139 9" xfId="47815"/>
    <cellStyle name="Процентный 6 2 139 9" xfId="47816"/>
    <cellStyle name="Обычный 7 2 139 9" xfId="47817"/>
    <cellStyle name="Процентный 7 2 139 9" xfId="47818"/>
    <cellStyle name="Обычный 8 135 9" xfId="47819"/>
    <cellStyle name="Процентный 8 135 9" xfId="47820"/>
    <cellStyle name="Обычный 9 101 9" xfId="47821"/>
    <cellStyle name="Процентный 9 102 9" xfId="47822"/>
    <cellStyle name="Обычный 10 94 9" xfId="47823"/>
    <cellStyle name="Процентный 10 94 9" xfId="47824"/>
    <cellStyle name="Обычный 11 82 9" xfId="47825"/>
    <cellStyle name="Процентный 11 82 9" xfId="47826"/>
    <cellStyle name="Обычный 4 194 9" xfId="47827"/>
    <cellStyle name="Процентный 4 194 9" xfId="47828"/>
    <cellStyle name="Обычный 5 187 9" xfId="47829"/>
    <cellStyle name="Процентный 5 187 9" xfId="47830"/>
    <cellStyle name="Обычный 4 2 181 9" xfId="47831"/>
    <cellStyle name="Процентный 4 2 181 9" xfId="47832"/>
    <cellStyle name="Обычный 5 2 181 9" xfId="47833"/>
    <cellStyle name="Процентный 5 2 181 9" xfId="47834"/>
    <cellStyle name="Обычный 6 178 9" xfId="47835"/>
    <cellStyle name="Процентный 6 178 9" xfId="47836"/>
    <cellStyle name="Обычный 7 148 9" xfId="47837"/>
    <cellStyle name="Процентный 7 148 9" xfId="47838"/>
    <cellStyle name="Обычный 4 3 140 9" xfId="47839"/>
    <cellStyle name="Процентный 4 3 140 9" xfId="47840"/>
    <cellStyle name="Обычный 5 3 140 9" xfId="47841"/>
    <cellStyle name="Процентный 5 3 140 9" xfId="47842"/>
    <cellStyle name="Обычный 4 2 2 140 9" xfId="47843"/>
    <cellStyle name="Процентный 4 2 2 140 9" xfId="47844"/>
    <cellStyle name="Обычный 5 2 2 140 9" xfId="47845"/>
    <cellStyle name="Процентный 5 2 2 140 9" xfId="47846"/>
    <cellStyle name="Обычный 6 2 140 9" xfId="47847"/>
    <cellStyle name="Процентный 6 2 140 9" xfId="47848"/>
    <cellStyle name="Обычный 7 2 140 9" xfId="47849"/>
    <cellStyle name="Процентный 7 2 140 9" xfId="47850"/>
    <cellStyle name="Обычный 8 136 9" xfId="47851"/>
    <cellStyle name="Процентный 8 136 9" xfId="47852"/>
    <cellStyle name="Обычный 9 102 9" xfId="47853"/>
    <cellStyle name="Процентный 9 103 9" xfId="47854"/>
    <cellStyle name="Обычный 10 95 9" xfId="47855"/>
    <cellStyle name="Процентный 10 95 9" xfId="47856"/>
    <cellStyle name="Обычный 11 83 9" xfId="47857"/>
    <cellStyle name="Процентный 11 83 9" xfId="47858"/>
    <cellStyle name="Обычный 4 195 9" xfId="47859"/>
    <cellStyle name="Процентный 4 195 9" xfId="47860"/>
    <cellStyle name="Обычный 5 188 9" xfId="47861"/>
    <cellStyle name="Процентный 5 188 9" xfId="47862"/>
    <cellStyle name="Обычный 4 2 182 9" xfId="47863"/>
    <cellStyle name="Процентный 4 2 182 9" xfId="47864"/>
    <cellStyle name="Обычный 5 2 182 9" xfId="47865"/>
    <cellStyle name="Процентный 5 2 182 9" xfId="47866"/>
    <cellStyle name="Обычный 6 179 9" xfId="47867"/>
    <cellStyle name="Процентный 6 179 9" xfId="47868"/>
    <cellStyle name="Обычный 7 149 9" xfId="47869"/>
    <cellStyle name="Процентный 7 149 9" xfId="47870"/>
    <cellStyle name="Обычный 4 3 141 9" xfId="47871"/>
    <cellStyle name="Процентный 4 3 141 9" xfId="47872"/>
    <cellStyle name="Обычный 5 3 141 9" xfId="47873"/>
    <cellStyle name="Процентный 5 3 141 9" xfId="47874"/>
    <cellStyle name="Обычный 4 2 2 141 9" xfId="47875"/>
    <cellStyle name="Процентный 4 2 2 141 9" xfId="47876"/>
    <cellStyle name="Обычный 5 2 2 141 9" xfId="47877"/>
    <cellStyle name="Процентный 5 2 2 141 9" xfId="47878"/>
    <cellStyle name="Обычный 6 2 141 9" xfId="47879"/>
    <cellStyle name="Процентный 6 2 141 9" xfId="47880"/>
    <cellStyle name="Обычный 7 2 141 9" xfId="47881"/>
    <cellStyle name="Процентный 7 2 141 9" xfId="47882"/>
    <cellStyle name="Обычный 8 137 9" xfId="47883"/>
    <cellStyle name="Процентный 8 137 9" xfId="47884"/>
    <cellStyle name="Обычный 9 103 9" xfId="47885"/>
    <cellStyle name="Процентный 9 104 9" xfId="47886"/>
    <cellStyle name="Обычный 10 96 9" xfId="47887"/>
    <cellStyle name="Процентный 10 96 9" xfId="47888"/>
    <cellStyle name="Обычный 11 84 9" xfId="47889"/>
    <cellStyle name="Процентный 11 84 9" xfId="47890"/>
    <cellStyle name="Обычный 4 196 9" xfId="47891"/>
    <cellStyle name="Процентный 4 196 9" xfId="47892"/>
    <cellStyle name="Обычный 5 189 9" xfId="47893"/>
    <cellStyle name="Процентный 5 189 9" xfId="47894"/>
    <cellStyle name="Обычный 4 2 183 9" xfId="47895"/>
    <cellStyle name="Процентный 4 2 183 9" xfId="47896"/>
    <cellStyle name="Обычный 5 2 183 9" xfId="47897"/>
    <cellStyle name="Процентный 5 2 183 9" xfId="47898"/>
    <cellStyle name="Обычный 6 180 9" xfId="47899"/>
    <cellStyle name="Процентный 6 180 9" xfId="47900"/>
    <cellStyle name="Обычный 7 150 9" xfId="47901"/>
    <cellStyle name="Процентный 7 150 9" xfId="47902"/>
    <cellStyle name="Обычный 4 3 142 9" xfId="47903"/>
    <cellStyle name="Процентный 4 3 142 9" xfId="47904"/>
    <cellStyle name="Обычный 5 3 142 9" xfId="47905"/>
    <cellStyle name="Процентный 5 3 142 9" xfId="47906"/>
    <cellStyle name="Обычный 4 2 2 142 9" xfId="47907"/>
    <cellStyle name="Процентный 4 2 2 142 9" xfId="47908"/>
    <cellStyle name="Обычный 5 2 2 142 9" xfId="47909"/>
    <cellStyle name="Процентный 5 2 2 142 9" xfId="47910"/>
    <cellStyle name="Обычный 6 2 142 9" xfId="47911"/>
    <cellStyle name="Процентный 6 2 142 9" xfId="47912"/>
    <cellStyle name="Обычный 7 2 142 9" xfId="47913"/>
    <cellStyle name="Процентный 7 2 142 9" xfId="47914"/>
    <cellStyle name="Обычный 8 138 9" xfId="47915"/>
    <cellStyle name="Процентный 8 138 9" xfId="47916"/>
    <cellStyle name="Обычный 9 104 9" xfId="47917"/>
    <cellStyle name="Процентный 9 105 9" xfId="47918"/>
    <cellStyle name="Обычный 10 97 9" xfId="47919"/>
    <cellStyle name="Процентный 10 97 9" xfId="47920"/>
    <cellStyle name="Обычный 11 85 9" xfId="47921"/>
    <cellStyle name="Процентный 11 85 9" xfId="47922"/>
    <cellStyle name="Обычный 4 197 9" xfId="47923"/>
    <cellStyle name="Процентный 4 197 9" xfId="47924"/>
    <cellStyle name="Обычный 5 190 9" xfId="47925"/>
    <cellStyle name="Процентный 5 190 9" xfId="47926"/>
    <cellStyle name="Обычный 4 2 184 9" xfId="47927"/>
    <cellStyle name="Процентный 4 2 184 9" xfId="47928"/>
    <cellStyle name="Обычный 5 2 184 9" xfId="47929"/>
    <cellStyle name="Процентный 5 2 184 9" xfId="47930"/>
    <cellStyle name="Обычный 6 181 9" xfId="47931"/>
    <cellStyle name="Процентный 6 181 9" xfId="47932"/>
    <cellStyle name="Обычный 7 151 9" xfId="47933"/>
    <cellStyle name="Процентный 7 151 9" xfId="47934"/>
    <cellStyle name="Обычный 4 3 143 9" xfId="47935"/>
    <cellStyle name="Процентный 4 3 143 9" xfId="47936"/>
    <cellStyle name="Обычный 5 3 143 9" xfId="47937"/>
    <cellStyle name="Процентный 5 3 143 9" xfId="47938"/>
    <cellStyle name="Обычный 4 2 2 143 9" xfId="47939"/>
    <cellStyle name="Процентный 4 2 2 143 9" xfId="47940"/>
    <cellStyle name="Обычный 5 2 2 143 9" xfId="47941"/>
    <cellStyle name="Процентный 5 2 2 143 9" xfId="47942"/>
    <cellStyle name="Обычный 6 2 143 9" xfId="47943"/>
    <cellStyle name="Процентный 6 2 143 9" xfId="47944"/>
    <cellStyle name="Обычный 7 2 143 9" xfId="47945"/>
    <cellStyle name="Процентный 7 2 143 9" xfId="47946"/>
    <cellStyle name="Обычный 8 139 9" xfId="47947"/>
    <cellStyle name="Процентный 8 139 9" xfId="47948"/>
    <cellStyle name="Обычный 9 105 9" xfId="47949"/>
    <cellStyle name="Процентный 9 106 9" xfId="47950"/>
    <cellStyle name="Обычный 10 98 9" xfId="47951"/>
    <cellStyle name="Процентный 10 98 9" xfId="47952"/>
    <cellStyle name="Обычный 11 86 9" xfId="47953"/>
    <cellStyle name="Процентный 11 86 9" xfId="47954"/>
    <cellStyle name="Обычный 4 198 9" xfId="47955"/>
    <cellStyle name="Процентный 4 198 9" xfId="47956"/>
    <cellStyle name="Обычный 5 191 9" xfId="47957"/>
    <cellStyle name="Процентный 5 191 9" xfId="47958"/>
    <cellStyle name="Обычный 4 2 185 9" xfId="47959"/>
    <cellStyle name="Процентный 4 2 185 9" xfId="47960"/>
    <cellStyle name="Обычный 5 2 185 9" xfId="47961"/>
    <cellStyle name="Процентный 5 2 185 9" xfId="47962"/>
    <cellStyle name="Обычный 6 182 9" xfId="47963"/>
    <cellStyle name="Процентный 6 182 9" xfId="47964"/>
    <cellStyle name="Обычный 7 152 9" xfId="47965"/>
    <cellStyle name="Процентный 7 152 9" xfId="47966"/>
    <cellStyle name="Обычный 4 3 144 9" xfId="47967"/>
    <cellStyle name="Процентный 4 3 144 9" xfId="47968"/>
    <cellStyle name="Обычный 5 3 144 9" xfId="47969"/>
    <cellStyle name="Процентный 5 3 144 9" xfId="47970"/>
    <cellStyle name="Обычный 4 2 2 144 9" xfId="47971"/>
    <cellStyle name="Процентный 4 2 2 144 9" xfId="47972"/>
    <cellStyle name="Обычный 5 2 2 144 9" xfId="47973"/>
    <cellStyle name="Процентный 5 2 2 144 9" xfId="47974"/>
    <cellStyle name="Обычный 6 2 144 9" xfId="47975"/>
    <cellStyle name="Процентный 6 2 144 9" xfId="47976"/>
    <cellStyle name="Обычный 7 2 144 9" xfId="47977"/>
    <cellStyle name="Процентный 7 2 144 9" xfId="47978"/>
    <cellStyle name="Обычный 8 140 9" xfId="47979"/>
    <cellStyle name="Процентный 8 140 9" xfId="47980"/>
    <cellStyle name="Обычный 9 106 9" xfId="47981"/>
    <cellStyle name="Процентный 9 107 9" xfId="47982"/>
    <cellStyle name="Обычный 10 99 9" xfId="47983"/>
    <cellStyle name="Процентный 10 99 9" xfId="47984"/>
    <cellStyle name="Обычный 11 87 9" xfId="47985"/>
    <cellStyle name="Процентный 11 87 9" xfId="47986"/>
    <cellStyle name="Обычный 4 199 9" xfId="47987"/>
    <cellStyle name="Процентный 4 199 9" xfId="47988"/>
    <cellStyle name="Обычный 5 192 9" xfId="47989"/>
    <cellStyle name="Процентный 5 192 9" xfId="47990"/>
    <cellStyle name="Обычный 4 2 186 9" xfId="47991"/>
    <cellStyle name="Процентный 4 2 186 9" xfId="47992"/>
    <cellStyle name="Обычный 5 2 186 9" xfId="47993"/>
    <cellStyle name="Процентный 5 2 186 9" xfId="47994"/>
    <cellStyle name="Обычный 6 183 9" xfId="47995"/>
    <cellStyle name="Процентный 6 183 9" xfId="47996"/>
    <cellStyle name="Обычный 7 153 9" xfId="47997"/>
    <cellStyle name="Процентный 7 153 9" xfId="47998"/>
    <cellStyle name="Обычный 4 3 145 9" xfId="47999"/>
    <cellStyle name="Процентный 4 3 145 9" xfId="48000"/>
    <cellStyle name="Обычный 5 3 145 9" xfId="48001"/>
    <cellStyle name="Процентный 5 3 145 9" xfId="48002"/>
    <cellStyle name="Обычный 4 2 2 145 9" xfId="48003"/>
    <cellStyle name="Процентный 4 2 2 145 9" xfId="48004"/>
    <cellStyle name="Обычный 5 2 2 145 9" xfId="48005"/>
    <cellStyle name="Процентный 5 2 2 145 9" xfId="48006"/>
    <cellStyle name="Обычный 6 2 145 9" xfId="48007"/>
    <cellStyle name="Процентный 6 2 145 9" xfId="48008"/>
    <cellStyle name="Обычный 7 2 145 9" xfId="48009"/>
    <cellStyle name="Процентный 7 2 145 9" xfId="48010"/>
    <cellStyle name="Обычный 8 141 9" xfId="48011"/>
    <cellStyle name="Процентный 8 141 9" xfId="48012"/>
    <cellStyle name="Обычный 9 107 9" xfId="48013"/>
    <cellStyle name="Процентный 9 108 9" xfId="48014"/>
    <cellStyle name="Обычный 10 100 9" xfId="48015"/>
    <cellStyle name="Процентный 10 100 9" xfId="48016"/>
    <cellStyle name="Обычный 11 88 9" xfId="48017"/>
    <cellStyle name="Процентный 11 88 9" xfId="48018"/>
    <cellStyle name="Обычный 4 200 9" xfId="48019"/>
    <cellStyle name="Процентный 4 200 9" xfId="48020"/>
    <cellStyle name="Обычный 5 193 9" xfId="48021"/>
    <cellStyle name="Процентный 5 193 9" xfId="48022"/>
    <cellStyle name="Обычный 4 2 187 9" xfId="48023"/>
    <cellStyle name="Процентный 4 2 187 9" xfId="48024"/>
    <cellStyle name="Обычный 5 2 187 9" xfId="48025"/>
    <cellStyle name="Процентный 5 2 187 9" xfId="48026"/>
    <cellStyle name="Обычный 6 184 9" xfId="48027"/>
    <cellStyle name="Процентный 6 184 9" xfId="48028"/>
    <cellStyle name="Обычный 7 154 9" xfId="48029"/>
    <cellStyle name="Процентный 7 154 9" xfId="48030"/>
    <cellStyle name="Обычный 4 3 146 9" xfId="48031"/>
    <cellStyle name="Процентный 4 3 146 9" xfId="48032"/>
    <cellStyle name="Обычный 5 3 146 9" xfId="48033"/>
    <cellStyle name="Процентный 5 3 146 9" xfId="48034"/>
    <cellStyle name="Обычный 4 2 2 146 9" xfId="48035"/>
    <cellStyle name="Процентный 4 2 2 146 9" xfId="48036"/>
    <cellStyle name="Обычный 5 2 2 146 9" xfId="48037"/>
    <cellStyle name="Процентный 5 2 2 146 9" xfId="48038"/>
    <cellStyle name="Обычный 6 2 146 9" xfId="48039"/>
    <cellStyle name="Процентный 6 2 146 9" xfId="48040"/>
    <cellStyle name="Обычный 7 2 146 9" xfId="48041"/>
    <cellStyle name="Процентный 7 2 146 9" xfId="48042"/>
    <cellStyle name="Обычный 8 142 9" xfId="48043"/>
    <cellStyle name="Процентный 8 142 9" xfId="48044"/>
    <cellStyle name="Обычный 9 108 9" xfId="48045"/>
    <cellStyle name="Процентный 9 109 9" xfId="48046"/>
    <cellStyle name="Обычный 10 101 9" xfId="48047"/>
    <cellStyle name="Процентный 10 101 9" xfId="48048"/>
    <cellStyle name="Обычный 11 89 9" xfId="48049"/>
    <cellStyle name="Процентный 11 89 9" xfId="48050"/>
    <cellStyle name="Обычный 4 201 9" xfId="48051"/>
    <cellStyle name="Процентный 4 201 9" xfId="48052"/>
    <cellStyle name="Обычный 5 194 9" xfId="48053"/>
    <cellStyle name="Процентный 5 194 9" xfId="48054"/>
    <cellStyle name="Обычный 4 2 188 9" xfId="48055"/>
    <cellStyle name="Процентный 4 2 188 9" xfId="48056"/>
    <cellStyle name="Обычный 5 2 188 9" xfId="48057"/>
    <cellStyle name="Процентный 5 2 188 9" xfId="48058"/>
    <cellStyle name="Обычный 6 185 9" xfId="48059"/>
    <cellStyle name="Процентный 6 185 9" xfId="48060"/>
    <cellStyle name="Обычный 7 155 9" xfId="48061"/>
    <cellStyle name="Процентный 7 155 9" xfId="48062"/>
    <cellStyle name="Обычный 4 3 147 9" xfId="48063"/>
    <cellStyle name="Процентный 4 3 147 9" xfId="48064"/>
    <cellStyle name="Обычный 5 3 147 9" xfId="48065"/>
    <cellStyle name="Процентный 5 3 147 9" xfId="48066"/>
    <cellStyle name="Обычный 4 2 2 147 9" xfId="48067"/>
    <cellStyle name="Процентный 4 2 2 147 9" xfId="48068"/>
    <cellStyle name="Обычный 5 2 2 147 9" xfId="48069"/>
    <cellStyle name="Процентный 5 2 2 147 9" xfId="48070"/>
    <cellStyle name="Обычный 6 2 147 9" xfId="48071"/>
    <cellStyle name="Процентный 6 2 147 9" xfId="48072"/>
    <cellStyle name="Обычный 7 2 147 9" xfId="48073"/>
    <cellStyle name="Процентный 7 2 147 9" xfId="48074"/>
    <cellStyle name="Обычный 8 143 9" xfId="48075"/>
    <cellStyle name="Процентный 8 143 9" xfId="48076"/>
    <cellStyle name="Обычный 9 109 9" xfId="48077"/>
    <cellStyle name="Процентный 9 110 9" xfId="48078"/>
    <cellStyle name="Обычный 10 102 9" xfId="48079"/>
    <cellStyle name="Процентный 10 102 9" xfId="48080"/>
    <cellStyle name="Обычный 11 90 9" xfId="48081"/>
    <cellStyle name="Процентный 11 90 9" xfId="48082"/>
    <cellStyle name="Обычный 4 202 9" xfId="48083"/>
    <cellStyle name="Процентный 4 202 9" xfId="48084"/>
    <cellStyle name="Обычный 5 195 9" xfId="48085"/>
    <cellStyle name="Процентный 5 195 9" xfId="48086"/>
    <cellStyle name="Обычный 4 2 189 9" xfId="48087"/>
    <cellStyle name="Процентный 4 2 189 9" xfId="48088"/>
    <cellStyle name="Обычный 5 2 189 9" xfId="48089"/>
    <cellStyle name="Процентный 5 2 189 9" xfId="48090"/>
    <cellStyle name="Обычный 6 186 9" xfId="48091"/>
    <cellStyle name="Процентный 6 186 9" xfId="48092"/>
    <cellStyle name="Обычный 7 156 9" xfId="48093"/>
    <cellStyle name="Процентный 7 156 9" xfId="48094"/>
    <cellStyle name="Обычный 4 3 148 9" xfId="48095"/>
    <cellStyle name="Процентный 4 3 148 9" xfId="48096"/>
    <cellStyle name="Обычный 5 3 148 9" xfId="48097"/>
    <cellStyle name="Процентный 5 3 148 9" xfId="48098"/>
    <cellStyle name="Обычный 4 2 2 148 9" xfId="48099"/>
    <cellStyle name="Процентный 4 2 2 148 9" xfId="48100"/>
    <cellStyle name="Обычный 5 2 2 148 9" xfId="48101"/>
    <cellStyle name="Процентный 5 2 2 148 9" xfId="48102"/>
    <cellStyle name="Обычный 6 2 148 9" xfId="48103"/>
    <cellStyle name="Процентный 6 2 148 9" xfId="48104"/>
    <cellStyle name="Обычный 7 2 148 9" xfId="48105"/>
    <cellStyle name="Процентный 7 2 148 9" xfId="48106"/>
    <cellStyle name="Обычный 8 144 9" xfId="48107"/>
    <cellStyle name="Процентный 8 144 9" xfId="48108"/>
    <cellStyle name="Обычный 9 110 9" xfId="48109"/>
    <cellStyle name="Процентный 9 111 9" xfId="48110"/>
    <cellStyle name="Обычный 10 103 9" xfId="48111"/>
    <cellStyle name="Процентный 10 103 9" xfId="48112"/>
    <cellStyle name="Обычный 11 91 9" xfId="48113"/>
    <cellStyle name="Процентный 11 91 9" xfId="48114"/>
    <cellStyle name="Обычный 3 12" xfId="48115"/>
    <cellStyle name="Обычный 4 211" xfId="48116"/>
    <cellStyle name="Процентный 4 211" xfId="48117"/>
    <cellStyle name="Обычный 4 2 198" xfId="48118"/>
    <cellStyle name="Процентный 4 2 198" xfId="48119"/>
    <cellStyle name="Обычный 4 3 157" xfId="48120"/>
    <cellStyle name="Процентный 4 3 157" xfId="48121"/>
    <cellStyle name="Обычный 5 204" xfId="48122"/>
    <cellStyle name="Процентный 5 204" xfId="48123"/>
    <cellStyle name="Обычный 4 4 11" xfId="48124"/>
    <cellStyle name="Процентный 4 4 11" xfId="48125"/>
    <cellStyle name="Обычный 4 5 11" xfId="48126"/>
    <cellStyle name="Процентный 4 5 11" xfId="48127"/>
    <cellStyle name="Обычный 4 6 11" xfId="48128"/>
    <cellStyle name="Процентный 4 6 11" xfId="48129"/>
    <cellStyle name="Обычный 4 7 11" xfId="48130"/>
    <cellStyle name="Процентный 4 7 11" xfId="48131"/>
    <cellStyle name="Обычный 4 8 11" xfId="48132"/>
    <cellStyle name="Процентный 4 8 11" xfId="48133"/>
    <cellStyle name="Обычный 4 9 11" xfId="48134"/>
    <cellStyle name="Процентный 4 9 11" xfId="48135"/>
    <cellStyle name="Обычный 5 2 198" xfId="48136"/>
    <cellStyle name="Процентный 5 2 198" xfId="48137"/>
    <cellStyle name="Обычный 4 10 11" xfId="48138"/>
    <cellStyle name="Процентный 4 10 11" xfId="48139"/>
    <cellStyle name="Обычный 5 3 157" xfId="48140"/>
    <cellStyle name="Процентный 5 3 157" xfId="48141"/>
    <cellStyle name="Обычный 4 11 11" xfId="48142"/>
    <cellStyle name="Процентный 4 11 11" xfId="48143"/>
    <cellStyle name="Обычный 5 4 11" xfId="48144"/>
    <cellStyle name="Процентный 5 4 11" xfId="48145"/>
    <cellStyle name="Обычный 4 12 11" xfId="48146"/>
    <cellStyle name="Процентный 4 12 11" xfId="48147"/>
    <cellStyle name="Обычный 5 5 11" xfId="48148"/>
    <cellStyle name="Процентный 5 5 11" xfId="48149"/>
    <cellStyle name="Обычный 4 13 11" xfId="48150"/>
    <cellStyle name="Процентный 4 13 11" xfId="48151"/>
    <cellStyle name="Обычный 5 6 11" xfId="48152"/>
    <cellStyle name="Процентный 5 6 11" xfId="48153"/>
    <cellStyle name="Обычный 4 14 11" xfId="48154"/>
    <cellStyle name="Процентный 4 14 11" xfId="48155"/>
    <cellStyle name="Обычный 5 7 11" xfId="48156"/>
    <cellStyle name="Процентный 5 7 11" xfId="48157"/>
    <cellStyle name="Обычный 4 15 11" xfId="48158"/>
    <cellStyle name="Процентный 4 15 11" xfId="48159"/>
    <cellStyle name="Обычный 5 8 11" xfId="48160"/>
    <cellStyle name="Процентный 5 8 11" xfId="48161"/>
    <cellStyle name="Обычный 4 2 2 157" xfId="48162"/>
    <cellStyle name="Процентный 4 2 2 157" xfId="48163"/>
    <cellStyle name="Обычный 5 2 2 157" xfId="48164"/>
    <cellStyle name="Процентный 5 2 2 157" xfId="48165"/>
    <cellStyle name="Обычный 4 16 11" xfId="48166"/>
    <cellStyle name="Процентный 4 16 11" xfId="48167"/>
    <cellStyle name="Обычный 5 9 11" xfId="48168"/>
    <cellStyle name="Процентный 5 9 11" xfId="48169"/>
    <cellStyle name="Обычный 4 2 3 11" xfId="48170"/>
    <cellStyle name="Процентный 4 2 3 11" xfId="48171"/>
    <cellStyle name="Обычный 5 2 3 11" xfId="48172"/>
    <cellStyle name="Процентный 5 2 3 11" xfId="48173"/>
    <cellStyle name="Обычный 4 17 11" xfId="48174"/>
    <cellStyle name="Процентный 4 17 11" xfId="48175"/>
    <cellStyle name="Обычный 5 10 11" xfId="48176"/>
    <cellStyle name="Процентный 5 10 11" xfId="48177"/>
    <cellStyle name="Обычный 4 2 4 11" xfId="48178"/>
    <cellStyle name="Процентный 4 2 4 11" xfId="48179"/>
    <cellStyle name="Обычный 5 2 4 11" xfId="48180"/>
    <cellStyle name="Процентный 5 2 4 11" xfId="48181"/>
    <cellStyle name="Обычный 6 195" xfId="48182"/>
    <cellStyle name="Процентный 6 195" xfId="48183"/>
    <cellStyle name="Обычный 4 18 11" xfId="48184"/>
    <cellStyle name="Процентный 4 18 11" xfId="48185"/>
    <cellStyle name="Обычный 5 11 11" xfId="48186"/>
    <cellStyle name="Процентный 5 11 11" xfId="48187"/>
    <cellStyle name="Обычный 4 2 5 11" xfId="48188"/>
    <cellStyle name="Процентный 4 2 5 11" xfId="48189"/>
    <cellStyle name="Обычный 5 2 5 11" xfId="48190"/>
    <cellStyle name="Процентный 5 2 5 11" xfId="48191"/>
    <cellStyle name="Обычный 6 2 157" xfId="48192"/>
    <cellStyle name="Процентный 6 2 157" xfId="48193"/>
    <cellStyle name="Обычный 4 19 11" xfId="48194"/>
    <cellStyle name="Процентный 4 19 11" xfId="48195"/>
    <cellStyle name="Обычный 5 12 11" xfId="48196"/>
    <cellStyle name="Процентный 5 12 11" xfId="48197"/>
    <cellStyle name="Обычный 4 2 6 11" xfId="48198"/>
    <cellStyle name="Процентный 4 2 6 11" xfId="48199"/>
    <cellStyle name="Обычный 5 2 6 11" xfId="48200"/>
    <cellStyle name="Процентный 5 2 6 11" xfId="48201"/>
    <cellStyle name="Обычный 6 3 11" xfId="48202"/>
    <cellStyle name="Процентный 6 3 11" xfId="48203"/>
    <cellStyle name="Обычный 4 20 11" xfId="48204"/>
    <cellStyle name="Процентный 4 20 11" xfId="48205"/>
    <cellStyle name="Обычный 5 13 11" xfId="48206"/>
    <cellStyle name="Процентный 5 13 11" xfId="48207"/>
    <cellStyle name="Обычный 4 2 7 11" xfId="48208"/>
    <cellStyle name="Процентный 4 2 7 11" xfId="48209"/>
    <cellStyle name="Обычный 5 2 7 11" xfId="48210"/>
    <cellStyle name="Процентный 5 2 7 11" xfId="48211"/>
    <cellStyle name="Обычный 6 4 11" xfId="48212"/>
    <cellStyle name="Процентный 6 4 11" xfId="48213"/>
    <cellStyle name="Обычный 4 21 11" xfId="48214"/>
    <cellStyle name="Процентный 4 21 11" xfId="48215"/>
    <cellStyle name="Обычный 5 14 11" xfId="48216"/>
    <cellStyle name="Процентный 5 14 11" xfId="48217"/>
    <cellStyle name="Обычный 4 2 8 11" xfId="48218"/>
    <cellStyle name="Процентный 4 2 8 11" xfId="48219"/>
    <cellStyle name="Обычный 5 2 8 11" xfId="48220"/>
    <cellStyle name="Процентный 5 2 8 11" xfId="48221"/>
    <cellStyle name="Обычный 6 5 11" xfId="48222"/>
    <cellStyle name="Процентный 6 5 11" xfId="48223"/>
    <cellStyle name="Обычный 4 22 11" xfId="48224"/>
    <cellStyle name="Процентный 4 22 11" xfId="48225"/>
    <cellStyle name="Обычный 5 15 11" xfId="48226"/>
    <cellStyle name="Процентный 5 15 11" xfId="48227"/>
    <cellStyle name="Обычный 4 2 9 11" xfId="48228"/>
    <cellStyle name="Процентный 4 2 9 11" xfId="48229"/>
    <cellStyle name="Обычный 5 2 9 11" xfId="48230"/>
    <cellStyle name="Процентный 5 2 9 11" xfId="48231"/>
    <cellStyle name="Обычный 6 6 11" xfId="48232"/>
    <cellStyle name="Процентный 6 6 11" xfId="48233"/>
    <cellStyle name="Обычный 4 23 11" xfId="48234"/>
    <cellStyle name="Процентный 4 23 11" xfId="48235"/>
    <cellStyle name="Обычный 5 16 11" xfId="48236"/>
    <cellStyle name="Процентный 5 16 11" xfId="48237"/>
    <cellStyle name="Обычный 4 2 10 11" xfId="48238"/>
    <cellStyle name="Процентный 4 2 10 11" xfId="48239"/>
    <cellStyle name="Обычный 5 2 10 11" xfId="48240"/>
    <cellStyle name="Процентный 5 2 10 11" xfId="48241"/>
    <cellStyle name="Обычный 6 7 11" xfId="48242"/>
    <cellStyle name="Процентный 6 7 11" xfId="48243"/>
    <cellStyle name="Обычный 4 24 11" xfId="48244"/>
    <cellStyle name="Процентный 4 24 11" xfId="48245"/>
    <cellStyle name="Обычный 5 17 11" xfId="48246"/>
    <cellStyle name="Процентный 5 17 11" xfId="48247"/>
    <cellStyle name="Обычный 4 2 11 11" xfId="48248"/>
    <cellStyle name="Процентный 4 2 11 11" xfId="48249"/>
    <cellStyle name="Обычный 5 2 11 11" xfId="48250"/>
    <cellStyle name="Процентный 5 2 11 11" xfId="48251"/>
    <cellStyle name="Обычный 6 8 11" xfId="48252"/>
    <cellStyle name="Процентный 6 8 11" xfId="48253"/>
    <cellStyle name="Обычный 4 25 11" xfId="48254"/>
    <cellStyle name="Процентный 4 25 11" xfId="48255"/>
    <cellStyle name="Обычный 5 18 11" xfId="48256"/>
    <cellStyle name="Процентный 5 18 11" xfId="48257"/>
    <cellStyle name="Обычный 4 2 12 11" xfId="48258"/>
    <cellStyle name="Процентный 4 2 12 11" xfId="48259"/>
    <cellStyle name="Обычный 5 2 12 11" xfId="48260"/>
    <cellStyle name="Процентный 5 2 12 11" xfId="48261"/>
    <cellStyle name="Обычный 6 9 11" xfId="48262"/>
    <cellStyle name="Процентный 6 9 11" xfId="48263"/>
    <cellStyle name="Обычный 4 26 11" xfId="48264"/>
    <cellStyle name="Процентный 4 26 11" xfId="48265"/>
    <cellStyle name="Обычный 5 19 11" xfId="48266"/>
    <cellStyle name="Процентный 5 19 11" xfId="48267"/>
    <cellStyle name="Обычный 4 2 13 11" xfId="48268"/>
    <cellStyle name="Процентный 4 2 13 11" xfId="48269"/>
    <cellStyle name="Обычный 5 2 13 11" xfId="48270"/>
    <cellStyle name="Процентный 5 2 13 11" xfId="48271"/>
    <cellStyle name="Обычный 6 10 11" xfId="48272"/>
    <cellStyle name="Процентный 6 10 11" xfId="48273"/>
    <cellStyle name="Обычный 4 27 11" xfId="48274"/>
    <cellStyle name="Процентный 4 27 11" xfId="48275"/>
    <cellStyle name="Обычный 5 20 11" xfId="48276"/>
    <cellStyle name="Процентный 5 20 11" xfId="48277"/>
    <cellStyle name="Обычный 4 2 14 11" xfId="48278"/>
    <cellStyle name="Процентный 4 2 14 11" xfId="48279"/>
    <cellStyle name="Обычный 5 2 14 11" xfId="48280"/>
    <cellStyle name="Процентный 5 2 14 11" xfId="48281"/>
    <cellStyle name="Обычный 6 11 11" xfId="48282"/>
    <cellStyle name="Процентный 6 11 11" xfId="48283"/>
    <cellStyle name="Обычный 4 28 11" xfId="48284"/>
    <cellStyle name="Процентный 4 28 11" xfId="48285"/>
    <cellStyle name="Обычный 5 21 11" xfId="48286"/>
    <cellStyle name="Процентный 5 21 11" xfId="48287"/>
    <cellStyle name="Обычный 4 2 15 11" xfId="48288"/>
    <cellStyle name="Процентный 4 2 15 11" xfId="48289"/>
    <cellStyle name="Обычный 5 2 15 11" xfId="48290"/>
    <cellStyle name="Процентный 5 2 15 11" xfId="48291"/>
    <cellStyle name="Обычный 6 12 11" xfId="48292"/>
    <cellStyle name="Процентный 6 12 11" xfId="48293"/>
    <cellStyle name="Обычный 4 29 11" xfId="48294"/>
    <cellStyle name="Процентный 4 29 11" xfId="48295"/>
    <cellStyle name="Обычный 5 22 11" xfId="48296"/>
    <cellStyle name="Процентный 5 22 11" xfId="48297"/>
    <cellStyle name="Обычный 4 2 16 11" xfId="48298"/>
    <cellStyle name="Процентный 4 2 16 11" xfId="48299"/>
    <cellStyle name="Обычный 5 2 16 11" xfId="48300"/>
    <cellStyle name="Процентный 5 2 16 11" xfId="48301"/>
    <cellStyle name="Обычный 6 13 11" xfId="48302"/>
    <cellStyle name="Процентный 6 13 11" xfId="48303"/>
    <cellStyle name="Обычный 4 30 11" xfId="48304"/>
    <cellStyle name="Процентный 4 30 11" xfId="48305"/>
    <cellStyle name="Обычный 5 23 11" xfId="48306"/>
    <cellStyle name="Процентный 5 23 11" xfId="48307"/>
    <cellStyle name="Обычный 4 2 17 11" xfId="48308"/>
    <cellStyle name="Процентный 4 2 17 11" xfId="48309"/>
    <cellStyle name="Обычный 5 2 17 11" xfId="48310"/>
    <cellStyle name="Процентный 5 2 17 11" xfId="48311"/>
    <cellStyle name="Обычный 6 14 11" xfId="48312"/>
    <cellStyle name="Процентный 6 14 11" xfId="48313"/>
    <cellStyle name="Обычный 4 31 11" xfId="48314"/>
    <cellStyle name="Процентный 4 31 11" xfId="48315"/>
    <cellStyle name="Обычный 5 24 11" xfId="48316"/>
    <cellStyle name="Процентный 5 24 11" xfId="48317"/>
    <cellStyle name="Обычный 4 2 18 11" xfId="48318"/>
    <cellStyle name="Процентный 4 2 18 11" xfId="48319"/>
    <cellStyle name="Обычный 5 2 18 11" xfId="48320"/>
    <cellStyle name="Процентный 5 2 18 11" xfId="48321"/>
    <cellStyle name="Обычный 6 15 11" xfId="48322"/>
    <cellStyle name="Процентный 6 15 11" xfId="48323"/>
    <cellStyle name="Обычный 4 32 11" xfId="48324"/>
    <cellStyle name="Процентный 4 32 11" xfId="48325"/>
    <cellStyle name="Обычный 5 25 11" xfId="48326"/>
    <cellStyle name="Процентный 5 25 11" xfId="48327"/>
    <cellStyle name="Обычный 4 2 19 11" xfId="48328"/>
    <cellStyle name="Процентный 4 2 19 11" xfId="48329"/>
    <cellStyle name="Обычный 5 2 19 11" xfId="48330"/>
    <cellStyle name="Процентный 5 2 19 11" xfId="48331"/>
    <cellStyle name="Обычный 6 16 11" xfId="48332"/>
    <cellStyle name="Процентный 6 16 11" xfId="48333"/>
    <cellStyle name="Обычный 4 33 11" xfId="48334"/>
    <cellStyle name="Процентный 4 33 11" xfId="48335"/>
    <cellStyle name="Обычный 5 26 11" xfId="48336"/>
    <cellStyle name="Процентный 5 26 11" xfId="48337"/>
    <cellStyle name="Обычный 4 2 20 11" xfId="48338"/>
    <cellStyle name="Процентный 4 2 20 11" xfId="48339"/>
    <cellStyle name="Обычный 5 2 20 11" xfId="48340"/>
    <cellStyle name="Процентный 5 2 20 11" xfId="48341"/>
    <cellStyle name="Обычный 6 17 11" xfId="48342"/>
    <cellStyle name="Процентный 6 17 11" xfId="48343"/>
    <cellStyle name="Обычный 4 34 11" xfId="48344"/>
    <cellStyle name="Процентный 4 34 11" xfId="48345"/>
    <cellStyle name="Обычный 5 27 11" xfId="48346"/>
    <cellStyle name="Процентный 5 27 11" xfId="48347"/>
    <cellStyle name="Обычный 4 2 21 11" xfId="48348"/>
    <cellStyle name="Процентный 4 2 21 11" xfId="48349"/>
    <cellStyle name="Обычный 5 2 21 11" xfId="48350"/>
    <cellStyle name="Процентный 5 2 21 11" xfId="48351"/>
    <cellStyle name="Обычный 6 18 11" xfId="48352"/>
    <cellStyle name="Процентный 6 18 11" xfId="48353"/>
    <cellStyle name="Обычный 4 35 11" xfId="48354"/>
    <cellStyle name="Процентный 4 35 11" xfId="48355"/>
    <cellStyle name="Обычный 5 28 11" xfId="48356"/>
    <cellStyle name="Процентный 5 28 11" xfId="48357"/>
    <cellStyle name="Обычный 4 2 22 11" xfId="48358"/>
    <cellStyle name="Процентный 4 2 22 11" xfId="48359"/>
    <cellStyle name="Обычный 5 2 22 11" xfId="48360"/>
    <cellStyle name="Процентный 5 2 22 11" xfId="48361"/>
    <cellStyle name="Обычный 6 19 11" xfId="48362"/>
    <cellStyle name="Процентный 6 19 11" xfId="48363"/>
    <cellStyle name="Обычный 4 36 11" xfId="48364"/>
    <cellStyle name="Процентный 4 36 11" xfId="48365"/>
    <cellStyle name="Обычный 5 29 11" xfId="48366"/>
    <cellStyle name="Процентный 5 29 11" xfId="48367"/>
    <cellStyle name="Обычный 4 2 23 11" xfId="48368"/>
    <cellStyle name="Процентный 4 2 23 11" xfId="48369"/>
    <cellStyle name="Обычный 5 2 23 11" xfId="48370"/>
    <cellStyle name="Процентный 5 2 23 11" xfId="48371"/>
    <cellStyle name="Обычный 6 20 11" xfId="48372"/>
    <cellStyle name="Процентный 6 20 11" xfId="48373"/>
    <cellStyle name="Обычный 4 37 11" xfId="48374"/>
    <cellStyle name="Процентный 4 37 11" xfId="48375"/>
    <cellStyle name="Обычный 5 30 11" xfId="48376"/>
    <cellStyle name="Процентный 5 30 11" xfId="48377"/>
    <cellStyle name="Обычный 4 2 24 11" xfId="48378"/>
    <cellStyle name="Процентный 4 2 24 11" xfId="48379"/>
    <cellStyle name="Обычный 5 2 24 11" xfId="48380"/>
    <cellStyle name="Процентный 5 2 24 11" xfId="48381"/>
    <cellStyle name="Обычный 6 21 11" xfId="48382"/>
    <cellStyle name="Процентный 6 21 11" xfId="48383"/>
    <cellStyle name="Обычный 4 38 11" xfId="48384"/>
    <cellStyle name="Процентный 4 38 11" xfId="48385"/>
    <cellStyle name="Обычный 5 31 11" xfId="48386"/>
    <cellStyle name="Процентный 5 31 11" xfId="48387"/>
    <cellStyle name="Обычный 4 2 25 11" xfId="48388"/>
    <cellStyle name="Процентный 4 2 25 11" xfId="48389"/>
    <cellStyle name="Обычный 5 2 25 11" xfId="48390"/>
    <cellStyle name="Процентный 5 2 25 11" xfId="48391"/>
    <cellStyle name="Обычный 6 22 11" xfId="48392"/>
    <cellStyle name="Процентный 6 22 11" xfId="48393"/>
    <cellStyle name="Обычный 4 39 11" xfId="48394"/>
    <cellStyle name="Процентный 4 39 11" xfId="48395"/>
    <cellStyle name="Обычный 5 32 11" xfId="48396"/>
    <cellStyle name="Процентный 5 32 11" xfId="48397"/>
    <cellStyle name="Обычный 4 2 26 11" xfId="48398"/>
    <cellStyle name="Процентный 4 2 26 11" xfId="48399"/>
    <cellStyle name="Обычный 5 2 26 11" xfId="48400"/>
    <cellStyle name="Процентный 5 2 26 11" xfId="48401"/>
    <cellStyle name="Обычный 6 23 11" xfId="48402"/>
    <cellStyle name="Процентный 6 23 11" xfId="48403"/>
    <cellStyle name="Обычный 4 40 11" xfId="48404"/>
    <cellStyle name="Процентный 4 40 11" xfId="48405"/>
    <cellStyle name="Обычный 5 33 11" xfId="48406"/>
    <cellStyle name="Процентный 5 33 11" xfId="48407"/>
    <cellStyle name="Обычный 4 2 27 11" xfId="48408"/>
    <cellStyle name="Процентный 4 2 27 11" xfId="48409"/>
    <cellStyle name="Обычный 5 2 27 11" xfId="48410"/>
    <cellStyle name="Процентный 5 2 27 11" xfId="48411"/>
    <cellStyle name="Обычный 6 24 11" xfId="48412"/>
    <cellStyle name="Процентный 6 24 11" xfId="48413"/>
    <cellStyle name="Обычный 4 41 11" xfId="48414"/>
    <cellStyle name="Процентный 4 41 11" xfId="48415"/>
    <cellStyle name="Обычный 5 34 11" xfId="48416"/>
    <cellStyle name="Процентный 5 34 11" xfId="48417"/>
    <cellStyle name="Обычный 4 2 28 11" xfId="48418"/>
    <cellStyle name="Процентный 4 2 28 11" xfId="48419"/>
    <cellStyle name="Обычный 5 2 28 11" xfId="48420"/>
    <cellStyle name="Процентный 5 2 28 11" xfId="48421"/>
    <cellStyle name="Обычный 6 25 11" xfId="48422"/>
    <cellStyle name="Процентный 6 25 11" xfId="48423"/>
    <cellStyle name="Обычный 4 42 11" xfId="48424"/>
    <cellStyle name="Процентный 4 42 11" xfId="48425"/>
    <cellStyle name="Обычный 5 35 11" xfId="48426"/>
    <cellStyle name="Процентный 5 35 11" xfId="48427"/>
    <cellStyle name="Обычный 4 2 29 11" xfId="48428"/>
    <cellStyle name="Процентный 4 2 29 11" xfId="48429"/>
    <cellStyle name="Обычный 5 2 29 11" xfId="48430"/>
    <cellStyle name="Процентный 5 2 29 11" xfId="48431"/>
    <cellStyle name="Обычный 6 26 11" xfId="48432"/>
    <cellStyle name="Процентный 6 26 11" xfId="48433"/>
    <cellStyle name="Обычный 4 43 11" xfId="48434"/>
    <cellStyle name="Процентный 4 43 11" xfId="48435"/>
    <cellStyle name="Обычный 5 36 11" xfId="48436"/>
    <cellStyle name="Процентный 5 36 11" xfId="48437"/>
    <cellStyle name="Обычный 4 2 30 11" xfId="48438"/>
    <cellStyle name="Процентный 4 2 30 11" xfId="48439"/>
    <cellStyle name="Обычный 5 2 30 11" xfId="48440"/>
    <cellStyle name="Процентный 5 2 30 11" xfId="48441"/>
    <cellStyle name="Обычный 6 27 11" xfId="48442"/>
    <cellStyle name="Процентный 6 27 11" xfId="48443"/>
    <cellStyle name="Обычный 4 44 11" xfId="48444"/>
    <cellStyle name="Процентный 4 44 11" xfId="48445"/>
    <cellStyle name="Обычный 5 37 11" xfId="48446"/>
    <cellStyle name="Процентный 5 37 11" xfId="48447"/>
    <cellStyle name="Обычный 4 2 31 11" xfId="48448"/>
    <cellStyle name="Процентный 4 2 31 11" xfId="48449"/>
    <cellStyle name="Обычный 5 2 31 11" xfId="48450"/>
    <cellStyle name="Процентный 5 2 31 11" xfId="48451"/>
    <cellStyle name="Обычный 6 28 11" xfId="48452"/>
    <cellStyle name="Процентный 6 28 11" xfId="48453"/>
    <cellStyle name="Обычный 4 45 11" xfId="48454"/>
    <cellStyle name="Процентный 4 45 11" xfId="48455"/>
    <cellStyle name="Обычный 5 38 11" xfId="48456"/>
    <cellStyle name="Процентный 5 38 11" xfId="48457"/>
    <cellStyle name="Обычный 4 2 32 11" xfId="48458"/>
    <cellStyle name="Процентный 4 2 32 11" xfId="48459"/>
    <cellStyle name="Обычный 5 2 32 11" xfId="48460"/>
    <cellStyle name="Процентный 5 2 32 11" xfId="48461"/>
    <cellStyle name="Обычный 6 29 11" xfId="48462"/>
    <cellStyle name="Процентный 6 29 11" xfId="48463"/>
    <cellStyle name="Обычный 4 46 11" xfId="48464"/>
    <cellStyle name="Процентный 4 46 11" xfId="48465"/>
    <cellStyle name="Обычный 5 39 11" xfId="48466"/>
    <cellStyle name="Процентный 5 39 11" xfId="48467"/>
    <cellStyle name="Обычный 4 2 33 11" xfId="48468"/>
    <cellStyle name="Процентный 4 2 33 11" xfId="48469"/>
    <cellStyle name="Обычный 5 2 33 11" xfId="48470"/>
    <cellStyle name="Процентный 5 2 33 11" xfId="48471"/>
    <cellStyle name="Обычный 6 30 11" xfId="48472"/>
    <cellStyle name="Процентный 6 30 11" xfId="48473"/>
    <cellStyle name="Обычный 4 47 11" xfId="48474"/>
    <cellStyle name="Процентный 4 47 11" xfId="48475"/>
    <cellStyle name="Обычный 5 40 11" xfId="48476"/>
    <cellStyle name="Процентный 5 40 11" xfId="48477"/>
    <cellStyle name="Обычный 4 2 34 11" xfId="48478"/>
    <cellStyle name="Процентный 4 2 34 11" xfId="48479"/>
    <cellStyle name="Обычный 5 2 34 11" xfId="48480"/>
    <cellStyle name="Процентный 5 2 34 11" xfId="48481"/>
    <cellStyle name="Обычный 6 31 11" xfId="48482"/>
    <cellStyle name="Процентный 6 31 11" xfId="48483"/>
    <cellStyle name="Обычный 7 165" xfId="48484"/>
    <cellStyle name="Процентный 7 165" xfId="48485"/>
    <cellStyle name="Обычный 4 48 11" xfId="48486"/>
    <cellStyle name="Процентный 4 48 11" xfId="48487"/>
    <cellStyle name="Обычный 5 41 11" xfId="48488"/>
    <cellStyle name="Процентный 5 41 11" xfId="48489"/>
    <cellStyle name="Обычный 4 2 35 11" xfId="48490"/>
    <cellStyle name="Процентный 4 2 35 11" xfId="48491"/>
    <cellStyle name="Обычный 5 2 35 11" xfId="48492"/>
    <cellStyle name="Процентный 5 2 35 11" xfId="48493"/>
    <cellStyle name="Обычный 6 32 11" xfId="48494"/>
    <cellStyle name="Процентный 6 32 11" xfId="48495"/>
    <cellStyle name="Обычный 7 2 157" xfId="48496"/>
    <cellStyle name="Процентный 7 2 157" xfId="48497"/>
    <cellStyle name="Обычный 4 49 11" xfId="48498"/>
    <cellStyle name="Процентный 4 49 11" xfId="48499"/>
    <cellStyle name="Обычный 5 42 11" xfId="48500"/>
    <cellStyle name="Процентный 5 42 11" xfId="48501"/>
    <cellStyle name="Обычный 4 2 36 11" xfId="48502"/>
    <cellStyle name="Процентный 4 2 36 11" xfId="48503"/>
    <cellStyle name="Обычный 5 2 36 11" xfId="48504"/>
    <cellStyle name="Процентный 5 2 36 11" xfId="48505"/>
    <cellStyle name="Обычный 6 33 11" xfId="48506"/>
    <cellStyle name="Процентный 6 33 11" xfId="48507"/>
    <cellStyle name="Обычный 7 3 11" xfId="48508"/>
    <cellStyle name="Процентный 7 3 11" xfId="48509"/>
    <cellStyle name="Обычный 4 50 11" xfId="48510"/>
    <cellStyle name="Процентный 4 50 11" xfId="48511"/>
    <cellStyle name="Обычный 5 43 11" xfId="48512"/>
    <cellStyle name="Процентный 5 43 11" xfId="48513"/>
    <cellStyle name="Обычный 4 2 37 11" xfId="48514"/>
    <cellStyle name="Процентный 4 2 37 11" xfId="48515"/>
    <cellStyle name="Обычный 5 2 37 11" xfId="48516"/>
    <cellStyle name="Процентный 5 2 37 11" xfId="48517"/>
    <cellStyle name="Обычный 6 34 11" xfId="48518"/>
    <cellStyle name="Процентный 6 34 11" xfId="48519"/>
    <cellStyle name="Обычный 7 4 11" xfId="48520"/>
    <cellStyle name="Процентный 7 4 11" xfId="48521"/>
    <cellStyle name="Обычный 4 51 11" xfId="48522"/>
    <cellStyle name="Процентный 4 51 11" xfId="48523"/>
    <cellStyle name="Обычный 5 44 11" xfId="48524"/>
    <cellStyle name="Процентный 5 44 11" xfId="48525"/>
    <cellStyle name="Обычный 4 2 38 11" xfId="48526"/>
    <cellStyle name="Процентный 4 2 38 11" xfId="48527"/>
    <cellStyle name="Обычный 5 2 38 11" xfId="48528"/>
    <cellStyle name="Процентный 5 2 38 11" xfId="48529"/>
    <cellStyle name="Обычный 6 35 11" xfId="48530"/>
    <cellStyle name="Процентный 6 35 11" xfId="48531"/>
    <cellStyle name="Обычный 7 5 11" xfId="48532"/>
    <cellStyle name="Процентный 7 5 11" xfId="48533"/>
    <cellStyle name="Обычный 4 52 11" xfId="48534"/>
    <cellStyle name="Процентный 4 52 11" xfId="48535"/>
    <cellStyle name="Обычный 5 45 11" xfId="48536"/>
    <cellStyle name="Процентный 5 45 11" xfId="48537"/>
    <cellStyle name="Обычный 4 2 39 11" xfId="48538"/>
    <cellStyle name="Процентный 4 2 39 11" xfId="48539"/>
    <cellStyle name="Обычный 5 2 39 11" xfId="48540"/>
    <cellStyle name="Процентный 5 2 39 11" xfId="48541"/>
    <cellStyle name="Обычный 6 36 11" xfId="48542"/>
    <cellStyle name="Процентный 6 36 11" xfId="48543"/>
    <cellStyle name="Обычный 7 6 11" xfId="48544"/>
    <cellStyle name="Процентный 7 6 11" xfId="48545"/>
    <cellStyle name="Обычный 4 53 11" xfId="48546"/>
    <cellStyle name="Процентный 4 53 11" xfId="48547"/>
    <cellStyle name="Обычный 5 46 11" xfId="48548"/>
    <cellStyle name="Процентный 5 46 11" xfId="48549"/>
    <cellStyle name="Обычный 4 2 40 11" xfId="48550"/>
    <cellStyle name="Процентный 4 2 40 11" xfId="48551"/>
    <cellStyle name="Обычный 5 2 40 11" xfId="48552"/>
    <cellStyle name="Процентный 5 2 40 11" xfId="48553"/>
    <cellStyle name="Обычный 6 37 11" xfId="48554"/>
    <cellStyle name="Процентный 6 37 11" xfId="48555"/>
    <cellStyle name="Обычный 7 7 11" xfId="48556"/>
    <cellStyle name="Процентный 7 7 11" xfId="48557"/>
    <cellStyle name="Обычный 4 54 11" xfId="48558"/>
    <cellStyle name="Процентный 4 54 11" xfId="48559"/>
    <cellStyle name="Обычный 5 47 11" xfId="48560"/>
    <cellStyle name="Процентный 5 47 11" xfId="48561"/>
    <cellStyle name="Обычный 4 2 41 11" xfId="48562"/>
    <cellStyle name="Процентный 4 2 41 11" xfId="48563"/>
    <cellStyle name="Обычный 5 2 41 11" xfId="48564"/>
    <cellStyle name="Процентный 5 2 41 11" xfId="48565"/>
    <cellStyle name="Обычный 6 38 11" xfId="48566"/>
    <cellStyle name="Процентный 6 38 11" xfId="48567"/>
    <cellStyle name="Обычный 7 8 11" xfId="48568"/>
    <cellStyle name="Процентный 7 8 11" xfId="48569"/>
    <cellStyle name="Обычный 4 55 11" xfId="48570"/>
    <cellStyle name="Процентный 4 55 11" xfId="48571"/>
    <cellStyle name="Обычный 5 48 11" xfId="48572"/>
    <cellStyle name="Процентный 5 48 11" xfId="48573"/>
    <cellStyle name="Обычный 4 2 42 11" xfId="48574"/>
    <cellStyle name="Процентный 4 2 42 11" xfId="48575"/>
    <cellStyle name="Обычный 5 2 42 11" xfId="48576"/>
    <cellStyle name="Процентный 5 2 42 11" xfId="48577"/>
    <cellStyle name="Обычный 6 39 11" xfId="48578"/>
    <cellStyle name="Процентный 6 39 11" xfId="48579"/>
    <cellStyle name="Обычный 7 9 11" xfId="48580"/>
    <cellStyle name="Процентный 7 9 11" xfId="48581"/>
    <cellStyle name="Обычный 3 3 10" xfId="48582"/>
    <cellStyle name="Обычный 4 56 10" xfId="48583"/>
    <cellStyle name="Процентный 4 56 10" xfId="48584"/>
    <cellStyle name="Обычный 4 2 43 10" xfId="48585"/>
    <cellStyle name="Процентный 4 2 43 10" xfId="48586"/>
    <cellStyle name="Обычный 4 3 2 10" xfId="48587"/>
    <cellStyle name="Процентный 4 3 2 10" xfId="48588"/>
    <cellStyle name="Обычный 5 49 10" xfId="48589"/>
    <cellStyle name="Процентный 5 49 10" xfId="48590"/>
    <cellStyle name="Обычный 4 4 2 10" xfId="48591"/>
    <cellStyle name="Процентный 4 4 2 10" xfId="48592"/>
    <cellStyle name="Обычный 4 5 2 10" xfId="48593"/>
    <cellStyle name="Процентный 4 5 2 10" xfId="48594"/>
    <cellStyle name="Обычный 4 6 2 10" xfId="48595"/>
    <cellStyle name="Процентный 4 6 2 10" xfId="48596"/>
    <cellStyle name="Обычный 4 7 2 10" xfId="48597"/>
    <cellStyle name="Процентный 4 7 2 10" xfId="48598"/>
    <cellStyle name="Обычный 4 8 2 10" xfId="48599"/>
    <cellStyle name="Процентный 4 8 2 10" xfId="48600"/>
    <cellStyle name="Обычный 4 9 2 10" xfId="48601"/>
    <cellStyle name="Процентный 4 9 2 10" xfId="48602"/>
    <cellStyle name="Обычный 5 2 43 10" xfId="48603"/>
    <cellStyle name="Процентный 5 2 43 10" xfId="48604"/>
    <cellStyle name="Обычный 4 10 2 10" xfId="48605"/>
    <cellStyle name="Процентный 4 10 2 10" xfId="48606"/>
    <cellStyle name="Обычный 5 3 2 10" xfId="48607"/>
    <cellStyle name="Процентный 5 3 2 10" xfId="48608"/>
    <cellStyle name="Обычный 4 11 2 10" xfId="48609"/>
    <cellStyle name="Процентный 4 11 2 10" xfId="48610"/>
    <cellStyle name="Обычный 5 4 2 10" xfId="48611"/>
    <cellStyle name="Процентный 5 4 2 10" xfId="48612"/>
    <cellStyle name="Обычный 4 12 2 10" xfId="48613"/>
    <cellStyle name="Процентный 4 12 2 10" xfId="48614"/>
    <cellStyle name="Обычный 5 5 2 10" xfId="48615"/>
    <cellStyle name="Процентный 5 5 2 10" xfId="48616"/>
    <cellStyle name="Обычный 4 13 2 10" xfId="48617"/>
    <cellStyle name="Процентный 4 13 2 10" xfId="48618"/>
    <cellStyle name="Обычный 5 6 2 10" xfId="48619"/>
    <cellStyle name="Процентный 5 6 2 10" xfId="48620"/>
    <cellStyle name="Обычный 4 14 2 10" xfId="48621"/>
    <cellStyle name="Процентный 4 14 2 10" xfId="48622"/>
    <cellStyle name="Обычный 5 7 2 10" xfId="48623"/>
    <cellStyle name="Процентный 5 7 2 10" xfId="48624"/>
    <cellStyle name="Обычный 4 15 2 10" xfId="48625"/>
    <cellStyle name="Процентный 4 15 2 10" xfId="48626"/>
    <cellStyle name="Обычный 5 8 2 10" xfId="48627"/>
    <cellStyle name="Процентный 5 8 2 10" xfId="48628"/>
    <cellStyle name="Обычный 4 2 2 2 10" xfId="48629"/>
    <cellStyle name="Процентный 4 2 2 2 10" xfId="48630"/>
    <cellStyle name="Обычный 5 2 2 2 10" xfId="48631"/>
    <cellStyle name="Процентный 5 2 2 2 10" xfId="48632"/>
    <cellStyle name="Обычный 4 16 2 10" xfId="48633"/>
    <cellStyle name="Процентный 4 16 2 10" xfId="48634"/>
    <cellStyle name="Обычный 5 9 2 10" xfId="48635"/>
    <cellStyle name="Процентный 5 9 2 10" xfId="48636"/>
    <cellStyle name="Обычный 4 2 3 2 10" xfId="48637"/>
    <cellStyle name="Процентный 4 2 3 2 10" xfId="48638"/>
    <cellStyle name="Обычный 5 2 3 2 10" xfId="48639"/>
    <cellStyle name="Процентный 5 2 3 2 10" xfId="48640"/>
    <cellStyle name="Обычный 4 17 2 10" xfId="48641"/>
    <cellStyle name="Процентный 4 17 2 10" xfId="48642"/>
    <cellStyle name="Обычный 5 10 2 10" xfId="48643"/>
    <cellStyle name="Процентный 5 10 2 10" xfId="48644"/>
    <cellStyle name="Обычный 4 2 4 2 10" xfId="48645"/>
    <cellStyle name="Процентный 4 2 4 2 10" xfId="48646"/>
    <cellStyle name="Обычный 5 2 4 2 10" xfId="48647"/>
    <cellStyle name="Процентный 5 2 4 2 10" xfId="48648"/>
    <cellStyle name="Обычный 6 40 10" xfId="48649"/>
    <cellStyle name="Процентный 6 40 10" xfId="48650"/>
    <cellStyle name="Обычный 4 18 2 10" xfId="48651"/>
    <cellStyle name="Процентный 4 18 2 10" xfId="48652"/>
    <cellStyle name="Обычный 5 11 2 10" xfId="48653"/>
    <cellStyle name="Процентный 5 11 2 10" xfId="48654"/>
    <cellStyle name="Обычный 4 2 5 2 10" xfId="48655"/>
    <cellStyle name="Процентный 4 2 5 2 10" xfId="48656"/>
    <cellStyle name="Обычный 5 2 5 2 10" xfId="48657"/>
    <cellStyle name="Процентный 5 2 5 2 10" xfId="48658"/>
    <cellStyle name="Обычный 6 2 2 10" xfId="48659"/>
    <cellStyle name="Процентный 6 2 2 10" xfId="48660"/>
    <cellStyle name="Обычный 4 19 2 10" xfId="48661"/>
    <cellStyle name="Процентный 4 19 2 10" xfId="48662"/>
    <cellStyle name="Обычный 5 12 2 10" xfId="48663"/>
    <cellStyle name="Процентный 5 12 2 10" xfId="48664"/>
    <cellStyle name="Обычный 4 2 6 2 10" xfId="48665"/>
    <cellStyle name="Процентный 4 2 6 2 10" xfId="48666"/>
    <cellStyle name="Обычный 5 2 6 2 10" xfId="48667"/>
    <cellStyle name="Процентный 5 2 6 2 10" xfId="48668"/>
    <cellStyle name="Обычный 6 3 2 10" xfId="48669"/>
    <cellStyle name="Процентный 6 3 2 10" xfId="48670"/>
    <cellStyle name="Обычный 4 20 2 10" xfId="48671"/>
    <cellStyle name="Процентный 4 20 2 10" xfId="48672"/>
    <cellStyle name="Обычный 5 13 2 10" xfId="48673"/>
    <cellStyle name="Процентный 5 13 2 10" xfId="48674"/>
    <cellStyle name="Обычный 4 2 7 2 10" xfId="48675"/>
    <cellStyle name="Процентный 4 2 7 2 10" xfId="48676"/>
    <cellStyle name="Обычный 5 2 7 2 10" xfId="48677"/>
    <cellStyle name="Процентный 5 2 7 2 10" xfId="48678"/>
    <cellStyle name="Обычный 6 4 2 10" xfId="48679"/>
    <cellStyle name="Процентный 6 4 2 10" xfId="48680"/>
    <cellStyle name="Обычный 4 21 2 10" xfId="48681"/>
    <cellStyle name="Процентный 4 21 2 10" xfId="48682"/>
    <cellStyle name="Обычный 5 14 2 10" xfId="48683"/>
    <cellStyle name="Процентный 5 14 2 10" xfId="48684"/>
    <cellStyle name="Обычный 4 2 8 2 10" xfId="48685"/>
    <cellStyle name="Процентный 4 2 8 2 10" xfId="48686"/>
    <cellStyle name="Обычный 5 2 8 2 10" xfId="48687"/>
    <cellStyle name="Процентный 5 2 8 2 10" xfId="48688"/>
    <cellStyle name="Обычный 6 5 2 10" xfId="48689"/>
    <cellStyle name="Процентный 6 5 2 10" xfId="48690"/>
    <cellStyle name="Обычный 4 22 2 10" xfId="48691"/>
    <cellStyle name="Процентный 4 22 2 10" xfId="48692"/>
    <cellStyle name="Обычный 5 15 2 10" xfId="48693"/>
    <cellStyle name="Процентный 5 15 2 10" xfId="48694"/>
    <cellStyle name="Обычный 4 2 9 2 10" xfId="48695"/>
    <cellStyle name="Процентный 4 2 9 2 10" xfId="48696"/>
    <cellStyle name="Обычный 5 2 9 2 10" xfId="48697"/>
    <cellStyle name="Процентный 5 2 9 2 10" xfId="48698"/>
    <cellStyle name="Обычный 6 6 2 10" xfId="48699"/>
    <cellStyle name="Процентный 6 6 2 10" xfId="48700"/>
    <cellStyle name="Обычный 4 23 2 10" xfId="48701"/>
    <cellStyle name="Процентный 4 23 2 10" xfId="48702"/>
    <cellStyle name="Обычный 5 16 2 10" xfId="48703"/>
    <cellStyle name="Процентный 5 16 2 10" xfId="48704"/>
    <cellStyle name="Обычный 4 2 10 2 10" xfId="48705"/>
    <cellStyle name="Процентный 4 2 10 2 10" xfId="48706"/>
    <cellStyle name="Обычный 5 2 10 2 10" xfId="48707"/>
    <cellStyle name="Процентный 5 2 10 2 10" xfId="48708"/>
    <cellStyle name="Обычный 6 7 2 10" xfId="48709"/>
    <cellStyle name="Процентный 6 7 2 10" xfId="48710"/>
    <cellStyle name="Обычный 4 24 2 10" xfId="48711"/>
    <cellStyle name="Процентный 4 24 2 10" xfId="48712"/>
    <cellStyle name="Обычный 5 17 2 10" xfId="48713"/>
    <cellStyle name="Процентный 5 17 2 10" xfId="48714"/>
    <cellStyle name="Обычный 4 2 11 2 10" xfId="48715"/>
    <cellStyle name="Процентный 4 2 11 2 10" xfId="48716"/>
    <cellStyle name="Обычный 5 2 11 2 10" xfId="48717"/>
    <cellStyle name="Процентный 5 2 11 2 10" xfId="48718"/>
    <cellStyle name="Обычный 6 8 2 10" xfId="48719"/>
    <cellStyle name="Процентный 6 8 2 10" xfId="48720"/>
    <cellStyle name="Обычный 4 25 2 10" xfId="48721"/>
    <cellStyle name="Процентный 4 25 2 10" xfId="48722"/>
    <cellStyle name="Обычный 5 18 2 10" xfId="48723"/>
    <cellStyle name="Процентный 5 18 2 10" xfId="48724"/>
    <cellStyle name="Обычный 4 2 12 2 10" xfId="48725"/>
    <cellStyle name="Процентный 4 2 12 2 10" xfId="48726"/>
    <cellStyle name="Обычный 5 2 12 2 10" xfId="48727"/>
    <cellStyle name="Процентный 5 2 12 2 10" xfId="48728"/>
    <cellStyle name="Обычный 6 9 2 10" xfId="48729"/>
    <cellStyle name="Процентный 6 9 2 10" xfId="48730"/>
    <cellStyle name="Обычный 4 26 2 10" xfId="48731"/>
    <cellStyle name="Процентный 4 26 2 10" xfId="48732"/>
    <cellStyle name="Обычный 5 19 2 10" xfId="48733"/>
    <cellStyle name="Процентный 5 19 2 10" xfId="48734"/>
    <cellStyle name="Обычный 4 2 13 2 10" xfId="48735"/>
    <cellStyle name="Процентный 4 2 13 2 10" xfId="48736"/>
    <cellStyle name="Обычный 5 2 13 2 10" xfId="48737"/>
    <cellStyle name="Процентный 5 2 13 2 10" xfId="48738"/>
    <cellStyle name="Обычный 6 10 2 10" xfId="48739"/>
    <cellStyle name="Процентный 6 10 2 10" xfId="48740"/>
    <cellStyle name="Обычный 4 27 2 10" xfId="48741"/>
    <cellStyle name="Процентный 4 27 2 10" xfId="48742"/>
    <cellStyle name="Обычный 5 20 2 10" xfId="48743"/>
    <cellStyle name="Процентный 5 20 2 10" xfId="48744"/>
    <cellStyle name="Обычный 4 2 14 2 10" xfId="48745"/>
    <cellStyle name="Процентный 4 2 14 2 10" xfId="48746"/>
    <cellStyle name="Обычный 5 2 14 2 10" xfId="48747"/>
    <cellStyle name="Процентный 5 2 14 2 10" xfId="48748"/>
    <cellStyle name="Обычный 6 11 2 10" xfId="48749"/>
    <cellStyle name="Процентный 6 11 2 10" xfId="48750"/>
    <cellStyle name="Обычный 4 28 2 10" xfId="48751"/>
    <cellStyle name="Процентный 4 28 2 10" xfId="48752"/>
    <cellStyle name="Обычный 5 21 2 10" xfId="48753"/>
    <cellStyle name="Процентный 5 21 2 10" xfId="48754"/>
    <cellStyle name="Обычный 4 2 15 2 10" xfId="48755"/>
    <cellStyle name="Процентный 4 2 15 2 10" xfId="48756"/>
    <cellStyle name="Обычный 5 2 15 2 10" xfId="48757"/>
    <cellStyle name="Процентный 5 2 15 2 10" xfId="48758"/>
    <cellStyle name="Обычный 6 12 2 10" xfId="48759"/>
    <cellStyle name="Процентный 6 12 2 10" xfId="48760"/>
    <cellStyle name="Обычный 4 29 2 10" xfId="48761"/>
    <cellStyle name="Процентный 4 29 2 10" xfId="48762"/>
    <cellStyle name="Обычный 5 22 2 10" xfId="48763"/>
    <cellStyle name="Процентный 5 22 2 10" xfId="48764"/>
    <cellStyle name="Обычный 4 2 16 2 10" xfId="48765"/>
    <cellStyle name="Процентный 4 2 16 2 10" xfId="48766"/>
    <cellStyle name="Обычный 5 2 16 2 10" xfId="48767"/>
    <cellStyle name="Процентный 5 2 16 2 10" xfId="48768"/>
    <cellStyle name="Обычный 6 13 2 10" xfId="48769"/>
    <cellStyle name="Процентный 6 13 2 10" xfId="48770"/>
    <cellStyle name="Обычный 4 30 2 10" xfId="48771"/>
    <cellStyle name="Процентный 4 30 2 10" xfId="48772"/>
    <cellStyle name="Обычный 5 23 2 10" xfId="48773"/>
    <cellStyle name="Процентный 5 23 2 10" xfId="48774"/>
    <cellStyle name="Обычный 4 2 17 2 10" xfId="48775"/>
    <cellStyle name="Процентный 4 2 17 2 10" xfId="48776"/>
    <cellStyle name="Обычный 5 2 17 2 10" xfId="48777"/>
    <cellStyle name="Процентный 5 2 17 2 10" xfId="48778"/>
    <cellStyle name="Обычный 6 14 2 10" xfId="48779"/>
    <cellStyle name="Процентный 6 14 2 10" xfId="48780"/>
    <cellStyle name="Обычный 4 31 2 10" xfId="48781"/>
    <cellStyle name="Процентный 4 31 2 10" xfId="48782"/>
    <cellStyle name="Обычный 5 24 2 10" xfId="48783"/>
    <cellStyle name="Процентный 5 24 2 10" xfId="48784"/>
    <cellStyle name="Обычный 4 2 18 2 10" xfId="48785"/>
    <cellStyle name="Процентный 4 2 18 2 10" xfId="48786"/>
    <cellStyle name="Обычный 5 2 18 2 10" xfId="48787"/>
    <cellStyle name="Процентный 5 2 18 2 10" xfId="48788"/>
    <cellStyle name="Обычный 6 15 2 10" xfId="48789"/>
    <cellStyle name="Процентный 6 15 2 10" xfId="48790"/>
    <cellStyle name="Обычный 4 32 2 10" xfId="48791"/>
    <cellStyle name="Процентный 4 32 2 10" xfId="48792"/>
    <cellStyle name="Обычный 5 25 2 10" xfId="48793"/>
    <cellStyle name="Процентный 5 25 2 10" xfId="48794"/>
    <cellStyle name="Обычный 4 2 19 2 10" xfId="48795"/>
    <cellStyle name="Процентный 4 2 19 2 10" xfId="48796"/>
    <cellStyle name="Обычный 5 2 19 2 10" xfId="48797"/>
    <cellStyle name="Процентный 5 2 19 2 10" xfId="48798"/>
    <cellStyle name="Обычный 6 16 2 10" xfId="48799"/>
    <cellStyle name="Процентный 6 16 2 10" xfId="48800"/>
    <cellStyle name="Обычный 4 33 2 10" xfId="48801"/>
    <cellStyle name="Процентный 4 33 2 10" xfId="48802"/>
    <cellStyle name="Обычный 5 26 2 10" xfId="48803"/>
    <cellStyle name="Процентный 5 26 2 10" xfId="48804"/>
    <cellStyle name="Обычный 4 2 20 2 10" xfId="48805"/>
    <cellStyle name="Процентный 4 2 20 2 10" xfId="48806"/>
    <cellStyle name="Обычный 5 2 20 2 10" xfId="48807"/>
    <cellStyle name="Процентный 5 2 20 2 10" xfId="48808"/>
    <cellStyle name="Обычный 6 17 2 10" xfId="48809"/>
    <cellStyle name="Процентный 6 17 2 10" xfId="48810"/>
    <cellStyle name="Обычный 4 34 2 10" xfId="48811"/>
    <cellStyle name="Процентный 4 34 2 10" xfId="48812"/>
    <cellStyle name="Обычный 5 27 2 10" xfId="48813"/>
    <cellStyle name="Процентный 5 27 2 10" xfId="48814"/>
    <cellStyle name="Обычный 4 2 21 2 10" xfId="48815"/>
    <cellStyle name="Процентный 4 2 21 2 10" xfId="48816"/>
    <cellStyle name="Обычный 5 2 21 2 10" xfId="48817"/>
    <cellStyle name="Процентный 5 2 21 2 10" xfId="48818"/>
    <cellStyle name="Обычный 6 18 2 10" xfId="48819"/>
    <cellStyle name="Процентный 6 18 2 10" xfId="48820"/>
    <cellStyle name="Обычный 4 35 2 10" xfId="48821"/>
    <cellStyle name="Процентный 4 35 2 10" xfId="48822"/>
    <cellStyle name="Обычный 5 28 2 10" xfId="48823"/>
    <cellStyle name="Процентный 5 28 2 10" xfId="48824"/>
    <cellStyle name="Обычный 4 2 22 2 10" xfId="48825"/>
    <cellStyle name="Процентный 4 2 22 2 10" xfId="48826"/>
    <cellStyle name="Обычный 5 2 22 2 10" xfId="48827"/>
    <cellStyle name="Процентный 5 2 22 2 10" xfId="48828"/>
    <cellStyle name="Обычный 6 19 2 10" xfId="48829"/>
    <cellStyle name="Процентный 6 19 2 10" xfId="48830"/>
    <cellStyle name="Обычный 4 36 2 10" xfId="48831"/>
    <cellStyle name="Процентный 4 36 2 10" xfId="48832"/>
    <cellStyle name="Обычный 5 29 2 10" xfId="48833"/>
    <cellStyle name="Процентный 5 29 2 10" xfId="48834"/>
    <cellStyle name="Обычный 4 2 23 2 10" xfId="48835"/>
    <cellStyle name="Процентный 4 2 23 2 10" xfId="48836"/>
    <cellStyle name="Обычный 5 2 23 2 10" xfId="48837"/>
    <cellStyle name="Процентный 5 2 23 2 10" xfId="48838"/>
    <cellStyle name="Обычный 6 20 2 10" xfId="48839"/>
    <cellStyle name="Процентный 6 20 2 10" xfId="48840"/>
    <cellStyle name="Обычный 4 37 2 10" xfId="48841"/>
    <cellStyle name="Процентный 4 37 2 10" xfId="48842"/>
    <cellStyle name="Обычный 5 30 2 10" xfId="48843"/>
    <cellStyle name="Процентный 5 30 2 10" xfId="48844"/>
    <cellStyle name="Обычный 4 2 24 2 10" xfId="48845"/>
    <cellStyle name="Процентный 4 2 24 2 10" xfId="48846"/>
    <cellStyle name="Обычный 5 2 24 2 10" xfId="48847"/>
    <cellStyle name="Процентный 5 2 24 2 10" xfId="48848"/>
    <cellStyle name="Обычный 6 21 2 10" xfId="48849"/>
    <cellStyle name="Процентный 6 21 2 10" xfId="48850"/>
    <cellStyle name="Обычный 4 38 2 10" xfId="48851"/>
    <cellStyle name="Процентный 4 38 2 10" xfId="48852"/>
    <cellStyle name="Обычный 5 31 2 10" xfId="48853"/>
    <cellStyle name="Процентный 5 31 2 10" xfId="48854"/>
    <cellStyle name="Обычный 4 2 25 2 10" xfId="48855"/>
    <cellStyle name="Процентный 4 2 25 2 10" xfId="48856"/>
    <cellStyle name="Обычный 5 2 25 2 10" xfId="48857"/>
    <cellStyle name="Процентный 5 2 25 2 10" xfId="48858"/>
    <cellStyle name="Обычный 6 22 2 10" xfId="48859"/>
    <cellStyle name="Процентный 6 22 2 10" xfId="48860"/>
    <cellStyle name="Обычный 4 39 2 10" xfId="48861"/>
    <cellStyle name="Процентный 4 39 2 10" xfId="48862"/>
    <cellStyle name="Обычный 5 32 2 10" xfId="48863"/>
    <cellStyle name="Процентный 5 32 2 10" xfId="48864"/>
    <cellStyle name="Обычный 4 2 26 2 10" xfId="48865"/>
    <cellStyle name="Процентный 4 2 26 2 10" xfId="48866"/>
    <cellStyle name="Обычный 5 2 26 2 10" xfId="48867"/>
    <cellStyle name="Процентный 5 2 26 2 10" xfId="48868"/>
    <cellStyle name="Обычный 6 23 2 10" xfId="48869"/>
    <cellStyle name="Процентный 6 23 2 10" xfId="48870"/>
    <cellStyle name="Обычный 4 40 2 10" xfId="48871"/>
    <cellStyle name="Процентный 4 40 2 10" xfId="48872"/>
    <cellStyle name="Обычный 5 33 2 10" xfId="48873"/>
    <cellStyle name="Процентный 5 33 2 10" xfId="48874"/>
    <cellStyle name="Обычный 4 2 27 2 10" xfId="48875"/>
    <cellStyle name="Процентный 4 2 27 2 10" xfId="48876"/>
    <cellStyle name="Обычный 5 2 27 2 10" xfId="48877"/>
    <cellStyle name="Процентный 5 2 27 2 10" xfId="48878"/>
    <cellStyle name="Обычный 6 24 2 10" xfId="48879"/>
    <cellStyle name="Процентный 6 24 2 10" xfId="48880"/>
    <cellStyle name="Обычный 4 41 2 10" xfId="48881"/>
    <cellStyle name="Процентный 4 41 2 10" xfId="48882"/>
    <cellStyle name="Обычный 5 34 2 10" xfId="48883"/>
    <cellStyle name="Процентный 5 34 2 10" xfId="48884"/>
    <cellStyle name="Обычный 4 2 28 2 10" xfId="48885"/>
    <cellStyle name="Процентный 4 2 28 2 10" xfId="48886"/>
    <cellStyle name="Обычный 5 2 28 2 10" xfId="48887"/>
    <cellStyle name="Процентный 5 2 28 2 10" xfId="48888"/>
    <cellStyle name="Обычный 6 25 2 10" xfId="48889"/>
    <cellStyle name="Процентный 6 25 2 10" xfId="48890"/>
    <cellStyle name="Обычный 4 42 2 10" xfId="48891"/>
    <cellStyle name="Процентный 4 42 2 10" xfId="48892"/>
    <cellStyle name="Обычный 5 35 2 10" xfId="48893"/>
    <cellStyle name="Процентный 5 35 2 10" xfId="48894"/>
    <cellStyle name="Обычный 4 2 29 2 10" xfId="48895"/>
    <cellStyle name="Процентный 4 2 29 2 10" xfId="48896"/>
    <cellStyle name="Обычный 5 2 29 2 10" xfId="48897"/>
    <cellStyle name="Процентный 5 2 29 2 10" xfId="48898"/>
    <cellStyle name="Обычный 6 26 2 10" xfId="48899"/>
    <cellStyle name="Процентный 6 26 2 10" xfId="48900"/>
    <cellStyle name="Обычный 4 43 2 10" xfId="48901"/>
    <cellStyle name="Процентный 4 43 2 10" xfId="48902"/>
    <cellStyle name="Обычный 5 36 2 10" xfId="48903"/>
    <cellStyle name="Процентный 5 36 2 10" xfId="48904"/>
    <cellStyle name="Обычный 4 2 30 2 10" xfId="48905"/>
    <cellStyle name="Процентный 4 2 30 2 10" xfId="48906"/>
    <cellStyle name="Обычный 5 2 30 2 10" xfId="48907"/>
    <cellStyle name="Процентный 5 2 30 2 10" xfId="48908"/>
    <cellStyle name="Обычный 6 27 2 10" xfId="48909"/>
    <cellStyle name="Процентный 6 27 2 10" xfId="48910"/>
    <cellStyle name="Обычный 4 44 2 10" xfId="48911"/>
    <cellStyle name="Процентный 4 44 2 10" xfId="48912"/>
    <cellStyle name="Обычный 5 37 2 10" xfId="48913"/>
    <cellStyle name="Процентный 5 37 2 10" xfId="48914"/>
    <cellStyle name="Обычный 4 2 31 2 10" xfId="48915"/>
    <cellStyle name="Процентный 4 2 31 2 10" xfId="48916"/>
    <cellStyle name="Обычный 5 2 31 2 10" xfId="48917"/>
    <cellStyle name="Процентный 5 2 31 2 10" xfId="48918"/>
    <cellStyle name="Обычный 6 28 2 10" xfId="48919"/>
    <cellStyle name="Процентный 6 28 2 10" xfId="48920"/>
    <cellStyle name="Обычный 4 45 2 10" xfId="48921"/>
    <cellStyle name="Процентный 4 45 2 10" xfId="48922"/>
    <cellStyle name="Обычный 5 38 2 10" xfId="48923"/>
    <cellStyle name="Процентный 5 38 2 10" xfId="48924"/>
    <cellStyle name="Обычный 4 2 32 2 10" xfId="48925"/>
    <cellStyle name="Процентный 4 2 32 2 10" xfId="48926"/>
    <cellStyle name="Обычный 5 2 32 2 10" xfId="48927"/>
    <cellStyle name="Процентный 5 2 32 2 10" xfId="48928"/>
    <cellStyle name="Обычный 6 29 2 10" xfId="48929"/>
    <cellStyle name="Процентный 6 29 2 10" xfId="48930"/>
    <cellStyle name="Обычный 4 46 2 10" xfId="48931"/>
    <cellStyle name="Процентный 4 46 2 10" xfId="48932"/>
    <cellStyle name="Обычный 5 39 2 10" xfId="48933"/>
    <cellStyle name="Процентный 5 39 2 10" xfId="48934"/>
    <cellStyle name="Обычный 4 2 33 2 10" xfId="48935"/>
    <cellStyle name="Процентный 4 2 33 2 10" xfId="48936"/>
    <cellStyle name="Обычный 5 2 33 2 10" xfId="48937"/>
    <cellStyle name="Процентный 5 2 33 2 10" xfId="48938"/>
    <cellStyle name="Обычный 6 30 2 10" xfId="48939"/>
    <cellStyle name="Процентный 6 30 2 10" xfId="48940"/>
    <cellStyle name="Обычный 4 47 2 10" xfId="48941"/>
    <cellStyle name="Процентный 4 47 2 10" xfId="48942"/>
    <cellStyle name="Обычный 5 40 2 10" xfId="48943"/>
    <cellStyle name="Процентный 5 40 2 10" xfId="48944"/>
    <cellStyle name="Обычный 4 2 34 2 10" xfId="48945"/>
    <cellStyle name="Процентный 4 2 34 2 10" xfId="48946"/>
    <cellStyle name="Обычный 5 2 34 2 10" xfId="48947"/>
    <cellStyle name="Процентный 5 2 34 2 10" xfId="48948"/>
    <cellStyle name="Обычный 6 31 2 10" xfId="48949"/>
    <cellStyle name="Процентный 6 31 2 10" xfId="48950"/>
    <cellStyle name="Обычный 7 10 10" xfId="48951"/>
    <cellStyle name="Процентный 7 10 10" xfId="48952"/>
    <cellStyle name="Обычный 4 48 2 10" xfId="48953"/>
    <cellStyle name="Процентный 4 48 2 10" xfId="48954"/>
    <cellStyle name="Обычный 5 41 2 10" xfId="48955"/>
    <cellStyle name="Процентный 5 41 2 10" xfId="48956"/>
    <cellStyle name="Обычный 4 2 35 2 10" xfId="48957"/>
    <cellStyle name="Процентный 4 2 35 2 10" xfId="48958"/>
    <cellStyle name="Обычный 5 2 35 2 10" xfId="48959"/>
    <cellStyle name="Процентный 5 2 35 2 10" xfId="48960"/>
    <cellStyle name="Обычный 6 32 2 10" xfId="48961"/>
    <cellStyle name="Процентный 6 32 2 10" xfId="48962"/>
    <cellStyle name="Обычный 7 2 2 10" xfId="48963"/>
    <cellStyle name="Процентный 7 2 2 10" xfId="48964"/>
    <cellStyle name="Обычный 4 49 2 10" xfId="48965"/>
    <cellStyle name="Процентный 4 49 2 10" xfId="48966"/>
    <cellStyle name="Обычный 5 42 2 10" xfId="48967"/>
    <cellStyle name="Процентный 5 42 2 10" xfId="48968"/>
    <cellStyle name="Обычный 4 2 36 2 10" xfId="48969"/>
    <cellStyle name="Процентный 4 2 36 2 10" xfId="48970"/>
    <cellStyle name="Обычный 5 2 36 2 10" xfId="48971"/>
    <cellStyle name="Процентный 5 2 36 2 10" xfId="48972"/>
    <cellStyle name="Обычный 6 33 2 10" xfId="48973"/>
    <cellStyle name="Процентный 6 33 2 10" xfId="48974"/>
    <cellStyle name="Обычный 7 3 2 10" xfId="48975"/>
    <cellStyle name="Процентный 7 3 2 10" xfId="48976"/>
    <cellStyle name="Обычный 4 50 2 10" xfId="48977"/>
    <cellStyle name="Процентный 4 50 2 10" xfId="48978"/>
    <cellStyle name="Обычный 5 43 2 10" xfId="48979"/>
    <cellStyle name="Процентный 5 43 2 10" xfId="48980"/>
    <cellStyle name="Обычный 4 2 37 2 10" xfId="48981"/>
    <cellStyle name="Процентный 4 2 37 2 10" xfId="48982"/>
    <cellStyle name="Обычный 5 2 37 2 10" xfId="48983"/>
    <cellStyle name="Процентный 5 2 37 2 10" xfId="48984"/>
    <cellStyle name="Обычный 6 34 2 10" xfId="48985"/>
    <cellStyle name="Процентный 6 34 2 10" xfId="48986"/>
    <cellStyle name="Обычный 7 4 2 10" xfId="48987"/>
    <cellStyle name="Процентный 7 4 2 10" xfId="48988"/>
    <cellStyle name="Обычный 4 51 2 10" xfId="48989"/>
    <cellStyle name="Процентный 4 51 2 10" xfId="48990"/>
    <cellStyle name="Обычный 5 44 2 10" xfId="48991"/>
    <cellStyle name="Процентный 5 44 2 10" xfId="48992"/>
    <cellStyle name="Обычный 4 2 38 2 10" xfId="48993"/>
    <cellStyle name="Процентный 4 2 38 2 10" xfId="48994"/>
    <cellStyle name="Обычный 5 2 38 2 10" xfId="48995"/>
    <cellStyle name="Процентный 5 2 38 2 10" xfId="48996"/>
    <cellStyle name="Обычный 6 35 2 10" xfId="48997"/>
    <cellStyle name="Процентный 6 35 2 10" xfId="48998"/>
    <cellStyle name="Обычный 7 5 2 10" xfId="48999"/>
    <cellStyle name="Процентный 7 5 2 10" xfId="49000"/>
    <cellStyle name="Обычный 4 52 2 10" xfId="49001"/>
    <cellStyle name="Процентный 4 52 2 10" xfId="49002"/>
    <cellStyle name="Обычный 5 45 2 10" xfId="49003"/>
    <cellStyle name="Процентный 5 45 2 10" xfId="49004"/>
    <cellStyle name="Обычный 4 2 39 2 10" xfId="49005"/>
    <cellStyle name="Процентный 4 2 39 2 10" xfId="49006"/>
    <cellStyle name="Обычный 5 2 39 2 10" xfId="49007"/>
    <cellStyle name="Процентный 5 2 39 2 10" xfId="49008"/>
    <cellStyle name="Обычный 6 36 2 10" xfId="49009"/>
    <cellStyle name="Процентный 6 36 2 10" xfId="49010"/>
    <cellStyle name="Обычный 7 6 2 10" xfId="49011"/>
    <cellStyle name="Процентный 7 6 2 10" xfId="49012"/>
    <cellStyle name="Обычный 4 53 2 10" xfId="49013"/>
    <cellStyle name="Процентный 4 53 2 10" xfId="49014"/>
    <cellStyle name="Обычный 5 46 2 10" xfId="49015"/>
    <cellStyle name="Процентный 5 46 2 10" xfId="49016"/>
    <cellStyle name="Обычный 4 2 40 2 10" xfId="49017"/>
    <cellStyle name="Процентный 4 2 40 2 10" xfId="49018"/>
    <cellStyle name="Обычный 5 2 40 2 10" xfId="49019"/>
    <cellStyle name="Процентный 5 2 40 2 10" xfId="49020"/>
    <cellStyle name="Обычный 6 37 2 10" xfId="49021"/>
    <cellStyle name="Процентный 6 37 2 10" xfId="49022"/>
    <cellStyle name="Обычный 7 7 2 10" xfId="49023"/>
    <cellStyle name="Процентный 7 7 2 10" xfId="49024"/>
    <cellStyle name="Обычный 4 54 2 10" xfId="49025"/>
    <cellStyle name="Процентный 4 54 2 10" xfId="49026"/>
    <cellStyle name="Обычный 5 47 2 10" xfId="49027"/>
    <cellStyle name="Процентный 5 47 2 10" xfId="49028"/>
    <cellStyle name="Обычный 4 2 41 2 10" xfId="49029"/>
    <cellStyle name="Процентный 4 2 41 2 10" xfId="49030"/>
    <cellStyle name="Обычный 5 2 41 2 10" xfId="49031"/>
    <cellStyle name="Процентный 5 2 41 2 10" xfId="49032"/>
    <cellStyle name="Обычный 6 38 2 10" xfId="49033"/>
    <cellStyle name="Процентный 6 38 2 10" xfId="49034"/>
    <cellStyle name="Обычный 7 8 2 10" xfId="49035"/>
    <cellStyle name="Процентный 7 8 2 10" xfId="49036"/>
    <cellStyle name="Обычный 4 55 2 10" xfId="49037"/>
    <cellStyle name="Процентный 4 55 2 10" xfId="49038"/>
    <cellStyle name="Обычный 5 48 2 10" xfId="49039"/>
    <cellStyle name="Процентный 5 48 2 10" xfId="49040"/>
    <cellStyle name="Обычный 4 2 42 2 10" xfId="49041"/>
    <cellStyle name="Процентный 4 2 42 2 10" xfId="49042"/>
    <cellStyle name="Обычный 5 2 42 2 10" xfId="49043"/>
    <cellStyle name="Процентный 5 2 42 2 10" xfId="49044"/>
    <cellStyle name="Обычный 6 39 2 10" xfId="49045"/>
    <cellStyle name="Процентный 6 39 2 10" xfId="49046"/>
    <cellStyle name="Обычный 7 9 2 10" xfId="49047"/>
    <cellStyle name="Процентный 7 9 2 10" xfId="49048"/>
    <cellStyle name="Обычный 4 57 10" xfId="49049"/>
    <cellStyle name="Процентный 4 57 10" xfId="49050"/>
    <cellStyle name="Обычный 5 50 10" xfId="49051"/>
    <cellStyle name="Процентный 5 50 10" xfId="49052"/>
    <cellStyle name="Обычный 4 2 44 10" xfId="49053"/>
    <cellStyle name="Процентный 4 2 44 10" xfId="49054"/>
    <cellStyle name="Обычный 5 2 44 10" xfId="49055"/>
    <cellStyle name="Процентный 5 2 44 10" xfId="49056"/>
    <cellStyle name="Обычный 6 41 10" xfId="49057"/>
    <cellStyle name="Процентный 6 41 10" xfId="49058"/>
    <cellStyle name="Обычный 7 11 10" xfId="49059"/>
    <cellStyle name="Процентный 7 11 10" xfId="49060"/>
    <cellStyle name="Обычный 4 3 3 10" xfId="49061"/>
    <cellStyle name="Процентный 4 3 3 10" xfId="49062"/>
    <cellStyle name="Обычный 5 3 3 10" xfId="49063"/>
    <cellStyle name="Процентный 5 3 3 10" xfId="49064"/>
    <cellStyle name="Обычный 4 2 2 3 10" xfId="49065"/>
    <cellStyle name="Процентный 4 2 2 3 10" xfId="49066"/>
    <cellStyle name="Обычный 5 2 2 3 10" xfId="49067"/>
    <cellStyle name="Процентный 5 2 2 3 10" xfId="49068"/>
    <cellStyle name="Обычный 6 2 3 10" xfId="49069"/>
    <cellStyle name="Процентный 6 2 3 10" xfId="49070"/>
    <cellStyle name="Обычный 7 2 3 10" xfId="49071"/>
    <cellStyle name="Процентный 7 2 3 10" xfId="49072"/>
    <cellStyle name="Обычный 4 58 10" xfId="49073"/>
    <cellStyle name="Процентный 4 58 10" xfId="49074"/>
    <cellStyle name="Обычный 5 51 10" xfId="49075"/>
    <cellStyle name="Процентный 5 51 10" xfId="49076"/>
    <cellStyle name="Обычный 4 2 45 10" xfId="49077"/>
    <cellStyle name="Процентный 4 2 45 10" xfId="49078"/>
    <cellStyle name="Обычный 5 2 45 10" xfId="49079"/>
    <cellStyle name="Процентный 5 2 45 10" xfId="49080"/>
    <cellStyle name="Обычный 6 42 10" xfId="49081"/>
    <cellStyle name="Процентный 6 42 10" xfId="49082"/>
    <cellStyle name="Обычный 7 12 10" xfId="49083"/>
    <cellStyle name="Процентный 7 12 10" xfId="49084"/>
    <cellStyle name="Обычный 4 3 4 10" xfId="49085"/>
    <cellStyle name="Процентный 4 3 4 10" xfId="49086"/>
    <cellStyle name="Обычный 5 3 4 10" xfId="49087"/>
    <cellStyle name="Процентный 5 3 4 10" xfId="49088"/>
    <cellStyle name="Обычный 4 2 2 4 10" xfId="49089"/>
    <cellStyle name="Процентный 4 2 2 4 10" xfId="49090"/>
    <cellStyle name="Обычный 5 2 2 4 10" xfId="49091"/>
    <cellStyle name="Процентный 5 2 2 4 10" xfId="49092"/>
    <cellStyle name="Обычный 6 2 4 10" xfId="49093"/>
    <cellStyle name="Процентный 6 2 4 10" xfId="49094"/>
    <cellStyle name="Обычный 7 2 4 10" xfId="49095"/>
    <cellStyle name="Процентный 7 2 4 10" xfId="49096"/>
    <cellStyle name="Обычный 4 59 10" xfId="49097"/>
    <cellStyle name="Процентный 4 59 10" xfId="49098"/>
    <cellStyle name="Обычный 5 52 10" xfId="49099"/>
    <cellStyle name="Процентный 5 52 10" xfId="49100"/>
    <cellStyle name="Обычный 4 2 46 10" xfId="49101"/>
    <cellStyle name="Процентный 4 2 46 10" xfId="49102"/>
    <cellStyle name="Обычный 5 2 46 10" xfId="49103"/>
    <cellStyle name="Процентный 5 2 46 10" xfId="49104"/>
    <cellStyle name="Обычный 6 43 10" xfId="49105"/>
    <cellStyle name="Процентный 6 43 10" xfId="49106"/>
    <cellStyle name="Обычный 7 13 10" xfId="49107"/>
    <cellStyle name="Процентный 7 13 10" xfId="49108"/>
    <cellStyle name="Обычный 4 3 5 10" xfId="49109"/>
    <cellStyle name="Процентный 4 3 5 10" xfId="49110"/>
    <cellStyle name="Обычный 5 3 5 10" xfId="49111"/>
    <cellStyle name="Процентный 5 3 5 10" xfId="49112"/>
    <cellStyle name="Обычный 4 2 2 5 10" xfId="49113"/>
    <cellStyle name="Процентный 4 2 2 5 10" xfId="49114"/>
    <cellStyle name="Обычный 5 2 2 5 10" xfId="49115"/>
    <cellStyle name="Процентный 5 2 2 5 10" xfId="49116"/>
    <cellStyle name="Обычный 6 2 5 10" xfId="49117"/>
    <cellStyle name="Процентный 6 2 5 10" xfId="49118"/>
    <cellStyle name="Обычный 7 2 5 10" xfId="49119"/>
    <cellStyle name="Процентный 7 2 5 10" xfId="49120"/>
    <cellStyle name="Обычный 8 153" xfId="49121"/>
    <cellStyle name="Процентный 8 153" xfId="49122"/>
    <cellStyle name="Обычный 4 60 10" xfId="49123"/>
    <cellStyle name="Процентный 4 60 10" xfId="49124"/>
    <cellStyle name="Обычный 5 53 10" xfId="49125"/>
    <cellStyle name="Процентный 5 53 10" xfId="49126"/>
    <cellStyle name="Обычный 4 2 47 10" xfId="49127"/>
    <cellStyle name="Процентный 4 2 47 10" xfId="49128"/>
    <cellStyle name="Обычный 5 2 47 10" xfId="49129"/>
    <cellStyle name="Процентный 5 2 47 10" xfId="49130"/>
    <cellStyle name="Обычный 6 44 10" xfId="49131"/>
    <cellStyle name="Процентный 6 44 10" xfId="49132"/>
    <cellStyle name="Обычный 7 14 10" xfId="49133"/>
    <cellStyle name="Процентный 7 14 10" xfId="49134"/>
    <cellStyle name="Обычный 4 3 6 10" xfId="49135"/>
    <cellStyle name="Процентный 4 3 6 10" xfId="49136"/>
    <cellStyle name="Обычный 5 3 6 10" xfId="49137"/>
    <cellStyle name="Процентный 5 3 6 10" xfId="49138"/>
    <cellStyle name="Обычный 4 2 2 6 10" xfId="49139"/>
    <cellStyle name="Процентный 4 2 2 6 10" xfId="49140"/>
    <cellStyle name="Обычный 5 2 2 6 10" xfId="49141"/>
    <cellStyle name="Процентный 5 2 2 6 10" xfId="49142"/>
    <cellStyle name="Обычный 6 2 6 10" xfId="49143"/>
    <cellStyle name="Процентный 6 2 6 10" xfId="49144"/>
    <cellStyle name="Обычный 7 2 6 10" xfId="49145"/>
    <cellStyle name="Процентный 7 2 6 10" xfId="49146"/>
    <cellStyle name="Обычный 8 2 10" xfId="49147"/>
    <cellStyle name="Процентный 8 2 10" xfId="49148"/>
    <cellStyle name="Обычный 4 61 10" xfId="49149"/>
    <cellStyle name="Процентный 4 61 10" xfId="49150"/>
    <cellStyle name="Обычный 5 54 10" xfId="49151"/>
    <cellStyle name="Процентный 5 54 10" xfId="49152"/>
    <cellStyle name="Обычный 4 2 48 10" xfId="49153"/>
    <cellStyle name="Процентный 4 2 48 10" xfId="49154"/>
    <cellStyle name="Обычный 5 2 48 10" xfId="49155"/>
    <cellStyle name="Процентный 5 2 48 10" xfId="49156"/>
    <cellStyle name="Обычный 6 45 10" xfId="49157"/>
    <cellStyle name="Процентный 6 45 10" xfId="49158"/>
    <cellStyle name="Обычный 7 15 10" xfId="49159"/>
    <cellStyle name="Процентный 7 15 10" xfId="49160"/>
    <cellStyle name="Обычный 4 3 7 10" xfId="49161"/>
    <cellStyle name="Процентный 4 3 7 10" xfId="49162"/>
    <cellStyle name="Обычный 5 3 7 10" xfId="49163"/>
    <cellStyle name="Процентный 5 3 7 10" xfId="49164"/>
    <cellStyle name="Обычный 4 2 2 7 10" xfId="49165"/>
    <cellStyle name="Процентный 4 2 2 7 10" xfId="49166"/>
    <cellStyle name="Обычный 5 2 2 7 10" xfId="49167"/>
    <cellStyle name="Процентный 5 2 2 7 10" xfId="49168"/>
    <cellStyle name="Обычный 6 2 7 10" xfId="49169"/>
    <cellStyle name="Процентный 6 2 7 10" xfId="49170"/>
    <cellStyle name="Обычный 7 2 7 10" xfId="49171"/>
    <cellStyle name="Процентный 7 2 7 10" xfId="49172"/>
    <cellStyle name="Обычный 8 3 10" xfId="49173"/>
    <cellStyle name="Процентный 8 3 10" xfId="49174"/>
    <cellStyle name="Обычный 4 62 10" xfId="49175"/>
    <cellStyle name="Процентный 4 62 10" xfId="49176"/>
    <cellStyle name="Обычный 5 55 10" xfId="49177"/>
    <cellStyle name="Процентный 5 55 10" xfId="49178"/>
    <cellStyle name="Обычный 4 2 49 10" xfId="49179"/>
    <cellStyle name="Процентный 4 2 49 10" xfId="49180"/>
    <cellStyle name="Обычный 5 2 49 10" xfId="49181"/>
    <cellStyle name="Процентный 5 2 49 10" xfId="49182"/>
    <cellStyle name="Обычный 6 46 10" xfId="49183"/>
    <cellStyle name="Процентный 6 46 10" xfId="49184"/>
    <cellStyle name="Обычный 7 16 10" xfId="49185"/>
    <cellStyle name="Процентный 7 16 10" xfId="49186"/>
    <cellStyle name="Обычный 4 3 8 10" xfId="49187"/>
    <cellStyle name="Процентный 4 3 8 10" xfId="49188"/>
    <cellStyle name="Обычный 5 3 8 10" xfId="49189"/>
    <cellStyle name="Процентный 5 3 8 10" xfId="49190"/>
    <cellStyle name="Обычный 4 2 2 8 10" xfId="49191"/>
    <cellStyle name="Процентный 4 2 2 8 10" xfId="49192"/>
    <cellStyle name="Обычный 5 2 2 8 10" xfId="49193"/>
    <cellStyle name="Процентный 5 2 2 8 10" xfId="49194"/>
    <cellStyle name="Обычный 6 2 8 10" xfId="49195"/>
    <cellStyle name="Процентный 6 2 8 10" xfId="49196"/>
    <cellStyle name="Обычный 7 2 8 10" xfId="49197"/>
    <cellStyle name="Процентный 7 2 8 10" xfId="49198"/>
    <cellStyle name="Обычный 8 4 10" xfId="49199"/>
    <cellStyle name="Процентный 8 4 10" xfId="49200"/>
    <cellStyle name="Обычный 4 63 10" xfId="49201"/>
    <cellStyle name="Процентный 4 63 10" xfId="49202"/>
    <cellStyle name="Обычный 5 56 10" xfId="49203"/>
    <cellStyle name="Процентный 5 56 10" xfId="49204"/>
    <cellStyle name="Обычный 4 2 50 10" xfId="49205"/>
    <cellStyle name="Процентный 4 2 50 10" xfId="49206"/>
    <cellStyle name="Обычный 5 2 50 10" xfId="49207"/>
    <cellStyle name="Процентный 5 2 50 10" xfId="49208"/>
    <cellStyle name="Обычный 6 47 10" xfId="49209"/>
    <cellStyle name="Процентный 6 47 10" xfId="49210"/>
    <cellStyle name="Обычный 7 17 10" xfId="49211"/>
    <cellStyle name="Процентный 7 17 10" xfId="49212"/>
    <cellStyle name="Обычный 4 3 9 10" xfId="49213"/>
    <cellStyle name="Процентный 4 3 9 10" xfId="49214"/>
    <cellStyle name="Обычный 5 3 9 10" xfId="49215"/>
    <cellStyle name="Процентный 5 3 9 10" xfId="49216"/>
    <cellStyle name="Обычный 4 2 2 9 10" xfId="49217"/>
    <cellStyle name="Процентный 4 2 2 9 10" xfId="49218"/>
    <cellStyle name="Обычный 5 2 2 9 10" xfId="49219"/>
    <cellStyle name="Процентный 5 2 2 9 10" xfId="49220"/>
    <cellStyle name="Обычный 6 2 9 10" xfId="49221"/>
    <cellStyle name="Процентный 6 2 9 10" xfId="49222"/>
    <cellStyle name="Обычный 7 2 9 10" xfId="49223"/>
    <cellStyle name="Процентный 7 2 9 10" xfId="49224"/>
    <cellStyle name="Обычный 8 5 10" xfId="49225"/>
    <cellStyle name="Процентный 8 5 10" xfId="49226"/>
    <cellStyle name="Обычный 4 64 10" xfId="49227"/>
    <cellStyle name="Процентный 4 64 10" xfId="49228"/>
    <cellStyle name="Обычный 5 57 10" xfId="49229"/>
    <cellStyle name="Процентный 5 57 10" xfId="49230"/>
    <cellStyle name="Обычный 4 2 51 10" xfId="49231"/>
    <cellStyle name="Процентный 4 2 51 10" xfId="49232"/>
    <cellStyle name="Обычный 5 2 51 10" xfId="49233"/>
    <cellStyle name="Процентный 5 2 51 10" xfId="49234"/>
    <cellStyle name="Обычный 6 48 10" xfId="49235"/>
    <cellStyle name="Процентный 6 48 10" xfId="49236"/>
    <cellStyle name="Обычный 7 18 10" xfId="49237"/>
    <cellStyle name="Процентный 7 18 10" xfId="49238"/>
    <cellStyle name="Обычный 4 3 10 10" xfId="49239"/>
    <cellStyle name="Процентный 4 3 10 10" xfId="49240"/>
    <cellStyle name="Обычный 5 3 10 10" xfId="49241"/>
    <cellStyle name="Процентный 5 3 10 10" xfId="49242"/>
    <cellStyle name="Обычный 4 2 2 10 10" xfId="49243"/>
    <cellStyle name="Процентный 4 2 2 10 10" xfId="49244"/>
    <cellStyle name="Обычный 5 2 2 10 10" xfId="49245"/>
    <cellStyle name="Процентный 5 2 2 10 10" xfId="49246"/>
    <cellStyle name="Обычный 6 2 10 10" xfId="49247"/>
    <cellStyle name="Процентный 6 2 10 10" xfId="49248"/>
    <cellStyle name="Обычный 7 2 10 10" xfId="49249"/>
    <cellStyle name="Процентный 7 2 10 10" xfId="49250"/>
    <cellStyle name="Обычный 8 6 10" xfId="49251"/>
    <cellStyle name="Процентный 8 6 10" xfId="49252"/>
    <cellStyle name="Обычный 4 65 10" xfId="49253"/>
    <cellStyle name="Процентный 4 65 10" xfId="49254"/>
    <cellStyle name="Обычный 5 58 10" xfId="49255"/>
    <cellStyle name="Процентный 5 58 10" xfId="49256"/>
    <cellStyle name="Обычный 4 2 52 10" xfId="49257"/>
    <cellStyle name="Процентный 4 2 52 10" xfId="49258"/>
    <cellStyle name="Обычный 5 2 52 10" xfId="49259"/>
    <cellStyle name="Процентный 5 2 52 10" xfId="49260"/>
    <cellStyle name="Обычный 6 49 10" xfId="49261"/>
    <cellStyle name="Процентный 6 49 10" xfId="49262"/>
    <cellStyle name="Обычный 7 19 10" xfId="49263"/>
    <cellStyle name="Процентный 7 19 10" xfId="49264"/>
    <cellStyle name="Обычный 4 3 11 10" xfId="49265"/>
    <cellStyle name="Процентный 4 3 11 10" xfId="49266"/>
    <cellStyle name="Обычный 5 3 11 10" xfId="49267"/>
    <cellStyle name="Процентный 5 3 11 10" xfId="49268"/>
    <cellStyle name="Обычный 4 2 2 11 10" xfId="49269"/>
    <cellStyle name="Процентный 4 2 2 11 10" xfId="49270"/>
    <cellStyle name="Обычный 5 2 2 11 10" xfId="49271"/>
    <cellStyle name="Процентный 5 2 2 11 10" xfId="49272"/>
    <cellStyle name="Обычный 6 2 11 10" xfId="49273"/>
    <cellStyle name="Процентный 6 2 11 10" xfId="49274"/>
    <cellStyle name="Обычный 7 2 11 10" xfId="49275"/>
    <cellStyle name="Процентный 7 2 11 10" xfId="49276"/>
    <cellStyle name="Обычный 8 7 10" xfId="49277"/>
    <cellStyle name="Процентный 8 7 10" xfId="49278"/>
    <cellStyle name="Обычный 4 66 10" xfId="49279"/>
    <cellStyle name="Процентный 4 66 10" xfId="49280"/>
    <cellStyle name="Обычный 5 59 10" xfId="49281"/>
    <cellStyle name="Процентный 5 59 10" xfId="49282"/>
    <cellStyle name="Обычный 4 2 53 10" xfId="49283"/>
    <cellStyle name="Процентный 4 2 53 10" xfId="49284"/>
    <cellStyle name="Обычный 5 2 53 10" xfId="49285"/>
    <cellStyle name="Процентный 5 2 53 10" xfId="49286"/>
    <cellStyle name="Обычный 6 50 10" xfId="49287"/>
    <cellStyle name="Процентный 6 50 10" xfId="49288"/>
    <cellStyle name="Обычный 7 20 10" xfId="49289"/>
    <cellStyle name="Процентный 7 20 10" xfId="49290"/>
    <cellStyle name="Обычный 4 3 12 10" xfId="49291"/>
    <cellStyle name="Процентный 4 3 12 10" xfId="49292"/>
    <cellStyle name="Обычный 5 3 12 10" xfId="49293"/>
    <cellStyle name="Процентный 5 3 12 10" xfId="49294"/>
    <cellStyle name="Обычный 4 2 2 12 10" xfId="49295"/>
    <cellStyle name="Процентный 4 2 2 12 10" xfId="49296"/>
    <cellStyle name="Обычный 5 2 2 12 10" xfId="49297"/>
    <cellStyle name="Процентный 5 2 2 12 10" xfId="49298"/>
    <cellStyle name="Обычный 6 2 12 10" xfId="49299"/>
    <cellStyle name="Процентный 6 2 12 10" xfId="49300"/>
    <cellStyle name="Обычный 7 2 12 10" xfId="49301"/>
    <cellStyle name="Процентный 7 2 12 10" xfId="49302"/>
    <cellStyle name="Обычный 8 8 10" xfId="49303"/>
    <cellStyle name="Процентный 8 8 10" xfId="49304"/>
    <cellStyle name="Обычный 4 67 10" xfId="49305"/>
    <cellStyle name="Процентный 4 67 10" xfId="49306"/>
    <cellStyle name="Обычный 5 60 10" xfId="49307"/>
    <cellStyle name="Процентный 5 60 10" xfId="49308"/>
    <cellStyle name="Обычный 4 2 54 10" xfId="49309"/>
    <cellStyle name="Процентный 4 2 54 10" xfId="49310"/>
    <cellStyle name="Обычный 5 2 54 10" xfId="49311"/>
    <cellStyle name="Процентный 5 2 54 10" xfId="49312"/>
    <cellStyle name="Обычный 6 51 10" xfId="49313"/>
    <cellStyle name="Процентный 6 51 10" xfId="49314"/>
    <cellStyle name="Обычный 7 21 10" xfId="49315"/>
    <cellStyle name="Процентный 7 21 10" xfId="49316"/>
    <cellStyle name="Обычный 4 3 13 10" xfId="49317"/>
    <cellStyle name="Процентный 4 3 13 10" xfId="49318"/>
    <cellStyle name="Обычный 5 3 13 10" xfId="49319"/>
    <cellStyle name="Процентный 5 3 13 10" xfId="49320"/>
    <cellStyle name="Обычный 4 2 2 13 10" xfId="49321"/>
    <cellStyle name="Процентный 4 2 2 13 10" xfId="49322"/>
    <cellStyle name="Обычный 5 2 2 13 10" xfId="49323"/>
    <cellStyle name="Процентный 5 2 2 13 10" xfId="49324"/>
    <cellStyle name="Обычный 6 2 13 10" xfId="49325"/>
    <cellStyle name="Процентный 6 2 13 10" xfId="49326"/>
    <cellStyle name="Обычный 7 2 13 10" xfId="49327"/>
    <cellStyle name="Процентный 7 2 13 10" xfId="49328"/>
    <cellStyle name="Обычный 8 9 10" xfId="49329"/>
    <cellStyle name="Процентный 8 9 10" xfId="49330"/>
    <cellStyle name="Обычный 4 68 10" xfId="49331"/>
    <cellStyle name="Процентный 4 68 10" xfId="49332"/>
    <cellStyle name="Обычный 5 61 10" xfId="49333"/>
    <cellStyle name="Процентный 5 61 10" xfId="49334"/>
    <cellStyle name="Обычный 4 2 55 10" xfId="49335"/>
    <cellStyle name="Процентный 4 2 55 10" xfId="49336"/>
    <cellStyle name="Обычный 5 2 55 10" xfId="49337"/>
    <cellStyle name="Процентный 5 2 55 10" xfId="49338"/>
    <cellStyle name="Обычный 6 52 10" xfId="49339"/>
    <cellStyle name="Процентный 6 52 10" xfId="49340"/>
    <cellStyle name="Обычный 7 22 10" xfId="49341"/>
    <cellStyle name="Процентный 7 22 10" xfId="49342"/>
    <cellStyle name="Обычный 4 3 14 10" xfId="49343"/>
    <cellStyle name="Процентный 4 3 14 10" xfId="49344"/>
    <cellStyle name="Обычный 5 3 14 10" xfId="49345"/>
    <cellStyle name="Процентный 5 3 14 10" xfId="49346"/>
    <cellStyle name="Обычный 4 2 2 14 10" xfId="49347"/>
    <cellStyle name="Процентный 4 2 2 14 10" xfId="49348"/>
    <cellStyle name="Обычный 5 2 2 14 10" xfId="49349"/>
    <cellStyle name="Процентный 5 2 2 14 10" xfId="49350"/>
    <cellStyle name="Обычный 6 2 14 10" xfId="49351"/>
    <cellStyle name="Процентный 6 2 14 10" xfId="49352"/>
    <cellStyle name="Обычный 7 2 14 10" xfId="49353"/>
    <cellStyle name="Процентный 7 2 14 10" xfId="49354"/>
    <cellStyle name="Обычный 8 10 10" xfId="49355"/>
    <cellStyle name="Процентный 8 10 10" xfId="49356"/>
    <cellStyle name="Обычный 4 69 10" xfId="49357"/>
    <cellStyle name="Процентный 4 69 10" xfId="49358"/>
    <cellStyle name="Обычный 5 62 10" xfId="49359"/>
    <cellStyle name="Процентный 5 62 10" xfId="49360"/>
    <cellStyle name="Обычный 4 2 56 10" xfId="49361"/>
    <cellStyle name="Процентный 4 2 56 10" xfId="49362"/>
    <cellStyle name="Обычный 5 2 56 10" xfId="49363"/>
    <cellStyle name="Процентный 5 2 56 10" xfId="49364"/>
    <cellStyle name="Обычный 6 53 10" xfId="49365"/>
    <cellStyle name="Процентный 6 53 10" xfId="49366"/>
    <cellStyle name="Обычный 7 23 10" xfId="49367"/>
    <cellStyle name="Процентный 7 23 10" xfId="49368"/>
    <cellStyle name="Обычный 4 3 15 10" xfId="49369"/>
    <cellStyle name="Процентный 4 3 15 10" xfId="49370"/>
    <cellStyle name="Обычный 5 3 15 10" xfId="49371"/>
    <cellStyle name="Процентный 5 3 15 10" xfId="49372"/>
    <cellStyle name="Обычный 4 2 2 15 10" xfId="49373"/>
    <cellStyle name="Процентный 4 2 2 15 10" xfId="49374"/>
    <cellStyle name="Обычный 5 2 2 15 10" xfId="49375"/>
    <cellStyle name="Процентный 5 2 2 15 10" xfId="49376"/>
    <cellStyle name="Обычный 6 2 15 10" xfId="49377"/>
    <cellStyle name="Процентный 6 2 15 10" xfId="49378"/>
    <cellStyle name="Обычный 7 2 15 10" xfId="49379"/>
    <cellStyle name="Процентный 7 2 15 10" xfId="49380"/>
    <cellStyle name="Обычный 8 11 10" xfId="49381"/>
    <cellStyle name="Процентный 8 11 10" xfId="49382"/>
    <cellStyle name="Обычный 4 70 10" xfId="49383"/>
    <cellStyle name="Процентный 4 70 10" xfId="49384"/>
    <cellStyle name="Обычный 5 63 10" xfId="49385"/>
    <cellStyle name="Процентный 5 63 10" xfId="49386"/>
    <cellStyle name="Обычный 4 2 57 10" xfId="49387"/>
    <cellStyle name="Процентный 4 2 57 10" xfId="49388"/>
    <cellStyle name="Обычный 5 2 57 10" xfId="49389"/>
    <cellStyle name="Процентный 5 2 57 10" xfId="49390"/>
    <cellStyle name="Обычный 6 54 10" xfId="49391"/>
    <cellStyle name="Процентный 6 54 10" xfId="49392"/>
    <cellStyle name="Обычный 7 24 10" xfId="49393"/>
    <cellStyle name="Процентный 7 24 10" xfId="49394"/>
    <cellStyle name="Обычный 4 3 16 10" xfId="49395"/>
    <cellStyle name="Процентный 4 3 16 10" xfId="49396"/>
    <cellStyle name="Обычный 5 3 16 10" xfId="49397"/>
    <cellStyle name="Процентный 5 3 16 10" xfId="49398"/>
    <cellStyle name="Обычный 4 2 2 16 10" xfId="49399"/>
    <cellStyle name="Процентный 4 2 2 16 10" xfId="49400"/>
    <cellStyle name="Обычный 5 2 2 16 10" xfId="49401"/>
    <cellStyle name="Процентный 5 2 2 16 10" xfId="49402"/>
    <cellStyle name="Обычный 6 2 16 10" xfId="49403"/>
    <cellStyle name="Процентный 6 2 16 10" xfId="49404"/>
    <cellStyle name="Обычный 7 2 16 10" xfId="49405"/>
    <cellStyle name="Процентный 7 2 16 10" xfId="49406"/>
    <cellStyle name="Обычный 8 12 10" xfId="49407"/>
    <cellStyle name="Процентный 8 12 10" xfId="49408"/>
    <cellStyle name="Обычный 4 71 10" xfId="49409"/>
    <cellStyle name="Процентный 4 71 10" xfId="49410"/>
    <cellStyle name="Обычный 5 64 10" xfId="49411"/>
    <cellStyle name="Процентный 5 64 10" xfId="49412"/>
    <cellStyle name="Обычный 4 2 58 10" xfId="49413"/>
    <cellStyle name="Процентный 4 2 58 10" xfId="49414"/>
    <cellStyle name="Обычный 5 2 58 10" xfId="49415"/>
    <cellStyle name="Процентный 5 2 58 10" xfId="49416"/>
    <cellStyle name="Обычный 6 55 10" xfId="49417"/>
    <cellStyle name="Процентный 6 55 10" xfId="49418"/>
    <cellStyle name="Обычный 7 25 10" xfId="49419"/>
    <cellStyle name="Процентный 7 25 10" xfId="49420"/>
    <cellStyle name="Обычный 4 3 17 10" xfId="49421"/>
    <cellStyle name="Процентный 4 3 17 10" xfId="49422"/>
    <cellStyle name="Обычный 5 3 17 10" xfId="49423"/>
    <cellStyle name="Процентный 5 3 17 10" xfId="49424"/>
    <cellStyle name="Обычный 4 2 2 17 10" xfId="49425"/>
    <cellStyle name="Процентный 4 2 2 17 10" xfId="49426"/>
    <cellStyle name="Обычный 5 2 2 17 10" xfId="49427"/>
    <cellStyle name="Процентный 5 2 2 17 10" xfId="49428"/>
    <cellStyle name="Обычный 6 2 17 10" xfId="49429"/>
    <cellStyle name="Процентный 6 2 17 10" xfId="49430"/>
    <cellStyle name="Обычный 7 2 17 10" xfId="49431"/>
    <cellStyle name="Процентный 7 2 17 10" xfId="49432"/>
    <cellStyle name="Обычный 8 13 10" xfId="49433"/>
    <cellStyle name="Процентный 8 13 10" xfId="49434"/>
    <cellStyle name="Обычный 4 72 10" xfId="49435"/>
    <cellStyle name="Процентный 4 72 10" xfId="49436"/>
    <cellStyle name="Обычный 5 65 10" xfId="49437"/>
    <cellStyle name="Процентный 5 65 10" xfId="49438"/>
    <cellStyle name="Обычный 4 2 59 10" xfId="49439"/>
    <cellStyle name="Процентный 4 2 59 10" xfId="49440"/>
    <cellStyle name="Обычный 5 2 59 10" xfId="49441"/>
    <cellStyle name="Процентный 5 2 59 10" xfId="49442"/>
    <cellStyle name="Обычный 6 56 10" xfId="49443"/>
    <cellStyle name="Процентный 6 56 10" xfId="49444"/>
    <cellStyle name="Обычный 7 26 10" xfId="49445"/>
    <cellStyle name="Процентный 7 26 10" xfId="49446"/>
    <cellStyle name="Обычный 4 3 18 10" xfId="49447"/>
    <cellStyle name="Процентный 4 3 18 10" xfId="49448"/>
    <cellStyle name="Обычный 5 3 18 10" xfId="49449"/>
    <cellStyle name="Процентный 5 3 18 10" xfId="49450"/>
    <cellStyle name="Обычный 4 2 2 18 10" xfId="49451"/>
    <cellStyle name="Процентный 4 2 2 18 10" xfId="49452"/>
    <cellStyle name="Обычный 5 2 2 18 10" xfId="49453"/>
    <cellStyle name="Процентный 5 2 2 18 10" xfId="49454"/>
    <cellStyle name="Обычный 6 2 18 10" xfId="49455"/>
    <cellStyle name="Процентный 6 2 18 10" xfId="49456"/>
    <cellStyle name="Обычный 7 2 18 10" xfId="49457"/>
    <cellStyle name="Процентный 7 2 18 10" xfId="49458"/>
    <cellStyle name="Обычный 8 14 10" xfId="49459"/>
    <cellStyle name="Процентный 8 14 10" xfId="49460"/>
    <cellStyle name="Обычный 4 73 10" xfId="49461"/>
    <cellStyle name="Процентный 4 73 10" xfId="49462"/>
    <cellStyle name="Обычный 5 66 10" xfId="49463"/>
    <cellStyle name="Процентный 5 66 10" xfId="49464"/>
    <cellStyle name="Обычный 4 2 60 10" xfId="49465"/>
    <cellStyle name="Процентный 4 2 60 10" xfId="49466"/>
    <cellStyle name="Обычный 5 2 60 10" xfId="49467"/>
    <cellStyle name="Процентный 5 2 60 10" xfId="49468"/>
    <cellStyle name="Обычный 6 57 10" xfId="49469"/>
    <cellStyle name="Процентный 6 57 10" xfId="49470"/>
    <cellStyle name="Обычный 7 27 10" xfId="49471"/>
    <cellStyle name="Процентный 7 27 10" xfId="49472"/>
    <cellStyle name="Обычный 4 3 19 10" xfId="49473"/>
    <cellStyle name="Процентный 4 3 19 10" xfId="49474"/>
    <cellStyle name="Обычный 5 3 19 10" xfId="49475"/>
    <cellStyle name="Процентный 5 3 19 10" xfId="49476"/>
    <cellStyle name="Обычный 4 2 2 19 10" xfId="49477"/>
    <cellStyle name="Процентный 4 2 2 19 10" xfId="49478"/>
    <cellStyle name="Обычный 5 2 2 19 10" xfId="49479"/>
    <cellStyle name="Процентный 5 2 2 19 10" xfId="49480"/>
    <cellStyle name="Обычный 6 2 19 10" xfId="49481"/>
    <cellStyle name="Процентный 6 2 19 10" xfId="49482"/>
    <cellStyle name="Обычный 7 2 19 10" xfId="49483"/>
    <cellStyle name="Процентный 7 2 19 10" xfId="49484"/>
    <cellStyle name="Обычный 8 15 10" xfId="49485"/>
    <cellStyle name="Процентный 8 15 10" xfId="49486"/>
    <cellStyle name="Обычный 4 74 10" xfId="49487"/>
    <cellStyle name="Процентный 4 74 10" xfId="49488"/>
    <cellStyle name="Обычный 5 67 10" xfId="49489"/>
    <cellStyle name="Процентный 5 67 10" xfId="49490"/>
    <cellStyle name="Обычный 4 2 61 10" xfId="49491"/>
    <cellStyle name="Процентный 4 2 61 10" xfId="49492"/>
    <cellStyle name="Обычный 5 2 61 10" xfId="49493"/>
    <cellStyle name="Процентный 5 2 61 10" xfId="49494"/>
    <cellStyle name="Обычный 6 58 10" xfId="49495"/>
    <cellStyle name="Процентный 6 58 10" xfId="49496"/>
    <cellStyle name="Обычный 7 28 10" xfId="49497"/>
    <cellStyle name="Процентный 7 28 10" xfId="49498"/>
    <cellStyle name="Обычный 4 3 20 10" xfId="49499"/>
    <cellStyle name="Процентный 4 3 20 10" xfId="49500"/>
    <cellStyle name="Обычный 5 3 20 10" xfId="49501"/>
    <cellStyle name="Процентный 5 3 20 10" xfId="49502"/>
    <cellStyle name="Обычный 4 2 2 20 10" xfId="49503"/>
    <cellStyle name="Процентный 4 2 2 20 10" xfId="49504"/>
    <cellStyle name="Обычный 5 2 2 20 10" xfId="49505"/>
    <cellStyle name="Процентный 5 2 2 20 10" xfId="49506"/>
    <cellStyle name="Обычный 6 2 20 10" xfId="49507"/>
    <cellStyle name="Процентный 6 2 20 10" xfId="49508"/>
    <cellStyle name="Обычный 7 2 20 10" xfId="49509"/>
    <cellStyle name="Процентный 7 2 20 10" xfId="49510"/>
    <cellStyle name="Обычный 8 16 10" xfId="49511"/>
    <cellStyle name="Процентный 8 16 10" xfId="49512"/>
    <cellStyle name="Обычный 4 75 10" xfId="49513"/>
    <cellStyle name="Процентный 4 75 10" xfId="49514"/>
    <cellStyle name="Обычный 5 68 10" xfId="49515"/>
    <cellStyle name="Процентный 5 68 10" xfId="49516"/>
    <cellStyle name="Обычный 4 2 62 10" xfId="49517"/>
    <cellStyle name="Процентный 4 2 62 10" xfId="49518"/>
    <cellStyle name="Обычный 5 2 62 10" xfId="49519"/>
    <cellStyle name="Процентный 5 2 62 10" xfId="49520"/>
    <cellStyle name="Обычный 6 59 10" xfId="49521"/>
    <cellStyle name="Процентный 6 59 10" xfId="49522"/>
    <cellStyle name="Обычный 7 29 10" xfId="49523"/>
    <cellStyle name="Процентный 7 29 10" xfId="49524"/>
    <cellStyle name="Обычный 4 3 21 10" xfId="49525"/>
    <cellStyle name="Процентный 4 3 21 10" xfId="49526"/>
    <cellStyle name="Обычный 5 3 21 10" xfId="49527"/>
    <cellStyle name="Процентный 5 3 21 10" xfId="49528"/>
    <cellStyle name="Обычный 4 2 2 21 10" xfId="49529"/>
    <cellStyle name="Процентный 4 2 2 21 10" xfId="49530"/>
    <cellStyle name="Обычный 5 2 2 21 10" xfId="49531"/>
    <cellStyle name="Процентный 5 2 2 21 10" xfId="49532"/>
    <cellStyle name="Обычный 6 2 21 10" xfId="49533"/>
    <cellStyle name="Процентный 6 2 21 10" xfId="49534"/>
    <cellStyle name="Обычный 7 2 21 10" xfId="49535"/>
    <cellStyle name="Процентный 7 2 21 10" xfId="49536"/>
    <cellStyle name="Обычный 8 17 10" xfId="49537"/>
    <cellStyle name="Процентный 8 17 10" xfId="49538"/>
    <cellStyle name="Обычный 4 76 10" xfId="49539"/>
    <cellStyle name="Процентный 4 76 10" xfId="49540"/>
    <cellStyle name="Обычный 5 69 10" xfId="49541"/>
    <cellStyle name="Процентный 5 69 10" xfId="49542"/>
    <cellStyle name="Обычный 4 2 63 10" xfId="49543"/>
    <cellStyle name="Процентный 4 2 63 10" xfId="49544"/>
    <cellStyle name="Обычный 5 2 63 10" xfId="49545"/>
    <cellStyle name="Процентный 5 2 63 10" xfId="49546"/>
    <cellStyle name="Обычный 6 60 10" xfId="49547"/>
    <cellStyle name="Процентный 6 60 10" xfId="49548"/>
    <cellStyle name="Обычный 7 30 10" xfId="49549"/>
    <cellStyle name="Процентный 7 30 10" xfId="49550"/>
    <cellStyle name="Обычный 4 3 22 10" xfId="49551"/>
    <cellStyle name="Процентный 4 3 22 10" xfId="49552"/>
    <cellStyle name="Обычный 5 3 22 10" xfId="49553"/>
    <cellStyle name="Процентный 5 3 22 10" xfId="49554"/>
    <cellStyle name="Обычный 4 2 2 22 10" xfId="49555"/>
    <cellStyle name="Процентный 4 2 2 22 10" xfId="49556"/>
    <cellStyle name="Обычный 5 2 2 22 10" xfId="49557"/>
    <cellStyle name="Процентный 5 2 2 22 10" xfId="49558"/>
    <cellStyle name="Обычный 6 2 22 10" xfId="49559"/>
    <cellStyle name="Процентный 6 2 22 10" xfId="49560"/>
    <cellStyle name="Обычный 7 2 22 10" xfId="49561"/>
    <cellStyle name="Процентный 7 2 22 10" xfId="49562"/>
    <cellStyle name="Обычный 8 18 10" xfId="49563"/>
    <cellStyle name="Процентный 8 18 10" xfId="49564"/>
    <cellStyle name="Обычный 4 77 10" xfId="49565"/>
    <cellStyle name="Процентный 4 77 10" xfId="49566"/>
    <cellStyle name="Обычный 5 70 10" xfId="49567"/>
    <cellStyle name="Процентный 5 70 10" xfId="49568"/>
    <cellStyle name="Обычный 4 2 64 10" xfId="49569"/>
    <cellStyle name="Процентный 4 2 64 10" xfId="49570"/>
    <cellStyle name="Обычный 5 2 64 10" xfId="49571"/>
    <cellStyle name="Процентный 5 2 64 10" xfId="49572"/>
    <cellStyle name="Обычный 6 61 10" xfId="49573"/>
    <cellStyle name="Процентный 6 61 10" xfId="49574"/>
    <cellStyle name="Обычный 7 31 10" xfId="49575"/>
    <cellStyle name="Процентный 7 31 10" xfId="49576"/>
    <cellStyle name="Обычный 4 3 23 10" xfId="49577"/>
    <cellStyle name="Процентный 4 3 23 10" xfId="49578"/>
    <cellStyle name="Обычный 5 3 23 10" xfId="49579"/>
    <cellStyle name="Процентный 5 3 23 10" xfId="49580"/>
    <cellStyle name="Обычный 4 2 2 23 10" xfId="49581"/>
    <cellStyle name="Процентный 4 2 2 23 10" xfId="49582"/>
    <cellStyle name="Обычный 5 2 2 23 10" xfId="49583"/>
    <cellStyle name="Процентный 5 2 2 23 10" xfId="49584"/>
    <cellStyle name="Обычный 6 2 23 10" xfId="49585"/>
    <cellStyle name="Процентный 6 2 23 10" xfId="49586"/>
    <cellStyle name="Обычный 7 2 23 10" xfId="49587"/>
    <cellStyle name="Процентный 7 2 23 10" xfId="49588"/>
    <cellStyle name="Обычный 8 19 10" xfId="49589"/>
    <cellStyle name="Процентный 8 19 10" xfId="49590"/>
    <cellStyle name="Обычный 4 78 10" xfId="49591"/>
    <cellStyle name="Процентный 4 78 10" xfId="49592"/>
    <cellStyle name="Обычный 5 71 10" xfId="49593"/>
    <cellStyle name="Процентный 5 71 10" xfId="49594"/>
    <cellStyle name="Обычный 4 2 65 10" xfId="49595"/>
    <cellStyle name="Процентный 4 2 65 10" xfId="49596"/>
    <cellStyle name="Обычный 5 2 65 10" xfId="49597"/>
    <cellStyle name="Процентный 5 2 65 10" xfId="49598"/>
    <cellStyle name="Обычный 6 62 10" xfId="49599"/>
    <cellStyle name="Процентный 6 62 10" xfId="49600"/>
    <cellStyle name="Обычный 7 32 10" xfId="49601"/>
    <cellStyle name="Процентный 7 32 10" xfId="49602"/>
    <cellStyle name="Обычный 4 3 24 10" xfId="49603"/>
    <cellStyle name="Процентный 4 3 24 10" xfId="49604"/>
    <cellStyle name="Обычный 5 3 24 10" xfId="49605"/>
    <cellStyle name="Процентный 5 3 24 10" xfId="49606"/>
    <cellStyle name="Обычный 4 2 2 24 10" xfId="49607"/>
    <cellStyle name="Процентный 4 2 2 24 10" xfId="49608"/>
    <cellStyle name="Обычный 5 2 2 24 10" xfId="49609"/>
    <cellStyle name="Процентный 5 2 2 24 10" xfId="49610"/>
    <cellStyle name="Обычный 6 2 24 10" xfId="49611"/>
    <cellStyle name="Процентный 6 2 24 10" xfId="49612"/>
    <cellStyle name="Обычный 7 2 24 10" xfId="49613"/>
    <cellStyle name="Процентный 7 2 24 10" xfId="49614"/>
    <cellStyle name="Обычный 8 20 10" xfId="49615"/>
    <cellStyle name="Процентный 8 20 10" xfId="49616"/>
    <cellStyle name="Обычный 4 79 10" xfId="49617"/>
    <cellStyle name="Процентный 4 79 10" xfId="49618"/>
    <cellStyle name="Обычный 5 72 10" xfId="49619"/>
    <cellStyle name="Процентный 5 72 10" xfId="49620"/>
    <cellStyle name="Обычный 4 2 66 10" xfId="49621"/>
    <cellStyle name="Процентный 4 2 66 10" xfId="49622"/>
    <cellStyle name="Обычный 5 2 66 10" xfId="49623"/>
    <cellStyle name="Процентный 5 2 66 10" xfId="49624"/>
    <cellStyle name="Обычный 6 63 10" xfId="49625"/>
    <cellStyle name="Процентный 6 63 10" xfId="49626"/>
    <cellStyle name="Обычный 7 33 10" xfId="49627"/>
    <cellStyle name="Процентный 7 33 10" xfId="49628"/>
    <cellStyle name="Обычный 4 3 25 10" xfId="49629"/>
    <cellStyle name="Процентный 4 3 25 10" xfId="49630"/>
    <cellStyle name="Обычный 5 3 25 10" xfId="49631"/>
    <cellStyle name="Процентный 5 3 25 10" xfId="49632"/>
    <cellStyle name="Обычный 4 2 2 25 10" xfId="49633"/>
    <cellStyle name="Процентный 4 2 2 25 10" xfId="49634"/>
    <cellStyle name="Обычный 5 2 2 25 10" xfId="49635"/>
    <cellStyle name="Процентный 5 2 2 25 10" xfId="49636"/>
    <cellStyle name="Обычный 6 2 25 10" xfId="49637"/>
    <cellStyle name="Процентный 6 2 25 10" xfId="49638"/>
    <cellStyle name="Обычный 7 2 25 10" xfId="49639"/>
    <cellStyle name="Процентный 7 2 25 10" xfId="49640"/>
    <cellStyle name="Обычный 8 21 10" xfId="49641"/>
    <cellStyle name="Процентный 8 21 10" xfId="49642"/>
    <cellStyle name="Обычный 4 80 10" xfId="49643"/>
    <cellStyle name="Процентный 4 80 10" xfId="49644"/>
    <cellStyle name="Обычный 5 73 10" xfId="49645"/>
    <cellStyle name="Процентный 5 73 10" xfId="49646"/>
    <cellStyle name="Обычный 4 2 67 10" xfId="49647"/>
    <cellStyle name="Процентный 4 2 67 10" xfId="49648"/>
    <cellStyle name="Обычный 5 2 67 10" xfId="49649"/>
    <cellStyle name="Процентный 5 2 67 10" xfId="49650"/>
    <cellStyle name="Обычный 6 64 10" xfId="49651"/>
    <cellStyle name="Процентный 6 64 10" xfId="49652"/>
    <cellStyle name="Обычный 7 34 10" xfId="49653"/>
    <cellStyle name="Процентный 7 34 10" xfId="49654"/>
    <cellStyle name="Обычный 4 3 26 10" xfId="49655"/>
    <cellStyle name="Процентный 4 3 26 10" xfId="49656"/>
    <cellStyle name="Обычный 5 3 26 10" xfId="49657"/>
    <cellStyle name="Процентный 5 3 26 10" xfId="49658"/>
    <cellStyle name="Обычный 4 2 2 26 10" xfId="49659"/>
    <cellStyle name="Процентный 4 2 2 26 10" xfId="49660"/>
    <cellStyle name="Обычный 5 2 2 26 10" xfId="49661"/>
    <cellStyle name="Процентный 5 2 2 26 10" xfId="49662"/>
    <cellStyle name="Обычный 6 2 26 10" xfId="49663"/>
    <cellStyle name="Процентный 6 2 26 10" xfId="49664"/>
    <cellStyle name="Обычный 7 2 26 10" xfId="49665"/>
    <cellStyle name="Процентный 7 2 26 10" xfId="49666"/>
    <cellStyle name="Обычный 8 22 10" xfId="49667"/>
    <cellStyle name="Процентный 8 22 10" xfId="49668"/>
    <cellStyle name="Обычный 4 81 10" xfId="49669"/>
    <cellStyle name="Процентный 4 81 10" xfId="49670"/>
    <cellStyle name="Обычный 5 74 10" xfId="49671"/>
    <cellStyle name="Процентный 5 74 10" xfId="49672"/>
    <cellStyle name="Обычный 4 2 68 10" xfId="49673"/>
    <cellStyle name="Процентный 4 2 68 10" xfId="49674"/>
    <cellStyle name="Обычный 5 2 68 10" xfId="49675"/>
    <cellStyle name="Процентный 5 2 68 10" xfId="49676"/>
    <cellStyle name="Обычный 6 65 10" xfId="49677"/>
    <cellStyle name="Процентный 6 65 10" xfId="49678"/>
    <cellStyle name="Обычный 7 35 10" xfId="49679"/>
    <cellStyle name="Процентный 7 35 10" xfId="49680"/>
    <cellStyle name="Обычный 4 3 27 10" xfId="49681"/>
    <cellStyle name="Процентный 4 3 27 10" xfId="49682"/>
    <cellStyle name="Обычный 5 3 27 10" xfId="49683"/>
    <cellStyle name="Процентный 5 3 27 10" xfId="49684"/>
    <cellStyle name="Обычный 4 2 2 27 10" xfId="49685"/>
    <cellStyle name="Процентный 4 2 2 27 10" xfId="49686"/>
    <cellStyle name="Обычный 5 2 2 27 10" xfId="49687"/>
    <cellStyle name="Процентный 5 2 2 27 10" xfId="49688"/>
    <cellStyle name="Обычный 6 2 27 10" xfId="49689"/>
    <cellStyle name="Процентный 6 2 27 10" xfId="49690"/>
    <cellStyle name="Обычный 7 2 27 10" xfId="49691"/>
    <cellStyle name="Процентный 7 2 27 10" xfId="49692"/>
    <cellStyle name="Обычный 8 23 10" xfId="49693"/>
    <cellStyle name="Процентный 8 23 10" xfId="49694"/>
    <cellStyle name="Обычный 4 82 10" xfId="49695"/>
    <cellStyle name="Процентный 4 82 10" xfId="49696"/>
    <cellStyle name="Обычный 5 75 10" xfId="49697"/>
    <cellStyle name="Процентный 5 75 10" xfId="49698"/>
    <cellStyle name="Обычный 4 2 69 10" xfId="49699"/>
    <cellStyle name="Процентный 4 2 69 10" xfId="49700"/>
    <cellStyle name="Обычный 5 2 69 10" xfId="49701"/>
    <cellStyle name="Процентный 5 2 69 10" xfId="49702"/>
    <cellStyle name="Обычный 6 66 10" xfId="49703"/>
    <cellStyle name="Процентный 6 66 10" xfId="49704"/>
    <cellStyle name="Обычный 7 36 10" xfId="49705"/>
    <cellStyle name="Процентный 7 36 10" xfId="49706"/>
    <cellStyle name="Обычный 4 3 28 10" xfId="49707"/>
    <cellStyle name="Процентный 4 3 28 10" xfId="49708"/>
    <cellStyle name="Обычный 5 3 28 10" xfId="49709"/>
    <cellStyle name="Процентный 5 3 28 10" xfId="49710"/>
    <cellStyle name="Обычный 4 2 2 28 10" xfId="49711"/>
    <cellStyle name="Процентный 4 2 2 28 10" xfId="49712"/>
    <cellStyle name="Обычный 5 2 2 28 10" xfId="49713"/>
    <cellStyle name="Процентный 5 2 2 28 10" xfId="49714"/>
    <cellStyle name="Обычный 6 2 28 10" xfId="49715"/>
    <cellStyle name="Процентный 6 2 28 10" xfId="49716"/>
    <cellStyle name="Обычный 7 2 28 10" xfId="49717"/>
    <cellStyle name="Процентный 7 2 28 10" xfId="49718"/>
    <cellStyle name="Обычный 8 24 10" xfId="49719"/>
    <cellStyle name="Процентный 8 24 10" xfId="49720"/>
    <cellStyle name="Обычный 4 83 10" xfId="49721"/>
    <cellStyle name="Процентный 4 83 10" xfId="49722"/>
    <cellStyle name="Обычный 5 76 10" xfId="49723"/>
    <cellStyle name="Процентный 5 76 10" xfId="49724"/>
    <cellStyle name="Обычный 4 2 70 10" xfId="49725"/>
    <cellStyle name="Процентный 4 2 70 10" xfId="49726"/>
    <cellStyle name="Обычный 5 2 70 10" xfId="49727"/>
    <cellStyle name="Процентный 5 2 70 10" xfId="49728"/>
    <cellStyle name="Обычный 6 67 10" xfId="49729"/>
    <cellStyle name="Процентный 6 67 10" xfId="49730"/>
    <cellStyle name="Обычный 7 37 10" xfId="49731"/>
    <cellStyle name="Процентный 7 37 10" xfId="49732"/>
    <cellStyle name="Обычный 4 3 29 10" xfId="49733"/>
    <cellStyle name="Процентный 4 3 29 10" xfId="49734"/>
    <cellStyle name="Обычный 5 3 29 10" xfId="49735"/>
    <cellStyle name="Процентный 5 3 29 10" xfId="49736"/>
    <cellStyle name="Обычный 4 2 2 29 10" xfId="49737"/>
    <cellStyle name="Процентный 4 2 2 29 10" xfId="49738"/>
    <cellStyle name="Обычный 5 2 2 29 10" xfId="49739"/>
    <cellStyle name="Процентный 5 2 2 29 10" xfId="49740"/>
    <cellStyle name="Обычный 6 2 29 10" xfId="49741"/>
    <cellStyle name="Процентный 6 2 29 10" xfId="49742"/>
    <cellStyle name="Обычный 7 2 29 10" xfId="49743"/>
    <cellStyle name="Процентный 7 2 29 10" xfId="49744"/>
    <cellStyle name="Обычный 8 25 10" xfId="49745"/>
    <cellStyle name="Процентный 8 25 10" xfId="49746"/>
    <cellStyle name="Обычный 4 84 10" xfId="49747"/>
    <cellStyle name="Процентный 4 84 10" xfId="49748"/>
    <cellStyle name="Обычный 5 77 10" xfId="49749"/>
    <cellStyle name="Процентный 5 77 10" xfId="49750"/>
    <cellStyle name="Обычный 4 2 71 10" xfId="49751"/>
    <cellStyle name="Процентный 4 2 71 10" xfId="49752"/>
    <cellStyle name="Обычный 5 2 71 10" xfId="49753"/>
    <cellStyle name="Процентный 5 2 71 10" xfId="49754"/>
    <cellStyle name="Обычный 6 68 10" xfId="49755"/>
    <cellStyle name="Процентный 6 68 10" xfId="49756"/>
    <cellStyle name="Обычный 7 38 10" xfId="49757"/>
    <cellStyle name="Процентный 7 38 10" xfId="49758"/>
    <cellStyle name="Обычный 4 3 30 10" xfId="49759"/>
    <cellStyle name="Процентный 4 3 30 10" xfId="49760"/>
    <cellStyle name="Обычный 5 3 30 10" xfId="49761"/>
    <cellStyle name="Процентный 5 3 30 10" xfId="49762"/>
    <cellStyle name="Обычный 4 2 2 30 10" xfId="49763"/>
    <cellStyle name="Процентный 4 2 2 30 10" xfId="49764"/>
    <cellStyle name="Обычный 5 2 2 30 10" xfId="49765"/>
    <cellStyle name="Процентный 5 2 2 30 10" xfId="49766"/>
    <cellStyle name="Обычный 6 2 30 10" xfId="49767"/>
    <cellStyle name="Процентный 6 2 30 10" xfId="49768"/>
    <cellStyle name="Обычный 7 2 30 10" xfId="49769"/>
    <cellStyle name="Процентный 7 2 30 10" xfId="49770"/>
    <cellStyle name="Обычный 8 26 10" xfId="49771"/>
    <cellStyle name="Процентный 8 26 10" xfId="49772"/>
    <cellStyle name="Обычный 4 85 10" xfId="49773"/>
    <cellStyle name="Процентный 4 85 10" xfId="49774"/>
    <cellStyle name="Обычный 5 78 10" xfId="49775"/>
    <cellStyle name="Процентный 5 78 10" xfId="49776"/>
    <cellStyle name="Обычный 4 2 72 10" xfId="49777"/>
    <cellStyle name="Процентный 4 2 72 10" xfId="49778"/>
    <cellStyle name="Обычный 5 2 72 10" xfId="49779"/>
    <cellStyle name="Процентный 5 2 72 10" xfId="49780"/>
    <cellStyle name="Обычный 6 69 10" xfId="49781"/>
    <cellStyle name="Процентный 6 69 10" xfId="49782"/>
    <cellStyle name="Обычный 7 39 10" xfId="49783"/>
    <cellStyle name="Процентный 7 39 10" xfId="49784"/>
    <cellStyle name="Обычный 4 3 31 10" xfId="49785"/>
    <cellStyle name="Процентный 4 3 31 10" xfId="49786"/>
    <cellStyle name="Обычный 5 3 31 10" xfId="49787"/>
    <cellStyle name="Процентный 5 3 31 10" xfId="49788"/>
    <cellStyle name="Обычный 4 2 2 31 10" xfId="49789"/>
    <cellStyle name="Процентный 4 2 2 31 10" xfId="49790"/>
    <cellStyle name="Обычный 5 2 2 31 10" xfId="49791"/>
    <cellStyle name="Процентный 5 2 2 31 10" xfId="49792"/>
    <cellStyle name="Обычный 6 2 31 10" xfId="49793"/>
    <cellStyle name="Процентный 6 2 31 10" xfId="49794"/>
    <cellStyle name="Обычный 7 2 31 10" xfId="49795"/>
    <cellStyle name="Процентный 7 2 31 10" xfId="49796"/>
    <cellStyle name="Обычный 8 27 10" xfId="49797"/>
    <cellStyle name="Процентный 8 27 10" xfId="49798"/>
    <cellStyle name="Обычный 4 86 10" xfId="49799"/>
    <cellStyle name="Процентный 4 86 10" xfId="49800"/>
    <cellStyle name="Обычный 5 79 10" xfId="49801"/>
    <cellStyle name="Процентный 5 79 10" xfId="49802"/>
    <cellStyle name="Обычный 4 2 73 10" xfId="49803"/>
    <cellStyle name="Процентный 4 2 73 10" xfId="49804"/>
    <cellStyle name="Обычный 5 2 73 10" xfId="49805"/>
    <cellStyle name="Процентный 5 2 73 10" xfId="49806"/>
    <cellStyle name="Обычный 6 70 10" xfId="49807"/>
    <cellStyle name="Процентный 6 70 10" xfId="49808"/>
    <cellStyle name="Обычный 7 40 10" xfId="49809"/>
    <cellStyle name="Процентный 7 40 10" xfId="49810"/>
    <cellStyle name="Обычный 4 3 32 10" xfId="49811"/>
    <cellStyle name="Процентный 4 3 32 10" xfId="49812"/>
    <cellStyle name="Обычный 5 3 32 10" xfId="49813"/>
    <cellStyle name="Процентный 5 3 32 10" xfId="49814"/>
    <cellStyle name="Обычный 4 2 2 32 10" xfId="49815"/>
    <cellStyle name="Процентный 4 2 2 32 10" xfId="49816"/>
    <cellStyle name="Обычный 5 2 2 32 10" xfId="49817"/>
    <cellStyle name="Процентный 5 2 2 32 10" xfId="49818"/>
    <cellStyle name="Обычный 6 2 32 10" xfId="49819"/>
    <cellStyle name="Процентный 6 2 32 10" xfId="49820"/>
    <cellStyle name="Обычный 7 2 32 10" xfId="49821"/>
    <cellStyle name="Процентный 7 2 32 10" xfId="49822"/>
    <cellStyle name="Обычный 8 28 10" xfId="49823"/>
    <cellStyle name="Процентный 8 28 10" xfId="49824"/>
    <cellStyle name="Обычный 4 87 10" xfId="49825"/>
    <cellStyle name="Процентный 4 87 10" xfId="49826"/>
    <cellStyle name="Обычный 5 80 10" xfId="49827"/>
    <cellStyle name="Процентный 5 80 10" xfId="49828"/>
    <cellStyle name="Обычный 4 2 74 10" xfId="49829"/>
    <cellStyle name="Процентный 4 2 74 10" xfId="49830"/>
    <cellStyle name="Обычный 5 2 74 10" xfId="49831"/>
    <cellStyle name="Процентный 5 2 74 10" xfId="49832"/>
    <cellStyle name="Обычный 6 71 10" xfId="49833"/>
    <cellStyle name="Процентный 6 71 10" xfId="49834"/>
    <cellStyle name="Обычный 7 41 10" xfId="49835"/>
    <cellStyle name="Процентный 7 41 10" xfId="49836"/>
    <cellStyle name="Обычный 4 3 33 10" xfId="49837"/>
    <cellStyle name="Процентный 4 3 33 10" xfId="49838"/>
    <cellStyle name="Обычный 5 3 33 10" xfId="49839"/>
    <cellStyle name="Процентный 5 3 33 10" xfId="49840"/>
    <cellStyle name="Обычный 4 2 2 33 10" xfId="49841"/>
    <cellStyle name="Процентный 4 2 2 33 10" xfId="49842"/>
    <cellStyle name="Обычный 5 2 2 33 10" xfId="49843"/>
    <cellStyle name="Процентный 5 2 2 33 10" xfId="49844"/>
    <cellStyle name="Обычный 6 2 33 10" xfId="49845"/>
    <cellStyle name="Процентный 6 2 33 10" xfId="49846"/>
    <cellStyle name="Обычный 7 2 33 10" xfId="49847"/>
    <cellStyle name="Процентный 7 2 33 10" xfId="49848"/>
    <cellStyle name="Обычный 8 29 10" xfId="49849"/>
    <cellStyle name="Процентный 8 29 10" xfId="49850"/>
    <cellStyle name="Обычный 4 88 10" xfId="49851"/>
    <cellStyle name="Процентный 4 88 10" xfId="49852"/>
    <cellStyle name="Обычный 5 81 10" xfId="49853"/>
    <cellStyle name="Процентный 5 81 10" xfId="49854"/>
    <cellStyle name="Обычный 4 2 75 10" xfId="49855"/>
    <cellStyle name="Процентный 4 2 75 10" xfId="49856"/>
    <cellStyle name="Обычный 5 2 75 10" xfId="49857"/>
    <cellStyle name="Процентный 5 2 75 10" xfId="49858"/>
    <cellStyle name="Обычный 6 72 10" xfId="49859"/>
    <cellStyle name="Процентный 6 72 10" xfId="49860"/>
    <cellStyle name="Обычный 7 42 10" xfId="49861"/>
    <cellStyle name="Процентный 7 42 10" xfId="49862"/>
    <cellStyle name="Обычный 4 3 34 10" xfId="49863"/>
    <cellStyle name="Процентный 4 3 34 10" xfId="49864"/>
    <cellStyle name="Обычный 5 3 34 10" xfId="49865"/>
    <cellStyle name="Процентный 5 3 34 10" xfId="49866"/>
    <cellStyle name="Обычный 4 2 2 34 10" xfId="49867"/>
    <cellStyle name="Процентный 4 2 2 34 10" xfId="49868"/>
    <cellStyle name="Обычный 5 2 2 34 10" xfId="49869"/>
    <cellStyle name="Процентный 5 2 2 34 10" xfId="49870"/>
    <cellStyle name="Обычный 6 2 34 10" xfId="49871"/>
    <cellStyle name="Процентный 6 2 34 10" xfId="49872"/>
    <cellStyle name="Обычный 7 2 34 10" xfId="49873"/>
    <cellStyle name="Процентный 7 2 34 10" xfId="49874"/>
    <cellStyle name="Обычный 8 30 10" xfId="49875"/>
    <cellStyle name="Процентный 8 30 10" xfId="49876"/>
    <cellStyle name="Обычный 4 89 10" xfId="49877"/>
    <cellStyle name="Процентный 4 89 10" xfId="49878"/>
    <cellStyle name="Обычный 5 82 10" xfId="49879"/>
    <cellStyle name="Процентный 5 82 10" xfId="49880"/>
    <cellStyle name="Обычный 4 2 76 10" xfId="49881"/>
    <cellStyle name="Процентный 4 2 76 10" xfId="49882"/>
    <cellStyle name="Обычный 5 2 76 10" xfId="49883"/>
    <cellStyle name="Процентный 5 2 76 10" xfId="49884"/>
    <cellStyle name="Обычный 6 73 10" xfId="49885"/>
    <cellStyle name="Процентный 6 73 10" xfId="49886"/>
    <cellStyle name="Обычный 7 43 10" xfId="49887"/>
    <cellStyle name="Процентный 7 43 10" xfId="49888"/>
    <cellStyle name="Обычный 4 3 35 10" xfId="49889"/>
    <cellStyle name="Процентный 4 3 35 10" xfId="49890"/>
    <cellStyle name="Обычный 5 3 35 10" xfId="49891"/>
    <cellStyle name="Процентный 5 3 35 10" xfId="49892"/>
    <cellStyle name="Обычный 4 2 2 35 10" xfId="49893"/>
    <cellStyle name="Процентный 4 2 2 35 10" xfId="49894"/>
    <cellStyle name="Обычный 5 2 2 35 10" xfId="49895"/>
    <cellStyle name="Процентный 5 2 2 35 10" xfId="49896"/>
    <cellStyle name="Обычный 6 2 35 10" xfId="49897"/>
    <cellStyle name="Процентный 6 2 35 10" xfId="49898"/>
    <cellStyle name="Обычный 7 2 35 10" xfId="49899"/>
    <cellStyle name="Процентный 7 2 35 10" xfId="49900"/>
    <cellStyle name="Обычный 8 31 10" xfId="49901"/>
    <cellStyle name="Процентный 8 31 10" xfId="49902"/>
    <cellStyle name="Обычный 4 90 10" xfId="49903"/>
    <cellStyle name="Процентный 4 90 10" xfId="49904"/>
    <cellStyle name="Обычный 5 83 10" xfId="49905"/>
    <cellStyle name="Процентный 5 83 10" xfId="49906"/>
    <cellStyle name="Обычный 4 2 77 10" xfId="49907"/>
    <cellStyle name="Процентный 4 2 77 10" xfId="49908"/>
    <cellStyle name="Обычный 5 2 77 10" xfId="49909"/>
    <cellStyle name="Процентный 5 2 77 10" xfId="49910"/>
    <cellStyle name="Обычный 6 74 10" xfId="49911"/>
    <cellStyle name="Процентный 6 74 10" xfId="49912"/>
    <cellStyle name="Обычный 7 44 10" xfId="49913"/>
    <cellStyle name="Процентный 7 44 10" xfId="49914"/>
    <cellStyle name="Обычный 4 3 36 10" xfId="49915"/>
    <cellStyle name="Процентный 4 3 36 10" xfId="49916"/>
    <cellStyle name="Обычный 5 3 36 10" xfId="49917"/>
    <cellStyle name="Процентный 5 3 36 10" xfId="49918"/>
    <cellStyle name="Обычный 4 2 2 36 10" xfId="49919"/>
    <cellStyle name="Процентный 4 2 2 36 10" xfId="49920"/>
    <cellStyle name="Обычный 5 2 2 36 10" xfId="49921"/>
    <cellStyle name="Процентный 5 2 2 36 10" xfId="49922"/>
    <cellStyle name="Обычный 6 2 36 10" xfId="49923"/>
    <cellStyle name="Процентный 6 2 36 10" xfId="49924"/>
    <cellStyle name="Обычный 7 2 36 10" xfId="49925"/>
    <cellStyle name="Процентный 7 2 36 10" xfId="49926"/>
    <cellStyle name="Обычный 8 32 10" xfId="49927"/>
    <cellStyle name="Процентный 8 32 10" xfId="49928"/>
    <cellStyle name="Обычный 4 91 10" xfId="49929"/>
    <cellStyle name="Процентный 4 91 10" xfId="49930"/>
    <cellStyle name="Обычный 5 84 10" xfId="49931"/>
    <cellStyle name="Процентный 5 84 10" xfId="49932"/>
    <cellStyle name="Обычный 4 2 78 10" xfId="49933"/>
    <cellStyle name="Процентный 4 2 78 10" xfId="49934"/>
    <cellStyle name="Обычный 5 2 78 10" xfId="49935"/>
    <cellStyle name="Процентный 5 2 78 10" xfId="49936"/>
    <cellStyle name="Обычный 6 75 10" xfId="49937"/>
    <cellStyle name="Процентный 6 75 10" xfId="49938"/>
    <cellStyle name="Обычный 7 45 10" xfId="49939"/>
    <cellStyle name="Процентный 7 45 10" xfId="49940"/>
    <cellStyle name="Обычный 4 3 37 10" xfId="49941"/>
    <cellStyle name="Процентный 4 3 37 10" xfId="49942"/>
    <cellStyle name="Обычный 5 3 37 10" xfId="49943"/>
    <cellStyle name="Процентный 5 3 37 10" xfId="49944"/>
    <cellStyle name="Обычный 4 2 2 37 10" xfId="49945"/>
    <cellStyle name="Процентный 4 2 2 37 10" xfId="49946"/>
    <cellStyle name="Обычный 5 2 2 37 10" xfId="49947"/>
    <cellStyle name="Процентный 5 2 2 37 10" xfId="49948"/>
    <cellStyle name="Обычный 6 2 37 10" xfId="49949"/>
    <cellStyle name="Процентный 6 2 37 10" xfId="49950"/>
    <cellStyle name="Обычный 7 2 37 10" xfId="49951"/>
    <cellStyle name="Процентный 7 2 37 10" xfId="49952"/>
    <cellStyle name="Обычный 8 33 10" xfId="49953"/>
    <cellStyle name="Процентный 8 33 10" xfId="49954"/>
    <cellStyle name="Обычный 4 92 10" xfId="49955"/>
    <cellStyle name="Процентный 4 92 10" xfId="49956"/>
    <cellStyle name="Обычный 5 85 10" xfId="49957"/>
    <cellStyle name="Процентный 5 85 10" xfId="49958"/>
    <cellStyle name="Обычный 4 2 79 10" xfId="49959"/>
    <cellStyle name="Процентный 4 2 79 10" xfId="49960"/>
    <cellStyle name="Обычный 5 2 79 10" xfId="49961"/>
    <cellStyle name="Процентный 5 2 79 10" xfId="49962"/>
    <cellStyle name="Обычный 6 76 10" xfId="49963"/>
    <cellStyle name="Процентный 6 76 10" xfId="49964"/>
    <cellStyle name="Обычный 7 46 10" xfId="49965"/>
    <cellStyle name="Процентный 7 46 10" xfId="49966"/>
    <cellStyle name="Обычный 4 3 38 10" xfId="49967"/>
    <cellStyle name="Процентный 4 3 38 10" xfId="49968"/>
    <cellStyle name="Обычный 5 3 38 10" xfId="49969"/>
    <cellStyle name="Процентный 5 3 38 10" xfId="49970"/>
    <cellStyle name="Обычный 4 2 2 38 10" xfId="49971"/>
    <cellStyle name="Процентный 4 2 2 38 10" xfId="49972"/>
    <cellStyle name="Обычный 5 2 2 38 10" xfId="49973"/>
    <cellStyle name="Процентный 5 2 2 38 10" xfId="49974"/>
    <cellStyle name="Обычный 6 2 38 10" xfId="49975"/>
    <cellStyle name="Процентный 6 2 38 10" xfId="49976"/>
    <cellStyle name="Обычный 7 2 38 10" xfId="49977"/>
    <cellStyle name="Процентный 7 2 38 10" xfId="49978"/>
    <cellStyle name="Обычный 8 34 10" xfId="49979"/>
    <cellStyle name="Процентный 8 34 10" xfId="49980"/>
    <cellStyle name="Обычный 4 93 10" xfId="49981"/>
    <cellStyle name="Процентный 4 93 10" xfId="49982"/>
    <cellStyle name="Обычный 5 86 10" xfId="49983"/>
    <cellStyle name="Процентный 5 86 10" xfId="49984"/>
    <cellStyle name="Обычный 4 2 80 10" xfId="49985"/>
    <cellStyle name="Процентный 4 2 80 10" xfId="49986"/>
    <cellStyle name="Обычный 5 2 80 10" xfId="49987"/>
    <cellStyle name="Процентный 5 2 80 10" xfId="49988"/>
    <cellStyle name="Обычный 6 77 10" xfId="49989"/>
    <cellStyle name="Процентный 6 77 10" xfId="49990"/>
    <cellStyle name="Обычный 7 47 10" xfId="49991"/>
    <cellStyle name="Процентный 7 47 10" xfId="49992"/>
    <cellStyle name="Обычный 4 3 39 10" xfId="49993"/>
    <cellStyle name="Процентный 4 3 39 10" xfId="49994"/>
    <cellStyle name="Обычный 5 3 39 10" xfId="49995"/>
    <cellStyle name="Процентный 5 3 39 10" xfId="49996"/>
    <cellStyle name="Обычный 4 2 2 39 10" xfId="49997"/>
    <cellStyle name="Процентный 4 2 2 39 10" xfId="49998"/>
    <cellStyle name="Обычный 5 2 2 39 10" xfId="49999"/>
    <cellStyle name="Процентный 5 2 2 39 10" xfId="50000"/>
    <cellStyle name="Обычный 6 2 39 10" xfId="50001"/>
    <cellStyle name="Процентный 6 2 39 10" xfId="50002"/>
    <cellStyle name="Обычный 7 2 39 10" xfId="50003"/>
    <cellStyle name="Процентный 7 2 39 10" xfId="50004"/>
    <cellStyle name="Обычный 8 35 10" xfId="50005"/>
    <cellStyle name="Процентный 8 35 10" xfId="50006"/>
    <cellStyle name="Обычный 9 119" xfId="50007"/>
    <cellStyle name="Процентный 9 2 10" xfId="50008"/>
    <cellStyle name="Обычный 4 94 10" xfId="50009"/>
    <cellStyle name="Процентный 4 94 10" xfId="50010"/>
    <cellStyle name="Обычный 5 87 10" xfId="50011"/>
    <cellStyle name="Процентный 5 87 10" xfId="50012"/>
    <cellStyle name="Обычный 4 2 81 10" xfId="50013"/>
    <cellStyle name="Процентный 4 2 81 10" xfId="50014"/>
    <cellStyle name="Обычный 5 2 81 10" xfId="50015"/>
    <cellStyle name="Процентный 5 2 81 10" xfId="50016"/>
    <cellStyle name="Обычный 6 78 10" xfId="50017"/>
    <cellStyle name="Процентный 6 78 10" xfId="50018"/>
    <cellStyle name="Обычный 7 48 10" xfId="50019"/>
    <cellStyle name="Процентный 7 48 10" xfId="50020"/>
    <cellStyle name="Обычный 4 3 40 10" xfId="50021"/>
    <cellStyle name="Процентный 4 3 40 10" xfId="50022"/>
    <cellStyle name="Обычный 5 3 40 10" xfId="50023"/>
    <cellStyle name="Процентный 5 3 40 10" xfId="50024"/>
    <cellStyle name="Обычный 4 2 2 40 10" xfId="50025"/>
    <cellStyle name="Процентный 4 2 2 40 10" xfId="50026"/>
    <cellStyle name="Обычный 5 2 2 40 10" xfId="50027"/>
    <cellStyle name="Процентный 5 2 2 40 10" xfId="50028"/>
    <cellStyle name="Обычный 6 2 40 10" xfId="50029"/>
    <cellStyle name="Процентный 6 2 40 10" xfId="50030"/>
    <cellStyle name="Обычный 7 2 40 10" xfId="50031"/>
    <cellStyle name="Процентный 7 2 40 10" xfId="50032"/>
    <cellStyle name="Обычный 8 36 10" xfId="50033"/>
    <cellStyle name="Процентный 8 36 10" xfId="50034"/>
    <cellStyle name="Обычный 9 2 10" xfId="50035"/>
    <cellStyle name="Процентный 9 3 10" xfId="50036"/>
    <cellStyle name="Обычный 4 95 10" xfId="50037"/>
    <cellStyle name="Процентный 4 95 10" xfId="50038"/>
    <cellStyle name="Обычный 5 88 10" xfId="50039"/>
    <cellStyle name="Процентный 5 88 10" xfId="50040"/>
    <cellStyle name="Обычный 4 2 82 10" xfId="50041"/>
    <cellStyle name="Процентный 4 2 82 10" xfId="50042"/>
    <cellStyle name="Обычный 5 2 82 10" xfId="50043"/>
    <cellStyle name="Процентный 5 2 82 10" xfId="50044"/>
    <cellStyle name="Обычный 6 79 10" xfId="50045"/>
    <cellStyle name="Процентный 6 79 10" xfId="50046"/>
    <cellStyle name="Обычный 7 49 10" xfId="50047"/>
    <cellStyle name="Процентный 7 49 10" xfId="50048"/>
    <cellStyle name="Обычный 4 3 41 10" xfId="50049"/>
    <cellStyle name="Процентный 4 3 41 10" xfId="50050"/>
    <cellStyle name="Обычный 5 3 41 10" xfId="50051"/>
    <cellStyle name="Процентный 5 3 41 10" xfId="50052"/>
    <cellStyle name="Обычный 4 2 2 41 10" xfId="50053"/>
    <cellStyle name="Процентный 4 2 2 41 10" xfId="50054"/>
    <cellStyle name="Обычный 5 2 2 41 10" xfId="50055"/>
    <cellStyle name="Процентный 5 2 2 41 10" xfId="50056"/>
    <cellStyle name="Обычный 6 2 41 10" xfId="50057"/>
    <cellStyle name="Процентный 6 2 41 10" xfId="50058"/>
    <cellStyle name="Обычный 7 2 41 10" xfId="50059"/>
    <cellStyle name="Процентный 7 2 41 10" xfId="50060"/>
    <cellStyle name="Обычный 8 37 10" xfId="50061"/>
    <cellStyle name="Процентный 8 37 10" xfId="50062"/>
    <cellStyle name="Обычный 9 3 10" xfId="50063"/>
    <cellStyle name="Процентный 9 4 10" xfId="50064"/>
    <cellStyle name="Обычный 4 96 10" xfId="50065"/>
    <cellStyle name="Процентный 4 96 10" xfId="50066"/>
    <cellStyle name="Обычный 5 89 10" xfId="50067"/>
    <cellStyle name="Процентный 5 89 10" xfId="50068"/>
    <cellStyle name="Обычный 4 2 83 10" xfId="50069"/>
    <cellStyle name="Процентный 4 2 83 10" xfId="50070"/>
    <cellStyle name="Обычный 5 2 83 10" xfId="50071"/>
    <cellStyle name="Процентный 5 2 83 10" xfId="50072"/>
    <cellStyle name="Обычный 6 80 10" xfId="50073"/>
    <cellStyle name="Процентный 6 80 10" xfId="50074"/>
    <cellStyle name="Обычный 7 50 10" xfId="50075"/>
    <cellStyle name="Процентный 7 50 10" xfId="50076"/>
    <cellStyle name="Обычный 4 3 42 10" xfId="50077"/>
    <cellStyle name="Процентный 4 3 42 10" xfId="50078"/>
    <cellStyle name="Обычный 5 3 42 10" xfId="50079"/>
    <cellStyle name="Процентный 5 3 42 10" xfId="50080"/>
    <cellStyle name="Обычный 4 2 2 42 10" xfId="50081"/>
    <cellStyle name="Процентный 4 2 2 42 10" xfId="50082"/>
    <cellStyle name="Обычный 5 2 2 42 10" xfId="50083"/>
    <cellStyle name="Процентный 5 2 2 42 10" xfId="50084"/>
    <cellStyle name="Обычный 6 2 42 10" xfId="50085"/>
    <cellStyle name="Процентный 6 2 42 10" xfId="50086"/>
    <cellStyle name="Обычный 7 2 42 10" xfId="50087"/>
    <cellStyle name="Процентный 7 2 42 10" xfId="50088"/>
    <cellStyle name="Обычный 8 38 10" xfId="50089"/>
    <cellStyle name="Процентный 8 38 10" xfId="50090"/>
    <cellStyle name="Обычный 9 4 10" xfId="50091"/>
    <cellStyle name="Процентный 9 5 10" xfId="50092"/>
    <cellStyle name="Обычный 4 97 10" xfId="50093"/>
    <cellStyle name="Процентный 4 97 10" xfId="50094"/>
    <cellStyle name="Обычный 5 90 10" xfId="50095"/>
    <cellStyle name="Процентный 5 90 10" xfId="50096"/>
    <cellStyle name="Обычный 4 2 84 10" xfId="50097"/>
    <cellStyle name="Процентный 4 2 84 10" xfId="50098"/>
    <cellStyle name="Обычный 5 2 84 10" xfId="50099"/>
    <cellStyle name="Процентный 5 2 84 10" xfId="50100"/>
    <cellStyle name="Обычный 6 81 10" xfId="50101"/>
    <cellStyle name="Процентный 6 81 10" xfId="50102"/>
    <cellStyle name="Обычный 7 51 10" xfId="50103"/>
    <cellStyle name="Процентный 7 51 10" xfId="50104"/>
    <cellStyle name="Обычный 4 3 43 10" xfId="50105"/>
    <cellStyle name="Процентный 4 3 43 10" xfId="50106"/>
    <cellStyle name="Обычный 5 3 43 10" xfId="50107"/>
    <cellStyle name="Процентный 5 3 43 10" xfId="50108"/>
    <cellStyle name="Обычный 4 2 2 43 10" xfId="50109"/>
    <cellStyle name="Процентный 4 2 2 43 10" xfId="50110"/>
    <cellStyle name="Обычный 5 2 2 43 10" xfId="50111"/>
    <cellStyle name="Процентный 5 2 2 43 10" xfId="50112"/>
    <cellStyle name="Обычный 6 2 43 10" xfId="50113"/>
    <cellStyle name="Процентный 6 2 43 10" xfId="50114"/>
    <cellStyle name="Обычный 7 2 43 10" xfId="50115"/>
    <cellStyle name="Процентный 7 2 43 10" xfId="50116"/>
    <cellStyle name="Обычный 8 39 10" xfId="50117"/>
    <cellStyle name="Процентный 8 39 10" xfId="50118"/>
    <cellStyle name="Обычный 9 5 10" xfId="50119"/>
    <cellStyle name="Процентный 9 6 10" xfId="50120"/>
    <cellStyle name="Обычный 4 98 10" xfId="50121"/>
    <cellStyle name="Процентный 4 98 10" xfId="50122"/>
    <cellStyle name="Обычный 5 91 10" xfId="50123"/>
    <cellStyle name="Процентный 5 91 10" xfId="50124"/>
    <cellStyle name="Обычный 4 2 85 10" xfId="50125"/>
    <cellStyle name="Процентный 4 2 85 10" xfId="50126"/>
    <cellStyle name="Обычный 5 2 85 10" xfId="50127"/>
    <cellStyle name="Процентный 5 2 85 10" xfId="50128"/>
    <cellStyle name="Обычный 6 82 10" xfId="50129"/>
    <cellStyle name="Процентный 6 82 10" xfId="50130"/>
    <cellStyle name="Обычный 7 52 10" xfId="50131"/>
    <cellStyle name="Процентный 7 52 10" xfId="50132"/>
    <cellStyle name="Обычный 4 3 44 10" xfId="50133"/>
    <cellStyle name="Процентный 4 3 44 10" xfId="50134"/>
    <cellStyle name="Обычный 5 3 44 10" xfId="50135"/>
    <cellStyle name="Процентный 5 3 44 10" xfId="50136"/>
    <cellStyle name="Обычный 4 2 2 44 10" xfId="50137"/>
    <cellStyle name="Процентный 4 2 2 44 10" xfId="50138"/>
    <cellStyle name="Обычный 5 2 2 44 10" xfId="50139"/>
    <cellStyle name="Процентный 5 2 2 44 10" xfId="50140"/>
    <cellStyle name="Обычный 6 2 44 10" xfId="50141"/>
    <cellStyle name="Процентный 6 2 44 10" xfId="50142"/>
    <cellStyle name="Обычный 7 2 44 10" xfId="50143"/>
    <cellStyle name="Процентный 7 2 44 10" xfId="50144"/>
    <cellStyle name="Обычный 8 40 10" xfId="50145"/>
    <cellStyle name="Процентный 8 40 10" xfId="50146"/>
    <cellStyle name="Обычный 9 6 10" xfId="50147"/>
    <cellStyle name="Процентный 9 7 10" xfId="50148"/>
    <cellStyle name="Обычный 4 99 10" xfId="50149"/>
    <cellStyle name="Процентный 4 99 10" xfId="50150"/>
    <cellStyle name="Обычный 5 92 10" xfId="50151"/>
    <cellStyle name="Процентный 5 92 10" xfId="50152"/>
    <cellStyle name="Обычный 4 2 86 10" xfId="50153"/>
    <cellStyle name="Процентный 4 2 86 10" xfId="50154"/>
    <cellStyle name="Обычный 5 2 86 10" xfId="50155"/>
    <cellStyle name="Процентный 5 2 86 10" xfId="50156"/>
    <cellStyle name="Обычный 6 83 10" xfId="50157"/>
    <cellStyle name="Процентный 6 83 10" xfId="50158"/>
    <cellStyle name="Обычный 7 53 10" xfId="50159"/>
    <cellStyle name="Процентный 7 53 10" xfId="50160"/>
    <cellStyle name="Обычный 4 3 45 10" xfId="50161"/>
    <cellStyle name="Процентный 4 3 45 10" xfId="50162"/>
    <cellStyle name="Обычный 5 3 45 10" xfId="50163"/>
    <cellStyle name="Процентный 5 3 45 10" xfId="50164"/>
    <cellStyle name="Обычный 4 2 2 45 10" xfId="50165"/>
    <cellStyle name="Процентный 4 2 2 45 10" xfId="50166"/>
    <cellStyle name="Обычный 5 2 2 45 10" xfId="50167"/>
    <cellStyle name="Процентный 5 2 2 45 10" xfId="50168"/>
    <cellStyle name="Обычный 6 2 45 10" xfId="50169"/>
    <cellStyle name="Процентный 6 2 45 10" xfId="50170"/>
    <cellStyle name="Обычный 7 2 45 10" xfId="50171"/>
    <cellStyle name="Процентный 7 2 45 10" xfId="50172"/>
    <cellStyle name="Обычный 8 41 10" xfId="50173"/>
    <cellStyle name="Процентный 8 41 10" xfId="50174"/>
    <cellStyle name="Обычный 9 7 10" xfId="50175"/>
    <cellStyle name="Процентный 9 8 10" xfId="50176"/>
    <cellStyle name="Обычный 4 100 10" xfId="50177"/>
    <cellStyle name="Процентный 4 100 10" xfId="50178"/>
    <cellStyle name="Обычный 5 93 10" xfId="50179"/>
    <cellStyle name="Процентный 5 93 10" xfId="50180"/>
    <cellStyle name="Обычный 4 2 87 10" xfId="50181"/>
    <cellStyle name="Процентный 4 2 87 10" xfId="50182"/>
    <cellStyle name="Обычный 5 2 87 10" xfId="50183"/>
    <cellStyle name="Процентный 5 2 87 10" xfId="50184"/>
    <cellStyle name="Обычный 6 84 10" xfId="50185"/>
    <cellStyle name="Процентный 6 84 10" xfId="50186"/>
    <cellStyle name="Обычный 7 54 10" xfId="50187"/>
    <cellStyle name="Процентный 7 54 10" xfId="50188"/>
    <cellStyle name="Обычный 4 3 46 10" xfId="50189"/>
    <cellStyle name="Процентный 4 3 46 10" xfId="50190"/>
    <cellStyle name="Обычный 5 3 46 10" xfId="50191"/>
    <cellStyle name="Процентный 5 3 46 10" xfId="50192"/>
    <cellStyle name="Обычный 4 2 2 46 10" xfId="50193"/>
    <cellStyle name="Процентный 4 2 2 46 10" xfId="50194"/>
    <cellStyle name="Обычный 5 2 2 46 10" xfId="50195"/>
    <cellStyle name="Процентный 5 2 2 46 10" xfId="50196"/>
    <cellStyle name="Обычный 6 2 46 10" xfId="50197"/>
    <cellStyle name="Процентный 6 2 46 10" xfId="50198"/>
    <cellStyle name="Обычный 7 2 46 10" xfId="50199"/>
    <cellStyle name="Процентный 7 2 46 10" xfId="50200"/>
    <cellStyle name="Обычный 8 42 10" xfId="50201"/>
    <cellStyle name="Процентный 8 42 10" xfId="50202"/>
    <cellStyle name="Обычный 9 8 10" xfId="50203"/>
    <cellStyle name="Процентный 9 9 10" xfId="50204"/>
    <cellStyle name="Обычный 10 112" xfId="50205"/>
    <cellStyle name="Процентный 10 112" xfId="50206"/>
    <cellStyle name="Обычный 4 101 10" xfId="50207"/>
    <cellStyle name="Процентный 4 101 10" xfId="50208"/>
    <cellStyle name="Обычный 5 94 10" xfId="50209"/>
    <cellStyle name="Процентный 5 94 10" xfId="50210"/>
    <cellStyle name="Обычный 4 2 88 10" xfId="50211"/>
    <cellStyle name="Процентный 4 2 88 10" xfId="50212"/>
    <cellStyle name="Обычный 5 2 88 10" xfId="50213"/>
    <cellStyle name="Процентный 5 2 88 10" xfId="50214"/>
    <cellStyle name="Обычный 6 85 10" xfId="50215"/>
    <cellStyle name="Процентный 6 85 10" xfId="50216"/>
    <cellStyle name="Обычный 7 55 10" xfId="50217"/>
    <cellStyle name="Процентный 7 55 10" xfId="50218"/>
    <cellStyle name="Обычный 4 3 47 10" xfId="50219"/>
    <cellStyle name="Процентный 4 3 47 10" xfId="50220"/>
    <cellStyle name="Обычный 5 3 47 10" xfId="50221"/>
    <cellStyle name="Процентный 5 3 47 10" xfId="50222"/>
    <cellStyle name="Обычный 4 2 2 47 10" xfId="50223"/>
    <cellStyle name="Процентный 4 2 2 47 10" xfId="50224"/>
    <cellStyle name="Обычный 5 2 2 47 10" xfId="50225"/>
    <cellStyle name="Процентный 5 2 2 47 10" xfId="50226"/>
    <cellStyle name="Обычный 6 2 47 10" xfId="50227"/>
    <cellStyle name="Процентный 6 2 47 10" xfId="50228"/>
    <cellStyle name="Обычный 7 2 47 10" xfId="50229"/>
    <cellStyle name="Процентный 7 2 47 10" xfId="50230"/>
    <cellStyle name="Обычный 8 43 10" xfId="50231"/>
    <cellStyle name="Процентный 8 43 10" xfId="50232"/>
    <cellStyle name="Обычный 9 9 10" xfId="50233"/>
    <cellStyle name="Процентный 9 10 10" xfId="50234"/>
    <cellStyle name="Обычный 10 2 10" xfId="50235"/>
    <cellStyle name="Процентный 10 2 10" xfId="50236"/>
    <cellStyle name="Обычный 4 102 10" xfId="50237"/>
    <cellStyle name="Процентный 4 102 10" xfId="50238"/>
    <cellStyle name="Обычный 5 95 10" xfId="50239"/>
    <cellStyle name="Процентный 5 95 10" xfId="50240"/>
    <cellStyle name="Обычный 4 2 89 10" xfId="50241"/>
    <cellStyle name="Процентный 4 2 89 10" xfId="50242"/>
    <cellStyle name="Обычный 5 2 89 10" xfId="50243"/>
    <cellStyle name="Процентный 5 2 89 10" xfId="50244"/>
    <cellStyle name="Обычный 6 86 10" xfId="50245"/>
    <cellStyle name="Процентный 6 86 10" xfId="50246"/>
    <cellStyle name="Обычный 7 56 10" xfId="50247"/>
    <cellStyle name="Процентный 7 56 10" xfId="50248"/>
    <cellStyle name="Обычный 4 3 48 10" xfId="50249"/>
    <cellStyle name="Процентный 4 3 48 10" xfId="50250"/>
    <cellStyle name="Обычный 5 3 48 10" xfId="50251"/>
    <cellStyle name="Процентный 5 3 48 10" xfId="50252"/>
    <cellStyle name="Обычный 4 2 2 48 10" xfId="50253"/>
    <cellStyle name="Процентный 4 2 2 48 10" xfId="50254"/>
    <cellStyle name="Обычный 5 2 2 48 10" xfId="50255"/>
    <cellStyle name="Процентный 5 2 2 48 10" xfId="50256"/>
    <cellStyle name="Обычный 6 2 48 10" xfId="50257"/>
    <cellStyle name="Процентный 6 2 48 10" xfId="50258"/>
    <cellStyle name="Обычный 7 2 48 10" xfId="50259"/>
    <cellStyle name="Процентный 7 2 48 10" xfId="50260"/>
    <cellStyle name="Обычный 8 44 10" xfId="50261"/>
    <cellStyle name="Процентный 8 44 10" xfId="50262"/>
    <cellStyle name="Обычный 9 10 10" xfId="50263"/>
    <cellStyle name="Процентный 9 11 10" xfId="50264"/>
    <cellStyle name="Обычный 10 3 10" xfId="50265"/>
    <cellStyle name="Процентный 10 3 10" xfId="50266"/>
    <cellStyle name="Обычный 4 103 10" xfId="50267"/>
    <cellStyle name="Процентный 4 103 10" xfId="50268"/>
    <cellStyle name="Обычный 5 96 10" xfId="50269"/>
    <cellStyle name="Процентный 5 96 10" xfId="50270"/>
    <cellStyle name="Обычный 4 2 90 10" xfId="50271"/>
    <cellStyle name="Процентный 4 2 90 10" xfId="50272"/>
    <cellStyle name="Обычный 5 2 90 10" xfId="50273"/>
    <cellStyle name="Процентный 5 2 90 10" xfId="50274"/>
    <cellStyle name="Обычный 6 87 10" xfId="50275"/>
    <cellStyle name="Процентный 6 87 10" xfId="50276"/>
    <cellStyle name="Обычный 7 57 10" xfId="50277"/>
    <cellStyle name="Процентный 7 57 10" xfId="50278"/>
    <cellStyle name="Обычный 4 3 49 10" xfId="50279"/>
    <cellStyle name="Процентный 4 3 49 10" xfId="50280"/>
    <cellStyle name="Обычный 5 3 49 10" xfId="50281"/>
    <cellStyle name="Процентный 5 3 49 10" xfId="50282"/>
    <cellStyle name="Обычный 4 2 2 49 10" xfId="50283"/>
    <cellStyle name="Процентный 4 2 2 49 10" xfId="50284"/>
    <cellStyle name="Обычный 5 2 2 49 10" xfId="50285"/>
    <cellStyle name="Процентный 5 2 2 49 10" xfId="50286"/>
    <cellStyle name="Обычный 6 2 49 10" xfId="50287"/>
    <cellStyle name="Процентный 6 2 49 10" xfId="50288"/>
    <cellStyle name="Обычный 7 2 49 10" xfId="50289"/>
    <cellStyle name="Процентный 7 2 49 10" xfId="50290"/>
    <cellStyle name="Обычный 8 45 10" xfId="50291"/>
    <cellStyle name="Процентный 8 45 10" xfId="50292"/>
    <cellStyle name="Обычный 9 11 10" xfId="50293"/>
    <cellStyle name="Процентный 9 12 10" xfId="50294"/>
    <cellStyle name="Обычный 10 4 10" xfId="50295"/>
    <cellStyle name="Процентный 10 4 10" xfId="50296"/>
    <cellStyle name="Обычный 4 104 10" xfId="50297"/>
    <cellStyle name="Процентный 4 104 10" xfId="50298"/>
    <cellStyle name="Обычный 5 97 10" xfId="50299"/>
    <cellStyle name="Процентный 5 97 10" xfId="50300"/>
    <cellStyle name="Обычный 4 2 91 10" xfId="50301"/>
    <cellStyle name="Процентный 4 2 91 10" xfId="50302"/>
    <cellStyle name="Обычный 5 2 91 10" xfId="50303"/>
    <cellStyle name="Процентный 5 2 91 10" xfId="50304"/>
    <cellStyle name="Обычный 6 88 10" xfId="50305"/>
    <cellStyle name="Процентный 6 88 10" xfId="50306"/>
    <cellStyle name="Обычный 7 58 10" xfId="50307"/>
    <cellStyle name="Процентный 7 58 10" xfId="50308"/>
    <cellStyle name="Обычный 4 3 50 10" xfId="50309"/>
    <cellStyle name="Процентный 4 3 50 10" xfId="50310"/>
    <cellStyle name="Обычный 5 3 50 10" xfId="50311"/>
    <cellStyle name="Процентный 5 3 50 10" xfId="50312"/>
    <cellStyle name="Обычный 4 2 2 50 10" xfId="50313"/>
    <cellStyle name="Процентный 4 2 2 50 10" xfId="50314"/>
    <cellStyle name="Обычный 5 2 2 50 10" xfId="50315"/>
    <cellStyle name="Процентный 5 2 2 50 10" xfId="50316"/>
    <cellStyle name="Обычный 6 2 50 10" xfId="50317"/>
    <cellStyle name="Процентный 6 2 50 10" xfId="50318"/>
    <cellStyle name="Обычный 7 2 50 10" xfId="50319"/>
    <cellStyle name="Процентный 7 2 50 10" xfId="50320"/>
    <cellStyle name="Обычный 8 46 10" xfId="50321"/>
    <cellStyle name="Процентный 8 46 10" xfId="50322"/>
    <cellStyle name="Обычный 9 12 10" xfId="50323"/>
    <cellStyle name="Процентный 9 13 10" xfId="50324"/>
    <cellStyle name="Обычный 10 5 10" xfId="50325"/>
    <cellStyle name="Процентный 10 5 10" xfId="50326"/>
    <cellStyle name="Обычный 4 105 10" xfId="50327"/>
    <cellStyle name="Процентный 4 105 10" xfId="50328"/>
    <cellStyle name="Обычный 5 98 10" xfId="50329"/>
    <cellStyle name="Процентный 5 98 10" xfId="50330"/>
    <cellStyle name="Обычный 4 2 92 10" xfId="50331"/>
    <cellStyle name="Процентный 4 2 92 10" xfId="50332"/>
    <cellStyle name="Обычный 5 2 92 10" xfId="50333"/>
    <cellStyle name="Процентный 5 2 92 10" xfId="50334"/>
    <cellStyle name="Обычный 6 89 10" xfId="50335"/>
    <cellStyle name="Процентный 6 89 10" xfId="50336"/>
    <cellStyle name="Обычный 7 59 10" xfId="50337"/>
    <cellStyle name="Процентный 7 59 10" xfId="50338"/>
    <cellStyle name="Обычный 4 3 51 10" xfId="50339"/>
    <cellStyle name="Процентный 4 3 51 10" xfId="50340"/>
    <cellStyle name="Обычный 5 3 51 10" xfId="50341"/>
    <cellStyle name="Процентный 5 3 51 10" xfId="50342"/>
    <cellStyle name="Обычный 4 2 2 51 10" xfId="50343"/>
    <cellStyle name="Процентный 4 2 2 51 10" xfId="50344"/>
    <cellStyle name="Обычный 5 2 2 51 10" xfId="50345"/>
    <cellStyle name="Процентный 5 2 2 51 10" xfId="50346"/>
    <cellStyle name="Обычный 6 2 51 10" xfId="50347"/>
    <cellStyle name="Процентный 6 2 51 10" xfId="50348"/>
    <cellStyle name="Обычный 7 2 51 10" xfId="50349"/>
    <cellStyle name="Процентный 7 2 51 10" xfId="50350"/>
    <cellStyle name="Обычный 8 47 10" xfId="50351"/>
    <cellStyle name="Процентный 8 47 10" xfId="50352"/>
    <cellStyle name="Обычный 9 13 10" xfId="50353"/>
    <cellStyle name="Процентный 9 14 10" xfId="50354"/>
    <cellStyle name="Обычный 10 6 10" xfId="50355"/>
    <cellStyle name="Процентный 10 6 10" xfId="50356"/>
    <cellStyle name="Обычный 4 106 10" xfId="50357"/>
    <cellStyle name="Процентный 4 106 10" xfId="50358"/>
    <cellStyle name="Обычный 5 99 10" xfId="50359"/>
    <cellStyle name="Процентный 5 99 10" xfId="50360"/>
    <cellStyle name="Обычный 4 2 93 10" xfId="50361"/>
    <cellStyle name="Процентный 4 2 93 10" xfId="50362"/>
    <cellStyle name="Обычный 5 2 93 10" xfId="50363"/>
    <cellStyle name="Процентный 5 2 93 10" xfId="50364"/>
    <cellStyle name="Обычный 6 90 10" xfId="50365"/>
    <cellStyle name="Процентный 6 90 10" xfId="50366"/>
    <cellStyle name="Обычный 7 60 10" xfId="50367"/>
    <cellStyle name="Процентный 7 60 10" xfId="50368"/>
    <cellStyle name="Обычный 4 3 52 10" xfId="50369"/>
    <cellStyle name="Процентный 4 3 52 10" xfId="50370"/>
    <cellStyle name="Обычный 5 3 52 10" xfId="50371"/>
    <cellStyle name="Процентный 5 3 52 10" xfId="50372"/>
    <cellStyle name="Обычный 4 2 2 52 10" xfId="50373"/>
    <cellStyle name="Процентный 4 2 2 52 10" xfId="50374"/>
    <cellStyle name="Обычный 5 2 2 52 10" xfId="50375"/>
    <cellStyle name="Процентный 5 2 2 52 10" xfId="50376"/>
    <cellStyle name="Обычный 6 2 52 10" xfId="50377"/>
    <cellStyle name="Процентный 6 2 52 10" xfId="50378"/>
    <cellStyle name="Обычный 7 2 52 10" xfId="50379"/>
    <cellStyle name="Процентный 7 2 52 10" xfId="50380"/>
    <cellStyle name="Обычный 8 48 10" xfId="50381"/>
    <cellStyle name="Процентный 8 48 10" xfId="50382"/>
    <cellStyle name="Обычный 9 14 10" xfId="50383"/>
    <cellStyle name="Процентный 9 15 10" xfId="50384"/>
    <cellStyle name="Обычный 10 7 10" xfId="50385"/>
    <cellStyle name="Процентный 10 7 10" xfId="50386"/>
    <cellStyle name="Обычный 4 107 10" xfId="50387"/>
    <cellStyle name="Процентный 4 107 10" xfId="50388"/>
    <cellStyle name="Обычный 5 100 10" xfId="50389"/>
    <cellStyle name="Процентный 5 100 10" xfId="50390"/>
    <cellStyle name="Обычный 4 2 94 10" xfId="50391"/>
    <cellStyle name="Процентный 4 2 94 10" xfId="50392"/>
    <cellStyle name="Обычный 5 2 94 10" xfId="50393"/>
    <cellStyle name="Процентный 5 2 94 10" xfId="50394"/>
    <cellStyle name="Обычный 6 91 10" xfId="50395"/>
    <cellStyle name="Процентный 6 91 10" xfId="50396"/>
    <cellStyle name="Обычный 7 61 10" xfId="50397"/>
    <cellStyle name="Процентный 7 61 10" xfId="50398"/>
    <cellStyle name="Обычный 4 3 53 10" xfId="50399"/>
    <cellStyle name="Процентный 4 3 53 10" xfId="50400"/>
    <cellStyle name="Обычный 5 3 53 10" xfId="50401"/>
    <cellStyle name="Процентный 5 3 53 10" xfId="50402"/>
    <cellStyle name="Обычный 4 2 2 53 10" xfId="50403"/>
    <cellStyle name="Процентный 4 2 2 53 10" xfId="50404"/>
    <cellStyle name="Обычный 5 2 2 53 10" xfId="50405"/>
    <cellStyle name="Процентный 5 2 2 53 10" xfId="50406"/>
    <cellStyle name="Обычный 6 2 53 10" xfId="50407"/>
    <cellStyle name="Процентный 6 2 53 10" xfId="50408"/>
    <cellStyle name="Обычный 7 2 53 10" xfId="50409"/>
    <cellStyle name="Процентный 7 2 53 10" xfId="50410"/>
    <cellStyle name="Обычный 8 49 10" xfId="50411"/>
    <cellStyle name="Процентный 8 49 10" xfId="50412"/>
    <cellStyle name="Обычный 9 15 10" xfId="50413"/>
    <cellStyle name="Процентный 9 16 10" xfId="50414"/>
    <cellStyle name="Обычный 10 8 10" xfId="50415"/>
    <cellStyle name="Процентный 10 8 10" xfId="50416"/>
    <cellStyle name="Обычный 4 108 10" xfId="50417"/>
    <cellStyle name="Процентный 4 108 10" xfId="50418"/>
    <cellStyle name="Обычный 5 101 10" xfId="50419"/>
    <cellStyle name="Процентный 5 101 10" xfId="50420"/>
    <cellStyle name="Обычный 4 2 95 10" xfId="50421"/>
    <cellStyle name="Процентный 4 2 95 10" xfId="50422"/>
    <cellStyle name="Обычный 5 2 95 10" xfId="50423"/>
    <cellStyle name="Процентный 5 2 95 10" xfId="50424"/>
    <cellStyle name="Обычный 6 92 10" xfId="50425"/>
    <cellStyle name="Процентный 6 92 10" xfId="50426"/>
    <cellStyle name="Обычный 7 62 10" xfId="50427"/>
    <cellStyle name="Процентный 7 62 10" xfId="50428"/>
    <cellStyle name="Обычный 4 3 54 10" xfId="50429"/>
    <cellStyle name="Процентный 4 3 54 10" xfId="50430"/>
    <cellStyle name="Обычный 5 3 54 10" xfId="50431"/>
    <cellStyle name="Процентный 5 3 54 10" xfId="50432"/>
    <cellStyle name="Обычный 4 2 2 54 10" xfId="50433"/>
    <cellStyle name="Процентный 4 2 2 54 10" xfId="50434"/>
    <cellStyle name="Обычный 5 2 2 54 10" xfId="50435"/>
    <cellStyle name="Процентный 5 2 2 54 10" xfId="50436"/>
    <cellStyle name="Обычный 6 2 54 10" xfId="50437"/>
    <cellStyle name="Процентный 6 2 54 10" xfId="50438"/>
    <cellStyle name="Обычный 7 2 54 10" xfId="50439"/>
    <cellStyle name="Процентный 7 2 54 10" xfId="50440"/>
    <cellStyle name="Обычный 8 50 10" xfId="50441"/>
    <cellStyle name="Процентный 8 50 10" xfId="50442"/>
    <cellStyle name="Обычный 9 16 10" xfId="50443"/>
    <cellStyle name="Процентный 9 17 10" xfId="50444"/>
    <cellStyle name="Обычный 10 9 10" xfId="50445"/>
    <cellStyle name="Процентный 10 9 10" xfId="50446"/>
    <cellStyle name="Обычный 4 109 10" xfId="50447"/>
    <cellStyle name="Процентный 4 109 10" xfId="50448"/>
    <cellStyle name="Обычный 5 102 10" xfId="50449"/>
    <cellStyle name="Процентный 5 102 10" xfId="50450"/>
    <cellStyle name="Обычный 4 2 96 10" xfId="50451"/>
    <cellStyle name="Процентный 4 2 96 10" xfId="50452"/>
    <cellStyle name="Обычный 5 2 96 10" xfId="50453"/>
    <cellStyle name="Процентный 5 2 96 10" xfId="50454"/>
    <cellStyle name="Обычный 6 93 10" xfId="50455"/>
    <cellStyle name="Процентный 6 93 10" xfId="50456"/>
    <cellStyle name="Обычный 7 63 10" xfId="50457"/>
    <cellStyle name="Процентный 7 63 10" xfId="50458"/>
    <cellStyle name="Обычный 4 3 55 10" xfId="50459"/>
    <cellStyle name="Процентный 4 3 55 10" xfId="50460"/>
    <cellStyle name="Обычный 5 3 55 10" xfId="50461"/>
    <cellStyle name="Процентный 5 3 55 10" xfId="50462"/>
    <cellStyle name="Обычный 4 2 2 55 10" xfId="50463"/>
    <cellStyle name="Процентный 4 2 2 55 10" xfId="50464"/>
    <cellStyle name="Обычный 5 2 2 55 10" xfId="50465"/>
    <cellStyle name="Процентный 5 2 2 55 10" xfId="50466"/>
    <cellStyle name="Обычный 6 2 55 10" xfId="50467"/>
    <cellStyle name="Процентный 6 2 55 10" xfId="50468"/>
    <cellStyle name="Обычный 7 2 55 10" xfId="50469"/>
    <cellStyle name="Процентный 7 2 55 10" xfId="50470"/>
    <cellStyle name="Обычный 8 51 10" xfId="50471"/>
    <cellStyle name="Процентный 8 51 10" xfId="50472"/>
    <cellStyle name="Обычный 9 17 10" xfId="50473"/>
    <cellStyle name="Процентный 9 18 10" xfId="50474"/>
    <cellStyle name="Обычный 10 10 10" xfId="50475"/>
    <cellStyle name="Процентный 10 10 10" xfId="50476"/>
    <cellStyle name="Обычный 4 110 10" xfId="50477"/>
    <cellStyle name="Процентный 4 110 10" xfId="50478"/>
    <cellStyle name="Обычный 5 103 10" xfId="50479"/>
    <cellStyle name="Процентный 5 103 10" xfId="50480"/>
    <cellStyle name="Обычный 4 2 97 10" xfId="50481"/>
    <cellStyle name="Процентный 4 2 97 10" xfId="50482"/>
    <cellStyle name="Обычный 5 2 97 10" xfId="50483"/>
    <cellStyle name="Процентный 5 2 97 10" xfId="50484"/>
    <cellStyle name="Обычный 6 94 10" xfId="50485"/>
    <cellStyle name="Процентный 6 94 10" xfId="50486"/>
    <cellStyle name="Обычный 7 64 10" xfId="50487"/>
    <cellStyle name="Процентный 7 64 10" xfId="50488"/>
    <cellStyle name="Обычный 4 3 56 10" xfId="50489"/>
    <cellStyle name="Процентный 4 3 56 10" xfId="50490"/>
    <cellStyle name="Обычный 5 3 56 10" xfId="50491"/>
    <cellStyle name="Процентный 5 3 56 10" xfId="50492"/>
    <cellStyle name="Обычный 4 2 2 56 10" xfId="50493"/>
    <cellStyle name="Процентный 4 2 2 56 10" xfId="50494"/>
    <cellStyle name="Обычный 5 2 2 56 10" xfId="50495"/>
    <cellStyle name="Процентный 5 2 2 56 10" xfId="50496"/>
    <cellStyle name="Обычный 6 2 56 10" xfId="50497"/>
    <cellStyle name="Процентный 6 2 56 10" xfId="50498"/>
    <cellStyle name="Обычный 7 2 56 10" xfId="50499"/>
    <cellStyle name="Процентный 7 2 56 10" xfId="50500"/>
    <cellStyle name="Обычный 8 52 10" xfId="50501"/>
    <cellStyle name="Процентный 8 52 10" xfId="50502"/>
    <cellStyle name="Обычный 9 18 10" xfId="50503"/>
    <cellStyle name="Процентный 9 19 10" xfId="50504"/>
    <cellStyle name="Обычный 10 11 10" xfId="50505"/>
    <cellStyle name="Процентный 10 11 10" xfId="50506"/>
    <cellStyle name="Обычный 4 111 10" xfId="50507"/>
    <cellStyle name="Процентный 4 111 10" xfId="50508"/>
    <cellStyle name="Обычный 5 104 10" xfId="50509"/>
    <cellStyle name="Процентный 5 104 10" xfId="50510"/>
    <cellStyle name="Обычный 4 2 98 10" xfId="50511"/>
    <cellStyle name="Процентный 4 2 98 10" xfId="50512"/>
    <cellStyle name="Обычный 5 2 98 10" xfId="50513"/>
    <cellStyle name="Процентный 5 2 98 10" xfId="50514"/>
    <cellStyle name="Обычный 6 95 10" xfId="50515"/>
    <cellStyle name="Процентный 6 95 10" xfId="50516"/>
    <cellStyle name="Обычный 7 65 10" xfId="50517"/>
    <cellStyle name="Процентный 7 65 10" xfId="50518"/>
    <cellStyle name="Обычный 4 3 57 10" xfId="50519"/>
    <cellStyle name="Процентный 4 3 57 10" xfId="50520"/>
    <cellStyle name="Обычный 5 3 57 10" xfId="50521"/>
    <cellStyle name="Процентный 5 3 57 10" xfId="50522"/>
    <cellStyle name="Обычный 4 2 2 57 10" xfId="50523"/>
    <cellStyle name="Процентный 4 2 2 57 10" xfId="50524"/>
    <cellStyle name="Обычный 5 2 2 57 10" xfId="50525"/>
    <cellStyle name="Процентный 5 2 2 57 10" xfId="50526"/>
    <cellStyle name="Обычный 6 2 57 10" xfId="50527"/>
    <cellStyle name="Процентный 6 2 57 10" xfId="50528"/>
    <cellStyle name="Обычный 7 2 57 10" xfId="50529"/>
    <cellStyle name="Процентный 7 2 57 10" xfId="50530"/>
    <cellStyle name="Обычный 8 53 10" xfId="50531"/>
    <cellStyle name="Процентный 8 53 10" xfId="50532"/>
    <cellStyle name="Обычный 9 19 10" xfId="50533"/>
    <cellStyle name="Процентный 9 20 10" xfId="50534"/>
    <cellStyle name="Обычный 10 12 10" xfId="50535"/>
    <cellStyle name="Процентный 10 12 10" xfId="50536"/>
    <cellStyle name="Обычный 4 112 10" xfId="50537"/>
    <cellStyle name="Процентный 4 112 10" xfId="50538"/>
    <cellStyle name="Обычный 5 105 10" xfId="50539"/>
    <cellStyle name="Процентный 5 105 10" xfId="50540"/>
    <cellStyle name="Обычный 4 2 99 10" xfId="50541"/>
    <cellStyle name="Процентный 4 2 99 10" xfId="50542"/>
    <cellStyle name="Обычный 5 2 99 10" xfId="50543"/>
    <cellStyle name="Процентный 5 2 99 10" xfId="50544"/>
    <cellStyle name="Обычный 6 96 10" xfId="50545"/>
    <cellStyle name="Процентный 6 96 10" xfId="50546"/>
    <cellStyle name="Обычный 7 66 10" xfId="50547"/>
    <cellStyle name="Процентный 7 66 10" xfId="50548"/>
    <cellStyle name="Обычный 4 3 58 10" xfId="50549"/>
    <cellStyle name="Процентный 4 3 58 10" xfId="50550"/>
    <cellStyle name="Обычный 5 3 58 10" xfId="50551"/>
    <cellStyle name="Процентный 5 3 58 10" xfId="50552"/>
    <cellStyle name="Обычный 4 2 2 58 10" xfId="50553"/>
    <cellStyle name="Процентный 4 2 2 58 10" xfId="50554"/>
    <cellStyle name="Обычный 5 2 2 58 10" xfId="50555"/>
    <cellStyle name="Процентный 5 2 2 58 10" xfId="50556"/>
    <cellStyle name="Обычный 6 2 58 10" xfId="50557"/>
    <cellStyle name="Процентный 6 2 58 10" xfId="50558"/>
    <cellStyle name="Обычный 7 2 58 10" xfId="50559"/>
    <cellStyle name="Процентный 7 2 58 10" xfId="50560"/>
    <cellStyle name="Обычный 8 54 10" xfId="50561"/>
    <cellStyle name="Процентный 8 54 10" xfId="50562"/>
    <cellStyle name="Обычный 9 20 10" xfId="50563"/>
    <cellStyle name="Процентный 9 21 10" xfId="50564"/>
    <cellStyle name="Обычный 10 13 10" xfId="50565"/>
    <cellStyle name="Процентный 10 13 10" xfId="50566"/>
    <cellStyle name="Обычный 11 100" xfId="50567"/>
    <cellStyle name="Процентный 11 100" xfId="50568"/>
    <cellStyle name="Обычный 4 113 10" xfId="50569"/>
    <cellStyle name="Процентный 4 113 10" xfId="50570"/>
    <cellStyle name="Обычный 5 106 10" xfId="50571"/>
    <cellStyle name="Процентный 5 106 10" xfId="50572"/>
    <cellStyle name="Обычный 4 2 100 10" xfId="50573"/>
    <cellStyle name="Процентный 4 2 100 10" xfId="50574"/>
    <cellStyle name="Обычный 5 2 100 10" xfId="50575"/>
    <cellStyle name="Процентный 5 2 100 10" xfId="50576"/>
    <cellStyle name="Обычный 6 97 10" xfId="50577"/>
    <cellStyle name="Процентный 6 97 10" xfId="50578"/>
    <cellStyle name="Обычный 7 67 10" xfId="50579"/>
    <cellStyle name="Процентный 7 67 10" xfId="50580"/>
    <cellStyle name="Обычный 4 3 59 10" xfId="50581"/>
    <cellStyle name="Процентный 4 3 59 10" xfId="50582"/>
    <cellStyle name="Обычный 5 3 59 10" xfId="50583"/>
    <cellStyle name="Процентный 5 3 59 10" xfId="50584"/>
    <cellStyle name="Обычный 4 2 2 59 10" xfId="50585"/>
    <cellStyle name="Процентный 4 2 2 59 10" xfId="50586"/>
    <cellStyle name="Обычный 5 2 2 59 10" xfId="50587"/>
    <cellStyle name="Процентный 5 2 2 59 10" xfId="50588"/>
    <cellStyle name="Обычный 6 2 59 10" xfId="50589"/>
    <cellStyle name="Процентный 6 2 59 10" xfId="50590"/>
    <cellStyle name="Обычный 7 2 59 10" xfId="50591"/>
    <cellStyle name="Процентный 7 2 59 10" xfId="50592"/>
    <cellStyle name="Обычный 8 55 10" xfId="50593"/>
    <cellStyle name="Процентный 8 55 10" xfId="50594"/>
    <cellStyle name="Обычный 9 21 10" xfId="50595"/>
    <cellStyle name="Процентный 9 22 10" xfId="50596"/>
    <cellStyle name="Обычный 10 14 10" xfId="50597"/>
    <cellStyle name="Процентный 10 14 10" xfId="50598"/>
    <cellStyle name="Обычный 11 2 10" xfId="50599"/>
    <cellStyle name="Процентный 11 2 10" xfId="50600"/>
    <cellStyle name="Обычный 12 10" xfId="50601"/>
    <cellStyle name="Процентный 12 10" xfId="50602"/>
    <cellStyle name="Обычный 4 114 10" xfId="50603"/>
    <cellStyle name="Процентный 4 114 10" xfId="50604"/>
    <cellStyle name="Обычный 5 107 10" xfId="50605"/>
    <cellStyle name="Процентный 5 107 10" xfId="50606"/>
    <cellStyle name="Обычный 4 2 101 10" xfId="50607"/>
    <cellStyle name="Процентный 4 2 101 10" xfId="50608"/>
    <cellStyle name="Обычный 5 2 101 10" xfId="50609"/>
    <cellStyle name="Процентный 5 2 101 10" xfId="50610"/>
    <cellStyle name="Обычный 6 98 10" xfId="50611"/>
    <cellStyle name="Процентный 6 98 10" xfId="50612"/>
    <cellStyle name="Обычный 7 68 10" xfId="50613"/>
    <cellStyle name="Процентный 7 68 10" xfId="50614"/>
    <cellStyle name="Обычный 4 3 60 10" xfId="50615"/>
    <cellStyle name="Процентный 4 3 60 10" xfId="50616"/>
    <cellStyle name="Обычный 5 3 60 10" xfId="50617"/>
    <cellStyle name="Процентный 5 3 60 10" xfId="50618"/>
    <cellStyle name="Обычный 4 2 2 60 10" xfId="50619"/>
    <cellStyle name="Процентный 4 2 2 60 10" xfId="50620"/>
    <cellStyle name="Обычный 5 2 2 60 10" xfId="50621"/>
    <cellStyle name="Процентный 5 2 2 60 10" xfId="50622"/>
    <cellStyle name="Обычный 6 2 60 10" xfId="50623"/>
    <cellStyle name="Процентный 6 2 60 10" xfId="50624"/>
    <cellStyle name="Обычный 7 2 60 10" xfId="50625"/>
    <cellStyle name="Процентный 7 2 60 10" xfId="50626"/>
    <cellStyle name="Обычный 8 56 10" xfId="50627"/>
    <cellStyle name="Процентный 8 56 10" xfId="50628"/>
    <cellStyle name="Обычный 9 22 10" xfId="50629"/>
    <cellStyle name="Процентный 9 23 10" xfId="50630"/>
    <cellStyle name="Обычный 10 15 10" xfId="50631"/>
    <cellStyle name="Процентный 10 15 10" xfId="50632"/>
    <cellStyle name="Обычный 11 3 10" xfId="50633"/>
    <cellStyle name="Процентный 11 3 10" xfId="50634"/>
    <cellStyle name="Обычный 4 115 10" xfId="50635"/>
    <cellStyle name="Процентный 4 115 10" xfId="50636"/>
    <cellStyle name="Обычный 5 108 10" xfId="50637"/>
    <cellStyle name="Процентный 5 108 10" xfId="50638"/>
    <cellStyle name="Обычный 4 2 102 10" xfId="50639"/>
    <cellStyle name="Процентный 4 2 102 10" xfId="50640"/>
    <cellStyle name="Обычный 5 2 102 10" xfId="50641"/>
    <cellStyle name="Процентный 5 2 102 10" xfId="50642"/>
    <cellStyle name="Обычный 6 99 10" xfId="50643"/>
    <cellStyle name="Процентный 6 99 10" xfId="50644"/>
    <cellStyle name="Обычный 7 69 10" xfId="50645"/>
    <cellStyle name="Процентный 7 69 10" xfId="50646"/>
    <cellStyle name="Обычный 4 3 61 10" xfId="50647"/>
    <cellStyle name="Процентный 4 3 61 10" xfId="50648"/>
    <cellStyle name="Обычный 5 3 61 10" xfId="50649"/>
    <cellStyle name="Процентный 5 3 61 10" xfId="50650"/>
    <cellStyle name="Обычный 4 2 2 61 10" xfId="50651"/>
    <cellStyle name="Процентный 4 2 2 61 10" xfId="50652"/>
    <cellStyle name="Обычный 5 2 2 61 10" xfId="50653"/>
    <cellStyle name="Процентный 5 2 2 61 10" xfId="50654"/>
    <cellStyle name="Обычный 6 2 61 10" xfId="50655"/>
    <cellStyle name="Процентный 6 2 61 10" xfId="50656"/>
    <cellStyle name="Обычный 7 2 61 10" xfId="50657"/>
    <cellStyle name="Процентный 7 2 61 10" xfId="50658"/>
    <cellStyle name="Обычный 8 57 10" xfId="50659"/>
    <cellStyle name="Процентный 8 57 10" xfId="50660"/>
    <cellStyle name="Обычный 9 23 10" xfId="50661"/>
    <cellStyle name="Процентный 9 24 10" xfId="50662"/>
    <cellStyle name="Обычный 10 16 10" xfId="50663"/>
    <cellStyle name="Процентный 10 16 10" xfId="50664"/>
    <cellStyle name="Обычный 11 4 10" xfId="50665"/>
    <cellStyle name="Процентный 11 4 10" xfId="50666"/>
    <cellStyle name="Обычный 4 116 10" xfId="50667"/>
    <cellStyle name="Процентный 4 116 10" xfId="50668"/>
    <cellStyle name="Обычный 5 109 10" xfId="50669"/>
    <cellStyle name="Процентный 5 109 10" xfId="50670"/>
    <cellStyle name="Обычный 4 2 103 10" xfId="50671"/>
    <cellStyle name="Процентный 4 2 103 10" xfId="50672"/>
    <cellStyle name="Обычный 5 2 103 10" xfId="50673"/>
    <cellStyle name="Процентный 5 2 103 10" xfId="50674"/>
    <cellStyle name="Обычный 6 100 10" xfId="50675"/>
    <cellStyle name="Процентный 6 100 10" xfId="50676"/>
    <cellStyle name="Обычный 7 70 10" xfId="50677"/>
    <cellStyle name="Процентный 7 70 10" xfId="50678"/>
    <cellStyle name="Обычный 4 3 62 10" xfId="50679"/>
    <cellStyle name="Процентный 4 3 62 10" xfId="50680"/>
    <cellStyle name="Обычный 5 3 62 10" xfId="50681"/>
    <cellStyle name="Процентный 5 3 62 10" xfId="50682"/>
    <cellStyle name="Обычный 4 2 2 62 10" xfId="50683"/>
    <cellStyle name="Процентный 4 2 2 62 10" xfId="50684"/>
    <cellStyle name="Обычный 5 2 2 62 10" xfId="50685"/>
    <cellStyle name="Процентный 5 2 2 62 10" xfId="50686"/>
    <cellStyle name="Обычный 6 2 62 10" xfId="50687"/>
    <cellStyle name="Процентный 6 2 62 10" xfId="50688"/>
    <cellStyle name="Обычный 7 2 62 10" xfId="50689"/>
    <cellStyle name="Процентный 7 2 62 10" xfId="50690"/>
    <cellStyle name="Обычный 8 58 10" xfId="50691"/>
    <cellStyle name="Процентный 8 58 10" xfId="50692"/>
    <cellStyle name="Обычный 9 24 10" xfId="50693"/>
    <cellStyle name="Процентный 9 25 10" xfId="50694"/>
    <cellStyle name="Обычный 10 17 10" xfId="50695"/>
    <cellStyle name="Процентный 10 17 10" xfId="50696"/>
    <cellStyle name="Обычный 11 5 10" xfId="50697"/>
    <cellStyle name="Процентный 11 5 10" xfId="50698"/>
    <cellStyle name="Обычный 4 117 10" xfId="50699"/>
    <cellStyle name="Процентный 4 117 10" xfId="50700"/>
    <cellStyle name="Обычный 5 110 10" xfId="50701"/>
    <cellStyle name="Процентный 5 110 10" xfId="50702"/>
    <cellStyle name="Обычный 4 2 104 10" xfId="50703"/>
    <cellStyle name="Процентный 4 2 104 10" xfId="50704"/>
    <cellStyle name="Обычный 5 2 104 10" xfId="50705"/>
    <cellStyle name="Процентный 5 2 104 10" xfId="50706"/>
    <cellStyle name="Обычный 6 101 10" xfId="50707"/>
    <cellStyle name="Процентный 6 101 10" xfId="50708"/>
    <cellStyle name="Обычный 7 71 10" xfId="50709"/>
    <cellStyle name="Процентный 7 71 10" xfId="50710"/>
    <cellStyle name="Обычный 4 3 63 10" xfId="50711"/>
    <cellStyle name="Процентный 4 3 63 10" xfId="50712"/>
    <cellStyle name="Обычный 5 3 63 10" xfId="50713"/>
    <cellStyle name="Процентный 5 3 63 10" xfId="50714"/>
    <cellStyle name="Обычный 4 2 2 63 10" xfId="50715"/>
    <cellStyle name="Процентный 4 2 2 63 10" xfId="50716"/>
    <cellStyle name="Обычный 5 2 2 63 10" xfId="50717"/>
    <cellStyle name="Процентный 5 2 2 63 10" xfId="50718"/>
    <cellStyle name="Обычный 6 2 63 10" xfId="50719"/>
    <cellStyle name="Процентный 6 2 63 10" xfId="50720"/>
    <cellStyle name="Обычный 7 2 63 10" xfId="50721"/>
    <cellStyle name="Процентный 7 2 63 10" xfId="50722"/>
    <cellStyle name="Обычный 8 59 10" xfId="50723"/>
    <cellStyle name="Процентный 8 59 10" xfId="50724"/>
    <cellStyle name="Обычный 9 25 10" xfId="50725"/>
    <cellStyle name="Процентный 9 26 10" xfId="50726"/>
    <cellStyle name="Обычный 10 18 10" xfId="50727"/>
    <cellStyle name="Процентный 10 18 10" xfId="50728"/>
    <cellStyle name="Обычный 11 6 10" xfId="50729"/>
    <cellStyle name="Процентный 11 6 10" xfId="50730"/>
    <cellStyle name="Обычный 4 118 10" xfId="50731"/>
    <cellStyle name="Процентный 4 118 10" xfId="50732"/>
    <cellStyle name="Обычный 5 111 10" xfId="50733"/>
    <cellStyle name="Процентный 5 111 10" xfId="50734"/>
    <cellStyle name="Обычный 4 2 105 10" xfId="50735"/>
    <cellStyle name="Процентный 4 2 105 10" xfId="50736"/>
    <cellStyle name="Обычный 5 2 105 10" xfId="50737"/>
    <cellStyle name="Процентный 5 2 105 10" xfId="50738"/>
    <cellStyle name="Обычный 6 102 10" xfId="50739"/>
    <cellStyle name="Процентный 6 102 10" xfId="50740"/>
    <cellStyle name="Обычный 7 72 10" xfId="50741"/>
    <cellStyle name="Процентный 7 72 10" xfId="50742"/>
    <cellStyle name="Обычный 4 3 64 10" xfId="50743"/>
    <cellStyle name="Процентный 4 3 64 10" xfId="50744"/>
    <cellStyle name="Обычный 5 3 64 10" xfId="50745"/>
    <cellStyle name="Процентный 5 3 64 10" xfId="50746"/>
    <cellStyle name="Обычный 4 2 2 64 10" xfId="50747"/>
    <cellStyle name="Процентный 4 2 2 64 10" xfId="50748"/>
    <cellStyle name="Обычный 5 2 2 64 10" xfId="50749"/>
    <cellStyle name="Процентный 5 2 2 64 10" xfId="50750"/>
    <cellStyle name="Обычный 6 2 64 10" xfId="50751"/>
    <cellStyle name="Процентный 6 2 64 10" xfId="50752"/>
    <cellStyle name="Обычный 7 2 64 10" xfId="50753"/>
    <cellStyle name="Процентный 7 2 64 10" xfId="50754"/>
    <cellStyle name="Обычный 8 60 10" xfId="50755"/>
    <cellStyle name="Процентный 8 60 10" xfId="50756"/>
    <cellStyle name="Обычный 9 26 10" xfId="50757"/>
    <cellStyle name="Процентный 9 27 10" xfId="50758"/>
    <cellStyle name="Обычный 10 19 10" xfId="50759"/>
    <cellStyle name="Процентный 10 19 10" xfId="50760"/>
    <cellStyle name="Обычный 11 7 10" xfId="50761"/>
    <cellStyle name="Процентный 11 7 10" xfId="50762"/>
    <cellStyle name="Обычный 4 119 10" xfId="50763"/>
    <cellStyle name="Процентный 4 119 10" xfId="50764"/>
    <cellStyle name="Обычный 5 112 10" xfId="50765"/>
    <cellStyle name="Процентный 5 112 10" xfId="50766"/>
    <cellStyle name="Обычный 4 2 106 10" xfId="50767"/>
    <cellStyle name="Процентный 4 2 106 10" xfId="50768"/>
    <cellStyle name="Обычный 5 2 106 10" xfId="50769"/>
    <cellStyle name="Процентный 5 2 106 10" xfId="50770"/>
    <cellStyle name="Обычный 6 103 10" xfId="50771"/>
    <cellStyle name="Процентный 6 103 10" xfId="50772"/>
    <cellStyle name="Обычный 7 73 10" xfId="50773"/>
    <cellStyle name="Процентный 7 73 10" xfId="50774"/>
    <cellStyle name="Обычный 4 3 65 10" xfId="50775"/>
    <cellStyle name="Процентный 4 3 65 10" xfId="50776"/>
    <cellStyle name="Обычный 5 3 65 10" xfId="50777"/>
    <cellStyle name="Процентный 5 3 65 10" xfId="50778"/>
    <cellStyle name="Обычный 4 2 2 65 10" xfId="50779"/>
    <cellStyle name="Процентный 4 2 2 65 10" xfId="50780"/>
    <cellStyle name="Обычный 5 2 2 65 10" xfId="50781"/>
    <cellStyle name="Процентный 5 2 2 65 10" xfId="50782"/>
    <cellStyle name="Обычный 6 2 65 10" xfId="50783"/>
    <cellStyle name="Процентный 6 2 65 10" xfId="50784"/>
    <cellStyle name="Обычный 7 2 65 10" xfId="50785"/>
    <cellStyle name="Процентный 7 2 65 10" xfId="50786"/>
    <cellStyle name="Обычный 8 61 10" xfId="50787"/>
    <cellStyle name="Процентный 8 61 10" xfId="50788"/>
    <cellStyle name="Обычный 9 27 10" xfId="50789"/>
    <cellStyle name="Процентный 9 28 10" xfId="50790"/>
    <cellStyle name="Обычный 10 20 10" xfId="50791"/>
    <cellStyle name="Процентный 10 20 10" xfId="50792"/>
    <cellStyle name="Обычный 11 8 10" xfId="50793"/>
    <cellStyle name="Процентный 11 8 10" xfId="50794"/>
    <cellStyle name="Обычный 4 120 10" xfId="50795"/>
    <cellStyle name="Процентный 4 120 10" xfId="50796"/>
    <cellStyle name="Обычный 5 113 10" xfId="50797"/>
    <cellStyle name="Процентный 5 113 10" xfId="50798"/>
    <cellStyle name="Обычный 4 2 107 10" xfId="50799"/>
    <cellStyle name="Процентный 4 2 107 10" xfId="50800"/>
    <cellStyle name="Обычный 5 2 107 10" xfId="50801"/>
    <cellStyle name="Процентный 5 2 107 10" xfId="50802"/>
    <cellStyle name="Обычный 6 104 10" xfId="50803"/>
    <cellStyle name="Процентный 6 104 10" xfId="50804"/>
    <cellStyle name="Обычный 7 74 10" xfId="50805"/>
    <cellStyle name="Процентный 7 74 10" xfId="50806"/>
    <cellStyle name="Обычный 4 3 66 10" xfId="50807"/>
    <cellStyle name="Процентный 4 3 66 10" xfId="50808"/>
    <cellStyle name="Обычный 5 3 66 10" xfId="50809"/>
    <cellStyle name="Процентный 5 3 66 10" xfId="50810"/>
    <cellStyle name="Обычный 4 2 2 66 10" xfId="50811"/>
    <cellStyle name="Процентный 4 2 2 66 10" xfId="50812"/>
    <cellStyle name="Обычный 5 2 2 66 10" xfId="50813"/>
    <cellStyle name="Процентный 5 2 2 66 10" xfId="50814"/>
    <cellStyle name="Обычный 6 2 66 10" xfId="50815"/>
    <cellStyle name="Процентный 6 2 66 10" xfId="50816"/>
    <cellStyle name="Обычный 7 2 66 10" xfId="50817"/>
    <cellStyle name="Процентный 7 2 66 10" xfId="50818"/>
    <cellStyle name="Обычный 8 62 10" xfId="50819"/>
    <cellStyle name="Процентный 8 62 10" xfId="50820"/>
    <cellStyle name="Обычный 9 28 10" xfId="50821"/>
    <cellStyle name="Процентный 9 29 10" xfId="50822"/>
    <cellStyle name="Обычный 10 21 10" xfId="50823"/>
    <cellStyle name="Процентный 10 21 10" xfId="50824"/>
    <cellStyle name="Обычный 11 9 10" xfId="50825"/>
    <cellStyle name="Процентный 11 9 10" xfId="50826"/>
    <cellStyle name="Обычный 13 10" xfId="50827"/>
    <cellStyle name="Процентный 13 10" xfId="50828"/>
    <cellStyle name="Обычный 4 121 10" xfId="50829"/>
    <cellStyle name="Процентный 4 121 10" xfId="50830"/>
    <cellStyle name="Обычный 5 114 10" xfId="50831"/>
    <cellStyle name="Процентный 5 114 10" xfId="50832"/>
    <cellStyle name="Обычный 4 2 108 10" xfId="50833"/>
    <cellStyle name="Процентный 4 2 108 10" xfId="50834"/>
    <cellStyle name="Обычный 5 2 108 10" xfId="50835"/>
    <cellStyle name="Процентный 5 2 108 10" xfId="50836"/>
    <cellStyle name="Обычный 6 105 10" xfId="50837"/>
    <cellStyle name="Процентный 6 105 10" xfId="50838"/>
    <cellStyle name="Обычный 7 75 10" xfId="50839"/>
    <cellStyle name="Процентный 7 75 10" xfId="50840"/>
    <cellStyle name="Обычный 4 3 67 10" xfId="50841"/>
    <cellStyle name="Процентный 4 3 67 10" xfId="50842"/>
    <cellStyle name="Обычный 5 3 67 10" xfId="50843"/>
    <cellStyle name="Процентный 5 3 67 10" xfId="50844"/>
    <cellStyle name="Обычный 4 2 2 67 10" xfId="50845"/>
    <cellStyle name="Процентный 4 2 2 67 10" xfId="50846"/>
    <cellStyle name="Обычный 5 2 2 67 10" xfId="50847"/>
    <cellStyle name="Процентный 5 2 2 67 10" xfId="50848"/>
    <cellStyle name="Обычный 6 2 67 10" xfId="50849"/>
    <cellStyle name="Процентный 6 2 67 10" xfId="50850"/>
    <cellStyle name="Обычный 7 2 67 10" xfId="50851"/>
    <cellStyle name="Процентный 7 2 67 10" xfId="50852"/>
    <cellStyle name="Обычный 8 63 10" xfId="50853"/>
    <cellStyle name="Процентный 8 63 10" xfId="50854"/>
    <cellStyle name="Обычный 9 29 10" xfId="50855"/>
    <cellStyle name="Процентный 9 30 10" xfId="50856"/>
    <cellStyle name="Обычный 10 22 10" xfId="50857"/>
    <cellStyle name="Процентный 10 22 10" xfId="50858"/>
    <cellStyle name="Обычный 11 10 10" xfId="50859"/>
    <cellStyle name="Процентный 11 10 10" xfId="50860"/>
    <cellStyle name="Обычный 4 122 10" xfId="50861"/>
    <cellStyle name="Процентный 4 122 10" xfId="50862"/>
    <cellStyle name="Обычный 5 115 10" xfId="50863"/>
    <cellStyle name="Процентный 5 115 10" xfId="50864"/>
    <cellStyle name="Обычный 4 2 109 10" xfId="50865"/>
    <cellStyle name="Процентный 4 2 109 10" xfId="50866"/>
    <cellStyle name="Обычный 5 2 109 10" xfId="50867"/>
    <cellStyle name="Процентный 5 2 109 10" xfId="50868"/>
    <cellStyle name="Обычный 6 106 10" xfId="50869"/>
    <cellStyle name="Процентный 6 106 10" xfId="50870"/>
    <cellStyle name="Обычный 7 76 10" xfId="50871"/>
    <cellStyle name="Процентный 7 76 10" xfId="50872"/>
    <cellStyle name="Обычный 4 3 68 10" xfId="50873"/>
    <cellStyle name="Процентный 4 3 68 10" xfId="50874"/>
    <cellStyle name="Обычный 5 3 68 10" xfId="50875"/>
    <cellStyle name="Процентный 5 3 68 10" xfId="50876"/>
    <cellStyle name="Обычный 4 2 2 68 10" xfId="50877"/>
    <cellStyle name="Процентный 4 2 2 68 10" xfId="50878"/>
    <cellStyle name="Обычный 5 2 2 68 10" xfId="50879"/>
    <cellStyle name="Процентный 5 2 2 68 10" xfId="50880"/>
    <cellStyle name="Обычный 6 2 68 10" xfId="50881"/>
    <cellStyle name="Процентный 6 2 68 10" xfId="50882"/>
    <cellStyle name="Обычный 7 2 68 10" xfId="50883"/>
    <cellStyle name="Процентный 7 2 68 10" xfId="50884"/>
    <cellStyle name="Обычный 8 64 10" xfId="50885"/>
    <cellStyle name="Процентный 8 64 10" xfId="50886"/>
    <cellStyle name="Обычный 9 30 10" xfId="50887"/>
    <cellStyle name="Процентный 9 31 10" xfId="50888"/>
    <cellStyle name="Обычный 10 23 10" xfId="50889"/>
    <cellStyle name="Процентный 10 23 10" xfId="50890"/>
    <cellStyle name="Обычный 11 11 10" xfId="50891"/>
    <cellStyle name="Процентный 11 11 10" xfId="50892"/>
    <cellStyle name="Обычный 4 123 10" xfId="50893"/>
    <cellStyle name="Процентный 4 123 10" xfId="50894"/>
    <cellStyle name="Обычный 5 116 10" xfId="50895"/>
    <cellStyle name="Процентный 5 116 10" xfId="50896"/>
    <cellStyle name="Обычный 4 2 110 10" xfId="50897"/>
    <cellStyle name="Процентный 4 2 110 10" xfId="50898"/>
    <cellStyle name="Обычный 5 2 110 10" xfId="50899"/>
    <cellStyle name="Процентный 5 2 110 10" xfId="50900"/>
    <cellStyle name="Обычный 6 107 10" xfId="50901"/>
    <cellStyle name="Процентный 6 107 10" xfId="50902"/>
    <cellStyle name="Обычный 7 77 10" xfId="50903"/>
    <cellStyle name="Процентный 7 77 10" xfId="50904"/>
    <cellStyle name="Обычный 4 3 69 10" xfId="50905"/>
    <cellStyle name="Процентный 4 3 69 10" xfId="50906"/>
    <cellStyle name="Обычный 5 3 69 10" xfId="50907"/>
    <cellStyle name="Процентный 5 3 69 10" xfId="50908"/>
    <cellStyle name="Обычный 4 2 2 69 10" xfId="50909"/>
    <cellStyle name="Процентный 4 2 2 69 10" xfId="50910"/>
    <cellStyle name="Обычный 5 2 2 69 10" xfId="50911"/>
    <cellStyle name="Процентный 5 2 2 69 10" xfId="50912"/>
    <cellStyle name="Обычный 6 2 69 10" xfId="50913"/>
    <cellStyle name="Процентный 6 2 69 10" xfId="50914"/>
    <cellStyle name="Обычный 7 2 69 10" xfId="50915"/>
    <cellStyle name="Процентный 7 2 69 10" xfId="50916"/>
    <cellStyle name="Обычный 8 65 10" xfId="50917"/>
    <cellStyle name="Процентный 8 65 10" xfId="50918"/>
    <cellStyle name="Обычный 9 31 10" xfId="50919"/>
    <cellStyle name="Процентный 9 32 10" xfId="50920"/>
    <cellStyle name="Обычный 10 24 10" xfId="50921"/>
    <cellStyle name="Процентный 10 24 10" xfId="50922"/>
    <cellStyle name="Обычный 11 12 10" xfId="50923"/>
    <cellStyle name="Процентный 11 12 10" xfId="50924"/>
    <cellStyle name="Обычный 4 124 10" xfId="50925"/>
    <cellStyle name="Процентный 4 124 10" xfId="50926"/>
    <cellStyle name="Обычный 5 117 10" xfId="50927"/>
    <cellStyle name="Процентный 5 117 10" xfId="50928"/>
    <cellStyle name="Обычный 4 2 111 10" xfId="50929"/>
    <cellStyle name="Процентный 4 2 111 10" xfId="50930"/>
    <cellStyle name="Обычный 5 2 111 10" xfId="50931"/>
    <cellStyle name="Процентный 5 2 111 10" xfId="50932"/>
    <cellStyle name="Обычный 6 108 10" xfId="50933"/>
    <cellStyle name="Процентный 6 108 10" xfId="50934"/>
    <cellStyle name="Обычный 7 78 10" xfId="50935"/>
    <cellStyle name="Процентный 7 78 10" xfId="50936"/>
    <cellStyle name="Обычный 4 3 70 10" xfId="50937"/>
    <cellStyle name="Процентный 4 3 70 10" xfId="50938"/>
    <cellStyle name="Обычный 5 3 70 10" xfId="50939"/>
    <cellStyle name="Процентный 5 3 70 10" xfId="50940"/>
    <cellStyle name="Обычный 4 2 2 70 10" xfId="50941"/>
    <cellStyle name="Процентный 4 2 2 70 10" xfId="50942"/>
    <cellStyle name="Обычный 5 2 2 70 10" xfId="50943"/>
    <cellStyle name="Процентный 5 2 2 70 10" xfId="50944"/>
    <cellStyle name="Обычный 6 2 70 10" xfId="50945"/>
    <cellStyle name="Процентный 6 2 70 10" xfId="50946"/>
    <cellStyle name="Обычный 7 2 70 10" xfId="50947"/>
    <cellStyle name="Процентный 7 2 70 10" xfId="50948"/>
    <cellStyle name="Обычный 8 66 10" xfId="50949"/>
    <cellStyle name="Процентный 8 66 10" xfId="50950"/>
    <cellStyle name="Обычный 9 32 10" xfId="50951"/>
    <cellStyle name="Процентный 9 33 10" xfId="50952"/>
    <cellStyle name="Обычный 10 25 10" xfId="50953"/>
    <cellStyle name="Процентный 10 25 10" xfId="50954"/>
    <cellStyle name="Обычный 11 13 10" xfId="50955"/>
    <cellStyle name="Процентный 11 13 10" xfId="50956"/>
    <cellStyle name="Обычный 4 125 10" xfId="50957"/>
    <cellStyle name="Процентный 4 125 10" xfId="50958"/>
    <cellStyle name="Обычный 5 118 10" xfId="50959"/>
    <cellStyle name="Процентный 5 118 10" xfId="50960"/>
    <cellStyle name="Обычный 4 2 112 10" xfId="50961"/>
    <cellStyle name="Процентный 4 2 112 10" xfId="50962"/>
    <cellStyle name="Обычный 5 2 112 10" xfId="50963"/>
    <cellStyle name="Процентный 5 2 112 10" xfId="50964"/>
    <cellStyle name="Обычный 6 109 10" xfId="50965"/>
    <cellStyle name="Процентный 6 109 10" xfId="50966"/>
    <cellStyle name="Обычный 7 79 10" xfId="50967"/>
    <cellStyle name="Процентный 7 79 10" xfId="50968"/>
    <cellStyle name="Обычный 4 3 71 10" xfId="50969"/>
    <cellStyle name="Процентный 4 3 71 10" xfId="50970"/>
    <cellStyle name="Обычный 5 3 71 10" xfId="50971"/>
    <cellStyle name="Процентный 5 3 71 10" xfId="50972"/>
    <cellStyle name="Обычный 4 2 2 71 10" xfId="50973"/>
    <cellStyle name="Процентный 4 2 2 71 10" xfId="50974"/>
    <cellStyle name="Обычный 5 2 2 71 10" xfId="50975"/>
    <cellStyle name="Процентный 5 2 2 71 10" xfId="50976"/>
    <cellStyle name="Обычный 6 2 71 10" xfId="50977"/>
    <cellStyle name="Процентный 6 2 71 10" xfId="50978"/>
    <cellStyle name="Обычный 7 2 71 10" xfId="50979"/>
    <cellStyle name="Процентный 7 2 71 10" xfId="50980"/>
    <cellStyle name="Обычный 8 67 10" xfId="50981"/>
    <cellStyle name="Процентный 8 67 10" xfId="50982"/>
    <cellStyle name="Обычный 9 33 10" xfId="50983"/>
    <cellStyle name="Процентный 9 34 10" xfId="50984"/>
    <cellStyle name="Обычный 10 26 10" xfId="50985"/>
    <cellStyle name="Процентный 10 26 10" xfId="50986"/>
    <cellStyle name="Обычный 11 14 10" xfId="50987"/>
    <cellStyle name="Процентный 11 14 10" xfId="50988"/>
    <cellStyle name="Обычный 4 126 10" xfId="50989"/>
    <cellStyle name="Процентный 4 126 10" xfId="50990"/>
    <cellStyle name="Обычный 5 119 10" xfId="50991"/>
    <cellStyle name="Процентный 5 119 10" xfId="50992"/>
    <cellStyle name="Обычный 4 2 113 10" xfId="50993"/>
    <cellStyle name="Процентный 4 2 113 10" xfId="50994"/>
    <cellStyle name="Обычный 5 2 113 10" xfId="50995"/>
    <cellStyle name="Процентный 5 2 113 10" xfId="50996"/>
    <cellStyle name="Обычный 6 110 10" xfId="50997"/>
    <cellStyle name="Процентный 6 110 10" xfId="50998"/>
    <cellStyle name="Обычный 7 80 10" xfId="50999"/>
    <cellStyle name="Процентный 7 80 10" xfId="51000"/>
    <cellStyle name="Обычный 4 3 72 10" xfId="51001"/>
    <cellStyle name="Процентный 4 3 72 10" xfId="51002"/>
    <cellStyle name="Обычный 5 3 72 10" xfId="51003"/>
    <cellStyle name="Процентный 5 3 72 10" xfId="51004"/>
    <cellStyle name="Обычный 4 2 2 72 10" xfId="51005"/>
    <cellStyle name="Процентный 4 2 2 72 10" xfId="51006"/>
    <cellStyle name="Обычный 5 2 2 72 10" xfId="51007"/>
    <cellStyle name="Процентный 5 2 2 72 10" xfId="51008"/>
    <cellStyle name="Обычный 6 2 72 10" xfId="51009"/>
    <cellStyle name="Процентный 6 2 72 10" xfId="51010"/>
    <cellStyle name="Обычный 7 2 72 10" xfId="51011"/>
    <cellStyle name="Процентный 7 2 72 10" xfId="51012"/>
    <cellStyle name="Обычный 8 68 10" xfId="51013"/>
    <cellStyle name="Процентный 8 68 10" xfId="51014"/>
    <cellStyle name="Обычный 9 34 10" xfId="51015"/>
    <cellStyle name="Процентный 9 35 10" xfId="51016"/>
    <cellStyle name="Обычный 10 27 10" xfId="51017"/>
    <cellStyle name="Процентный 10 27 10" xfId="51018"/>
    <cellStyle name="Обычный 11 15 10" xfId="51019"/>
    <cellStyle name="Процентный 11 15 10" xfId="51020"/>
    <cellStyle name="Обычный 4 127 10" xfId="51021"/>
    <cellStyle name="Процентный 4 127 10" xfId="51022"/>
    <cellStyle name="Обычный 5 120 10" xfId="51023"/>
    <cellStyle name="Процентный 5 120 10" xfId="51024"/>
    <cellStyle name="Обычный 4 2 114 10" xfId="51025"/>
    <cellStyle name="Процентный 4 2 114 10" xfId="51026"/>
    <cellStyle name="Обычный 5 2 114 10" xfId="51027"/>
    <cellStyle name="Процентный 5 2 114 10" xfId="51028"/>
    <cellStyle name="Обычный 6 111 10" xfId="51029"/>
    <cellStyle name="Процентный 6 111 10" xfId="51030"/>
    <cellStyle name="Обычный 7 81 10" xfId="51031"/>
    <cellStyle name="Процентный 7 81 10" xfId="51032"/>
    <cellStyle name="Обычный 4 3 73 10" xfId="51033"/>
    <cellStyle name="Процентный 4 3 73 10" xfId="51034"/>
    <cellStyle name="Обычный 5 3 73 10" xfId="51035"/>
    <cellStyle name="Процентный 5 3 73 10" xfId="51036"/>
    <cellStyle name="Обычный 4 2 2 73 10" xfId="51037"/>
    <cellStyle name="Процентный 4 2 2 73 10" xfId="51038"/>
    <cellStyle name="Обычный 5 2 2 73 10" xfId="51039"/>
    <cellStyle name="Процентный 5 2 2 73 10" xfId="51040"/>
    <cellStyle name="Обычный 6 2 73 10" xfId="51041"/>
    <cellStyle name="Процентный 6 2 73 10" xfId="51042"/>
    <cellStyle name="Обычный 7 2 73 10" xfId="51043"/>
    <cellStyle name="Процентный 7 2 73 10" xfId="51044"/>
    <cellStyle name="Обычный 8 69 10" xfId="51045"/>
    <cellStyle name="Процентный 8 69 10" xfId="51046"/>
    <cellStyle name="Обычный 9 35 10" xfId="51047"/>
    <cellStyle name="Процентный 9 36 10" xfId="51048"/>
    <cellStyle name="Обычный 10 28 10" xfId="51049"/>
    <cellStyle name="Процентный 10 28 10" xfId="51050"/>
    <cellStyle name="Обычный 11 16 10" xfId="51051"/>
    <cellStyle name="Процентный 11 16 10" xfId="51052"/>
    <cellStyle name="Обычный 4 128 10" xfId="51053"/>
    <cellStyle name="Процентный 4 128 10" xfId="51054"/>
    <cellStyle name="Обычный 5 121 10" xfId="51055"/>
    <cellStyle name="Процентный 5 121 10" xfId="51056"/>
    <cellStyle name="Обычный 4 2 115 10" xfId="51057"/>
    <cellStyle name="Процентный 4 2 115 10" xfId="51058"/>
    <cellStyle name="Обычный 5 2 115 10" xfId="51059"/>
    <cellStyle name="Процентный 5 2 115 10" xfId="51060"/>
    <cellStyle name="Обычный 6 112 10" xfId="51061"/>
    <cellStyle name="Процентный 6 112 10" xfId="51062"/>
    <cellStyle name="Обычный 7 82 10" xfId="51063"/>
    <cellStyle name="Процентный 7 82 10" xfId="51064"/>
    <cellStyle name="Обычный 4 3 74 10" xfId="51065"/>
    <cellStyle name="Процентный 4 3 74 10" xfId="51066"/>
    <cellStyle name="Обычный 5 3 74 10" xfId="51067"/>
    <cellStyle name="Процентный 5 3 74 10" xfId="51068"/>
    <cellStyle name="Обычный 4 2 2 74 10" xfId="51069"/>
    <cellStyle name="Процентный 4 2 2 74 10" xfId="51070"/>
    <cellStyle name="Обычный 5 2 2 74 10" xfId="51071"/>
    <cellStyle name="Процентный 5 2 2 74 10" xfId="51072"/>
    <cellStyle name="Обычный 6 2 74 10" xfId="51073"/>
    <cellStyle name="Процентный 6 2 74 10" xfId="51074"/>
    <cellStyle name="Обычный 7 2 74 10" xfId="51075"/>
    <cellStyle name="Процентный 7 2 74 10" xfId="51076"/>
    <cellStyle name="Обычный 8 70 10" xfId="51077"/>
    <cellStyle name="Процентный 8 70 10" xfId="51078"/>
    <cellStyle name="Обычный 9 36 10" xfId="51079"/>
    <cellStyle name="Процентный 9 37 10" xfId="51080"/>
    <cellStyle name="Обычный 10 29 10" xfId="51081"/>
    <cellStyle name="Процентный 10 29 10" xfId="51082"/>
    <cellStyle name="Обычный 11 17 10" xfId="51083"/>
    <cellStyle name="Процентный 11 17 10" xfId="51084"/>
    <cellStyle name="Обычный 4 129 10" xfId="51085"/>
    <cellStyle name="Процентный 4 129 10" xfId="51086"/>
    <cellStyle name="Обычный 5 122 10" xfId="51087"/>
    <cellStyle name="Процентный 5 122 10" xfId="51088"/>
    <cellStyle name="Обычный 4 2 116 10" xfId="51089"/>
    <cellStyle name="Процентный 4 2 116 10" xfId="51090"/>
    <cellStyle name="Обычный 5 2 116 10" xfId="51091"/>
    <cellStyle name="Процентный 5 2 116 10" xfId="51092"/>
    <cellStyle name="Обычный 6 113 10" xfId="51093"/>
    <cellStyle name="Процентный 6 113 10" xfId="51094"/>
    <cellStyle name="Обычный 7 83 10" xfId="51095"/>
    <cellStyle name="Процентный 7 83 10" xfId="51096"/>
    <cellStyle name="Обычный 4 3 75 10" xfId="51097"/>
    <cellStyle name="Процентный 4 3 75 10" xfId="51098"/>
    <cellStyle name="Обычный 5 3 75 10" xfId="51099"/>
    <cellStyle name="Процентный 5 3 75 10" xfId="51100"/>
    <cellStyle name="Обычный 4 2 2 75 10" xfId="51101"/>
    <cellStyle name="Процентный 4 2 2 75 10" xfId="51102"/>
    <cellStyle name="Обычный 5 2 2 75 10" xfId="51103"/>
    <cellStyle name="Процентный 5 2 2 75 10" xfId="51104"/>
    <cellStyle name="Обычный 6 2 75 10" xfId="51105"/>
    <cellStyle name="Процентный 6 2 75 10" xfId="51106"/>
    <cellStyle name="Обычный 7 2 75 10" xfId="51107"/>
    <cellStyle name="Процентный 7 2 75 10" xfId="51108"/>
    <cellStyle name="Обычный 8 71 10" xfId="51109"/>
    <cellStyle name="Процентный 8 71 10" xfId="51110"/>
    <cellStyle name="Обычный 9 37 10" xfId="51111"/>
    <cellStyle name="Процентный 9 38 10" xfId="51112"/>
    <cellStyle name="Обычный 10 30 10" xfId="51113"/>
    <cellStyle name="Процентный 10 30 10" xfId="51114"/>
    <cellStyle name="Обычный 11 18 10" xfId="51115"/>
    <cellStyle name="Процентный 11 18 10" xfId="51116"/>
    <cellStyle name="Обычный 4 130 10" xfId="51117"/>
    <cellStyle name="Процентный 4 130 10" xfId="51118"/>
    <cellStyle name="Обычный 5 123 10" xfId="51119"/>
    <cellStyle name="Процентный 5 123 10" xfId="51120"/>
    <cellStyle name="Обычный 4 2 117 10" xfId="51121"/>
    <cellStyle name="Процентный 4 2 117 10" xfId="51122"/>
    <cellStyle name="Обычный 5 2 117 10" xfId="51123"/>
    <cellStyle name="Процентный 5 2 117 10" xfId="51124"/>
    <cellStyle name="Обычный 6 114 10" xfId="51125"/>
    <cellStyle name="Процентный 6 114 10" xfId="51126"/>
    <cellStyle name="Обычный 7 84 10" xfId="51127"/>
    <cellStyle name="Процентный 7 84 10" xfId="51128"/>
    <cellStyle name="Обычный 4 3 76 10" xfId="51129"/>
    <cellStyle name="Процентный 4 3 76 10" xfId="51130"/>
    <cellStyle name="Обычный 5 3 76 10" xfId="51131"/>
    <cellStyle name="Процентный 5 3 76 10" xfId="51132"/>
    <cellStyle name="Обычный 4 2 2 76 10" xfId="51133"/>
    <cellStyle name="Процентный 4 2 2 76 10" xfId="51134"/>
    <cellStyle name="Обычный 5 2 2 76 10" xfId="51135"/>
    <cellStyle name="Процентный 5 2 2 76 10" xfId="51136"/>
    <cellStyle name="Обычный 6 2 76 10" xfId="51137"/>
    <cellStyle name="Процентный 6 2 76 10" xfId="51138"/>
    <cellStyle name="Обычный 7 2 76 10" xfId="51139"/>
    <cellStyle name="Процентный 7 2 76 10" xfId="51140"/>
    <cellStyle name="Обычный 8 72 10" xfId="51141"/>
    <cellStyle name="Процентный 8 72 10" xfId="51142"/>
    <cellStyle name="Обычный 9 38 10" xfId="51143"/>
    <cellStyle name="Процентный 9 39 10" xfId="51144"/>
    <cellStyle name="Обычный 10 31 10" xfId="51145"/>
    <cellStyle name="Процентный 10 31 10" xfId="51146"/>
    <cellStyle name="Обычный 11 19 10" xfId="51147"/>
    <cellStyle name="Процентный 11 19 10" xfId="51148"/>
    <cellStyle name="Обычный 4 131 10" xfId="51149"/>
    <cellStyle name="Процентный 4 131 10" xfId="51150"/>
    <cellStyle name="Обычный 5 124 10" xfId="51151"/>
    <cellStyle name="Процентный 5 124 10" xfId="51152"/>
    <cellStyle name="Обычный 4 2 118 10" xfId="51153"/>
    <cellStyle name="Процентный 4 2 118 10" xfId="51154"/>
    <cellStyle name="Обычный 5 2 118 10" xfId="51155"/>
    <cellStyle name="Процентный 5 2 118 10" xfId="51156"/>
    <cellStyle name="Обычный 6 115 10" xfId="51157"/>
    <cellStyle name="Процентный 6 115 10" xfId="51158"/>
    <cellStyle name="Обычный 7 85 10" xfId="51159"/>
    <cellStyle name="Процентный 7 85 10" xfId="51160"/>
    <cellStyle name="Обычный 4 3 77 10" xfId="51161"/>
    <cellStyle name="Процентный 4 3 77 10" xfId="51162"/>
    <cellStyle name="Обычный 5 3 77 10" xfId="51163"/>
    <cellStyle name="Процентный 5 3 77 10" xfId="51164"/>
    <cellStyle name="Обычный 4 2 2 77 10" xfId="51165"/>
    <cellStyle name="Процентный 4 2 2 77 10" xfId="51166"/>
    <cellStyle name="Обычный 5 2 2 77 10" xfId="51167"/>
    <cellStyle name="Процентный 5 2 2 77 10" xfId="51168"/>
    <cellStyle name="Обычный 6 2 77 10" xfId="51169"/>
    <cellStyle name="Процентный 6 2 77 10" xfId="51170"/>
    <cellStyle name="Обычный 7 2 77 10" xfId="51171"/>
    <cellStyle name="Процентный 7 2 77 10" xfId="51172"/>
    <cellStyle name="Обычный 8 73 10" xfId="51173"/>
    <cellStyle name="Процентный 8 73 10" xfId="51174"/>
    <cellStyle name="Обычный 9 39 10" xfId="51175"/>
    <cellStyle name="Процентный 9 40 10" xfId="51176"/>
    <cellStyle name="Обычный 10 32 10" xfId="51177"/>
    <cellStyle name="Процентный 10 32 10" xfId="51178"/>
    <cellStyle name="Обычный 11 20 10" xfId="51179"/>
    <cellStyle name="Процентный 11 20 10" xfId="51180"/>
    <cellStyle name="Обычный 4 132 10" xfId="51181"/>
    <cellStyle name="Процентный 4 132 10" xfId="51182"/>
    <cellStyle name="Обычный 5 125 10" xfId="51183"/>
    <cellStyle name="Процентный 5 125 10" xfId="51184"/>
    <cellStyle name="Обычный 4 2 119 10" xfId="51185"/>
    <cellStyle name="Процентный 4 2 119 10" xfId="51186"/>
    <cellStyle name="Обычный 5 2 119 10" xfId="51187"/>
    <cellStyle name="Процентный 5 2 119 10" xfId="51188"/>
    <cellStyle name="Обычный 6 116 10" xfId="51189"/>
    <cellStyle name="Процентный 6 116 10" xfId="51190"/>
    <cellStyle name="Обычный 7 86 10" xfId="51191"/>
    <cellStyle name="Процентный 7 86 10" xfId="51192"/>
    <cellStyle name="Обычный 4 3 78 10" xfId="51193"/>
    <cellStyle name="Процентный 4 3 78 10" xfId="51194"/>
    <cellStyle name="Обычный 5 3 78 10" xfId="51195"/>
    <cellStyle name="Процентный 5 3 78 10" xfId="51196"/>
    <cellStyle name="Обычный 4 2 2 78 10" xfId="51197"/>
    <cellStyle name="Процентный 4 2 2 78 10" xfId="51198"/>
    <cellStyle name="Обычный 5 2 2 78 10" xfId="51199"/>
    <cellStyle name="Процентный 5 2 2 78 10" xfId="51200"/>
    <cellStyle name="Обычный 6 2 78 10" xfId="51201"/>
    <cellStyle name="Процентный 6 2 78 10" xfId="51202"/>
    <cellStyle name="Обычный 7 2 78 10" xfId="51203"/>
    <cellStyle name="Процентный 7 2 78 10" xfId="51204"/>
    <cellStyle name="Обычный 8 74 10" xfId="51205"/>
    <cellStyle name="Процентный 8 74 10" xfId="51206"/>
    <cellStyle name="Обычный 9 40 10" xfId="51207"/>
    <cellStyle name="Процентный 9 41 10" xfId="51208"/>
    <cellStyle name="Обычный 10 33 10" xfId="51209"/>
    <cellStyle name="Процентный 10 33 10" xfId="51210"/>
    <cellStyle name="Обычный 11 21 10" xfId="51211"/>
    <cellStyle name="Процентный 11 21 10" xfId="51212"/>
    <cellStyle name="Обычный 4 133 10" xfId="51213"/>
    <cellStyle name="Процентный 4 133 10" xfId="51214"/>
    <cellStyle name="Обычный 5 126 10" xfId="51215"/>
    <cellStyle name="Процентный 5 126 10" xfId="51216"/>
    <cellStyle name="Обычный 4 2 120 10" xfId="51217"/>
    <cellStyle name="Процентный 4 2 120 10" xfId="51218"/>
    <cellStyle name="Обычный 5 2 120 10" xfId="51219"/>
    <cellStyle name="Процентный 5 2 120 10" xfId="51220"/>
    <cellStyle name="Обычный 6 117 10" xfId="51221"/>
    <cellStyle name="Процентный 6 117 10" xfId="51222"/>
    <cellStyle name="Обычный 7 87 10" xfId="51223"/>
    <cellStyle name="Процентный 7 87 10" xfId="51224"/>
    <cellStyle name="Обычный 4 3 79 10" xfId="51225"/>
    <cellStyle name="Процентный 4 3 79 10" xfId="51226"/>
    <cellStyle name="Обычный 5 3 79 10" xfId="51227"/>
    <cellStyle name="Процентный 5 3 79 10" xfId="51228"/>
    <cellStyle name="Обычный 4 2 2 79 10" xfId="51229"/>
    <cellStyle name="Процентный 4 2 2 79 10" xfId="51230"/>
    <cellStyle name="Обычный 5 2 2 79 10" xfId="51231"/>
    <cellStyle name="Процентный 5 2 2 79 10" xfId="51232"/>
    <cellStyle name="Обычный 6 2 79 10" xfId="51233"/>
    <cellStyle name="Процентный 6 2 79 10" xfId="51234"/>
    <cellStyle name="Обычный 7 2 79 10" xfId="51235"/>
    <cellStyle name="Процентный 7 2 79 10" xfId="51236"/>
    <cellStyle name="Обычный 8 75 10" xfId="51237"/>
    <cellStyle name="Процентный 8 75 10" xfId="51238"/>
    <cellStyle name="Обычный 9 41 10" xfId="51239"/>
    <cellStyle name="Процентный 9 42 10" xfId="51240"/>
    <cellStyle name="Обычный 10 34 10" xfId="51241"/>
    <cellStyle name="Процентный 10 34 10" xfId="51242"/>
    <cellStyle name="Обычный 11 22 10" xfId="51243"/>
    <cellStyle name="Процентный 11 22 10" xfId="51244"/>
    <cellStyle name="Обычный 4 134 10" xfId="51245"/>
    <cellStyle name="Процентный 4 134 10" xfId="51246"/>
    <cellStyle name="Обычный 5 127 10" xfId="51247"/>
    <cellStyle name="Процентный 5 127 10" xfId="51248"/>
    <cellStyle name="Обычный 4 2 121 10" xfId="51249"/>
    <cellStyle name="Процентный 4 2 121 10" xfId="51250"/>
    <cellStyle name="Обычный 5 2 121 10" xfId="51251"/>
    <cellStyle name="Процентный 5 2 121 10" xfId="51252"/>
    <cellStyle name="Обычный 6 118 10" xfId="51253"/>
    <cellStyle name="Процентный 6 118 10" xfId="51254"/>
    <cellStyle name="Обычный 7 88 10" xfId="51255"/>
    <cellStyle name="Процентный 7 88 10" xfId="51256"/>
    <cellStyle name="Обычный 4 3 80 10" xfId="51257"/>
    <cellStyle name="Процентный 4 3 80 10" xfId="51258"/>
    <cellStyle name="Обычный 5 3 80 10" xfId="51259"/>
    <cellStyle name="Процентный 5 3 80 10" xfId="51260"/>
    <cellStyle name="Обычный 4 2 2 80 10" xfId="51261"/>
    <cellStyle name="Процентный 4 2 2 80 10" xfId="51262"/>
    <cellStyle name="Обычный 5 2 2 80 10" xfId="51263"/>
    <cellStyle name="Процентный 5 2 2 80 10" xfId="51264"/>
    <cellStyle name="Обычный 6 2 80 10" xfId="51265"/>
    <cellStyle name="Процентный 6 2 80 10" xfId="51266"/>
    <cellStyle name="Обычный 7 2 80 10" xfId="51267"/>
    <cellStyle name="Процентный 7 2 80 10" xfId="51268"/>
    <cellStyle name="Обычный 8 76 10" xfId="51269"/>
    <cellStyle name="Процентный 8 76 10" xfId="51270"/>
    <cellStyle name="Обычный 9 42 10" xfId="51271"/>
    <cellStyle name="Процентный 9 43 10" xfId="51272"/>
    <cellStyle name="Обычный 10 35 10" xfId="51273"/>
    <cellStyle name="Процентный 10 35 10" xfId="51274"/>
    <cellStyle name="Обычный 11 23 10" xfId="51275"/>
    <cellStyle name="Процентный 11 23 10" xfId="51276"/>
    <cellStyle name="Обычный 4 135 10" xfId="51277"/>
    <cellStyle name="Процентный 4 135 10" xfId="51278"/>
    <cellStyle name="Обычный 5 128 10" xfId="51279"/>
    <cellStyle name="Процентный 5 128 10" xfId="51280"/>
    <cellStyle name="Обычный 4 2 122 10" xfId="51281"/>
    <cellStyle name="Процентный 4 2 122 10" xfId="51282"/>
    <cellStyle name="Обычный 5 2 122 10" xfId="51283"/>
    <cellStyle name="Процентный 5 2 122 10" xfId="51284"/>
    <cellStyle name="Обычный 6 119 10" xfId="51285"/>
    <cellStyle name="Процентный 6 119 10" xfId="51286"/>
    <cellStyle name="Обычный 7 89 10" xfId="51287"/>
    <cellStyle name="Процентный 7 89 10" xfId="51288"/>
    <cellStyle name="Обычный 4 3 81 10" xfId="51289"/>
    <cellStyle name="Процентный 4 3 81 10" xfId="51290"/>
    <cellStyle name="Обычный 5 3 81 10" xfId="51291"/>
    <cellStyle name="Процентный 5 3 81 10" xfId="51292"/>
    <cellStyle name="Обычный 4 2 2 81 10" xfId="51293"/>
    <cellStyle name="Процентный 4 2 2 81 10" xfId="51294"/>
    <cellStyle name="Обычный 5 2 2 81 10" xfId="51295"/>
    <cellStyle name="Процентный 5 2 2 81 10" xfId="51296"/>
    <cellStyle name="Обычный 6 2 81 10" xfId="51297"/>
    <cellStyle name="Процентный 6 2 81 10" xfId="51298"/>
    <cellStyle name="Обычный 7 2 81 10" xfId="51299"/>
    <cellStyle name="Процентный 7 2 81 10" xfId="51300"/>
    <cellStyle name="Обычный 8 77 10" xfId="51301"/>
    <cellStyle name="Процентный 8 77 10" xfId="51302"/>
    <cellStyle name="Обычный 9 43 10" xfId="51303"/>
    <cellStyle name="Процентный 9 44 10" xfId="51304"/>
    <cellStyle name="Обычный 10 36 10" xfId="51305"/>
    <cellStyle name="Процентный 10 36 10" xfId="51306"/>
    <cellStyle name="Обычный 11 24 10" xfId="51307"/>
    <cellStyle name="Процентный 11 24 10" xfId="51308"/>
    <cellStyle name="Обычный 4 136 10" xfId="51309"/>
    <cellStyle name="Процентный 4 136 10" xfId="51310"/>
    <cellStyle name="Обычный 5 129 10" xfId="51311"/>
    <cellStyle name="Процентный 5 129 10" xfId="51312"/>
    <cellStyle name="Обычный 4 2 123 10" xfId="51313"/>
    <cellStyle name="Процентный 4 2 123 10" xfId="51314"/>
    <cellStyle name="Обычный 5 2 123 10" xfId="51315"/>
    <cellStyle name="Процентный 5 2 123 10" xfId="51316"/>
    <cellStyle name="Обычный 6 120 10" xfId="51317"/>
    <cellStyle name="Процентный 6 120 10" xfId="51318"/>
    <cellStyle name="Обычный 7 90 10" xfId="51319"/>
    <cellStyle name="Процентный 7 90 10" xfId="51320"/>
    <cellStyle name="Обычный 4 3 82 10" xfId="51321"/>
    <cellStyle name="Процентный 4 3 82 10" xfId="51322"/>
    <cellStyle name="Обычный 5 3 82 10" xfId="51323"/>
    <cellStyle name="Процентный 5 3 82 10" xfId="51324"/>
    <cellStyle name="Обычный 4 2 2 82 10" xfId="51325"/>
    <cellStyle name="Процентный 4 2 2 82 10" xfId="51326"/>
    <cellStyle name="Обычный 5 2 2 82 10" xfId="51327"/>
    <cellStyle name="Процентный 5 2 2 82 10" xfId="51328"/>
    <cellStyle name="Обычный 6 2 82 10" xfId="51329"/>
    <cellStyle name="Процентный 6 2 82 10" xfId="51330"/>
    <cellStyle name="Обычный 7 2 82 10" xfId="51331"/>
    <cellStyle name="Процентный 7 2 82 10" xfId="51332"/>
    <cellStyle name="Обычный 8 78 10" xfId="51333"/>
    <cellStyle name="Процентный 8 78 10" xfId="51334"/>
    <cellStyle name="Обычный 9 44 10" xfId="51335"/>
    <cellStyle name="Процентный 9 45 10" xfId="51336"/>
    <cellStyle name="Обычный 10 37 10" xfId="51337"/>
    <cellStyle name="Процентный 10 37 10" xfId="51338"/>
    <cellStyle name="Обычный 11 25 10" xfId="51339"/>
    <cellStyle name="Процентный 11 25 10" xfId="51340"/>
    <cellStyle name="Обычный 4 137 10" xfId="51341"/>
    <cellStyle name="Процентный 4 137 10" xfId="51342"/>
    <cellStyle name="Обычный 5 130 10" xfId="51343"/>
    <cellStyle name="Процентный 5 130 10" xfId="51344"/>
    <cellStyle name="Обычный 4 2 124 10" xfId="51345"/>
    <cellStyle name="Процентный 4 2 124 10" xfId="51346"/>
    <cellStyle name="Обычный 5 2 124 10" xfId="51347"/>
    <cellStyle name="Процентный 5 2 124 10" xfId="51348"/>
    <cellStyle name="Обычный 6 121 10" xfId="51349"/>
    <cellStyle name="Процентный 6 121 10" xfId="51350"/>
    <cellStyle name="Обычный 7 91 10" xfId="51351"/>
    <cellStyle name="Процентный 7 91 10" xfId="51352"/>
    <cellStyle name="Обычный 4 3 83 10" xfId="51353"/>
    <cellStyle name="Процентный 4 3 83 10" xfId="51354"/>
    <cellStyle name="Обычный 5 3 83 10" xfId="51355"/>
    <cellStyle name="Процентный 5 3 83 10" xfId="51356"/>
    <cellStyle name="Обычный 4 2 2 83 10" xfId="51357"/>
    <cellStyle name="Процентный 4 2 2 83 10" xfId="51358"/>
    <cellStyle name="Обычный 5 2 2 83 10" xfId="51359"/>
    <cellStyle name="Процентный 5 2 2 83 10" xfId="51360"/>
    <cellStyle name="Обычный 6 2 83 10" xfId="51361"/>
    <cellStyle name="Процентный 6 2 83 10" xfId="51362"/>
    <cellStyle name="Обычный 7 2 83 10" xfId="51363"/>
    <cellStyle name="Процентный 7 2 83 10" xfId="51364"/>
    <cellStyle name="Обычный 8 79 10" xfId="51365"/>
    <cellStyle name="Процентный 8 79 10" xfId="51366"/>
    <cellStyle name="Обычный 9 45 10" xfId="51367"/>
    <cellStyle name="Процентный 9 46 10" xfId="51368"/>
    <cellStyle name="Обычный 10 38 10" xfId="51369"/>
    <cellStyle name="Процентный 10 38 10" xfId="51370"/>
    <cellStyle name="Обычный 11 26 10" xfId="51371"/>
    <cellStyle name="Процентный 11 26 10" xfId="51372"/>
    <cellStyle name="Обычный 4 138 10" xfId="51373"/>
    <cellStyle name="Процентный 4 138 10" xfId="51374"/>
    <cellStyle name="Обычный 5 131 10" xfId="51375"/>
    <cellStyle name="Процентный 5 131 10" xfId="51376"/>
    <cellStyle name="Обычный 4 2 125 10" xfId="51377"/>
    <cellStyle name="Процентный 4 2 125 10" xfId="51378"/>
    <cellStyle name="Обычный 5 2 125 10" xfId="51379"/>
    <cellStyle name="Процентный 5 2 125 10" xfId="51380"/>
    <cellStyle name="Обычный 6 122 10" xfId="51381"/>
    <cellStyle name="Процентный 6 122 10" xfId="51382"/>
    <cellStyle name="Обычный 7 92 10" xfId="51383"/>
    <cellStyle name="Процентный 7 92 10" xfId="51384"/>
    <cellStyle name="Обычный 4 3 84 10" xfId="51385"/>
    <cellStyle name="Процентный 4 3 84 10" xfId="51386"/>
    <cellStyle name="Обычный 5 3 84 10" xfId="51387"/>
    <cellStyle name="Процентный 5 3 84 10" xfId="51388"/>
    <cellStyle name="Обычный 4 2 2 84 10" xfId="51389"/>
    <cellStyle name="Процентный 4 2 2 84 10" xfId="51390"/>
    <cellStyle name="Обычный 5 2 2 84 10" xfId="51391"/>
    <cellStyle name="Процентный 5 2 2 84 10" xfId="51392"/>
    <cellStyle name="Обычный 6 2 84 10" xfId="51393"/>
    <cellStyle name="Процентный 6 2 84 10" xfId="51394"/>
    <cellStyle name="Обычный 7 2 84 10" xfId="51395"/>
    <cellStyle name="Процентный 7 2 84 10" xfId="51396"/>
    <cellStyle name="Обычный 8 80 10" xfId="51397"/>
    <cellStyle name="Процентный 8 80 10" xfId="51398"/>
    <cellStyle name="Обычный 9 46 10" xfId="51399"/>
    <cellStyle name="Процентный 9 47 10" xfId="51400"/>
    <cellStyle name="Обычный 10 39 10" xfId="51401"/>
    <cellStyle name="Процентный 10 39 10" xfId="51402"/>
    <cellStyle name="Обычный 11 27 10" xfId="51403"/>
    <cellStyle name="Процентный 11 27 10" xfId="51404"/>
    <cellStyle name="Обычный 4 139 10" xfId="51405"/>
    <cellStyle name="Процентный 4 139 10" xfId="51406"/>
    <cellStyle name="Обычный 5 132 10" xfId="51407"/>
    <cellStyle name="Процентный 5 132 10" xfId="51408"/>
    <cellStyle name="Обычный 4 2 126 10" xfId="51409"/>
    <cellStyle name="Процентный 4 2 126 10" xfId="51410"/>
    <cellStyle name="Обычный 5 2 126 10" xfId="51411"/>
    <cellStyle name="Процентный 5 2 126 10" xfId="51412"/>
    <cellStyle name="Обычный 6 123 10" xfId="51413"/>
    <cellStyle name="Процентный 6 123 10" xfId="51414"/>
    <cellStyle name="Обычный 7 93 10" xfId="51415"/>
    <cellStyle name="Процентный 7 93 10" xfId="51416"/>
    <cellStyle name="Обычный 4 3 85 10" xfId="51417"/>
    <cellStyle name="Процентный 4 3 85 10" xfId="51418"/>
    <cellStyle name="Обычный 5 3 85 10" xfId="51419"/>
    <cellStyle name="Процентный 5 3 85 10" xfId="51420"/>
    <cellStyle name="Обычный 4 2 2 85 10" xfId="51421"/>
    <cellStyle name="Процентный 4 2 2 85 10" xfId="51422"/>
    <cellStyle name="Обычный 5 2 2 85 10" xfId="51423"/>
    <cellStyle name="Процентный 5 2 2 85 10" xfId="51424"/>
    <cellStyle name="Обычный 6 2 85 10" xfId="51425"/>
    <cellStyle name="Процентный 6 2 85 10" xfId="51426"/>
    <cellStyle name="Обычный 7 2 85 10" xfId="51427"/>
    <cellStyle name="Процентный 7 2 85 10" xfId="51428"/>
    <cellStyle name="Обычный 8 81 10" xfId="51429"/>
    <cellStyle name="Процентный 8 81 10" xfId="51430"/>
    <cellStyle name="Обычный 9 47 10" xfId="51431"/>
    <cellStyle name="Процентный 9 48 10" xfId="51432"/>
    <cellStyle name="Обычный 10 40 10" xfId="51433"/>
    <cellStyle name="Процентный 10 40 10" xfId="51434"/>
    <cellStyle name="Обычный 11 28 10" xfId="51435"/>
    <cellStyle name="Процентный 11 28 10" xfId="51436"/>
    <cellStyle name="Обычный 4 140 10" xfId="51437"/>
    <cellStyle name="Процентный 4 140 10" xfId="51438"/>
    <cellStyle name="Обычный 5 133 10" xfId="51439"/>
    <cellStyle name="Процентный 5 133 10" xfId="51440"/>
    <cellStyle name="Обычный 4 2 127 10" xfId="51441"/>
    <cellStyle name="Процентный 4 2 127 10" xfId="51442"/>
    <cellStyle name="Обычный 5 2 127 10" xfId="51443"/>
    <cellStyle name="Процентный 5 2 127 10" xfId="51444"/>
    <cellStyle name="Обычный 6 124 10" xfId="51445"/>
    <cellStyle name="Процентный 6 124 10" xfId="51446"/>
    <cellStyle name="Обычный 7 94 10" xfId="51447"/>
    <cellStyle name="Процентный 7 94 10" xfId="51448"/>
    <cellStyle name="Обычный 4 3 86 10" xfId="51449"/>
    <cellStyle name="Процентный 4 3 86 10" xfId="51450"/>
    <cellStyle name="Обычный 5 3 86 10" xfId="51451"/>
    <cellStyle name="Процентный 5 3 86 10" xfId="51452"/>
    <cellStyle name="Обычный 4 2 2 86 10" xfId="51453"/>
    <cellStyle name="Процентный 4 2 2 86 10" xfId="51454"/>
    <cellStyle name="Обычный 5 2 2 86 10" xfId="51455"/>
    <cellStyle name="Процентный 5 2 2 86 10" xfId="51456"/>
    <cellStyle name="Обычный 6 2 86 10" xfId="51457"/>
    <cellStyle name="Процентный 6 2 86 10" xfId="51458"/>
    <cellStyle name="Обычный 7 2 86 10" xfId="51459"/>
    <cellStyle name="Процентный 7 2 86 10" xfId="51460"/>
    <cellStyle name="Обычный 8 82 10" xfId="51461"/>
    <cellStyle name="Процентный 8 82 10" xfId="51462"/>
    <cellStyle name="Обычный 9 48 10" xfId="51463"/>
    <cellStyle name="Процентный 9 49 10" xfId="51464"/>
    <cellStyle name="Обычный 10 41 10" xfId="51465"/>
    <cellStyle name="Процентный 10 41 10" xfId="51466"/>
    <cellStyle name="Обычный 11 29 10" xfId="51467"/>
    <cellStyle name="Процентный 11 29 10" xfId="51468"/>
    <cellStyle name="Обычный 4 141 10" xfId="51469"/>
    <cellStyle name="Процентный 4 141 10" xfId="51470"/>
    <cellStyle name="Обычный 5 134 10" xfId="51471"/>
    <cellStyle name="Процентный 5 134 10" xfId="51472"/>
    <cellStyle name="Обычный 4 2 128 10" xfId="51473"/>
    <cellStyle name="Процентный 4 2 128 10" xfId="51474"/>
    <cellStyle name="Обычный 5 2 128 10" xfId="51475"/>
    <cellStyle name="Процентный 5 2 128 10" xfId="51476"/>
    <cellStyle name="Обычный 6 125 10" xfId="51477"/>
    <cellStyle name="Процентный 6 125 10" xfId="51478"/>
    <cellStyle name="Обычный 7 95 10" xfId="51479"/>
    <cellStyle name="Процентный 7 95 10" xfId="51480"/>
    <cellStyle name="Обычный 4 3 87 10" xfId="51481"/>
    <cellStyle name="Процентный 4 3 87 10" xfId="51482"/>
    <cellStyle name="Обычный 5 3 87 10" xfId="51483"/>
    <cellStyle name="Процентный 5 3 87 10" xfId="51484"/>
    <cellStyle name="Обычный 4 2 2 87 10" xfId="51485"/>
    <cellStyle name="Процентный 4 2 2 87 10" xfId="51486"/>
    <cellStyle name="Обычный 5 2 2 87 10" xfId="51487"/>
    <cellStyle name="Процентный 5 2 2 87 10" xfId="51488"/>
    <cellStyle name="Обычный 6 2 87 10" xfId="51489"/>
    <cellStyle name="Процентный 6 2 87 10" xfId="51490"/>
    <cellStyle name="Обычный 7 2 87 10" xfId="51491"/>
    <cellStyle name="Процентный 7 2 87 10" xfId="51492"/>
    <cellStyle name="Обычный 8 83 10" xfId="51493"/>
    <cellStyle name="Процентный 8 83 10" xfId="51494"/>
    <cellStyle name="Обычный 9 49 10" xfId="51495"/>
    <cellStyle name="Процентный 9 50 10" xfId="51496"/>
    <cellStyle name="Обычный 10 42 10" xfId="51497"/>
    <cellStyle name="Процентный 10 42 10" xfId="51498"/>
    <cellStyle name="Обычный 11 30 10" xfId="51499"/>
    <cellStyle name="Процентный 11 30 10" xfId="51500"/>
    <cellStyle name="Обычный 4 142 10" xfId="51501"/>
    <cellStyle name="Процентный 4 142 10" xfId="51502"/>
    <cellStyle name="Обычный 5 135 10" xfId="51503"/>
    <cellStyle name="Процентный 5 135 10" xfId="51504"/>
    <cellStyle name="Обычный 4 2 129 10" xfId="51505"/>
    <cellStyle name="Процентный 4 2 129 10" xfId="51506"/>
    <cellStyle name="Обычный 5 2 129 10" xfId="51507"/>
    <cellStyle name="Процентный 5 2 129 10" xfId="51508"/>
    <cellStyle name="Обычный 6 126 10" xfId="51509"/>
    <cellStyle name="Процентный 6 126 10" xfId="51510"/>
    <cellStyle name="Обычный 7 96 10" xfId="51511"/>
    <cellStyle name="Процентный 7 96 10" xfId="51512"/>
    <cellStyle name="Обычный 4 3 88 10" xfId="51513"/>
    <cellStyle name="Процентный 4 3 88 10" xfId="51514"/>
    <cellStyle name="Обычный 5 3 88 10" xfId="51515"/>
    <cellStyle name="Процентный 5 3 88 10" xfId="51516"/>
    <cellStyle name="Обычный 4 2 2 88 10" xfId="51517"/>
    <cellStyle name="Процентный 4 2 2 88 10" xfId="51518"/>
    <cellStyle name="Обычный 5 2 2 88 10" xfId="51519"/>
    <cellStyle name="Процентный 5 2 2 88 10" xfId="51520"/>
    <cellStyle name="Обычный 6 2 88 10" xfId="51521"/>
    <cellStyle name="Процентный 6 2 88 10" xfId="51522"/>
    <cellStyle name="Обычный 7 2 88 10" xfId="51523"/>
    <cellStyle name="Процентный 7 2 88 10" xfId="51524"/>
    <cellStyle name="Обычный 8 84 10" xfId="51525"/>
    <cellStyle name="Процентный 8 84 10" xfId="51526"/>
    <cellStyle name="Обычный 9 50 10" xfId="51527"/>
    <cellStyle name="Процентный 9 51 10" xfId="51528"/>
    <cellStyle name="Обычный 10 43 10" xfId="51529"/>
    <cellStyle name="Процентный 10 43 10" xfId="51530"/>
    <cellStyle name="Обычный 11 31 10" xfId="51531"/>
    <cellStyle name="Процентный 11 31 10" xfId="51532"/>
    <cellStyle name="Обычный 4 143 10" xfId="51533"/>
    <cellStyle name="Процентный 4 143 10" xfId="51534"/>
    <cellStyle name="Обычный 5 136 10" xfId="51535"/>
    <cellStyle name="Процентный 5 136 10" xfId="51536"/>
    <cellStyle name="Обычный 4 2 130 10" xfId="51537"/>
    <cellStyle name="Процентный 4 2 130 10" xfId="51538"/>
    <cellStyle name="Обычный 5 2 130 10" xfId="51539"/>
    <cellStyle name="Процентный 5 2 130 10" xfId="51540"/>
    <cellStyle name="Обычный 6 127 10" xfId="51541"/>
    <cellStyle name="Процентный 6 127 10" xfId="51542"/>
    <cellStyle name="Обычный 7 97 10" xfId="51543"/>
    <cellStyle name="Процентный 7 97 10" xfId="51544"/>
    <cellStyle name="Обычный 4 3 89 10" xfId="51545"/>
    <cellStyle name="Процентный 4 3 89 10" xfId="51546"/>
    <cellStyle name="Обычный 5 3 89 10" xfId="51547"/>
    <cellStyle name="Процентный 5 3 89 10" xfId="51548"/>
    <cellStyle name="Обычный 4 2 2 89 10" xfId="51549"/>
    <cellStyle name="Процентный 4 2 2 89 10" xfId="51550"/>
    <cellStyle name="Обычный 5 2 2 89 10" xfId="51551"/>
    <cellStyle name="Процентный 5 2 2 89 10" xfId="51552"/>
    <cellStyle name="Обычный 6 2 89 10" xfId="51553"/>
    <cellStyle name="Процентный 6 2 89 10" xfId="51554"/>
    <cellStyle name="Обычный 7 2 89 10" xfId="51555"/>
    <cellStyle name="Процентный 7 2 89 10" xfId="51556"/>
    <cellStyle name="Обычный 8 85 10" xfId="51557"/>
    <cellStyle name="Процентный 8 85 10" xfId="51558"/>
    <cellStyle name="Обычный 9 51 10" xfId="51559"/>
    <cellStyle name="Процентный 9 52 10" xfId="51560"/>
    <cellStyle name="Обычный 10 44 10" xfId="51561"/>
    <cellStyle name="Процентный 10 44 10" xfId="51562"/>
    <cellStyle name="Обычный 11 32 10" xfId="51563"/>
    <cellStyle name="Процентный 11 32 10" xfId="51564"/>
    <cellStyle name="Обычный 4 144 10" xfId="51565"/>
    <cellStyle name="Процентный 4 144 10" xfId="51566"/>
    <cellStyle name="Обычный 5 137 10" xfId="51567"/>
    <cellStyle name="Процентный 5 137 10" xfId="51568"/>
    <cellStyle name="Обычный 4 2 131 10" xfId="51569"/>
    <cellStyle name="Процентный 4 2 131 10" xfId="51570"/>
    <cellStyle name="Обычный 5 2 131 10" xfId="51571"/>
    <cellStyle name="Процентный 5 2 131 10" xfId="51572"/>
    <cellStyle name="Обычный 6 128 10" xfId="51573"/>
    <cellStyle name="Процентный 6 128 10" xfId="51574"/>
    <cellStyle name="Обычный 7 98 10" xfId="51575"/>
    <cellStyle name="Процентный 7 98 10" xfId="51576"/>
    <cellStyle name="Обычный 4 3 90 10" xfId="51577"/>
    <cellStyle name="Процентный 4 3 90 10" xfId="51578"/>
    <cellStyle name="Обычный 5 3 90 10" xfId="51579"/>
    <cellStyle name="Процентный 5 3 90 10" xfId="51580"/>
    <cellStyle name="Обычный 4 2 2 90 10" xfId="51581"/>
    <cellStyle name="Процентный 4 2 2 90 10" xfId="51582"/>
    <cellStyle name="Обычный 5 2 2 90 10" xfId="51583"/>
    <cellStyle name="Процентный 5 2 2 90 10" xfId="51584"/>
    <cellStyle name="Обычный 6 2 90 10" xfId="51585"/>
    <cellStyle name="Процентный 6 2 90 10" xfId="51586"/>
    <cellStyle name="Обычный 7 2 90 10" xfId="51587"/>
    <cellStyle name="Процентный 7 2 90 10" xfId="51588"/>
    <cellStyle name="Обычный 8 86 10" xfId="51589"/>
    <cellStyle name="Процентный 8 86 10" xfId="51590"/>
    <cellStyle name="Обычный 9 52 10" xfId="51591"/>
    <cellStyle name="Процентный 9 53 10" xfId="51592"/>
    <cellStyle name="Обычный 10 45 10" xfId="51593"/>
    <cellStyle name="Процентный 10 45 10" xfId="51594"/>
    <cellStyle name="Обычный 11 33 10" xfId="51595"/>
    <cellStyle name="Процентный 11 33 10" xfId="51596"/>
    <cellStyle name="Обычный 4 145 10" xfId="51597"/>
    <cellStyle name="Процентный 4 145 10" xfId="51598"/>
    <cellStyle name="Обычный 5 138 10" xfId="51599"/>
    <cellStyle name="Процентный 5 138 10" xfId="51600"/>
    <cellStyle name="Обычный 4 2 132 10" xfId="51601"/>
    <cellStyle name="Процентный 4 2 132 10" xfId="51602"/>
    <cellStyle name="Обычный 5 2 132 10" xfId="51603"/>
    <cellStyle name="Процентный 5 2 132 10" xfId="51604"/>
    <cellStyle name="Обычный 6 129 10" xfId="51605"/>
    <cellStyle name="Процентный 6 129 10" xfId="51606"/>
    <cellStyle name="Обычный 7 99 10" xfId="51607"/>
    <cellStyle name="Процентный 7 99 10" xfId="51608"/>
    <cellStyle name="Обычный 4 3 91 10" xfId="51609"/>
    <cellStyle name="Процентный 4 3 91 10" xfId="51610"/>
    <cellStyle name="Обычный 5 3 91 10" xfId="51611"/>
    <cellStyle name="Процентный 5 3 91 10" xfId="51612"/>
    <cellStyle name="Обычный 4 2 2 91 10" xfId="51613"/>
    <cellStyle name="Процентный 4 2 2 91 10" xfId="51614"/>
    <cellStyle name="Обычный 5 2 2 91 10" xfId="51615"/>
    <cellStyle name="Процентный 5 2 2 91 10" xfId="51616"/>
    <cellStyle name="Обычный 6 2 91 10" xfId="51617"/>
    <cellStyle name="Процентный 6 2 91 10" xfId="51618"/>
    <cellStyle name="Обычный 7 2 91 10" xfId="51619"/>
    <cellStyle name="Процентный 7 2 91 10" xfId="51620"/>
    <cellStyle name="Обычный 8 87 10" xfId="51621"/>
    <cellStyle name="Процентный 8 87 10" xfId="51622"/>
    <cellStyle name="Обычный 9 53 10" xfId="51623"/>
    <cellStyle name="Процентный 9 54 10" xfId="51624"/>
    <cellStyle name="Обычный 10 46 10" xfId="51625"/>
    <cellStyle name="Процентный 10 46 10" xfId="51626"/>
    <cellStyle name="Обычный 11 34 10" xfId="51627"/>
    <cellStyle name="Процентный 11 34 10" xfId="51628"/>
    <cellStyle name="Обычный 4 146 10" xfId="51629"/>
    <cellStyle name="Процентный 4 146 10" xfId="51630"/>
    <cellStyle name="Обычный 5 139 10" xfId="51631"/>
    <cellStyle name="Процентный 5 139 10" xfId="51632"/>
    <cellStyle name="Обычный 4 2 133 10" xfId="51633"/>
    <cellStyle name="Процентный 4 2 133 10" xfId="51634"/>
    <cellStyle name="Обычный 5 2 133 10" xfId="51635"/>
    <cellStyle name="Процентный 5 2 133 10" xfId="51636"/>
    <cellStyle name="Обычный 6 130 10" xfId="51637"/>
    <cellStyle name="Процентный 6 130 10" xfId="51638"/>
    <cellStyle name="Обычный 7 100 10" xfId="51639"/>
    <cellStyle name="Процентный 7 100 10" xfId="51640"/>
    <cellStyle name="Обычный 4 3 92 10" xfId="51641"/>
    <cellStyle name="Процентный 4 3 92 10" xfId="51642"/>
    <cellStyle name="Обычный 5 3 92 10" xfId="51643"/>
    <cellStyle name="Процентный 5 3 92 10" xfId="51644"/>
    <cellStyle name="Обычный 4 2 2 92 10" xfId="51645"/>
    <cellStyle name="Процентный 4 2 2 92 10" xfId="51646"/>
    <cellStyle name="Обычный 5 2 2 92 10" xfId="51647"/>
    <cellStyle name="Процентный 5 2 2 92 10" xfId="51648"/>
    <cellStyle name="Обычный 6 2 92 10" xfId="51649"/>
    <cellStyle name="Процентный 6 2 92 10" xfId="51650"/>
    <cellStyle name="Обычный 7 2 92 10" xfId="51651"/>
    <cellStyle name="Процентный 7 2 92 10" xfId="51652"/>
    <cellStyle name="Обычный 8 88 10" xfId="51653"/>
    <cellStyle name="Процентный 8 88 10" xfId="51654"/>
    <cellStyle name="Обычный 9 54 10" xfId="51655"/>
    <cellStyle name="Процентный 9 55 10" xfId="51656"/>
    <cellStyle name="Обычный 10 47 10" xfId="51657"/>
    <cellStyle name="Процентный 10 47 10" xfId="51658"/>
    <cellStyle name="Обычный 11 35 10" xfId="51659"/>
    <cellStyle name="Процентный 11 35 10" xfId="51660"/>
    <cellStyle name="Обычный 4 147 10" xfId="51661"/>
    <cellStyle name="Процентный 4 147 10" xfId="51662"/>
    <cellStyle name="Обычный 5 140 10" xfId="51663"/>
    <cellStyle name="Процентный 5 140 10" xfId="51664"/>
    <cellStyle name="Обычный 4 2 134 10" xfId="51665"/>
    <cellStyle name="Процентный 4 2 134 10" xfId="51666"/>
    <cellStyle name="Обычный 5 2 134 10" xfId="51667"/>
    <cellStyle name="Процентный 5 2 134 10" xfId="51668"/>
    <cellStyle name="Обычный 6 131 10" xfId="51669"/>
    <cellStyle name="Процентный 6 131 10" xfId="51670"/>
    <cellStyle name="Обычный 7 101 10" xfId="51671"/>
    <cellStyle name="Процентный 7 101 10" xfId="51672"/>
    <cellStyle name="Обычный 4 3 93 10" xfId="51673"/>
    <cellStyle name="Процентный 4 3 93 10" xfId="51674"/>
    <cellStyle name="Обычный 5 3 93 10" xfId="51675"/>
    <cellStyle name="Процентный 5 3 93 10" xfId="51676"/>
    <cellStyle name="Обычный 4 2 2 93 10" xfId="51677"/>
    <cellStyle name="Процентный 4 2 2 93 10" xfId="51678"/>
    <cellStyle name="Обычный 5 2 2 93 10" xfId="51679"/>
    <cellStyle name="Процентный 5 2 2 93 10" xfId="51680"/>
    <cellStyle name="Обычный 6 2 93 10" xfId="51681"/>
    <cellStyle name="Процентный 6 2 93 10" xfId="51682"/>
    <cellStyle name="Обычный 7 2 93 10" xfId="51683"/>
    <cellStyle name="Процентный 7 2 93 10" xfId="51684"/>
    <cellStyle name="Обычный 8 89 10" xfId="51685"/>
    <cellStyle name="Процентный 8 89 10" xfId="51686"/>
    <cellStyle name="Обычный 9 55 10" xfId="51687"/>
    <cellStyle name="Процентный 9 56 10" xfId="51688"/>
    <cellStyle name="Обычный 10 48 10" xfId="51689"/>
    <cellStyle name="Процентный 10 48 10" xfId="51690"/>
    <cellStyle name="Обычный 11 36 10" xfId="51691"/>
    <cellStyle name="Процентный 11 36 10" xfId="51692"/>
    <cellStyle name="Обычный 4 148 10" xfId="51693"/>
    <cellStyle name="Процентный 4 148 10" xfId="51694"/>
    <cellStyle name="Обычный 5 141 10" xfId="51695"/>
    <cellStyle name="Процентный 5 141 10" xfId="51696"/>
    <cellStyle name="Обычный 4 2 135 10" xfId="51697"/>
    <cellStyle name="Процентный 4 2 135 10" xfId="51698"/>
    <cellStyle name="Обычный 5 2 135 10" xfId="51699"/>
    <cellStyle name="Процентный 5 2 135 10" xfId="51700"/>
    <cellStyle name="Обычный 6 132 10" xfId="51701"/>
    <cellStyle name="Процентный 6 132 10" xfId="51702"/>
    <cellStyle name="Обычный 7 102 10" xfId="51703"/>
    <cellStyle name="Процентный 7 102 10" xfId="51704"/>
    <cellStyle name="Обычный 4 3 94 10" xfId="51705"/>
    <cellStyle name="Процентный 4 3 94 10" xfId="51706"/>
    <cellStyle name="Обычный 5 3 94 10" xfId="51707"/>
    <cellStyle name="Процентный 5 3 94 10" xfId="51708"/>
    <cellStyle name="Обычный 4 2 2 94 10" xfId="51709"/>
    <cellStyle name="Процентный 4 2 2 94 10" xfId="51710"/>
    <cellStyle name="Обычный 5 2 2 94 10" xfId="51711"/>
    <cellStyle name="Процентный 5 2 2 94 10" xfId="51712"/>
    <cellStyle name="Обычный 6 2 94 10" xfId="51713"/>
    <cellStyle name="Процентный 6 2 94 10" xfId="51714"/>
    <cellStyle name="Обычный 7 2 94 10" xfId="51715"/>
    <cellStyle name="Процентный 7 2 94 10" xfId="51716"/>
    <cellStyle name="Обычный 8 90 10" xfId="51717"/>
    <cellStyle name="Процентный 8 90 10" xfId="51718"/>
    <cellStyle name="Обычный 9 56 10" xfId="51719"/>
    <cellStyle name="Процентный 9 57 10" xfId="51720"/>
    <cellStyle name="Обычный 10 49 10" xfId="51721"/>
    <cellStyle name="Процентный 10 49 10" xfId="51722"/>
    <cellStyle name="Обычный 11 37 10" xfId="51723"/>
    <cellStyle name="Процентный 11 37 10" xfId="51724"/>
    <cellStyle name="Обычный 4 149 10" xfId="51725"/>
    <cellStyle name="Процентный 4 149 10" xfId="51726"/>
    <cellStyle name="Обычный 5 142 10" xfId="51727"/>
    <cellStyle name="Процентный 5 142 10" xfId="51728"/>
    <cellStyle name="Обычный 4 2 136 10" xfId="51729"/>
    <cellStyle name="Процентный 4 2 136 10" xfId="51730"/>
    <cellStyle name="Обычный 5 2 136 10" xfId="51731"/>
    <cellStyle name="Процентный 5 2 136 10" xfId="51732"/>
    <cellStyle name="Обычный 6 133 10" xfId="51733"/>
    <cellStyle name="Процентный 6 133 10" xfId="51734"/>
    <cellStyle name="Обычный 7 103 10" xfId="51735"/>
    <cellStyle name="Процентный 7 103 10" xfId="51736"/>
    <cellStyle name="Обычный 4 3 95 10" xfId="51737"/>
    <cellStyle name="Процентный 4 3 95 10" xfId="51738"/>
    <cellStyle name="Обычный 5 3 95 10" xfId="51739"/>
    <cellStyle name="Процентный 5 3 95 10" xfId="51740"/>
    <cellStyle name="Обычный 4 2 2 95 10" xfId="51741"/>
    <cellStyle name="Процентный 4 2 2 95 10" xfId="51742"/>
    <cellStyle name="Обычный 5 2 2 95 10" xfId="51743"/>
    <cellStyle name="Процентный 5 2 2 95 10" xfId="51744"/>
    <cellStyle name="Обычный 6 2 95 10" xfId="51745"/>
    <cellStyle name="Процентный 6 2 95 10" xfId="51746"/>
    <cellStyle name="Обычный 7 2 95 10" xfId="51747"/>
    <cellStyle name="Процентный 7 2 95 10" xfId="51748"/>
    <cellStyle name="Обычный 8 91 10" xfId="51749"/>
    <cellStyle name="Процентный 8 91 10" xfId="51750"/>
    <cellStyle name="Обычный 9 57 10" xfId="51751"/>
    <cellStyle name="Процентный 9 58 10" xfId="51752"/>
    <cellStyle name="Обычный 10 50 10" xfId="51753"/>
    <cellStyle name="Процентный 10 50 10" xfId="51754"/>
    <cellStyle name="Обычный 11 38 10" xfId="51755"/>
    <cellStyle name="Процентный 11 38 10" xfId="51756"/>
    <cellStyle name="Обычный 4 150 10" xfId="51757"/>
    <cellStyle name="Процентный 4 150 10" xfId="51758"/>
    <cellStyle name="Обычный 5 143 10" xfId="51759"/>
    <cellStyle name="Процентный 5 143 10" xfId="51760"/>
    <cellStyle name="Обычный 4 2 137 10" xfId="51761"/>
    <cellStyle name="Процентный 4 2 137 10" xfId="51762"/>
    <cellStyle name="Обычный 5 2 137 10" xfId="51763"/>
    <cellStyle name="Процентный 5 2 137 10" xfId="51764"/>
    <cellStyle name="Обычный 6 134 10" xfId="51765"/>
    <cellStyle name="Процентный 6 134 10" xfId="51766"/>
    <cellStyle name="Обычный 7 104 10" xfId="51767"/>
    <cellStyle name="Процентный 7 104 10" xfId="51768"/>
    <cellStyle name="Обычный 4 3 96 10" xfId="51769"/>
    <cellStyle name="Процентный 4 3 96 10" xfId="51770"/>
    <cellStyle name="Обычный 5 3 96 10" xfId="51771"/>
    <cellStyle name="Процентный 5 3 96 10" xfId="51772"/>
    <cellStyle name="Обычный 4 2 2 96 10" xfId="51773"/>
    <cellStyle name="Процентный 4 2 2 96 10" xfId="51774"/>
    <cellStyle name="Обычный 5 2 2 96 10" xfId="51775"/>
    <cellStyle name="Процентный 5 2 2 96 10" xfId="51776"/>
    <cellStyle name="Обычный 6 2 96 10" xfId="51777"/>
    <cellStyle name="Процентный 6 2 96 10" xfId="51778"/>
    <cellStyle name="Обычный 7 2 96 10" xfId="51779"/>
    <cellStyle name="Процентный 7 2 96 10" xfId="51780"/>
    <cellStyle name="Обычный 8 92 10" xfId="51781"/>
    <cellStyle name="Процентный 8 92 10" xfId="51782"/>
    <cellStyle name="Обычный 9 58 10" xfId="51783"/>
    <cellStyle name="Процентный 9 59 10" xfId="51784"/>
    <cellStyle name="Обычный 10 51 10" xfId="51785"/>
    <cellStyle name="Процентный 10 51 10" xfId="51786"/>
    <cellStyle name="Обычный 11 39 10" xfId="51787"/>
    <cellStyle name="Процентный 11 39 10" xfId="51788"/>
    <cellStyle name="Обычный 4 151 10" xfId="51789"/>
    <cellStyle name="Процентный 4 151 10" xfId="51790"/>
    <cellStyle name="Обычный 5 144 10" xfId="51791"/>
    <cellStyle name="Процентный 5 144 10" xfId="51792"/>
    <cellStyle name="Обычный 4 2 138 10" xfId="51793"/>
    <cellStyle name="Процентный 4 2 138 10" xfId="51794"/>
    <cellStyle name="Обычный 5 2 138 10" xfId="51795"/>
    <cellStyle name="Процентный 5 2 138 10" xfId="51796"/>
    <cellStyle name="Обычный 6 135 10" xfId="51797"/>
    <cellStyle name="Процентный 6 135 10" xfId="51798"/>
    <cellStyle name="Обычный 7 105 10" xfId="51799"/>
    <cellStyle name="Процентный 7 105 10" xfId="51800"/>
    <cellStyle name="Обычный 4 3 97 10" xfId="51801"/>
    <cellStyle name="Процентный 4 3 97 10" xfId="51802"/>
    <cellStyle name="Обычный 5 3 97 10" xfId="51803"/>
    <cellStyle name="Процентный 5 3 97 10" xfId="51804"/>
    <cellStyle name="Обычный 4 2 2 97 10" xfId="51805"/>
    <cellStyle name="Процентный 4 2 2 97 10" xfId="51806"/>
    <cellStyle name="Обычный 5 2 2 97 10" xfId="51807"/>
    <cellStyle name="Процентный 5 2 2 97 10" xfId="51808"/>
    <cellStyle name="Обычный 6 2 97 10" xfId="51809"/>
    <cellStyle name="Процентный 6 2 97 10" xfId="51810"/>
    <cellStyle name="Обычный 7 2 97 10" xfId="51811"/>
    <cellStyle name="Процентный 7 2 97 10" xfId="51812"/>
    <cellStyle name="Обычный 8 93 10" xfId="51813"/>
    <cellStyle name="Процентный 8 93 10" xfId="51814"/>
    <cellStyle name="Обычный 9 59 10" xfId="51815"/>
    <cellStyle name="Процентный 9 60 10" xfId="51816"/>
    <cellStyle name="Обычный 10 52 10" xfId="51817"/>
    <cellStyle name="Процентный 10 52 10" xfId="51818"/>
    <cellStyle name="Обычный 11 40 10" xfId="51819"/>
    <cellStyle name="Процентный 11 40 10" xfId="51820"/>
    <cellStyle name="Обычный 4 152 10" xfId="51821"/>
    <cellStyle name="Процентный 4 152 10" xfId="51822"/>
    <cellStyle name="Обычный 5 145 10" xfId="51823"/>
    <cellStyle name="Процентный 5 145 10" xfId="51824"/>
    <cellStyle name="Обычный 4 2 139 10" xfId="51825"/>
    <cellStyle name="Процентный 4 2 139 10" xfId="51826"/>
    <cellStyle name="Обычный 5 2 139 10" xfId="51827"/>
    <cellStyle name="Процентный 5 2 139 10" xfId="51828"/>
    <cellStyle name="Обычный 6 136 10" xfId="51829"/>
    <cellStyle name="Процентный 6 136 10" xfId="51830"/>
    <cellStyle name="Обычный 7 106 10" xfId="51831"/>
    <cellStyle name="Процентный 7 106 10" xfId="51832"/>
    <cellStyle name="Обычный 4 3 98 10" xfId="51833"/>
    <cellStyle name="Процентный 4 3 98 10" xfId="51834"/>
    <cellStyle name="Обычный 5 3 98 10" xfId="51835"/>
    <cellStyle name="Процентный 5 3 98 10" xfId="51836"/>
    <cellStyle name="Обычный 4 2 2 98 10" xfId="51837"/>
    <cellStyle name="Процентный 4 2 2 98 10" xfId="51838"/>
    <cellStyle name="Обычный 5 2 2 98 10" xfId="51839"/>
    <cellStyle name="Процентный 5 2 2 98 10" xfId="51840"/>
    <cellStyle name="Обычный 6 2 98 10" xfId="51841"/>
    <cellStyle name="Процентный 6 2 98 10" xfId="51842"/>
    <cellStyle name="Обычный 7 2 98 10" xfId="51843"/>
    <cellStyle name="Процентный 7 2 98 10" xfId="51844"/>
    <cellStyle name="Обычный 8 94 10" xfId="51845"/>
    <cellStyle name="Процентный 8 94 10" xfId="51846"/>
    <cellStyle name="Обычный 9 60 10" xfId="51847"/>
    <cellStyle name="Процентный 9 61 10" xfId="51848"/>
    <cellStyle name="Обычный 10 53 10" xfId="51849"/>
    <cellStyle name="Процентный 10 53 10" xfId="51850"/>
    <cellStyle name="Обычный 11 41 10" xfId="51851"/>
    <cellStyle name="Процентный 11 41 10" xfId="51852"/>
    <cellStyle name="Обычный 4 153 10" xfId="51853"/>
    <cellStyle name="Процентный 4 153 10" xfId="51854"/>
    <cellStyle name="Обычный 5 146 10" xfId="51855"/>
    <cellStyle name="Процентный 5 146 10" xfId="51856"/>
    <cellStyle name="Обычный 4 2 140 10" xfId="51857"/>
    <cellStyle name="Процентный 4 2 140 10" xfId="51858"/>
    <cellStyle name="Обычный 5 2 140 10" xfId="51859"/>
    <cellStyle name="Процентный 5 2 140 10" xfId="51860"/>
    <cellStyle name="Обычный 6 137 10" xfId="51861"/>
    <cellStyle name="Процентный 6 137 10" xfId="51862"/>
    <cellStyle name="Обычный 7 107 10" xfId="51863"/>
    <cellStyle name="Процентный 7 107 10" xfId="51864"/>
    <cellStyle name="Обычный 4 3 99 10" xfId="51865"/>
    <cellStyle name="Процентный 4 3 99 10" xfId="51866"/>
    <cellStyle name="Обычный 5 3 99 10" xfId="51867"/>
    <cellStyle name="Процентный 5 3 99 10" xfId="51868"/>
    <cellStyle name="Обычный 4 2 2 99 10" xfId="51869"/>
    <cellStyle name="Процентный 4 2 2 99 10" xfId="51870"/>
    <cellStyle name="Обычный 5 2 2 99 10" xfId="51871"/>
    <cellStyle name="Процентный 5 2 2 99 10" xfId="51872"/>
    <cellStyle name="Обычный 6 2 99 10" xfId="51873"/>
    <cellStyle name="Процентный 6 2 99 10" xfId="51874"/>
    <cellStyle name="Обычный 7 2 99 10" xfId="51875"/>
    <cellStyle name="Процентный 7 2 99 10" xfId="51876"/>
    <cellStyle name="Обычный 8 95 10" xfId="51877"/>
    <cellStyle name="Процентный 8 95 10" xfId="51878"/>
    <cellStyle name="Обычный 9 61 10" xfId="51879"/>
    <cellStyle name="Процентный 9 62 10" xfId="51880"/>
    <cellStyle name="Обычный 10 54 10" xfId="51881"/>
    <cellStyle name="Процентный 10 54 10" xfId="51882"/>
    <cellStyle name="Обычный 11 42 10" xfId="51883"/>
    <cellStyle name="Процентный 11 42 10" xfId="51884"/>
    <cellStyle name="Обычный 4 154 10" xfId="51885"/>
    <cellStyle name="Процентный 4 154 10" xfId="51886"/>
    <cellStyle name="Обычный 5 147 10" xfId="51887"/>
    <cellStyle name="Процентный 5 147 10" xfId="51888"/>
    <cellStyle name="Обычный 4 2 141 10" xfId="51889"/>
    <cellStyle name="Процентный 4 2 141 10" xfId="51890"/>
    <cellStyle name="Обычный 5 2 141 10" xfId="51891"/>
    <cellStyle name="Процентный 5 2 141 10" xfId="51892"/>
    <cellStyle name="Обычный 6 138 10" xfId="51893"/>
    <cellStyle name="Процентный 6 138 10" xfId="51894"/>
    <cellStyle name="Обычный 7 108 10" xfId="51895"/>
    <cellStyle name="Процентный 7 108 10" xfId="51896"/>
    <cellStyle name="Обычный 4 3 100 10" xfId="51897"/>
    <cellStyle name="Процентный 4 3 100 10" xfId="51898"/>
    <cellStyle name="Обычный 5 3 100 10" xfId="51899"/>
    <cellStyle name="Процентный 5 3 100 10" xfId="51900"/>
    <cellStyle name="Обычный 4 2 2 100 10" xfId="51901"/>
    <cellStyle name="Процентный 4 2 2 100 10" xfId="51902"/>
    <cellStyle name="Обычный 5 2 2 100 10" xfId="51903"/>
    <cellStyle name="Процентный 5 2 2 100 10" xfId="51904"/>
    <cellStyle name="Обычный 6 2 100 10" xfId="51905"/>
    <cellStyle name="Процентный 6 2 100 10" xfId="51906"/>
    <cellStyle name="Обычный 7 2 100 10" xfId="51907"/>
    <cellStyle name="Процентный 7 2 100 10" xfId="51908"/>
    <cellStyle name="Обычный 8 96 10" xfId="51909"/>
    <cellStyle name="Процентный 8 96 10" xfId="51910"/>
    <cellStyle name="Обычный 9 62 10" xfId="51911"/>
    <cellStyle name="Процентный 9 63 10" xfId="51912"/>
    <cellStyle name="Обычный 10 55 10" xfId="51913"/>
    <cellStyle name="Процентный 10 55 10" xfId="51914"/>
    <cellStyle name="Обычный 11 43 10" xfId="51915"/>
    <cellStyle name="Процентный 11 43 10" xfId="51916"/>
    <cellStyle name="Обычный 4 155 10" xfId="51917"/>
    <cellStyle name="Процентный 4 155 10" xfId="51918"/>
    <cellStyle name="Обычный 5 148 10" xfId="51919"/>
    <cellStyle name="Процентный 5 148 10" xfId="51920"/>
    <cellStyle name="Обычный 4 2 142 10" xfId="51921"/>
    <cellStyle name="Процентный 4 2 142 10" xfId="51922"/>
    <cellStyle name="Обычный 5 2 142 10" xfId="51923"/>
    <cellStyle name="Процентный 5 2 142 10" xfId="51924"/>
    <cellStyle name="Обычный 6 139 10" xfId="51925"/>
    <cellStyle name="Процентный 6 139 10" xfId="51926"/>
    <cellStyle name="Обычный 7 109 10" xfId="51927"/>
    <cellStyle name="Процентный 7 109 10" xfId="51928"/>
    <cellStyle name="Обычный 4 3 101 10" xfId="51929"/>
    <cellStyle name="Процентный 4 3 101 10" xfId="51930"/>
    <cellStyle name="Обычный 5 3 101 10" xfId="51931"/>
    <cellStyle name="Процентный 5 3 101 10" xfId="51932"/>
    <cellStyle name="Обычный 4 2 2 101 10" xfId="51933"/>
    <cellStyle name="Процентный 4 2 2 101 10" xfId="51934"/>
    <cellStyle name="Обычный 5 2 2 101 10" xfId="51935"/>
    <cellStyle name="Процентный 5 2 2 101 10" xfId="51936"/>
    <cellStyle name="Обычный 6 2 101 10" xfId="51937"/>
    <cellStyle name="Процентный 6 2 101 10" xfId="51938"/>
    <cellStyle name="Обычный 7 2 101 10" xfId="51939"/>
    <cellStyle name="Процентный 7 2 101 10" xfId="51940"/>
    <cellStyle name="Обычный 8 97 10" xfId="51941"/>
    <cellStyle name="Процентный 8 97 10" xfId="51942"/>
    <cellStyle name="Обычный 9 63 10" xfId="51943"/>
    <cellStyle name="Процентный 9 64 10" xfId="51944"/>
    <cellStyle name="Обычный 10 56 10" xfId="51945"/>
    <cellStyle name="Процентный 10 56 10" xfId="51946"/>
    <cellStyle name="Обычный 11 44 10" xfId="51947"/>
    <cellStyle name="Процентный 11 44 10" xfId="51948"/>
    <cellStyle name="Обычный 4 156 10" xfId="51949"/>
    <cellStyle name="Процентный 4 156 10" xfId="51950"/>
    <cellStyle name="Обычный 5 149 10" xfId="51951"/>
    <cellStyle name="Процентный 5 149 10" xfId="51952"/>
    <cellStyle name="Обычный 4 2 143 10" xfId="51953"/>
    <cellStyle name="Процентный 4 2 143 10" xfId="51954"/>
    <cellStyle name="Обычный 5 2 143 10" xfId="51955"/>
    <cellStyle name="Процентный 5 2 143 10" xfId="51956"/>
    <cellStyle name="Обычный 6 140 10" xfId="51957"/>
    <cellStyle name="Процентный 6 140 10" xfId="51958"/>
    <cellStyle name="Обычный 7 110 10" xfId="51959"/>
    <cellStyle name="Процентный 7 110 10" xfId="51960"/>
    <cellStyle name="Обычный 4 3 102 10" xfId="51961"/>
    <cellStyle name="Процентный 4 3 102 10" xfId="51962"/>
    <cellStyle name="Обычный 5 3 102 10" xfId="51963"/>
    <cellStyle name="Процентный 5 3 102 10" xfId="51964"/>
    <cellStyle name="Обычный 4 2 2 102 10" xfId="51965"/>
    <cellStyle name="Процентный 4 2 2 102 10" xfId="51966"/>
    <cellStyle name="Обычный 5 2 2 102 10" xfId="51967"/>
    <cellStyle name="Процентный 5 2 2 102 10" xfId="51968"/>
    <cellStyle name="Обычный 6 2 102 10" xfId="51969"/>
    <cellStyle name="Процентный 6 2 102 10" xfId="51970"/>
    <cellStyle name="Обычный 7 2 102 10" xfId="51971"/>
    <cellStyle name="Процентный 7 2 102 10" xfId="51972"/>
    <cellStyle name="Обычный 8 98 10" xfId="51973"/>
    <cellStyle name="Процентный 8 98 10" xfId="51974"/>
    <cellStyle name="Обычный 9 64 10" xfId="51975"/>
    <cellStyle name="Процентный 9 65 10" xfId="51976"/>
    <cellStyle name="Обычный 10 57 10" xfId="51977"/>
    <cellStyle name="Процентный 10 57 10" xfId="51978"/>
    <cellStyle name="Обычный 11 45 10" xfId="51979"/>
    <cellStyle name="Процентный 11 45 10" xfId="51980"/>
    <cellStyle name="Обычный 4 157 10" xfId="51981"/>
    <cellStyle name="Процентный 4 157 10" xfId="51982"/>
    <cellStyle name="Обычный 5 150 10" xfId="51983"/>
    <cellStyle name="Процентный 5 150 10" xfId="51984"/>
    <cellStyle name="Обычный 4 2 144 10" xfId="51985"/>
    <cellStyle name="Процентный 4 2 144 10" xfId="51986"/>
    <cellStyle name="Обычный 5 2 144 10" xfId="51987"/>
    <cellStyle name="Процентный 5 2 144 10" xfId="51988"/>
    <cellStyle name="Обычный 6 141 10" xfId="51989"/>
    <cellStyle name="Процентный 6 141 10" xfId="51990"/>
    <cellStyle name="Обычный 7 111 10" xfId="51991"/>
    <cellStyle name="Процентный 7 111 10" xfId="51992"/>
    <cellStyle name="Обычный 4 3 103 10" xfId="51993"/>
    <cellStyle name="Процентный 4 3 103 10" xfId="51994"/>
    <cellStyle name="Обычный 5 3 103 10" xfId="51995"/>
    <cellStyle name="Процентный 5 3 103 10" xfId="51996"/>
    <cellStyle name="Обычный 4 2 2 103 10" xfId="51997"/>
    <cellStyle name="Процентный 4 2 2 103 10" xfId="51998"/>
    <cellStyle name="Обычный 5 2 2 103 10" xfId="51999"/>
    <cellStyle name="Процентный 5 2 2 103 10" xfId="52000"/>
    <cellStyle name="Обычный 6 2 103 10" xfId="52001"/>
    <cellStyle name="Процентный 6 2 103 10" xfId="52002"/>
    <cellStyle name="Обычный 7 2 103 10" xfId="52003"/>
    <cellStyle name="Процентный 7 2 103 10" xfId="52004"/>
    <cellStyle name="Обычный 8 99 10" xfId="52005"/>
    <cellStyle name="Процентный 8 99 10" xfId="52006"/>
    <cellStyle name="Обычный 9 65 10" xfId="52007"/>
    <cellStyle name="Процентный 9 66 10" xfId="52008"/>
    <cellStyle name="Обычный 10 58 10" xfId="52009"/>
    <cellStyle name="Процентный 10 58 10" xfId="52010"/>
    <cellStyle name="Обычный 11 46 10" xfId="52011"/>
    <cellStyle name="Процентный 11 46 10" xfId="52012"/>
    <cellStyle name="Обычный 4 158 10" xfId="52013"/>
    <cellStyle name="Процентный 4 158 10" xfId="52014"/>
    <cellStyle name="Обычный 5 151 10" xfId="52015"/>
    <cellStyle name="Процентный 5 151 10" xfId="52016"/>
    <cellStyle name="Обычный 4 2 145 10" xfId="52017"/>
    <cellStyle name="Процентный 4 2 145 10" xfId="52018"/>
    <cellStyle name="Обычный 5 2 145 10" xfId="52019"/>
    <cellStyle name="Процентный 5 2 145 10" xfId="52020"/>
    <cellStyle name="Обычный 6 142 10" xfId="52021"/>
    <cellStyle name="Процентный 6 142 10" xfId="52022"/>
    <cellStyle name="Обычный 7 112 10" xfId="52023"/>
    <cellStyle name="Процентный 7 112 10" xfId="52024"/>
    <cellStyle name="Обычный 4 3 104 10" xfId="52025"/>
    <cellStyle name="Процентный 4 3 104 10" xfId="52026"/>
    <cellStyle name="Обычный 5 3 104 10" xfId="52027"/>
    <cellStyle name="Процентный 5 3 104 10" xfId="52028"/>
    <cellStyle name="Обычный 4 2 2 104 10" xfId="52029"/>
    <cellStyle name="Процентный 4 2 2 104 10" xfId="52030"/>
    <cellStyle name="Обычный 5 2 2 104 10" xfId="52031"/>
    <cellStyle name="Процентный 5 2 2 104 10" xfId="52032"/>
    <cellStyle name="Обычный 6 2 104 10" xfId="52033"/>
    <cellStyle name="Процентный 6 2 104 10" xfId="52034"/>
    <cellStyle name="Обычный 7 2 104 10" xfId="52035"/>
    <cellStyle name="Процентный 7 2 104 10" xfId="52036"/>
    <cellStyle name="Обычный 8 100 10" xfId="52037"/>
    <cellStyle name="Процентный 8 100 10" xfId="52038"/>
    <cellStyle name="Обычный 9 66 10" xfId="52039"/>
    <cellStyle name="Процентный 9 67 10" xfId="52040"/>
    <cellStyle name="Обычный 10 59 10" xfId="52041"/>
    <cellStyle name="Процентный 10 59 10" xfId="52042"/>
    <cellStyle name="Обычный 11 47 10" xfId="52043"/>
    <cellStyle name="Процентный 11 47 10" xfId="52044"/>
    <cellStyle name="Обычный 4 159 10" xfId="52045"/>
    <cellStyle name="Процентный 4 159 10" xfId="52046"/>
    <cellStyle name="Обычный 5 152 10" xfId="52047"/>
    <cellStyle name="Процентный 5 152 10" xfId="52048"/>
    <cellStyle name="Обычный 4 2 146 10" xfId="52049"/>
    <cellStyle name="Процентный 4 2 146 10" xfId="52050"/>
    <cellStyle name="Обычный 5 2 146 10" xfId="52051"/>
    <cellStyle name="Процентный 5 2 146 10" xfId="52052"/>
    <cellStyle name="Обычный 6 143 10" xfId="52053"/>
    <cellStyle name="Процентный 6 143 10" xfId="52054"/>
    <cellStyle name="Обычный 7 113 10" xfId="52055"/>
    <cellStyle name="Процентный 7 113 10" xfId="52056"/>
    <cellStyle name="Обычный 4 3 105 10" xfId="52057"/>
    <cellStyle name="Процентный 4 3 105 10" xfId="52058"/>
    <cellStyle name="Обычный 5 3 105 10" xfId="52059"/>
    <cellStyle name="Процентный 5 3 105 10" xfId="52060"/>
    <cellStyle name="Обычный 4 2 2 105 10" xfId="52061"/>
    <cellStyle name="Процентный 4 2 2 105 10" xfId="52062"/>
    <cellStyle name="Обычный 5 2 2 105 10" xfId="52063"/>
    <cellStyle name="Процентный 5 2 2 105 10" xfId="52064"/>
    <cellStyle name="Обычный 6 2 105 10" xfId="52065"/>
    <cellStyle name="Процентный 6 2 105 10" xfId="52066"/>
    <cellStyle name="Обычный 7 2 105 10" xfId="52067"/>
    <cellStyle name="Процентный 7 2 105 10" xfId="52068"/>
    <cellStyle name="Обычный 8 101 10" xfId="52069"/>
    <cellStyle name="Процентный 8 101 10" xfId="52070"/>
    <cellStyle name="Обычный 9 67 10" xfId="52071"/>
    <cellStyle name="Процентный 9 68 10" xfId="52072"/>
    <cellStyle name="Обычный 10 60 10" xfId="52073"/>
    <cellStyle name="Процентный 10 60 10" xfId="52074"/>
    <cellStyle name="Обычный 11 48 10" xfId="52075"/>
    <cellStyle name="Процентный 11 48 10" xfId="52076"/>
    <cellStyle name="Обычный 4 160 10" xfId="52077"/>
    <cellStyle name="Процентный 4 160 10" xfId="52078"/>
    <cellStyle name="Обычный 5 153 10" xfId="52079"/>
    <cellStyle name="Процентный 5 153 10" xfId="52080"/>
    <cellStyle name="Обычный 4 2 147 10" xfId="52081"/>
    <cellStyle name="Процентный 4 2 147 10" xfId="52082"/>
    <cellStyle name="Обычный 5 2 147 10" xfId="52083"/>
    <cellStyle name="Процентный 5 2 147 10" xfId="52084"/>
    <cellStyle name="Обычный 6 144 10" xfId="52085"/>
    <cellStyle name="Процентный 6 144 10" xfId="52086"/>
    <cellStyle name="Обычный 7 114 10" xfId="52087"/>
    <cellStyle name="Процентный 7 114 10" xfId="52088"/>
    <cellStyle name="Обычный 4 3 106 10" xfId="52089"/>
    <cellStyle name="Процентный 4 3 106 10" xfId="52090"/>
    <cellStyle name="Обычный 5 3 106 10" xfId="52091"/>
    <cellStyle name="Процентный 5 3 106 10" xfId="52092"/>
    <cellStyle name="Обычный 4 2 2 106 10" xfId="52093"/>
    <cellStyle name="Процентный 4 2 2 106 10" xfId="52094"/>
    <cellStyle name="Обычный 5 2 2 106 10" xfId="52095"/>
    <cellStyle name="Процентный 5 2 2 106 10" xfId="52096"/>
    <cellStyle name="Обычный 6 2 106 10" xfId="52097"/>
    <cellStyle name="Процентный 6 2 106 10" xfId="52098"/>
    <cellStyle name="Обычный 7 2 106 10" xfId="52099"/>
    <cellStyle name="Процентный 7 2 106 10" xfId="52100"/>
    <cellStyle name="Обычный 8 102 10" xfId="52101"/>
    <cellStyle name="Процентный 8 102 10" xfId="52102"/>
    <cellStyle name="Обычный 9 68 10" xfId="52103"/>
    <cellStyle name="Процентный 9 69 10" xfId="52104"/>
    <cellStyle name="Обычный 10 61 10" xfId="52105"/>
    <cellStyle name="Процентный 10 61 10" xfId="52106"/>
    <cellStyle name="Обычный 11 49 10" xfId="52107"/>
    <cellStyle name="Процентный 11 49 10" xfId="52108"/>
    <cellStyle name="Обычный 4 161 10" xfId="52109"/>
    <cellStyle name="Процентный 4 161 10" xfId="52110"/>
    <cellStyle name="Обычный 5 154 10" xfId="52111"/>
    <cellStyle name="Процентный 5 154 10" xfId="52112"/>
    <cellStyle name="Обычный 4 2 148 10" xfId="52113"/>
    <cellStyle name="Процентный 4 2 148 10" xfId="52114"/>
    <cellStyle name="Обычный 5 2 148 10" xfId="52115"/>
    <cellStyle name="Процентный 5 2 148 10" xfId="52116"/>
    <cellStyle name="Обычный 6 145 10" xfId="52117"/>
    <cellStyle name="Процентный 6 145 10" xfId="52118"/>
    <cellStyle name="Обычный 7 115 10" xfId="52119"/>
    <cellStyle name="Процентный 7 115 10" xfId="52120"/>
    <cellStyle name="Обычный 4 3 107 10" xfId="52121"/>
    <cellStyle name="Процентный 4 3 107 10" xfId="52122"/>
    <cellStyle name="Обычный 5 3 107 10" xfId="52123"/>
    <cellStyle name="Процентный 5 3 107 10" xfId="52124"/>
    <cellStyle name="Обычный 4 2 2 107 10" xfId="52125"/>
    <cellStyle name="Процентный 4 2 2 107 10" xfId="52126"/>
    <cellStyle name="Обычный 5 2 2 107 10" xfId="52127"/>
    <cellStyle name="Процентный 5 2 2 107 10" xfId="52128"/>
    <cellStyle name="Обычный 6 2 107 10" xfId="52129"/>
    <cellStyle name="Процентный 6 2 107 10" xfId="52130"/>
    <cellStyle name="Обычный 7 2 107 10" xfId="52131"/>
    <cellStyle name="Процентный 7 2 107 10" xfId="52132"/>
    <cellStyle name="Обычный 8 103 10" xfId="52133"/>
    <cellStyle name="Процентный 8 103 10" xfId="52134"/>
    <cellStyle name="Обычный 9 69 10" xfId="52135"/>
    <cellStyle name="Процентный 9 70 10" xfId="52136"/>
    <cellStyle name="Обычный 10 62 10" xfId="52137"/>
    <cellStyle name="Процентный 10 62 10" xfId="52138"/>
    <cellStyle name="Обычный 11 50 10" xfId="52139"/>
    <cellStyle name="Процентный 11 50 10" xfId="52140"/>
    <cellStyle name="Обычный 4 162 10" xfId="52141"/>
    <cellStyle name="Процентный 4 162 10" xfId="52142"/>
    <cellStyle name="Обычный 5 155 10" xfId="52143"/>
    <cellStyle name="Процентный 5 155 10" xfId="52144"/>
    <cellStyle name="Обычный 4 2 149 10" xfId="52145"/>
    <cellStyle name="Процентный 4 2 149 10" xfId="52146"/>
    <cellStyle name="Обычный 5 2 149 10" xfId="52147"/>
    <cellStyle name="Процентный 5 2 149 10" xfId="52148"/>
    <cellStyle name="Обычный 6 146 10" xfId="52149"/>
    <cellStyle name="Процентный 6 146 10" xfId="52150"/>
    <cellStyle name="Обычный 7 116 10" xfId="52151"/>
    <cellStyle name="Процентный 7 116 10" xfId="52152"/>
    <cellStyle name="Обычный 4 3 108 10" xfId="52153"/>
    <cellStyle name="Процентный 4 3 108 10" xfId="52154"/>
    <cellStyle name="Обычный 5 3 108 10" xfId="52155"/>
    <cellStyle name="Процентный 5 3 108 10" xfId="52156"/>
    <cellStyle name="Обычный 4 2 2 108 10" xfId="52157"/>
    <cellStyle name="Процентный 4 2 2 108 10" xfId="52158"/>
    <cellStyle name="Обычный 5 2 2 108 10" xfId="52159"/>
    <cellStyle name="Процентный 5 2 2 108 10" xfId="52160"/>
    <cellStyle name="Обычный 6 2 108 10" xfId="52161"/>
    <cellStyle name="Процентный 6 2 108 10" xfId="52162"/>
    <cellStyle name="Обычный 7 2 108 10" xfId="52163"/>
    <cellStyle name="Процентный 7 2 108 10" xfId="52164"/>
    <cellStyle name="Обычный 8 104 10" xfId="52165"/>
    <cellStyle name="Процентный 8 104 10" xfId="52166"/>
    <cellStyle name="Обычный 9 70 10" xfId="52167"/>
    <cellStyle name="Процентный 9 71 10" xfId="52168"/>
    <cellStyle name="Обычный 10 63 10" xfId="52169"/>
    <cellStyle name="Процентный 10 63 10" xfId="52170"/>
    <cellStyle name="Обычный 11 51 10" xfId="52171"/>
    <cellStyle name="Процентный 11 51 10" xfId="52172"/>
    <cellStyle name="Обычный 4 163 10" xfId="52173"/>
    <cellStyle name="Процентный 4 163 10" xfId="52174"/>
    <cellStyle name="Обычный 5 156 10" xfId="52175"/>
    <cellStyle name="Процентный 5 156 10" xfId="52176"/>
    <cellStyle name="Обычный 4 2 150 10" xfId="52177"/>
    <cellStyle name="Процентный 4 2 150 10" xfId="52178"/>
    <cellStyle name="Обычный 5 2 150 10" xfId="52179"/>
    <cellStyle name="Процентный 5 2 150 10" xfId="52180"/>
    <cellStyle name="Обычный 6 147 10" xfId="52181"/>
    <cellStyle name="Процентный 6 147 10" xfId="52182"/>
    <cellStyle name="Обычный 7 117 10" xfId="52183"/>
    <cellStyle name="Процентный 7 117 10" xfId="52184"/>
    <cellStyle name="Обычный 4 3 109 10" xfId="52185"/>
    <cellStyle name="Процентный 4 3 109 10" xfId="52186"/>
    <cellStyle name="Обычный 5 3 109 10" xfId="52187"/>
    <cellStyle name="Процентный 5 3 109 10" xfId="52188"/>
    <cellStyle name="Обычный 4 2 2 109 10" xfId="52189"/>
    <cellStyle name="Процентный 4 2 2 109 10" xfId="52190"/>
    <cellStyle name="Обычный 5 2 2 109 10" xfId="52191"/>
    <cellStyle name="Процентный 5 2 2 109 10" xfId="52192"/>
    <cellStyle name="Обычный 6 2 109 10" xfId="52193"/>
    <cellStyle name="Процентный 6 2 109 10" xfId="52194"/>
    <cellStyle name="Обычный 7 2 109 10" xfId="52195"/>
    <cellStyle name="Процентный 7 2 109 10" xfId="52196"/>
    <cellStyle name="Обычный 8 105 10" xfId="52197"/>
    <cellStyle name="Процентный 8 105 10" xfId="52198"/>
    <cellStyle name="Обычный 9 71 10" xfId="52199"/>
    <cellStyle name="Процентный 9 72 10" xfId="52200"/>
    <cellStyle name="Обычный 10 64 10" xfId="52201"/>
    <cellStyle name="Процентный 10 64 10" xfId="52202"/>
    <cellStyle name="Обычный 11 52 10" xfId="52203"/>
    <cellStyle name="Процентный 11 52 10" xfId="52204"/>
    <cellStyle name="Обычный 4 164 10" xfId="52205"/>
    <cellStyle name="Процентный 4 164 10" xfId="52206"/>
    <cellStyle name="Обычный 5 157 10" xfId="52207"/>
    <cellStyle name="Процентный 5 157 10" xfId="52208"/>
    <cellStyle name="Обычный 4 2 151 10" xfId="52209"/>
    <cellStyle name="Процентный 4 2 151 10" xfId="52210"/>
    <cellStyle name="Обычный 5 2 151 10" xfId="52211"/>
    <cellStyle name="Процентный 5 2 151 10" xfId="52212"/>
    <cellStyle name="Обычный 6 148 10" xfId="52213"/>
    <cellStyle name="Процентный 6 148 10" xfId="52214"/>
    <cellStyle name="Обычный 7 118 10" xfId="52215"/>
    <cellStyle name="Процентный 7 118 10" xfId="52216"/>
    <cellStyle name="Обычный 4 3 110 10" xfId="52217"/>
    <cellStyle name="Процентный 4 3 110 10" xfId="52218"/>
    <cellStyle name="Обычный 5 3 110 10" xfId="52219"/>
    <cellStyle name="Процентный 5 3 110 10" xfId="52220"/>
    <cellStyle name="Обычный 4 2 2 110 10" xfId="52221"/>
    <cellStyle name="Процентный 4 2 2 110 10" xfId="52222"/>
    <cellStyle name="Обычный 5 2 2 110 10" xfId="52223"/>
    <cellStyle name="Процентный 5 2 2 110 10" xfId="52224"/>
    <cellStyle name="Обычный 6 2 110 10" xfId="52225"/>
    <cellStyle name="Процентный 6 2 110 10" xfId="52226"/>
    <cellStyle name="Обычный 7 2 110 10" xfId="52227"/>
    <cellStyle name="Процентный 7 2 110 10" xfId="52228"/>
    <cellStyle name="Обычный 8 106 10" xfId="52229"/>
    <cellStyle name="Процентный 8 106 10" xfId="52230"/>
    <cellStyle name="Обычный 9 72 10" xfId="52231"/>
    <cellStyle name="Процентный 9 73 10" xfId="52232"/>
    <cellStyle name="Обычный 10 65 10" xfId="52233"/>
    <cellStyle name="Процентный 10 65 10" xfId="52234"/>
    <cellStyle name="Обычный 11 53 10" xfId="52235"/>
    <cellStyle name="Процентный 11 53 10" xfId="52236"/>
    <cellStyle name="Обычный 4 165 10" xfId="52237"/>
    <cellStyle name="Процентный 4 165 10" xfId="52238"/>
    <cellStyle name="Обычный 5 158 10" xfId="52239"/>
    <cellStyle name="Процентный 5 158 10" xfId="52240"/>
    <cellStyle name="Обычный 4 2 152 10" xfId="52241"/>
    <cellStyle name="Процентный 4 2 152 10" xfId="52242"/>
    <cellStyle name="Обычный 5 2 152 10" xfId="52243"/>
    <cellStyle name="Процентный 5 2 152 10" xfId="52244"/>
    <cellStyle name="Обычный 6 149 10" xfId="52245"/>
    <cellStyle name="Процентный 6 149 10" xfId="52246"/>
    <cellStyle name="Обычный 7 119 10" xfId="52247"/>
    <cellStyle name="Процентный 7 119 10" xfId="52248"/>
    <cellStyle name="Обычный 4 3 111 10" xfId="52249"/>
    <cellStyle name="Процентный 4 3 111 10" xfId="52250"/>
    <cellStyle name="Обычный 5 3 111 10" xfId="52251"/>
    <cellStyle name="Процентный 5 3 111 10" xfId="52252"/>
    <cellStyle name="Обычный 4 2 2 111 10" xfId="52253"/>
    <cellStyle name="Процентный 4 2 2 111 10" xfId="52254"/>
    <cellStyle name="Обычный 5 2 2 111 10" xfId="52255"/>
    <cellStyle name="Процентный 5 2 2 111 10" xfId="52256"/>
    <cellStyle name="Обычный 6 2 111 10" xfId="52257"/>
    <cellStyle name="Процентный 6 2 111 10" xfId="52258"/>
    <cellStyle name="Обычный 7 2 111 10" xfId="52259"/>
    <cellStyle name="Процентный 7 2 111 10" xfId="52260"/>
    <cellStyle name="Обычный 8 107 10" xfId="52261"/>
    <cellStyle name="Процентный 8 107 10" xfId="52262"/>
    <cellStyle name="Обычный 9 73 10" xfId="52263"/>
    <cellStyle name="Процентный 9 74 10" xfId="52264"/>
    <cellStyle name="Обычный 10 66 10" xfId="52265"/>
    <cellStyle name="Процентный 10 66 10" xfId="52266"/>
    <cellStyle name="Обычный 11 54 10" xfId="52267"/>
    <cellStyle name="Процентный 11 54 10" xfId="52268"/>
    <cellStyle name="Обычный 4 166 10" xfId="52269"/>
    <cellStyle name="Процентный 4 166 10" xfId="52270"/>
    <cellStyle name="Обычный 5 159 10" xfId="52271"/>
    <cellStyle name="Процентный 5 159 10" xfId="52272"/>
    <cellStyle name="Обычный 4 2 153 10" xfId="52273"/>
    <cellStyle name="Процентный 4 2 153 10" xfId="52274"/>
    <cellStyle name="Обычный 5 2 153 10" xfId="52275"/>
    <cellStyle name="Процентный 5 2 153 10" xfId="52276"/>
    <cellStyle name="Обычный 6 150 10" xfId="52277"/>
    <cellStyle name="Процентный 6 150 10" xfId="52278"/>
    <cellStyle name="Обычный 7 120 10" xfId="52279"/>
    <cellStyle name="Процентный 7 120 10" xfId="52280"/>
    <cellStyle name="Обычный 4 3 112 10" xfId="52281"/>
    <cellStyle name="Процентный 4 3 112 10" xfId="52282"/>
    <cellStyle name="Обычный 5 3 112 10" xfId="52283"/>
    <cellStyle name="Процентный 5 3 112 10" xfId="52284"/>
    <cellStyle name="Обычный 4 2 2 112 10" xfId="52285"/>
    <cellStyle name="Процентный 4 2 2 112 10" xfId="52286"/>
    <cellStyle name="Обычный 5 2 2 112 10" xfId="52287"/>
    <cellStyle name="Процентный 5 2 2 112 10" xfId="52288"/>
    <cellStyle name="Обычный 6 2 112 10" xfId="52289"/>
    <cellStyle name="Процентный 6 2 112 10" xfId="52290"/>
    <cellStyle name="Обычный 7 2 112 10" xfId="52291"/>
    <cellStyle name="Процентный 7 2 112 10" xfId="52292"/>
    <cellStyle name="Обычный 8 108 10" xfId="52293"/>
    <cellStyle name="Процентный 8 108 10" xfId="52294"/>
    <cellStyle name="Обычный 9 74 10" xfId="52295"/>
    <cellStyle name="Процентный 9 75 10" xfId="52296"/>
    <cellStyle name="Обычный 10 67 10" xfId="52297"/>
    <cellStyle name="Процентный 10 67 10" xfId="52298"/>
    <cellStyle name="Обычный 11 55 10" xfId="52299"/>
    <cellStyle name="Процентный 11 55 10" xfId="52300"/>
    <cellStyle name="Обычный 4 167 10" xfId="52301"/>
    <cellStyle name="Процентный 4 167 10" xfId="52302"/>
    <cellStyle name="Обычный 5 160 10" xfId="52303"/>
    <cellStyle name="Процентный 5 160 10" xfId="52304"/>
    <cellStyle name="Обычный 4 2 154 10" xfId="52305"/>
    <cellStyle name="Процентный 4 2 154 10" xfId="52306"/>
    <cellStyle name="Обычный 5 2 154 10" xfId="52307"/>
    <cellStyle name="Процентный 5 2 154 10" xfId="52308"/>
    <cellStyle name="Обычный 6 151 10" xfId="52309"/>
    <cellStyle name="Процентный 6 151 10" xfId="52310"/>
    <cellStyle name="Обычный 7 121 10" xfId="52311"/>
    <cellStyle name="Процентный 7 121 10" xfId="52312"/>
    <cellStyle name="Обычный 4 3 113 10" xfId="52313"/>
    <cellStyle name="Процентный 4 3 113 10" xfId="52314"/>
    <cellStyle name="Обычный 5 3 113 10" xfId="52315"/>
    <cellStyle name="Процентный 5 3 113 10" xfId="52316"/>
    <cellStyle name="Обычный 4 2 2 113 10" xfId="52317"/>
    <cellStyle name="Процентный 4 2 2 113 10" xfId="52318"/>
    <cellStyle name="Обычный 5 2 2 113 10" xfId="52319"/>
    <cellStyle name="Процентный 5 2 2 113 10" xfId="52320"/>
    <cellStyle name="Обычный 6 2 113 10" xfId="52321"/>
    <cellStyle name="Процентный 6 2 113 10" xfId="52322"/>
    <cellStyle name="Обычный 7 2 113 10" xfId="52323"/>
    <cellStyle name="Процентный 7 2 113 10" xfId="52324"/>
    <cellStyle name="Обычный 8 109 10" xfId="52325"/>
    <cellStyle name="Процентный 8 109 10" xfId="52326"/>
    <cellStyle name="Обычный 9 75 10" xfId="52327"/>
    <cellStyle name="Процентный 9 76 10" xfId="52328"/>
    <cellStyle name="Обычный 10 68 10" xfId="52329"/>
    <cellStyle name="Процентный 10 68 10" xfId="52330"/>
    <cellStyle name="Обычный 11 56 10" xfId="52331"/>
    <cellStyle name="Процентный 11 56 10" xfId="52332"/>
    <cellStyle name="Обычный 4 168 10" xfId="52333"/>
    <cellStyle name="Процентный 4 168 10" xfId="52334"/>
    <cellStyle name="Обычный 5 161 10" xfId="52335"/>
    <cellStyle name="Процентный 5 161 10" xfId="52336"/>
    <cellStyle name="Обычный 4 2 155 10" xfId="52337"/>
    <cellStyle name="Процентный 4 2 155 10" xfId="52338"/>
    <cellStyle name="Обычный 5 2 155 10" xfId="52339"/>
    <cellStyle name="Процентный 5 2 155 10" xfId="52340"/>
    <cellStyle name="Обычный 6 152 10" xfId="52341"/>
    <cellStyle name="Процентный 6 152 10" xfId="52342"/>
    <cellStyle name="Обычный 7 122 10" xfId="52343"/>
    <cellStyle name="Процентный 7 122 10" xfId="52344"/>
    <cellStyle name="Обычный 4 3 114 10" xfId="52345"/>
    <cellStyle name="Процентный 4 3 114 10" xfId="52346"/>
    <cellStyle name="Обычный 5 3 114 10" xfId="52347"/>
    <cellStyle name="Процентный 5 3 114 10" xfId="52348"/>
    <cellStyle name="Обычный 4 2 2 114 10" xfId="52349"/>
    <cellStyle name="Процентный 4 2 2 114 10" xfId="52350"/>
    <cellStyle name="Обычный 5 2 2 114 10" xfId="52351"/>
    <cellStyle name="Процентный 5 2 2 114 10" xfId="52352"/>
    <cellStyle name="Обычный 6 2 114 10" xfId="52353"/>
    <cellStyle name="Процентный 6 2 114 10" xfId="52354"/>
    <cellStyle name="Обычный 7 2 114 10" xfId="52355"/>
    <cellStyle name="Процентный 7 2 114 10" xfId="52356"/>
    <cellStyle name="Обычный 8 110 10" xfId="52357"/>
    <cellStyle name="Процентный 8 110 10" xfId="52358"/>
    <cellStyle name="Обычный 9 76 10" xfId="52359"/>
    <cellStyle name="Процентный 9 77 10" xfId="52360"/>
    <cellStyle name="Обычный 10 69 10" xfId="52361"/>
    <cellStyle name="Процентный 10 69 10" xfId="52362"/>
    <cellStyle name="Обычный 11 57 10" xfId="52363"/>
    <cellStyle name="Процентный 11 57 10" xfId="52364"/>
    <cellStyle name="Обычный 4 169 10" xfId="52365"/>
    <cellStyle name="Процентный 4 169 10" xfId="52366"/>
    <cellStyle name="Обычный 5 162 10" xfId="52367"/>
    <cellStyle name="Процентный 5 162 10" xfId="52368"/>
    <cellStyle name="Обычный 4 2 156 10" xfId="52369"/>
    <cellStyle name="Процентный 4 2 156 10" xfId="52370"/>
    <cellStyle name="Обычный 5 2 156 10" xfId="52371"/>
    <cellStyle name="Процентный 5 2 156 10" xfId="52372"/>
    <cellStyle name="Обычный 6 153 10" xfId="52373"/>
    <cellStyle name="Процентный 6 153 10" xfId="52374"/>
    <cellStyle name="Обычный 7 123 10" xfId="52375"/>
    <cellStyle name="Процентный 7 123 10" xfId="52376"/>
    <cellStyle name="Обычный 4 3 115 10" xfId="52377"/>
    <cellStyle name="Процентный 4 3 115 10" xfId="52378"/>
    <cellStyle name="Обычный 5 3 115 10" xfId="52379"/>
    <cellStyle name="Процентный 5 3 115 10" xfId="52380"/>
    <cellStyle name="Обычный 4 2 2 115 10" xfId="52381"/>
    <cellStyle name="Процентный 4 2 2 115 10" xfId="52382"/>
    <cellStyle name="Обычный 5 2 2 115 10" xfId="52383"/>
    <cellStyle name="Процентный 5 2 2 115 10" xfId="52384"/>
    <cellStyle name="Обычный 6 2 115 10" xfId="52385"/>
    <cellStyle name="Процентный 6 2 115 10" xfId="52386"/>
    <cellStyle name="Обычный 7 2 115 10" xfId="52387"/>
    <cellStyle name="Процентный 7 2 115 10" xfId="52388"/>
    <cellStyle name="Обычный 8 111 10" xfId="52389"/>
    <cellStyle name="Процентный 8 111 10" xfId="52390"/>
    <cellStyle name="Обычный 9 77 10" xfId="52391"/>
    <cellStyle name="Процентный 9 78 10" xfId="52392"/>
    <cellStyle name="Обычный 10 70 10" xfId="52393"/>
    <cellStyle name="Процентный 10 70 10" xfId="52394"/>
    <cellStyle name="Обычный 11 58 10" xfId="52395"/>
    <cellStyle name="Процентный 11 58 10" xfId="52396"/>
    <cellStyle name="Обычный 4 170 10" xfId="52397"/>
    <cellStyle name="Процентный 4 170 10" xfId="52398"/>
    <cellStyle name="Обычный 5 163 10" xfId="52399"/>
    <cellStyle name="Процентный 5 163 10" xfId="52400"/>
    <cellStyle name="Обычный 4 2 157 10" xfId="52401"/>
    <cellStyle name="Процентный 4 2 157 10" xfId="52402"/>
    <cellStyle name="Обычный 5 2 157 10" xfId="52403"/>
    <cellStyle name="Процентный 5 2 157 10" xfId="52404"/>
    <cellStyle name="Обычный 6 154 10" xfId="52405"/>
    <cellStyle name="Процентный 6 154 10" xfId="52406"/>
    <cellStyle name="Обычный 7 124 10" xfId="52407"/>
    <cellStyle name="Процентный 7 124 10" xfId="52408"/>
    <cellStyle name="Обычный 4 3 116 10" xfId="52409"/>
    <cellStyle name="Процентный 4 3 116 10" xfId="52410"/>
    <cellStyle name="Обычный 5 3 116 10" xfId="52411"/>
    <cellStyle name="Процентный 5 3 116 10" xfId="52412"/>
    <cellStyle name="Обычный 4 2 2 116 10" xfId="52413"/>
    <cellStyle name="Процентный 4 2 2 116 10" xfId="52414"/>
    <cellStyle name="Обычный 5 2 2 116 10" xfId="52415"/>
    <cellStyle name="Процентный 5 2 2 116 10" xfId="52416"/>
    <cellStyle name="Обычный 6 2 116 10" xfId="52417"/>
    <cellStyle name="Процентный 6 2 116 10" xfId="52418"/>
    <cellStyle name="Обычный 7 2 116 10" xfId="52419"/>
    <cellStyle name="Процентный 7 2 116 10" xfId="52420"/>
    <cellStyle name="Обычный 8 112 10" xfId="52421"/>
    <cellStyle name="Процентный 8 112 10" xfId="52422"/>
    <cellStyle name="Обычный 9 78 10" xfId="52423"/>
    <cellStyle name="Процентный 9 79 10" xfId="52424"/>
    <cellStyle name="Обычный 10 71 10" xfId="52425"/>
    <cellStyle name="Процентный 10 71 10" xfId="52426"/>
    <cellStyle name="Обычный 11 59 10" xfId="52427"/>
    <cellStyle name="Процентный 11 59 10" xfId="52428"/>
    <cellStyle name="Обычный 4 171 10" xfId="52429"/>
    <cellStyle name="Процентный 4 171 10" xfId="52430"/>
    <cellStyle name="Обычный 5 164 10" xfId="52431"/>
    <cellStyle name="Процентный 5 164 10" xfId="52432"/>
    <cellStyle name="Обычный 4 2 158 10" xfId="52433"/>
    <cellStyle name="Процентный 4 2 158 10" xfId="52434"/>
    <cellStyle name="Обычный 5 2 158 10" xfId="52435"/>
    <cellStyle name="Процентный 5 2 158 10" xfId="52436"/>
    <cellStyle name="Обычный 6 155 10" xfId="52437"/>
    <cellStyle name="Процентный 6 155 10" xfId="52438"/>
    <cellStyle name="Обычный 7 125 10" xfId="52439"/>
    <cellStyle name="Процентный 7 125 10" xfId="52440"/>
    <cellStyle name="Обычный 4 3 117 10" xfId="52441"/>
    <cellStyle name="Процентный 4 3 117 10" xfId="52442"/>
    <cellStyle name="Обычный 5 3 117 10" xfId="52443"/>
    <cellStyle name="Процентный 5 3 117 10" xfId="52444"/>
    <cellStyle name="Обычный 4 2 2 117 10" xfId="52445"/>
    <cellStyle name="Процентный 4 2 2 117 10" xfId="52446"/>
    <cellStyle name="Обычный 5 2 2 117 10" xfId="52447"/>
    <cellStyle name="Процентный 5 2 2 117 10" xfId="52448"/>
    <cellStyle name="Обычный 6 2 117 10" xfId="52449"/>
    <cellStyle name="Процентный 6 2 117 10" xfId="52450"/>
    <cellStyle name="Обычный 7 2 117 10" xfId="52451"/>
    <cellStyle name="Процентный 7 2 117 10" xfId="52452"/>
    <cellStyle name="Обычный 8 113 10" xfId="52453"/>
    <cellStyle name="Процентный 8 113 10" xfId="52454"/>
    <cellStyle name="Обычный 9 79 10" xfId="52455"/>
    <cellStyle name="Процентный 9 80 10" xfId="52456"/>
    <cellStyle name="Обычный 10 72 10" xfId="52457"/>
    <cellStyle name="Процентный 10 72 10" xfId="52458"/>
    <cellStyle name="Обычный 11 60 10" xfId="52459"/>
    <cellStyle name="Процентный 11 60 10" xfId="52460"/>
    <cellStyle name="Обычный 4 172 10" xfId="52461"/>
    <cellStyle name="Процентный 4 172 10" xfId="52462"/>
    <cellStyle name="Обычный 5 165 10" xfId="52463"/>
    <cellStyle name="Процентный 5 165 10" xfId="52464"/>
    <cellStyle name="Обычный 4 2 159 10" xfId="52465"/>
    <cellStyle name="Процентный 4 2 159 10" xfId="52466"/>
    <cellStyle name="Обычный 5 2 159 10" xfId="52467"/>
    <cellStyle name="Процентный 5 2 159 10" xfId="52468"/>
    <cellStyle name="Обычный 6 156 10" xfId="52469"/>
    <cellStyle name="Процентный 6 156 10" xfId="52470"/>
    <cellStyle name="Обычный 7 126 10" xfId="52471"/>
    <cellStyle name="Процентный 7 126 10" xfId="52472"/>
    <cellStyle name="Обычный 4 3 118 10" xfId="52473"/>
    <cellStyle name="Процентный 4 3 118 10" xfId="52474"/>
    <cellStyle name="Обычный 5 3 118 10" xfId="52475"/>
    <cellStyle name="Процентный 5 3 118 10" xfId="52476"/>
    <cellStyle name="Обычный 4 2 2 118 10" xfId="52477"/>
    <cellStyle name="Процентный 4 2 2 118 10" xfId="52478"/>
    <cellStyle name="Обычный 5 2 2 118 10" xfId="52479"/>
    <cellStyle name="Процентный 5 2 2 118 10" xfId="52480"/>
    <cellStyle name="Обычный 6 2 118 10" xfId="52481"/>
    <cellStyle name="Процентный 6 2 118 10" xfId="52482"/>
    <cellStyle name="Обычный 7 2 118 10" xfId="52483"/>
    <cellStyle name="Процентный 7 2 118 10" xfId="52484"/>
    <cellStyle name="Обычный 8 114 10" xfId="52485"/>
    <cellStyle name="Процентный 8 114 10" xfId="52486"/>
    <cellStyle name="Обычный 9 80 10" xfId="52487"/>
    <cellStyle name="Процентный 9 81 10" xfId="52488"/>
    <cellStyle name="Обычный 10 73 10" xfId="52489"/>
    <cellStyle name="Процентный 10 73 10" xfId="52490"/>
    <cellStyle name="Обычный 11 61 10" xfId="52491"/>
    <cellStyle name="Процентный 11 61 10" xfId="52492"/>
    <cellStyle name="Обычный 4 173 10" xfId="52493"/>
    <cellStyle name="Процентный 4 173 10" xfId="52494"/>
    <cellStyle name="Обычный 5 166 10" xfId="52495"/>
    <cellStyle name="Процентный 5 166 10" xfId="52496"/>
    <cellStyle name="Обычный 4 2 160 10" xfId="52497"/>
    <cellStyle name="Процентный 4 2 160 10" xfId="52498"/>
    <cellStyle name="Обычный 5 2 160 10" xfId="52499"/>
    <cellStyle name="Процентный 5 2 160 10" xfId="52500"/>
    <cellStyle name="Обычный 6 157 10" xfId="52501"/>
    <cellStyle name="Процентный 6 157 10" xfId="52502"/>
    <cellStyle name="Обычный 7 127 10" xfId="52503"/>
    <cellStyle name="Процентный 7 127 10" xfId="52504"/>
    <cellStyle name="Обычный 4 3 119 10" xfId="52505"/>
    <cellStyle name="Процентный 4 3 119 10" xfId="52506"/>
    <cellStyle name="Обычный 5 3 119 10" xfId="52507"/>
    <cellStyle name="Процентный 5 3 119 10" xfId="52508"/>
    <cellStyle name="Обычный 4 2 2 119 10" xfId="52509"/>
    <cellStyle name="Процентный 4 2 2 119 10" xfId="52510"/>
    <cellStyle name="Обычный 5 2 2 119 10" xfId="52511"/>
    <cellStyle name="Процентный 5 2 2 119 10" xfId="52512"/>
    <cellStyle name="Обычный 6 2 119 10" xfId="52513"/>
    <cellStyle name="Процентный 6 2 119 10" xfId="52514"/>
    <cellStyle name="Обычный 7 2 119 10" xfId="52515"/>
    <cellStyle name="Процентный 7 2 119 10" xfId="52516"/>
    <cellStyle name="Обычный 8 115 10" xfId="52517"/>
    <cellStyle name="Процентный 8 115 10" xfId="52518"/>
    <cellStyle name="Обычный 9 81 10" xfId="52519"/>
    <cellStyle name="Процентный 9 82 10" xfId="52520"/>
    <cellStyle name="Обычный 10 74 10" xfId="52521"/>
    <cellStyle name="Процентный 10 74 10" xfId="52522"/>
    <cellStyle name="Обычный 11 62 10" xfId="52523"/>
    <cellStyle name="Процентный 11 62 10" xfId="52524"/>
    <cellStyle name="Обычный 4 174 10" xfId="52525"/>
    <cellStyle name="Процентный 4 174 10" xfId="52526"/>
    <cellStyle name="Обычный 5 167 10" xfId="52527"/>
    <cellStyle name="Процентный 5 167 10" xfId="52528"/>
    <cellStyle name="Обычный 4 2 161 10" xfId="52529"/>
    <cellStyle name="Процентный 4 2 161 10" xfId="52530"/>
    <cellStyle name="Обычный 5 2 161 10" xfId="52531"/>
    <cellStyle name="Процентный 5 2 161 10" xfId="52532"/>
    <cellStyle name="Обычный 6 158 10" xfId="52533"/>
    <cellStyle name="Процентный 6 158 10" xfId="52534"/>
    <cellStyle name="Обычный 7 128 10" xfId="52535"/>
    <cellStyle name="Процентный 7 128 10" xfId="52536"/>
    <cellStyle name="Обычный 4 3 120 10" xfId="52537"/>
    <cellStyle name="Процентный 4 3 120 10" xfId="52538"/>
    <cellStyle name="Обычный 5 3 120 10" xfId="52539"/>
    <cellStyle name="Процентный 5 3 120 10" xfId="52540"/>
    <cellStyle name="Обычный 4 2 2 120 10" xfId="52541"/>
    <cellStyle name="Процентный 4 2 2 120 10" xfId="52542"/>
    <cellStyle name="Обычный 5 2 2 120 10" xfId="52543"/>
    <cellStyle name="Процентный 5 2 2 120 10" xfId="52544"/>
    <cellStyle name="Обычный 6 2 120 10" xfId="52545"/>
    <cellStyle name="Процентный 6 2 120 10" xfId="52546"/>
    <cellStyle name="Обычный 7 2 120 10" xfId="52547"/>
    <cellStyle name="Процентный 7 2 120 10" xfId="52548"/>
    <cellStyle name="Обычный 8 116 10" xfId="52549"/>
    <cellStyle name="Процентный 8 116 10" xfId="52550"/>
    <cellStyle name="Обычный 9 82 10" xfId="52551"/>
    <cellStyle name="Процентный 9 83 10" xfId="52552"/>
    <cellStyle name="Обычный 10 75 10" xfId="52553"/>
    <cellStyle name="Процентный 10 75 10" xfId="52554"/>
    <cellStyle name="Обычный 11 63 10" xfId="52555"/>
    <cellStyle name="Процентный 11 63 10" xfId="52556"/>
    <cellStyle name="Обычный 4 175 10" xfId="52557"/>
    <cellStyle name="Процентный 4 175 10" xfId="52558"/>
    <cellStyle name="Обычный 5 168 10" xfId="52559"/>
    <cellStyle name="Процентный 5 168 10" xfId="52560"/>
    <cellStyle name="Обычный 4 2 162 10" xfId="52561"/>
    <cellStyle name="Процентный 4 2 162 10" xfId="52562"/>
    <cellStyle name="Обычный 5 2 162 10" xfId="52563"/>
    <cellStyle name="Процентный 5 2 162 10" xfId="52564"/>
    <cellStyle name="Обычный 6 159 10" xfId="52565"/>
    <cellStyle name="Процентный 6 159 10" xfId="52566"/>
    <cellStyle name="Обычный 7 129 10" xfId="52567"/>
    <cellStyle name="Процентный 7 129 10" xfId="52568"/>
    <cellStyle name="Обычный 4 3 121 10" xfId="52569"/>
    <cellStyle name="Процентный 4 3 121 10" xfId="52570"/>
    <cellStyle name="Обычный 5 3 121 10" xfId="52571"/>
    <cellStyle name="Процентный 5 3 121 10" xfId="52572"/>
    <cellStyle name="Обычный 4 2 2 121 10" xfId="52573"/>
    <cellStyle name="Процентный 4 2 2 121 10" xfId="52574"/>
    <cellStyle name="Обычный 5 2 2 121 10" xfId="52575"/>
    <cellStyle name="Процентный 5 2 2 121 10" xfId="52576"/>
    <cellStyle name="Обычный 6 2 121 10" xfId="52577"/>
    <cellStyle name="Процентный 6 2 121 10" xfId="52578"/>
    <cellStyle name="Обычный 7 2 121 10" xfId="52579"/>
    <cellStyle name="Процентный 7 2 121 10" xfId="52580"/>
    <cellStyle name="Обычный 8 117 10" xfId="52581"/>
    <cellStyle name="Процентный 8 117 10" xfId="52582"/>
    <cellStyle name="Обычный 9 83 10" xfId="52583"/>
    <cellStyle name="Процентный 9 84 10" xfId="52584"/>
    <cellStyle name="Обычный 10 76 10" xfId="52585"/>
    <cellStyle name="Процентный 10 76 10" xfId="52586"/>
    <cellStyle name="Обычный 11 64 10" xfId="52587"/>
    <cellStyle name="Процентный 11 64 10" xfId="52588"/>
    <cellStyle name="Обычный 4 176 10" xfId="52589"/>
    <cellStyle name="Процентный 4 176 10" xfId="52590"/>
    <cellStyle name="Обычный 5 169 10" xfId="52591"/>
    <cellStyle name="Процентный 5 169 10" xfId="52592"/>
    <cellStyle name="Обычный 4 2 163 10" xfId="52593"/>
    <cellStyle name="Процентный 4 2 163 10" xfId="52594"/>
    <cellStyle name="Обычный 5 2 163 10" xfId="52595"/>
    <cellStyle name="Процентный 5 2 163 10" xfId="52596"/>
    <cellStyle name="Обычный 6 160 10" xfId="52597"/>
    <cellStyle name="Процентный 6 160 10" xfId="52598"/>
    <cellStyle name="Обычный 7 130 10" xfId="52599"/>
    <cellStyle name="Процентный 7 130 10" xfId="52600"/>
    <cellStyle name="Обычный 4 3 122 10" xfId="52601"/>
    <cellStyle name="Процентный 4 3 122 10" xfId="52602"/>
    <cellStyle name="Обычный 5 3 122 10" xfId="52603"/>
    <cellStyle name="Процентный 5 3 122 10" xfId="52604"/>
    <cellStyle name="Обычный 4 2 2 122 10" xfId="52605"/>
    <cellStyle name="Процентный 4 2 2 122 10" xfId="52606"/>
    <cellStyle name="Обычный 5 2 2 122 10" xfId="52607"/>
    <cellStyle name="Процентный 5 2 2 122 10" xfId="52608"/>
    <cellStyle name="Обычный 6 2 122 10" xfId="52609"/>
    <cellStyle name="Процентный 6 2 122 10" xfId="52610"/>
    <cellStyle name="Обычный 7 2 122 10" xfId="52611"/>
    <cellStyle name="Процентный 7 2 122 10" xfId="52612"/>
    <cellStyle name="Обычный 8 118 10" xfId="52613"/>
    <cellStyle name="Процентный 8 118 10" xfId="52614"/>
    <cellStyle name="Обычный 9 84 10" xfId="52615"/>
    <cellStyle name="Процентный 9 85 10" xfId="52616"/>
    <cellStyle name="Обычный 10 77 10" xfId="52617"/>
    <cellStyle name="Процентный 10 77 10" xfId="52618"/>
    <cellStyle name="Обычный 11 65 10" xfId="52619"/>
    <cellStyle name="Процентный 11 65 10" xfId="52620"/>
    <cellStyle name="Обычный 4 177 10" xfId="52621"/>
    <cellStyle name="Процентный 4 177 10" xfId="52622"/>
    <cellStyle name="Обычный 5 170 10" xfId="52623"/>
    <cellStyle name="Процентный 5 170 10" xfId="52624"/>
    <cellStyle name="Обычный 4 2 164 10" xfId="52625"/>
    <cellStyle name="Процентный 4 2 164 10" xfId="52626"/>
    <cellStyle name="Обычный 5 2 164 10" xfId="52627"/>
    <cellStyle name="Процентный 5 2 164 10" xfId="52628"/>
    <cellStyle name="Обычный 6 161 10" xfId="52629"/>
    <cellStyle name="Процентный 6 161 10" xfId="52630"/>
    <cellStyle name="Обычный 7 131 10" xfId="52631"/>
    <cellStyle name="Процентный 7 131 10" xfId="52632"/>
    <cellStyle name="Обычный 4 3 123 10" xfId="52633"/>
    <cellStyle name="Процентный 4 3 123 10" xfId="52634"/>
    <cellStyle name="Обычный 5 3 123 10" xfId="52635"/>
    <cellStyle name="Процентный 5 3 123 10" xfId="52636"/>
    <cellStyle name="Обычный 4 2 2 123 10" xfId="52637"/>
    <cellStyle name="Процентный 4 2 2 123 10" xfId="52638"/>
    <cellStyle name="Обычный 5 2 2 123 10" xfId="52639"/>
    <cellStyle name="Процентный 5 2 2 123 10" xfId="52640"/>
    <cellStyle name="Обычный 6 2 123 10" xfId="52641"/>
    <cellStyle name="Процентный 6 2 123 10" xfId="52642"/>
    <cellStyle name="Обычный 7 2 123 10" xfId="52643"/>
    <cellStyle name="Процентный 7 2 123 10" xfId="52644"/>
    <cellStyle name="Обычный 8 119 10" xfId="52645"/>
    <cellStyle name="Процентный 8 119 10" xfId="52646"/>
    <cellStyle name="Обычный 9 85 10" xfId="52647"/>
    <cellStyle name="Процентный 9 86 10" xfId="52648"/>
    <cellStyle name="Обычный 10 78 10" xfId="52649"/>
    <cellStyle name="Процентный 10 78 10" xfId="52650"/>
    <cellStyle name="Обычный 11 66 10" xfId="52651"/>
    <cellStyle name="Процентный 11 66 10" xfId="52652"/>
    <cellStyle name="Обычный 4 178 10" xfId="52653"/>
    <cellStyle name="Процентный 4 178 10" xfId="52654"/>
    <cellStyle name="Обычный 5 171 10" xfId="52655"/>
    <cellStyle name="Процентный 5 171 10" xfId="52656"/>
    <cellStyle name="Обычный 4 2 165 10" xfId="52657"/>
    <cellStyle name="Процентный 4 2 165 10" xfId="52658"/>
    <cellStyle name="Обычный 5 2 165 10" xfId="52659"/>
    <cellStyle name="Процентный 5 2 165 10" xfId="52660"/>
    <cellStyle name="Обычный 6 162 10" xfId="52661"/>
    <cellStyle name="Процентный 6 162 10" xfId="52662"/>
    <cellStyle name="Обычный 7 132 10" xfId="52663"/>
    <cellStyle name="Процентный 7 132 10" xfId="52664"/>
    <cellStyle name="Обычный 4 3 124 10" xfId="52665"/>
    <cellStyle name="Процентный 4 3 124 10" xfId="52666"/>
    <cellStyle name="Обычный 5 3 124 10" xfId="52667"/>
    <cellStyle name="Процентный 5 3 124 10" xfId="52668"/>
    <cellStyle name="Обычный 4 2 2 124 10" xfId="52669"/>
    <cellStyle name="Процентный 4 2 2 124 10" xfId="52670"/>
    <cellStyle name="Обычный 5 2 2 124 10" xfId="52671"/>
    <cellStyle name="Процентный 5 2 2 124 10" xfId="52672"/>
    <cellStyle name="Обычный 6 2 124 10" xfId="52673"/>
    <cellStyle name="Процентный 6 2 124 10" xfId="52674"/>
    <cellStyle name="Обычный 7 2 124 10" xfId="52675"/>
    <cellStyle name="Процентный 7 2 124 10" xfId="52676"/>
    <cellStyle name="Обычный 8 120 10" xfId="52677"/>
    <cellStyle name="Процентный 8 120 10" xfId="52678"/>
    <cellStyle name="Обычный 9 86 10" xfId="52679"/>
    <cellStyle name="Процентный 9 87 10" xfId="52680"/>
    <cellStyle name="Обычный 10 79 10" xfId="52681"/>
    <cellStyle name="Процентный 10 79 10" xfId="52682"/>
    <cellStyle name="Обычный 11 67 10" xfId="52683"/>
    <cellStyle name="Процентный 11 67 10" xfId="52684"/>
    <cellStyle name="Обычный 4 179 10" xfId="52685"/>
    <cellStyle name="Процентный 4 179 10" xfId="52686"/>
    <cellStyle name="Обычный 5 172 10" xfId="52687"/>
    <cellStyle name="Процентный 5 172 10" xfId="52688"/>
    <cellStyle name="Обычный 4 2 166 10" xfId="52689"/>
    <cellStyle name="Процентный 4 2 166 10" xfId="52690"/>
    <cellStyle name="Обычный 5 2 166 10" xfId="52691"/>
    <cellStyle name="Процентный 5 2 166 10" xfId="52692"/>
    <cellStyle name="Обычный 6 163 10" xfId="52693"/>
    <cellStyle name="Процентный 6 163 10" xfId="52694"/>
    <cellStyle name="Обычный 7 133 10" xfId="52695"/>
    <cellStyle name="Процентный 7 133 10" xfId="52696"/>
    <cellStyle name="Обычный 4 3 125 10" xfId="52697"/>
    <cellStyle name="Процентный 4 3 125 10" xfId="52698"/>
    <cellStyle name="Обычный 5 3 125 10" xfId="52699"/>
    <cellStyle name="Процентный 5 3 125 10" xfId="52700"/>
    <cellStyle name="Обычный 4 2 2 125 10" xfId="52701"/>
    <cellStyle name="Процентный 4 2 2 125 10" xfId="52702"/>
    <cellStyle name="Обычный 5 2 2 125 10" xfId="52703"/>
    <cellStyle name="Процентный 5 2 2 125 10" xfId="52704"/>
    <cellStyle name="Обычный 6 2 125 10" xfId="52705"/>
    <cellStyle name="Процентный 6 2 125 10" xfId="52706"/>
    <cellStyle name="Обычный 7 2 125 10" xfId="52707"/>
    <cellStyle name="Процентный 7 2 125 10" xfId="52708"/>
    <cellStyle name="Обычный 8 121 10" xfId="52709"/>
    <cellStyle name="Процентный 8 121 10" xfId="52710"/>
    <cellStyle name="Обычный 9 87 10" xfId="52711"/>
    <cellStyle name="Процентный 9 88 10" xfId="52712"/>
    <cellStyle name="Обычный 10 80 10" xfId="52713"/>
    <cellStyle name="Процентный 10 80 10" xfId="52714"/>
    <cellStyle name="Обычный 11 68 10" xfId="52715"/>
    <cellStyle name="Процентный 11 68 10" xfId="52716"/>
    <cellStyle name="Обычный 4 180 10" xfId="52717"/>
    <cellStyle name="Процентный 4 180 10" xfId="52718"/>
    <cellStyle name="Обычный 5 173 10" xfId="52719"/>
    <cellStyle name="Процентный 5 173 10" xfId="52720"/>
    <cellStyle name="Обычный 4 2 167 10" xfId="52721"/>
    <cellStyle name="Процентный 4 2 167 10" xfId="52722"/>
    <cellStyle name="Обычный 5 2 167 10" xfId="52723"/>
    <cellStyle name="Процентный 5 2 167 10" xfId="52724"/>
    <cellStyle name="Обычный 6 164 10" xfId="52725"/>
    <cellStyle name="Процентный 6 164 10" xfId="52726"/>
    <cellStyle name="Обычный 7 134 10" xfId="52727"/>
    <cellStyle name="Процентный 7 134 10" xfId="52728"/>
    <cellStyle name="Обычный 4 3 126 10" xfId="52729"/>
    <cellStyle name="Процентный 4 3 126 10" xfId="52730"/>
    <cellStyle name="Обычный 5 3 126 10" xfId="52731"/>
    <cellStyle name="Процентный 5 3 126 10" xfId="52732"/>
    <cellStyle name="Обычный 4 2 2 126 10" xfId="52733"/>
    <cellStyle name="Процентный 4 2 2 126 10" xfId="52734"/>
    <cellStyle name="Обычный 5 2 2 126 10" xfId="52735"/>
    <cellStyle name="Процентный 5 2 2 126 10" xfId="52736"/>
    <cellStyle name="Обычный 6 2 126 10" xfId="52737"/>
    <cellStyle name="Процентный 6 2 126 10" xfId="52738"/>
    <cellStyle name="Обычный 7 2 126 10" xfId="52739"/>
    <cellStyle name="Процентный 7 2 126 10" xfId="52740"/>
    <cellStyle name="Обычный 8 122 10" xfId="52741"/>
    <cellStyle name="Процентный 8 122 10" xfId="52742"/>
    <cellStyle name="Обычный 9 88 10" xfId="52743"/>
    <cellStyle name="Процентный 9 89 10" xfId="52744"/>
    <cellStyle name="Обычный 10 81 10" xfId="52745"/>
    <cellStyle name="Процентный 10 81 10" xfId="52746"/>
    <cellStyle name="Обычный 11 69 10" xfId="52747"/>
    <cellStyle name="Процентный 11 69 10" xfId="52748"/>
    <cellStyle name="Обычный 4 181 10" xfId="52749"/>
    <cellStyle name="Процентный 4 181 10" xfId="52750"/>
    <cellStyle name="Обычный 5 174 10" xfId="52751"/>
    <cellStyle name="Процентный 5 174 10" xfId="52752"/>
    <cellStyle name="Обычный 4 2 168 10" xfId="52753"/>
    <cellStyle name="Процентный 4 2 168 10" xfId="52754"/>
    <cellStyle name="Обычный 5 2 168 10" xfId="52755"/>
    <cellStyle name="Процентный 5 2 168 10" xfId="52756"/>
    <cellStyle name="Обычный 6 165 10" xfId="52757"/>
    <cellStyle name="Процентный 6 165 10" xfId="52758"/>
    <cellStyle name="Обычный 7 135 10" xfId="52759"/>
    <cellStyle name="Процентный 7 135 10" xfId="52760"/>
    <cellStyle name="Обычный 4 3 127 10" xfId="52761"/>
    <cellStyle name="Процентный 4 3 127 10" xfId="52762"/>
    <cellStyle name="Обычный 5 3 127 10" xfId="52763"/>
    <cellStyle name="Процентный 5 3 127 10" xfId="52764"/>
    <cellStyle name="Обычный 4 2 2 127 10" xfId="52765"/>
    <cellStyle name="Процентный 4 2 2 127 10" xfId="52766"/>
    <cellStyle name="Обычный 5 2 2 127 10" xfId="52767"/>
    <cellStyle name="Процентный 5 2 2 127 10" xfId="52768"/>
    <cellStyle name="Обычный 6 2 127 10" xfId="52769"/>
    <cellStyle name="Процентный 6 2 127 10" xfId="52770"/>
    <cellStyle name="Обычный 7 2 127 10" xfId="52771"/>
    <cellStyle name="Процентный 7 2 127 10" xfId="52772"/>
    <cellStyle name="Обычный 8 123 10" xfId="52773"/>
    <cellStyle name="Процентный 8 123 10" xfId="52774"/>
    <cellStyle name="Обычный 9 89 10" xfId="52775"/>
    <cellStyle name="Процентный 9 90 10" xfId="52776"/>
    <cellStyle name="Обычный 10 82 10" xfId="52777"/>
    <cellStyle name="Процентный 10 82 10" xfId="52778"/>
    <cellStyle name="Обычный 11 70 10" xfId="52779"/>
    <cellStyle name="Процентный 11 70 10" xfId="52780"/>
    <cellStyle name="Обычный 14 10" xfId="52781"/>
    <cellStyle name="Процентный 14 10" xfId="52782"/>
    <cellStyle name="Обычный 4 182 10" xfId="52783"/>
    <cellStyle name="Процентный 4 182 10" xfId="52784"/>
    <cellStyle name="Обычный 5 175 10" xfId="52785"/>
    <cellStyle name="Процентный 5 175 10" xfId="52786"/>
    <cellStyle name="Обычный 4 2 169 10" xfId="52787"/>
    <cellStyle name="Процентный 4 2 169 10" xfId="52788"/>
    <cellStyle name="Обычный 5 2 169 10" xfId="52789"/>
    <cellStyle name="Процентный 5 2 169 10" xfId="52790"/>
    <cellStyle name="Обычный 6 166 10" xfId="52791"/>
    <cellStyle name="Процентный 6 166 10" xfId="52792"/>
    <cellStyle name="Обычный 7 136 10" xfId="52793"/>
    <cellStyle name="Процентный 7 136 10" xfId="52794"/>
    <cellStyle name="Обычный 4 3 128 10" xfId="52795"/>
    <cellStyle name="Процентный 4 3 128 10" xfId="52796"/>
    <cellStyle name="Обычный 5 3 128 10" xfId="52797"/>
    <cellStyle name="Процентный 5 3 128 10" xfId="52798"/>
    <cellStyle name="Обычный 4 2 2 128 10" xfId="52799"/>
    <cellStyle name="Процентный 4 2 2 128 10" xfId="52800"/>
    <cellStyle name="Обычный 5 2 2 128 10" xfId="52801"/>
    <cellStyle name="Процентный 5 2 2 128 10" xfId="52802"/>
    <cellStyle name="Обычный 6 2 128 10" xfId="52803"/>
    <cellStyle name="Процентный 6 2 128 10" xfId="52804"/>
    <cellStyle name="Обычный 7 2 128 10" xfId="52805"/>
    <cellStyle name="Процентный 7 2 128 10" xfId="52806"/>
    <cellStyle name="Обычный 8 124 10" xfId="52807"/>
    <cellStyle name="Процентный 8 124 10" xfId="52808"/>
    <cellStyle name="Обычный 9 90 10" xfId="52809"/>
    <cellStyle name="Процентный 9 91 10" xfId="52810"/>
    <cellStyle name="Обычный 10 83 10" xfId="52811"/>
    <cellStyle name="Процентный 10 83 10" xfId="52812"/>
    <cellStyle name="Обычный 11 71 10" xfId="52813"/>
    <cellStyle name="Процентный 11 71 10" xfId="52814"/>
    <cellStyle name="Обычный 4 183 10" xfId="52815"/>
    <cellStyle name="Процентный 4 183 10" xfId="52816"/>
    <cellStyle name="Обычный 5 176 10" xfId="52817"/>
    <cellStyle name="Процентный 5 176 10" xfId="52818"/>
    <cellStyle name="Обычный 4 2 170 10" xfId="52819"/>
    <cellStyle name="Процентный 4 2 170 10" xfId="52820"/>
    <cellStyle name="Обычный 5 2 170 10" xfId="52821"/>
    <cellStyle name="Процентный 5 2 170 10" xfId="52822"/>
    <cellStyle name="Обычный 6 167 10" xfId="52823"/>
    <cellStyle name="Процентный 6 167 10" xfId="52824"/>
    <cellStyle name="Обычный 7 137 10" xfId="52825"/>
    <cellStyle name="Процентный 7 137 10" xfId="52826"/>
    <cellStyle name="Обычный 4 3 129 10" xfId="52827"/>
    <cellStyle name="Процентный 4 3 129 10" xfId="52828"/>
    <cellStyle name="Обычный 5 3 129 10" xfId="52829"/>
    <cellStyle name="Процентный 5 3 129 10" xfId="52830"/>
    <cellStyle name="Обычный 4 2 2 129 10" xfId="52831"/>
    <cellStyle name="Процентный 4 2 2 129 10" xfId="52832"/>
    <cellStyle name="Обычный 5 2 2 129 10" xfId="52833"/>
    <cellStyle name="Процентный 5 2 2 129 10" xfId="52834"/>
    <cellStyle name="Обычный 6 2 129 10" xfId="52835"/>
    <cellStyle name="Процентный 6 2 129 10" xfId="52836"/>
    <cellStyle name="Обычный 7 2 129 10" xfId="52837"/>
    <cellStyle name="Процентный 7 2 129 10" xfId="52838"/>
    <cellStyle name="Обычный 8 125 10" xfId="52839"/>
    <cellStyle name="Процентный 8 125 10" xfId="52840"/>
    <cellStyle name="Обычный 9 91 10" xfId="52841"/>
    <cellStyle name="Процентный 9 92 10" xfId="52842"/>
    <cellStyle name="Обычный 10 84 10" xfId="52843"/>
    <cellStyle name="Процентный 10 84 10" xfId="52844"/>
    <cellStyle name="Обычный 11 72 10" xfId="52845"/>
    <cellStyle name="Процентный 11 72 10" xfId="52846"/>
    <cellStyle name="Обычный 4 184 10" xfId="52847"/>
    <cellStyle name="Процентный 4 184 10" xfId="52848"/>
    <cellStyle name="Обычный 5 177 10" xfId="52849"/>
    <cellStyle name="Процентный 5 177 10" xfId="52850"/>
    <cellStyle name="Обычный 4 2 171 10" xfId="52851"/>
    <cellStyle name="Процентный 4 2 171 10" xfId="52852"/>
    <cellStyle name="Обычный 5 2 171 10" xfId="52853"/>
    <cellStyle name="Процентный 5 2 171 10" xfId="52854"/>
    <cellStyle name="Обычный 6 168 10" xfId="52855"/>
    <cellStyle name="Процентный 6 168 10" xfId="52856"/>
    <cellStyle name="Обычный 7 138 10" xfId="52857"/>
    <cellStyle name="Процентный 7 138 10" xfId="52858"/>
    <cellStyle name="Обычный 4 3 130 10" xfId="52859"/>
    <cellStyle name="Процентный 4 3 130 10" xfId="52860"/>
    <cellStyle name="Обычный 5 3 130 10" xfId="52861"/>
    <cellStyle name="Процентный 5 3 130 10" xfId="52862"/>
    <cellStyle name="Обычный 4 2 2 130 10" xfId="52863"/>
    <cellStyle name="Процентный 4 2 2 130 10" xfId="52864"/>
    <cellStyle name="Обычный 5 2 2 130 10" xfId="52865"/>
    <cellStyle name="Процентный 5 2 2 130 10" xfId="52866"/>
    <cellStyle name="Обычный 6 2 130 10" xfId="52867"/>
    <cellStyle name="Процентный 6 2 130 10" xfId="52868"/>
    <cellStyle name="Обычный 7 2 130 10" xfId="52869"/>
    <cellStyle name="Процентный 7 2 130 10" xfId="52870"/>
    <cellStyle name="Обычный 8 126 10" xfId="52871"/>
    <cellStyle name="Процентный 8 126 10" xfId="52872"/>
    <cellStyle name="Обычный 9 92 10" xfId="52873"/>
    <cellStyle name="Процентный 9 93 10" xfId="52874"/>
    <cellStyle name="Обычный 10 85 10" xfId="52875"/>
    <cellStyle name="Процентный 10 85 10" xfId="52876"/>
    <cellStyle name="Обычный 11 73 10" xfId="52877"/>
    <cellStyle name="Процентный 11 73 10" xfId="52878"/>
    <cellStyle name="Обычный 4 185 10" xfId="52879"/>
    <cellStyle name="Процентный 4 185 10" xfId="52880"/>
    <cellStyle name="Обычный 5 178 10" xfId="52881"/>
    <cellStyle name="Процентный 5 178 10" xfId="52882"/>
    <cellStyle name="Обычный 4 2 172 10" xfId="52883"/>
    <cellStyle name="Процентный 4 2 172 10" xfId="52884"/>
    <cellStyle name="Обычный 5 2 172 10" xfId="52885"/>
    <cellStyle name="Процентный 5 2 172 10" xfId="52886"/>
    <cellStyle name="Обычный 6 169 10" xfId="52887"/>
    <cellStyle name="Процентный 6 169 10" xfId="52888"/>
    <cellStyle name="Обычный 7 139 10" xfId="52889"/>
    <cellStyle name="Процентный 7 139 10" xfId="52890"/>
    <cellStyle name="Обычный 4 3 131 10" xfId="52891"/>
    <cellStyle name="Процентный 4 3 131 10" xfId="52892"/>
    <cellStyle name="Обычный 5 3 131 10" xfId="52893"/>
    <cellStyle name="Процентный 5 3 131 10" xfId="52894"/>
    <cellStyle name="Обычный 4 2 2 131 10" xfId="52895"/>
    <cellStyle name="Процентный 4 2 2 131 10" xfId="52896"/>
    <cellStyle name="Обычный 5 2 2 131 10" xfId="52897"/>
    <cellStyle name="Процентный 5 2 2 131 10" xfId="52898"/>
    <cellStyle name="Обычный 6 2 131 10" xfId="52899"/>
    <cellStyle name="Процентный 6 2 131 10" xfId="52900"/>
    <cellStyle name="Обычный 7 2 131 10" xfId="52901"/>
    <cellStyle name="Процентный 7 2 131 10" xfId="52902"/>
    <cellStyle name="Обычный 8 127 10" xfId="52903"/>
    <cellStyle name="Процентный 8 127 10" xfId="52904"/>
    <cellStyle name="Обычный 9 93 10" xfId="52905"/>
    <cellStyle name="Процентный 9 94 10" xfId="52906"/>
    <cellStyle name="Обычный 10 86 10" xfId="52907"/>
    <cellStyle name="Процентный 10 86 10" xfId="52908"/>
    <cellStyle name="Обычный 11 74 10" xfId="52909"/>
    <cellStyle name="Процентный 11 74 10" xfId="52910"/>
    <cellStyle name="Обычный 4 186 10" xfId="52911"/>
    <cellStyle name="Процентный 4 186 10" xfId="52912"/>
    <cellStyle name="Обычный 5 179 10" xfId="52913"/>
    <cellStyle name="Процентный 5 179 10" xfId="52914"/>
    <cellStyle name="Обычный 4 2 173 10" xfId="52915"/>
    <cellStyle name="Процентный 4 2 173 10" xfId="52916"/>
    <cellStyle name="Обычный 5 2 173 10" xfId="52917"/>
    <cellStyle name="Процентный 5 2 173 10" xfId="52918"/>
    <cellStyle name="Обычный 6 170 10" xfId="52919"/>
    <cellStyle name="Процентный 6 170 10" xfId="52920"/>
    <cellStyle name="Обычный 7 140 10" xfId="52921"/>
    <cellStyle name="Процентный 7 140 10" xfId="52922"/>
    <cellStyle name="Обычный 4 3 132 10" xfId="52923"/>
    <cellStyle name="Процентный 4 3 132 10" xfId="52924"/>
    <cellStyle name="Обычный 5 3 132 10" xfId="52925"/>
    <cellStyle name="Процентный 5 3 132 10" xfId="52926"/>
    <cellStyle name="Обычный 4 2 2 132 10" xfId="52927"/>
    <cellStyle name="Процентный 4 2 2 132 10" xfId="52928"/>
    <cellStyle name="Обычный 5 2 2 132 10" xfId="52929"/>
    <cellStyle name="Процентный 5 2 2 132 10" xfId="52930"/>
    <cellStyle name="Обычный 6 2 132 10" xfId="52931"/>
    <cellStyle name="Процентный 6 2 132 10" xfId="52932"/>
    <cellStyle name="Обычный 7 2 132 10" xfId="52933"/>
    <cellStyle name="Процентный 7 2 132 10" xfId="52934"/>
    <cellStyle name="Обычный 8 128 10" xfId="52935"/>
    <cellStyle name="Процентный 8 128 10" xfId="52936"/>
    <cellStyle name="Обычный 9 94 10" xfId="52937"/>
    <cellStyle name="Процентный 9 95 10" xfId="52938"/>
    <cellStyle name="Обычный 10 87 10" xfId="52939"/>
    <cellStyle name="Процентный 10 87 10" xfId="52940"/>
    <cellStyle name="Обычный 11 75 10" xfId="52941"/>
    <cellStyle name="Процентный 11 75 10" xfId="52942"/>
    <cellStyle name="Обычный 4 187 10" xfId="52943"/>
    <cellStyle name="Процентный 4 187 10" xfId="52944"/>
    <cellStyle name="Обычный 5 180 10" xfId="52945"/>
    <cellStyle name="Процентный 5 180 10" xfId="52946"/>
    <cellStyle name="Обычный 4 2 174 10" xfId="52947"/>
    <cellStyle name="Процентный 4 2 174 10" xfId="52948"/>
    <cellStyle name="Обычный 5 2 174 10" xfId="52949"/>
    <cellStyle name="Процентный 5 2 174 10" xfId="52950"/>
    <cellStyle name="Обычный 6 171 10" xfId="52951"/>
    <cellStyle name="Процентный 6 171 10" xfId="52952"/>
    <cellStyle name="Обычный 7 141 10" xfId="52953"/>
    <cellStyle name="Процентный 7 141 10" xfId="52954"/>
    <cellStyle name="Обычный 4 3 133 10" xfId="52955"/>
    <cellStyle name="Процентный 4 3 133 10" xfId="52956"/>
    <cellStyle name="Обычный 5 3 133 10" xfId="52957"/>
    <cellStyle name="Процентный 5 3 133 10" xfId="52958"/>
    <cellStyle name="Обычный 4 2 2 133 10" xfId="52959"/>
    <cellStyle name="Процентный 4 2 2 133 10" xfId="52960"/>
    <cellStyle name="Обычный 5 2 2 133 10" xfId="52961"/>
    <cellStyle name="Процентный 5 2 2 133 10" xfId="52962"/>
    <cellStyle name="Обычный 6 2 133 10" xfId="52963"/>
    <cellStyle name="Процентный 6 2 133 10" xfId="52964"/>
    <cellStyle name="Обычный 7 2 133 10" xfId="52965"/>
    <cellStyle name="Процентный 7 2 133 10" xfId="52966"/>
    <cellStyle name="Обычный 8 129 10" xfId="52967"/>
    <cellStyle name="Процентный 8 129 10" xfId="52968"/>
    <cellStyle name="Обычный 9 95 10" xfId="52969"/>
    <cellStyle name="Процентный 9 96 10" xfId="52970"/>
    <cellStyle name="Обычный 10 88 10" xfId="52971"/>
    <cellStyle name="Процентный 10 88 10" xfId="52972"/>
    <cellStyle name="Обычный 11 76 10" xfId="52973"/>
    <cellStyle name="Процентный 11 76 10" xfId="52974"/>
    <cellStyle name="Обычный 4 188 10" xfId="52975"/>
    <cellStyle name="Процентный 4 188 10" xfId="52976"/>
    <cellStyle name="Обычный 5 181 10" xfId="52977"/>
    <cellStyle name="Процентный 5 181 10" xfId="52978"/>
    <cellStyle name="Обычный 4 2 175 10" xfId="52979"/>
    <cellStyle name="Процентный 4 2 175 10" xfId="52980"/>
    <cellStyle name="Обычный 5 2 175 10" xfId="52981"/>
    <cellStyle name="Процентный 5 2 175 10" xfId="52982"/>
    <cellStyle name="Обычный 6 172 10" xfId="52983"/>
    <cellStyle name="Процентный 6 172 10" xfId="52984"/>
    <cellStyle name="Обычный 7 142 10" xfId="52985"/>
    <cellStyle name="Процентный 7 142 10" xfId="52986"/>
    <cellStyle name="Обычный 4 3 134 10" xfId="52987"/>
    <cellStyle name="Процентный 4 3 134 10" xfId="52988"/>
    <cellStyle name="Обычный 5 3 134 10" xfId="52989"/>
    <cellStyle name="Процентный 5 3 134 10" xfId="52990"/>
    <cellStyle name="Обычный 4 2 2 134 10" xfId="52991"/>
    <cellStyle name="Процентный 4 2 2 134 10" xfId="52992"/>
    <cellStyle name="Обычный 5 2 2 134 10" xfId="52993"/>
    <cellStyle name="Процентный 5 2 2 134 10" xfId="52994"/>
    <cellStyle name="Обычный 6 2 134 10" xfId="52995"/>
    <cellStyle name="Процентный 6 2 134 10" xfId="52996"/>
    <cellStyle name="Обычный 7 2 134 10" xfId="52997"/>
    <cellStyle name="Процентный 7 2 134 10" xfId="52998"/>
    <cellStyle name="Обычный 8 130 10" xfId="52999"/>
    <cellStyle name="Процентный 8 130 10" xfId="53000"/>
    <cellStyle name="Обычный 9 96 10" xfId="53001"/>
    <cellStyle name="Процентный 9 97 10" xfId="53002"/>
    <cellStyle name="Обычный 10 89 10" xfId="53003"/>
    <cellStyle name="Процентный 10 89 10" xfId="53004"/>
    <cellStyle name="Обычный 11 77 10" xfId="53005"/>
    <cellStyle name="Процентный 11 77 10" xfId="53006"/>
    <cellStyle name="Обычный 4 189 10" xfId="53007"/>
    <cellStyle name="Процентный 4 189 10" xfId="53008"/>
    <cellStyle name="Обычный 5 182 10" xfId="53009"/>
    <cellStyle name="Процентный 5 182 10" xfId="53010"/>
    <cellStyle name="Обычный 4 2 176 10" xfId="53011"/>
    <cellStyle name="Процентный 4 2 176 10" xfId="53012"/>
    <cellStyle name="Обычный 5 2 176 10" xfId="53013"/>
    <cellStyle name="Процентный 5 2 176 10" xfId="53014"/>
    <cellStyle name="Обычный 6 173 10" xfId="53015"/>
    <cellStyle name="Процентный 6 173 10" xfId="53016"/>
    <cellStyle name="Обычный 7 143 10" xfId="53017"/>
    <cellStyle name="Процентный 7 143 10" xfId="53018"/>
    <cellStyle name="Обычный 4 3 135 10" xfId="53019"/>
    <cellStyle name="Процентный 4 3 135 10" xfId="53020"/>
    <cellStyle name="Обычный 5 3 135 10" xfId="53021"/>
    <cellStyle name="Процентный 5 3 135 10" xfId="53022"/>
    <cellStyle name="Обычный 4 2 2 135 10" xfId="53023"/>
    <cellStyle name="Процентный 4 2 2 135 10" xfId="53024"/>
    <cellStyle name="Обычный 5 2 2 135 10" xfId="53025"/>
    <cellStyle name="Процентный 5 2 2 135 10" xfId="53026"/>
    <cellStyle name="Обычный 6 2 135 10" xfId="53027"/>
    <cellStyle name="Процентный 6 2 135 10" xfId="53028"/>
    <cellStyle name="Обычный 7 2 135 10" xfId="53029"/>
    <cellStyle name="Процентный 7 2 135 10" xfId="53030"/>
    <cellStyle name="Обычный 8 131 10" xfId="53031"/>
    <cellStyle name="Процентный 8 131 10" xfId="53032"/>
    <cellStyle name="Обычный 9 97 10" xfId="53033"/>
    <cellStyle name="Процентный 9 98 10" xfId="53034"/>
    <cellStyle name="Обычный 10 90 10" xfId="53035"/>
    <cellStyle name="Процентный 10 90 10" xfId="53036"/>
    <cellStyle name="Обычный 11 78 10" xfId="53037"/>
    <cellStyle name="Процентный 11 78 10" xfId="53038"/>
    <cellStyle name="Обычный 4 190 10" xfId="53039"/>
    <cellStyle name="Процентный 4 190 10" xfId="53040"/>
    <cellStyle name="Обычный 5 183 10" xfId="53041"/>
    <cellStyle name="Процентный 5 183 10" xfId="53042"/>
    <cellStyle name="Обычный 4 2 177 10" xfId="53043"/>
    <cellStyle name="Процентный 4 2 177 10" xfId="53044"/>
    <cellStyle name="Обычный 5 2 177 10" xfId="53045"/>
    <cellStyle name="Процентный 5 2 177 10" xfId="53046"/>
    <cellStyle name="Обычный 6 174 10" xfId="53047"/>
    <cellStyle name="Процентный 6 174 10" xfId="53048"/>
    <cellStyle name="Обычный 7 144 10" xfId="53049"/>
    <cellStyle name="Процентный 7 144 10" xfId="53050"/>
    <cellStyle name="Обычный 4 3 136 10" xfId="53051"/>
    <cellStyle name="Процентный 4 3 136 10" xfId="53052"/>
    <cellStyle name="Обычный 5 3 136 10" xfId="53053"/>
    <cellStyle name="Процентный 5 3 136 10" xfId="53054"/>
    <cellStyle name="Обычный 4 2 2 136 10" xfId="53055"/>
    <cellStyle name="Процентный 4 2 2 136 10" xfId="53056"/>
    <cellStyle name="Обычный 5 2 2 136 10" xfId="53057"/>
    <cellStyle name="Процентный 5 2 2 136 10" xfId="53058"/>
    <cellStyle name="Обычный 6 2 136 10" xfId="53059"/>
    <cellStyle name="Процентный 6 2 136 10" xfId="53060"/>
    <cellStyle name="Обычный 7 2 136 10" xfId="53061"/>
    <cellStyle name="Процентный 7 2 136 10" xfId="53062"/>
    <cellStyle name="Обычный 8 132 10" xfId="53063"/>
    <cellStyle name="Процентный 8 132 10" xfId="53064"/>
    <cellStyle name="Обычный 9 98 10" xfId="53065"/>
    <cellStyle name="Процентный 9 99 10" xfId="53066"/>
    <cellStyle name="Обычный 10 91 10" xfId="53067"/>
    <cellStyle name="Процентный 10 91 10" xfId="53068"/>
    <cellStyle name="Обычный 11 79 10" xfId="53069"/>
    <cellStyle name="Процентный 11 79 10" xfId="53070"/>
    <cellStyle name="Обычный 4 191 10" xfId="53071"/>
    <cellStyle name="Процентный 4 191 10" xfId="53072"/>
    <cellStyle name="Обычный 5 184 10" xfId="53073"/>
    <cellStyle name="Процентный 5 184 10" xfId="53074"/>
    <cellStyle name="Обычный 4 2 178 10" xfId="53075"/>
    <cellStyle name="Процентный 4 2 178 10" xfId="53076"/>
    <cellStyle name="Обычный 5 2 178 10" xfId="53077"/>
    <cellStyle name="Процентный 5 2 178 10" xfId="53078"/>
    <cellStyle name="Обычный 6 175 10" xfId="53079"/>
    <cellStyle name="Процентный 6 175 10" xfId="53080"/>
    <cellStyle name="Обычный 7 145 10" xfId="53081"/>
    <cellStyle name="Процентный 7 145 10" xfId="53082"/>
    <cellStyle name="Обычный 4 3 137 10" xfId="53083"/>
    <cellStyle name="Процентный 4 3 137 10" xfId="53084"/>
    <cellStyle name="Обычный 5 3 137 10" xfId="53085"/>
    <cellStyle name="Процентный 5 3 137 10" xfId="53086"/>
    <cellStyle name="Обычный 4 2 2 137 10" xfId="53087"/>
    <cellStyle name="Процентный 4 2 2 137 10" xfId="53088"/>
    <cellStyle name="Обычный 5 2 2 137 10" xfId="53089"/>
    <cellStyle name="Процентный 5 2 2 137 10" xfId="53090"/>
    <cellStyle name="Обычный 6 2 137 10" xfId="53091"/>
    <cellStyle name="Процентный 6 2 137 10" xfId="53092"/>
    <cellStyle name="Обычный 7 2 137 10" xfId="53093"/>
    <cellStyle name="Процентный 7 2 137 10" xfId="53094"/>
    <cellStyle name="Обычный 8 133 10" xfId="53095"/>
    <cellStyle name="Процентный 8 133 10" xfId="53096"/>
    <cellStyle name="Обычный 9 99 10" xfId="53097"/>
    <cellStyle name="Процентный 9 100 10" xfId="53098"/>
    <cellStyle name="Обычный 10 92 10" xfId="53099"/>
    <cellStyle name="Процентный 10 92 10" xfId="53100"/>
    <cellStyle name="Обычный 11 80 10" xfId="53101"/>
    <cellStyle name="Процентный 11 80 10" xfId="53102"/>
    <cellStyle name="Обычный 4 192 10" xfId="53103"/>
    <cellStyle name="Процентный 4 192 10" xfId="53104"/>
    <cellStyle name="Обычный 5 185 10" xfId="53105"/>
    <cellStyle name="Процентный 5 185 10" xfId="53106"/>
    <cellStyle name="Обычный 4 2 179 10" xfId="53107"/>
    <cellStyle name="Процентный 4 2 179 10" xfId="53108"/>
    <cellStyle name="Обычный 5 2 179 10" xfId="53109"/>
    <cellStyle name="Процентный 5 2 179 10" xfId="53110"/>
    <cellStyle name="Обычный 6 176 10" xfId="53111"/>
    <cellStyle name="Процентный 6 176 10" xfId="53112"/>
    <cellStyle name="Обычный 7 146 10" xfId="53113"/>
    <cellStyle name="Процентный 7 146 10" xfId="53114"/>
    <cellStyle name="Обычный 4 3 138 10" xfId="53115"/>
    <cellStyle name="Процентный 4 3 138 10" xfId="53116"/>
    <cellStyle name="Обычный 5 3 138 10" xfId="53117"/>
    <cellStyle name="Процентный 5 3 138 10" xfId="53118"/>
    <cellStyle name="Обычный 4 2 2 138 10" xfId="53119"/>
    <cellStyle name="Процентный 4 2 2 138 10" xfId="53120"/>
    <cellStyle name="Обычный 5 2 2 138 10" xfId="53121"/>
    <cellStyle name="Процентный 5 2 2 138 10" xfId="53122"/>
    <cellStyle name="Обычный 6 2 138 10" xfId="53123"/>
    <cellStyle name="Процентный 6 2 138 10" xfId="53124"/>
    <cellStyle name="Обычный 7 2 138 10" xfId="53125"/>
    <cellStyle name="Процентный 7 2 138 10" xfId="53126"/>
    <cellStyle name="Обычный 8 134 10" xfId="53127"/>
    <cellStyle name="Процентный 8 134 10" xfId="53128"/>
    <cellStyle name="Обычный 9 100 10" xfId="53129"/>
    <cellStyle name="Процентный 9 101 10" xfId="53130"/>
    <cellStyle name="Обычный 10 93 10" xfId="53131"/>
    <cellStyle name="Процентный 10 93 10" xfId="53132"/>
    <cellStyle name="Обычный 11 81 10" xfId="53133"/>
    <cellStyle name="Процентный 11 81 10" xfId="53134"/>
    <cellStyle name="Обычный 4 193 10" xfId="53135"/>
    <cellStyle name="Процентный 4 193 10" xfId="53136"/>
    <cellStyle name="Обычный 5 186 10" xfId="53137"/>
    <cellStyle name="Процентный 5 186 10" xfId="53138"/>
    <cellStyle name="Обычный 4 2 180 10" xfId="53139"/>
    <cellStyle name="Процентный 4 2 180 10" xfId="53140"/>
    <cellStyle name="Обычный 5 2 180 10" xfId="53141"/>
    <cellStyle name="Процентный 5 2 180 10" xfId="53142"/>
    <cellStyle name="Обычный 6 177 10" xfId="53143"/>
    <cellStyle name="Процентный 6 177 10" xfId="53144"/>
    <cellStyle name="Обычный 7 147 10" xfId="53145"/>
    <cellStyle name="Процентный 7 147 10" xfId="53146"/>
    <cellStyle name="Обычный 4 3 139 10" xfId="53147"/>
    <cellStyle name="Процентный 4 3 139 10" xfId="53148"/>
    <cellStyle name="Обычный 5 3 139 10" xfId="53149"/>
    <cellStyle name="Процентный 5 3 139 10" xfId="53150"/>
    <cellStyle name="Обычный 4 2 2 139 10" xfId="53151"/>
    <cellStyle name="Процентный 4 2 2 139 10" xfId="53152"/>
    <cellStyle name="Обычный 5 2 2 139 10" xfId="53153"/>
    <cellStyle name="Процентный 5 2 2 139 10" xfId="53154"/>
    <cellStyle name="Обычный 6 2 139 10" xfId="53155"/>
    <cellStyle name="Процентный 6 2 139 10" xfId="53156"/>
    <cellStyle name="Обычный 7 2 139 10" xfId="53157"/>
    <cellStyle name="Процентный 7 2 139 10" xfId="53158"/>
    <cellStyle name="Обычный 8 135 10" xfId="53159"/>
    <cellStyle name="Процентный 8 135 10" xfId="53160"/>
    <cellStyle name="Обычный 9 101 10" xfId="53161"/>
    <cellStyle name="Процентный 9 102 10" xfId="53162"/>
    <cellStyle name="Обычный 10 94 10" xfId="53163"/>
    <cellStyle name="Процентный 10 94 10" xfId="53164"/>
    <cellStyle name="Обычный 11 82 10" xfId="53165"/>
    <cellStyle name="Процентный 11 82 10" xfId="53166"/>
    <cellStyle name="Обычный 4 194 10" xfId="53167"/>
    <cellStyle name="Процентный 4 194 10" xfId="53168"/>
    <cellStyle name="Обычный 5 187 10" xfId="53169"/>
    <cellStyle name="Процентный 5 187 10" xfId="53170"/>
    <cellStyle name="Обычный 4 2 181 10" xfId="53171"/>
    <cellStyle name="Процентный 4 2 181 10" xfId="53172"/>
    <cellStyle name="Обычный 5 2 181 10" xfId="53173"/>
    <cellStyle name="Процентный 5 2 181 10" xfId="53174"/>
    <cellStyle name="Обычный 6 178 10" xfId="53175"/>
    <cellStyle name="Процентный 6 178 10" xfId="53176"/>
    <cellStyle name="Обычный 7 148 10" xfId="53177"/>
    <cellStyle name="Процентный 7 148 10" xfId="53178"/>
    <cellStyle name="Обычный 4 3 140 10" xfId="53179"/>
    <cellStyle name="Процентный 4 3 140 10" xfId="53180"/>
    <cellStyle name="Обычный 5 3 140 10" xfId="53181"/>
    <cellStyle name="Процентный 5 3 140 10" xfId="53182"/>
    <cellStyle name="Обычный 4 2 2 140 10" xfId="53183"/>
    <cellStyle name="Процентный 4 2 2 140 10" xfId="53184"/>
    <cellStyle name="Обычный 5 2 2 140 10" xfId="53185"/>
    <cellStyle name="Процентный 5 2 2 140 10" xfId="53186"/>
    <cellStyle name="Обычный 6 2 140 10" xfId="53187"/>
    <cellStyle name="Процентный 6 2 140 10" xfId="53188"/>
    <cellStyle name="Обычный 7 2 140 10" xfId="53189"/>
    <cellStyle name="Процентный 7 2 140 10" xfId="53190"/>
    <cellStyle name="Обычный 8 136 10" xfId="53191"/>
    <cellStyle name="Процентный 8 136 10" xfId="53192"/>
    <cellStyle name="Обычный 9 102 10" xfId="53193"/>
    <cellStyle name="Процентный 9 103 10" xfId="53194"/>
    <cellStyle name="Обычный 10 95 10" xfId="53195"/>
    <cellStyle name="Процентный 10 95 10" xfId="53196"/>
    <cellStyle name="Обычный 11 83 10" xfId="53197"/>
    <cellStyle name="Процентный 11 83 10" xfId="53198"/>
    <cellStyle name="Обычный 4 195 10" xfId="53199"/>
    <cellStyle name="Процентный 4 195 10" xfId="53200"/>
    <cellStyle name="Обычный 5 188 10" xfId="53201"/>
    <cellStyle name="Процентный 5 188 10" xfId="53202"/>
    <cellStyle name="Обычный 4 2 182 10" xfId="53203"/>
    <cellStyle name="Процентный 4 2 182 10" xfId="53204"/>
    <cellStyle name="Обычный 5 2 182 10" xfId="53205"/>
    <cellStyle name="Процентный 5 2 182 10" xfId="53206"/>
    <cellStyle name="Обычный 6 179 10" xfId="53207"/>
    <cellStyle name="Процентный 6 179 10" xfId="53208"/>
    <cellStyle name="Обычный 7 149 10" xfId="53209"/>
    <cellStyle name="Процентный 7 149 10" xfId="53210"/>
    <cellStyle name="Обычный 4 3 141 10" xfId="53211"/>
    <cellStyle name="Процентный 4 3 141 10" xfId="53212"/>
    <cellStyle name="Обычный 5 3 141 10" xfId="53213"/>
    <cellStyle name="Процентный 5 3 141 10" xfId="53214"/>
    <cellStyle name="Обычный 4 2 2 141 10" xfId="53215"/>
    <cellStyle name="Процентный 4 2 2 141 10" xfId="53216"/>
    <cellStyle name="Обычный 5 2 2 141 10" xfId="53217"/>
    <cellStyle name="Процентный 5 2 2 141 10" xfId="53218"/>
    <cellStyle name="Обычный 6 2 141 10" xfId="53219"/>
    <cellStyle name="Процентный 6 2 141 10" xfId="53220"/>
    <cellStyle name="Обычный 7 2 141 10" xfId="53221"/>
    <cellStyle name="Процентный 7 2 141 10" xfId="53222"/>
    <cellStyle name="Обычный 8 137 10" xfId="53223"/>
    <cellStyle name="Процентный 8 137 10" xfId="53224"/>
    <cellStyle name="Обычный 9 103 10" xfId="53225"/>
    <cellStyle name="Процентный 9 104 10" xfId="53226"/>
    <cellStyle name="Обычный 10 96 10" xfId="53227"/>
    <cellStyle name="Процентный 10 96 10" xfId="53228"/>
    <cellStyle name="Обычный 11 84 10" xfId="53229"/>
    <cellStyle name="Процентный 11 84 10" xfId="53230"/>
    <cellStyle name="Обычный 4 196 10" xfId="53231"/>
    <cellStyle name="Процентный 4 196 10" xfId="53232"/>
    <cellStyle name="Обычный 5 189 10" xfId="53233"/>
    <cellStyle name="Процентный 5 189 10" xfId="53234"/>
    <cellStyle name="Обычный 4 2 183 10" xfId="53235"/>
    <cellStyle name="Процентный 4 2 183 10" xfId="53236"/>
    <cellStyle name="Обычный 5 2 183 10" xfId="53237"/>
    <cellStyle name="Процентный 5 2 183 10" xfId="53238"/>
    <cellStyle name="Обычный 6 180 10" xfId="53239"/>
    <cellStyle name="Процентный 6 180 10" xfId="53240"/>
    <cellStyle name="Обычный 7 150 10" xfId="53241"/>
    <cellStyle name="Процентный 7 150 10" xfId="53242"/>
    <cellStyle name="Обычный 4 3 142 10" xfId="53243"/>
    <cellStyle name="Процентный 4 3 142 10" xfId="53244"/>
    <cellStyle name="Обычный 5 3 142 10" xfId="53245"/>
    <cellStyle name="Процентный 5 3 142 10" xfId="53246"/>
    <cellStyle name="Обычный 4 2 2 142 10" xfId="53247"/>
    <cellStyle name="Процентный 4 2 2 142 10" xfId="53248"/>
    <cellStyle name="Обычный 5 2 2 142 10" xfId="53249"/>
    <cellStyle name="Процентный 5 2 2 142 10" xfId="53250"/>
    <cellStyle name="Обычный 6 2 142 10" xfId="53251"/>
    <cellStyle name="Процентный 6 2 142 10" xfId="53252"/>
    <cellStyle name="Обычный 7 2 142 10" xfId="53253"/>
    <cellStyle name="Процентный 7 2 142 10" xfId="53254"/>
    <cellStyle name="Обычный 8 138 10" xfId="53255"/>
    <cellStyle name="Процентный 8 138 10" xfId="53256"/>
    <cellStyle name="Обычный 9 104 10" xfId="53257"/>
    <cellStyle name="Процентный 9 105 10" xfId="53258"/>
    <cellStyle name="Обычный 10 97 10" xfId="53259"/>
    <cellStyle name="Процентный 10 97 10" xfId="53260"/>
    <cellStyle name="Обычный 11 85 10" xfId="53261"/>
    <cellStyle name="Процентный 11 85 10" xfId="53262"/>
    <cellStyle name="Обычный 4 197 10" xfId="53263"/>
    <cellStyle name="Процентный 4 197 10" xfId="53264"/>
    <cellStyle name="Обычный 5 190 10" xfId="53265"/>
    <cellStyle name="Процентный 5 190 10" xfId="53266"/>
    <cellStyle name="Обычный 4 2 184 10" xfId="53267"/>
    <cellStyle name="Процентный 4 2 184 10" xfId="53268"/>
    <cellStyle name="Обычный 5 2 184 10" xfId="53269"/>
    <cellStyle name="Процентный 5 2 184 10" xfId="53270"/>
    <cellStyle name="Обычный 6 181 10" xfId="53271"/>
    <cellStyle name="Процентный 6 181 10" xfId="53272"/>
    <cellStyle name="Обычный 7 151 10" xfId="53273"/>
    <cellStyle name="Процентный 7 151 10" xfId="53274"/>
    <cellStyle name="Обычный 4 3 143 10" xfId="53275"/>
    <cellStyle name="Процентный 4 3 143 10" xfId="53276"/>
    <cellStyle name="Обычный 5 3 143 10" xfId="53277"/>
    <cellStyle name="Процентный 5 3 143 10" xfId="53278"/>
    <cellStyle name="Обычный 4 2 2 143 10" xfId="53279"/>
    <cellStyle name="Процентный 4 2 2 143 10" xfId="53280"/>
    <cellStyle name="Обычный 5 2 2 143 10" xfId="53281"/>
    <cellStyle name="Процентный 5 2 2 143 10" xfId="53282"/>
    <cellStyle name="Обычный 6 2 143 10" xfId="53283"/>
    <cellStyle name="Процентный 6 2 143 10" xfId="53284"/>
    <cellStyle name="Обычный 7 2 143 10" xfId="53285"/>
    <cellStyle name="Процентный 7 2 143 10" xfId="53286"/>
    <cellStyle name="Обычный 8 139 10" xfId="53287"/>
    <cellStyle name="Процентный 8 139 10" xfId="53288"/>
    <cellStyle name="Обычный 9 105 10" xfId="53289"/>
    <cellStyle name="Процентный 9 106 10" xfId="53290"/>
    <cellStyle name="Обычный 10 98 10" xfId="53291"/>
    <cellStyle name="Процентный 10 98 10" xfId="53292"/>
    <cellStyle name="Обычный 11 86 10" xfId="53293"/>
    <cellStyle name="Процентный 11 86 10" xfId="53294"/>
    <cellStyle name="Обычный 4 198 10" xfId="53295"/>
    <cellStyle name="Процентный 4 198 10" xfId="53296"/>
    <cellStyle name="Обычный 5 191 10" xfId="53297"/>
    <cellStyle name="Процентный 5 191 10" xfId="53298"/>
    <cellStyle name="Обычный 4 2 185 10" xfId="53299"/>
    <cellStyle name="Процентный 4 2 185 10" xfId="53300"/>
    <cellStyle name="Обычный 5 2 185 10" xfId="53301"/>
    <cellStyle name="Процентный 5 2 185 10" xfId="53302"/>
    <cellStyle name="Обычный 6 182 10" xfId="53303"/>
    <cellStyle name="Процентный 6 182 10" xfId="53304"/>
    <cellStyle name="Обычный 7 152 10" xfId="53305"/>
    <cellStyle name="Процентный 7 152 10" xfId="53306"/>
    <cellStyle name="Обычный 4 3 144 10" xfId="53307"/>
    <cellStyle name="Процентный 4 3 144 10" xfId="53308"/>
    <cellStyle name="Обычный 5 3 144 10" xfId="53309"/>
    <cellStyle name="Процентный 5 3 144 10" xfId="53310"/>
    <cellStyle name="Обычный 4 2 2 144 10" xfId="53311"/>
    <cellStyle name="Процентный 4 2 2 144 10" xfId="53312"/>
    <cellStyle name="Обычный 5 2 2 144 10" xfId="53313"/>
    <cellStyle name="Процентный 5 2 2 144 10" xfId="53314"/>
    <cellStyle name="Обычный 6 2 144 10" xfId="53315"/>
    <cellStyle name="Процентный 6 2 144 10" xfId="53316"/>
    <cellStyle name="Обычный 7 2 144 10" xfId="53317"/>
    <cellStyle name="Процентный 7 2 144 10" xfId="53318"/>
    <cellStyle name="Обычный 8 140 10" xfId="53319"/>
    <cellStyle name="Процентный 8 140 10" xfId="53320"/>
    <cellStyle name="Обычный 9 106 10" xfId="53321"/>
    <cellStyle name="Процентный 9 107 10" xfId="53322"/>
    <cellStyle name="Обычный 10 99 10" xfId="53323"/>
    <cellStyle name="Процентный 10 99 10" xfId="53324"/>
    <cellStyle name="Обычный 11 87 10" xfId="53325"/>
    <cellStyle name="Процентный 11 87 10" xfId="53326"/>
    <cellStyle name="Обычный 4 199 10" xfId="53327"/>
    <cellStyle name="Процентный 4 199 10" xfId="53328"/>
    <cellStyle name="Обычный 5 192 10" xfId="53329"/>
    <cellStyle name="Процентный 5 192 10" xfId="53330"/>
    <cellStyle name="Обычный 4 2 186 10" xfId="53331"/>
    <cellStyle name="Процентный 4 2 186 10" xfId="53332"/>
    <cellStyle name="Обычный 5 2 186 10" xfId="53333"/>
    <cellStyle name="Процентный 5 2 186 10" xfId="53334"/>
    <cellStyle name="Обычный 6 183 10" xfId="53335"/>
    <cellStyle name="Процентный 6 183 10" xfId="53336"/>
    <cellStyle name="Обычный 7 153 10" xfId="53337"/>
    <cellStyle name="Процентный 7 153 10" xfId="53338"/>
    <cellStyle name="Обычный 4 3 145 10" xfId="53339"/>
    <cellStyle name="Процентный 4 3 145 10" xfId="53340"/>
    <cellStyle name="Обычный 5 3 145 10" xfId="53341"/>
    <cellStyle name="Процентный 5 3 145 10" xfId="53342"/>
    <cellStyle name="Обычный 4 2 2 145 10" xfId="53343"/>
    <cellStyle name="Процентный 4 2 2 145 10" xfId="53344"/>
    <cellStyle name="Обычный 5 2 2 145 10" xfId="53345"/>
    <cellStyle name="Процентный 5 2 2 145 10" xfId="53346"/>
    <cellStyle name="Обычный 6 2 145 10" xfId="53347"/>
    <cellStyle name="Процентный 6 2 145 10" xfId="53348"/>
    <cellStyle name="Обычный 7 2 145 10" xfId="53349"/>
    <cellStyle name="Процентный 7 2 145 10" xfId="53350"/>
    <cellStyle name="Обычный 8 141 10" xfId="53351"/>
    <cellStyle name="Процентный 8 141 10" xfId="53352"/>
    <cellStyle name="Обычный 9 107 10" xfId="53353"/>
    <cellStyle name="Процентный 9 108 10" xfId="53354"/>
    <cellStyle name="Обычный 10 100 10" xfId="53355"/>
    <cellStyle name="Процентный 10 100 10" xfId="53356"/>
    <cellStyle name="Обычный 11 88 10" xfId="53357"/>
    <cellStyle name="Процентный 11 88 10" xfId="53358"/>
    <cellStyle name="Обычный 4 200 10" xfId="53359"/>
    <cellStyle name="Процентный 4 200 10" xfId="53360"/>
    <cellStyle name="Обычный 5 193 10" xfId="53361"/>
    <cellStyle name="Процентный 5 193 10" xfId="53362"/>
    <cellStyle name="Обычный 4 2 187 10" xfId="53363"/>
    <cellStyle name="Процентный 4 2 187 10" xfId="53364"/>
    <cellStyle name="Обычный 5 2 187 10" xfId="53365"/>
    <cellStyle name="Процентный 5 2 187 10" xfId="53366"/>
    <cellStyle name="Обычный 6 184 10" xfId="53367"/>
    <cellStyle name="Процентный 6 184 10" xfId="53368"/>
    <cellStyle name="Обычный 7 154 10" xfId="53369"/>
    <cellStyle name="Процентный 7 154 10" xfId="53370"/>
    <cellStyle name="Обычный 4 3 146 10" xfId="53371"/>
    <cellStyle name="Процентный 4 3 146 10" xfId="53372"/>
    <cellStyle name="Обычный 5 3 146 10" xfId="53373"/>
    <cellStyle name="Процентный 5 3 146 10" xfId="53374"/>
    <cellStyle name="Обычный 4 2 2 146 10" xfId="53375"/>
    <cellStyle name="Процентный 4 2 2 146 10" xfId="53376"/>
    <cellStyle name="Обычный 5 2 2 146 10" xfId="53377"/>
    <cellStyle name="Процентный 5 2 2 146 10" xfId="53378"/>
    <cellStyle name="Обычный 6 2 146 10" xfId="53379"/>
    <cellStyle name="Процентный 6 2 146 10" xfId="53380"/>
    <cellStyle name="Обычный 7 2 146 10" xfId="53381"/>
    <cellStyle name="Процентный 7 2 146 10" xfId="53382"/>
    <cellStyle name="Обычный 8 142 10" xfId="53383"/>
    <cellStyle name="Процентный 8 142 10" xfId="53384"/>
    <cellStyle name="Обычный 9 108 10" xfId="53385"/>
    <cellStyle name="Процентный 9 109 10" xfId="53386"/>
    <cellStyle name="Обычный 10 101 10" xfId="53387"/>
    <cellStyle name="Процентный 10 101 10" xfId="53388"/>
    <cellStyle name="Обычный 11 89 10" xfId="53389"/>
    <cellStyle name="Процентный 11 89 10" xfId="53390"/>
    <cellStyle name="Обычный 4 201 10" xfId="53391"/>
    <cellStyle name="Процентный 4 201 10" xfId="53392"/>
    <cellStyle name="Обычный 5 194 10" xfId="53393"/>
    <cellStyle name="Процентный 5 194 10" xfId="53394"/>
    <cellStyle name="Обычный 4 2 188 10" xfId="53395"/>
    <cellStyle name="Процентный 4 2 188 10" xfId="53396"/>
    <cellStyle name="Обычный 5 2 188 10" xfId="53397"/>
    <cellStyle name="Процентный 5 2 188 10" xfId="53398"/>
    <cellStyle name="Обычный 6 185 10" xfId="53399"/>
    <cellStyle name="Процентный 6 185 10" xfId="53400"/>
    <cellStyle name="Обычный 7 155 10" xfId="53401"/>
    <cellStyle name="Процентный 7 155 10" xfId="53402"/>
    <cellStyle name="Обычный 4 3 147 10" xfId="53403"/>
    <cellStyle name="Процентный 4 3 147 10" xfId="53404"/>
    <cellStyle name="Обычный 5 3 147 10" xfId="53405"/>
    <cellStyle name="Процентный 5 3 147 10" xfId="53406"/>
    <cellStyle name="Обычный 4 2 2 147 10" xfId="53407"/>
    <cellStyle name="Процентный 4 2 2 147 10" xfId="53408"/>
    <cellStyle name="Обычный 5 2 2 147 10" xfId="53409"/>
    <cellStyle name="Процентный 5 2 2 147 10" xfId="53410"/>
    <cellStyle name="Обычный 6 2 147 10" xfId="53411"/>
    <cellStyle name="Процентный 6 2 147 10" xfId="53412"/>
    <cellStyle name="Обычный 7 2 147 10" xfId="53413"/>
    <cellStyle name="Процентный 7 2 147 10" xfId="53414"/>
    <cellStyle name="Обычный 8 143 10" xfId="53415"/>
    <cellStyle name="Процентный 8 143 10" xfId="53416"/>
    <cellStyle name="Обычный 9 109 10" xfId="53417"/>
    <cellStyle name="Процентный 9 110 10" xfId="53418"/>
    <cellStyle name="Обычный 10 102 10" xfId="53419"/>
    <cellStyle name="Процентный 10 102 10" xfId="53420"/>
    <cellStyle name="Обычный 11 90 10" xfId="53421"/>
    <cellStyle name="Процентный 11 90 10" xfId="53422"/>
    <cellStyle name="Обычный 4 202 10" xfId="53423"/>
    <cellStyle name="Процентный 4 202 10" xfId="53424"/>
    <cellStyle name="Обычный 5 195 10" xfId="53425"/>
    <cellStyle name="Процентный 5 195 10" xfId="53426"/>
    <cellStyle name="Обычный 4 2 189 10" xfId="53427"/>
    <cellStyle name="Процентный 4 2 189 10" xfId="53428"/>
    <cellStyle name="Обычный 5 2 189 10" xfId="53429"/>
    <cellStyle name="Процентный 5 2 189 10" xfId="53430"/>
    <cellStyle name="Обычный 6 186 10" xfId="53431"/>
    <cellStyle name="Процентный 6 186 10" xfId="53432"/>
    <cellStyle name="Обычный 7 156 10" xfId="53433"/>
    <cellStyle name="Процентный 7 156 10" xfId="53434"/>
    <cellStyle name="Обычный 4 3 148 10" xfId="53435"/>
    <cellStyle name="Процентный 4 3 148 10" xfId="53436"/>
    <cellStyle name="Обычный 5 3 148 10" xfId="53437"/>
    <cellStyle name="Процентный 5 3 148 10" xfId="53438"/>
    <cellStyle name="Обычный 4 2 2 148 10" xfId="53439"/>
    <cellStyle name="Процентный 4 2 2 148 10" xfId="53440"/>
    <cellStyle name="Обычный 5 2 2 148 10" xfId="53441"/>
    <cellStyle name="Процентный 5 2 2 148 10" xfId="53442"/>
    <cellStyle name="Обычный 6 2 148 10" xfId="53443"/>
    <cellStyle name="Процентный 6 2 148 10" xfId="53444"/>
    <cellStyle name="Обычный 7 2 148 10" xfId="53445"/>
    <cellStyle name="Процентный 7 2 148 10" xfId="53446"/>
    <cellStyle name="Обычный 8 144 10" xfId="53447"/>
    <cellStyle name="Процентный 8 144 10" xfId="53448"/>
    <cellStyle name="Обычный 9 110 10" xfId="53449"/>
    <cellStyle name="Процентный 9 111 10" xfId="53450"/>
    <cellStyle name="Обычный 10 103 10" xfId="53451"/>
    <cellStyle name="Процентный 10 103 10" xfId="53452"/>
    <cellStyle name="Обычный 11 91 10" xfId="53453"/>
    <cellStyle name="Процентный 11 91 10" xfId="53454"/>
    <cellStyle name="Обычный 3 4 2" xfId="53455"/>
    <cellStyle name="Comma 2 2" xfId="53456"/>
    <cellStyle name="Обычный 4 203 2" xfId="53457"/>
    <cellStyle name="Процентный 4 203 2" xfId="53458"/>
    <cellStyle name="Обычный 4 2 190 2" xfId="53459"/>
    <cellStyle name="Процентный 4 2 190 2" xfId="53460"/>
    <cellStyle name="Обычный 4 3 149 2" xfId="53461"/>
    <cellStyle name="Процентный 4 3 149 2" xfId="53462"/>
    <cellStyle name="Обычный 5 196 2" xfId="53463"/>
    <cellStyle name="Процентный 5 196 2" xfId="53464"/>
    <cellStyle name="Обычный 4 4 3 2" xfId="53465"/>
    <cellStyle name="Процентный 4 4 3 2" xfId="53466"/>
    <cellStyle name="Обычный 4 5 3 2" xfId="53467"/>
    <cellStyle name="Процентный 4 5 3 2" xfId="53468"/>
    <cellStyle name="Обычный 4 6 3 2" xfId="53469"/>
    <cellStyle name="Процентный 4 6 3 2" xfId="53470"/>
    <cellStyle name="Обычный 4 7 3 2" xfId="53471"/>
    <cellStyle name="Процентный 4 7 3 2" xfId="53472"/>
    <cellStyle name="Обычный 4 8 3 2" xfId="53473"/>
    <cellStyle name="Процентный 4 8 3 2" xfId="53474"/>
    <cellStyle name="Обычный 4 9 3 2" xfId="53475"/>
    <cellStyle name="Процентный 4 9 3 2" xfId="53476"/>
    <cellStyle name="Обычный 5 2 190 2" xfId="53477"/>
    <cellStyle name="Процентный 5 2 190 2" xfId="53478"/>
    <cellStyle name="Обычный 4 10 3 2" xfId="53479"/>
    <cellStyle name="Процентный 4 10 3 2" xfId="53480"/>
    <cellStyle name="Обычный 5 3 149 2" xfId="53481"/>
    <cellStyle name="Процентный 5 3 149 2" xfId="53482"/>
    <cellStyle name="Обычный 4 11 3 2" xfId="53483"/>
    <cellStyle name="Процентный 4 11 3 2" xfId="53484"/>
    <cellStyle name="Обычный 5 4 3 2" xfId="53485"/>
    <cellStyle name="Процентный 5 4 3 2" xfId="53486"/>
    <cellStyle name="Обычный 4 12 3 2" xfId="53487"/>
    <cellStyle name="Процентный 4 12 3 2" xfId="53488"/>
    <cellStyle name="Обычный 5 5 3 2" xfId="53489"/>
    <cellStyle name="Процентный 5 5 3 2" xfId="53490"/>
    <cellStyle name="Обычный 4 13 3 2" xfId="53491"/>
    <cellStyle name="Процентный 4 13 3 2" xfId="53492"/>
    <cellStyle name="Обычный 5 6 3 2" xfId="53493"/>
    <cellStyle name="Процентный 5 6 3 2" xfId="53494"/>
    <cellStyle name="Обычный 4 14 3 2" xfId="53495"/>
    <cellStyle name="Процентный 4 14 3 2" xfId="53496"/>
    <cellStyle name="Обычный 5 7 3 2" xfId="53497"/>
    <cellStyle name="Процентный 5 7 3 2" xfId="53498"/>
    <cellStyle name="Обычный 4 15 3 2" xfId="53499"/>
    <cellStyle name="Процентный 4 15 3 2" xfId="53500"/>
    <cellStyle name="Обычный 5 8 3 2" xfId="53501"/>
    <cellStyle name="Процентный 5 8 3 2" xfId="53502"/>
    <cellStyle name="Обычный 4 2 2 149 2" xfId="53503"/>
    <cellStyle name="Процентный 4 2 2 149 2" xfId="53504"/>
    <cellStyle name="Обычный 5 2 2 149 2" xfId="53505"/>
    <cellStyle name="Процентный 5 2 2 149 2" xfId="53506"/>
    <cellStyle name="Обычный 4 16 3 2" xfId="53507"/>
    <cellStyle name="Процентный 4 16 3 2" xfId="53508"/>
    <cellStyle name="Обычный 5 9 3 2" xfId="53509"/>
    <cellStyle name="Процентный 5 9 3 2" xfId="53510"/>
    <cellStyle name="Обычный 4 2 3 3 2" xfId="53511"/>
    <cellStyle name="Процентный 4 2 3 3 2" xfId="53512"/>
    <cellStyle name="Обычный 5 2 3 3 2" xfId="53513"/>
    <cellStyle name="Процентный 5 2 3 3 2" xfId="53514"/>
    <cellStyle name="Обычный 4 17 3 2" xfId="53515"/>
    <cellStyle name="Процентный 4 17 3 2" xfId="53516"/>
    <cellStyle name="Обычный 5 10 3 2" xfId="53517"/>
    <cellStyle name="Процентный 5 10 3 2" xfId="53518"/>
    <cellStyle name="Обычный 4 2 4 3 2" xfId="53519"/>
    <cellStyle name="Процентный 4 2 4 3 2" xfId="53520"/>
    <cellStyle name="Обычный 5 2 4 3 2" xfId="53521"/>
    <cellStyle name="Процентный 5 2 4 3 2" xfId="53522"/>
    <cellStyle name="Обычный 6 187 2" xfId="53523"/>
    <cellStyle name="Процентный 6 187 2" xfId="53524"/>
    <cellStyle name="Обычный 4 18 3 2" xfId="53525"/>
    <cellStyle name="Процентный 4 18 3 2" xfId="53526"/>
    <cellStyle name="Обычный 5 11 3 2" xfId="53527"/>
    <cellStyle name="Процентный 5 11 3 2" xfId="53528"/>
    <cellStyle name="Обычный 4 2 5 3 2" xfId="53529"/>
    <cellStyle name="Процентный 4 2 5 3 2" xfId="53530"/>
    <cellStyle name="Обычный 5 2 5 3 2" xfId="53531"/>
    <cellStyle name="Процентный 5 2 5 3 2" xfId="53532"/>
    <cellStyle name="Обычный 6 2 149 2" xfId="53533"/>
    <cellStyle name="Процентный 6 2 149 2" xfId="53534"/>
    <cellStyle name="Обычный 4 19 3 2" xfId="53535"/>
    <cellStyle name="Процентный 4 19 3 2" xfId="53536"/>
    <cellStyle name="Обычный 5 12 3 2" xfId="53537"/>
    <cellStyle name="Процентный 5 12 3 2" xfId="53538"/>
    <cellStyle name="Обычный 4 2 6 3 2" xfId="53539"/>
    <cellStyle name="Процентный 4 2 6 3 2" xfId="53540"/>
    <cellStyle name="Обычный 5 2 6 3 2" xfId="53541"/>
    <cellStyle name="Процентный 5 2 6 3 2" xfId="53542"/>
    <cellStyle name="Обычный 6 3 3 2" xfId="53543"/>
    <cellStyle name="Процентный 6 3 3 2" xfId="53544"/>
    <cellStyle name="Обычный 4 20 3 2" xfId="53545"/>
    <cellStyle name="Процентный 4 20 3 2" xfId="53546"/>
    <cellStyle name="Обычный 5 13 3 2" xfId="53547"/>
    <cellStyle name="Процентный 5 13 3 2" xfId="53548"/>
    <cellStyle name="Обычный 4 2 7 3 2" xfId="53549"/>
    <cellStyle name="Процентный 4 2 7 3 2" xfId="53550"/>
    <cellStyle name="Обычный 5 2 7 3 2" xfId="53551"/>
    <cellStyle name="Процентный 5 2 7 3 2" xfId="53552"/>
    <cellStyle name="Обычный 6 4 3 2" xfId="53553"/>
    <cellStyle name="Процентный 6 4 3 2" xfId="53554"/>
    <cellStyle name="Обычный 4 21 3 2" xfId="53555"/>
    <cellStyle name="Процентный 4 21 3 2" xfId="53556"/>
    <cellStyle name="Обычный 5 14 3 2" xfId="53557"/>
    <cellStyle name="Процентный 5 14 3 2" xfId="53558"/>
    <cellStyle name="Обычный 4 2 8 3 2" xfId="53559"/>
    <cellStyle name="Процентный 4 2 8 3 2" xfId="53560"/>
    <cellStyle name="Обычный 5 2 8 3 2" xfId="53561"/>
    <cellStyle name="Процентный 5 2 8 3 2" xfId="53562"/>
    <cellStyle name="Обычный 6 5 3 2" xfId="53563"/>
    <cellStyle name="Процентный 6 5 3 2" xfId="53564"/>
    <cellStyle name="Обычный 4 22 3 2" xfId="53565"/>
    <cellStyle name="Процентный 4 22 3 2" xfId="53566"/>
    <cellStyle name="Обычный 5 15 3 2" xfId="53567"/>
    <cellStyle name="Процентный 5 15 3 2" xfId="53568"/>
    <cellStyle name="Обычный 4 2 9 3 2" xfId="53569"/>
    <cellStyle name="Процентный 4 2 9 3 2" xfId="53570"/>
    <cellStyle name="Обычный 5 2 9 3 2" xfId="53571"/>
    <cellStyle name="Процентный 5 2 9 3 2" xfId="53572"/>
    <cellStyle name="Обычный 6 6 3 2" xfId="53573"/>
    <cellStyle name="Процентный 6 6 3 2" xfId="53574"/>
    <cellStyle name="Обычный 4 23 3 2" xfId="53575"/>
    <cellStyle name="Процентный 4 23 3 2" xfId="53576"/>
    <cellStyle name="Обычный 5 16 3 2" xfId="53577"/>
    <cellStyle name="Процентный 5 16 3 2" xfId="53578"/>
    <cellStyle name="Обычный 4 2 10 3 2" xfId="53579"/>
    <cellStyle name="Процентный 4 2 10 3 2" xfId="53580"/>
    <cellStyle name="Обычный 5 2 10 3 2" xfId="53581"/>
    <cellStyle name="Процентный 5 2 10 3 2" xfId="53582"/>
    <cellStyle name="Обычный 6 7 3 2" xfId="53583"/>
    <cellStyle name="Процентный 6 7 3 2" xfId="53584"/>
    <cellStyle name="Обычный 4 24 3 2" xfId="53585"/>
    <cellStyle name="Процентный 4 24 3 2" xfId="53586"/>
    <cellStyle name="Обычный 5 17 3 2" xfId="53587"/>
    <cellStyle name="Процентный 5 17 3 2" xfId="53588"/>
    <cellStyle name="Обычный 4 2 11 3 2" xfId="53589"/>
    <cellStyle name="Процентный 4 2 11 3 2" xfId="53590"/>
    <cellStyle name="Обычный 5 2 11 3 2" xfId="53591"/>
    <cellStyle name="Процентный 5 2 11 3 2" xfId="53592"/>
    <cellStyle name="Обычный 6 8 3 2" xfId="53593"/>
    <cellStyle name="Процентный 6 8 3 2" xfId="53594"/>
    <cellStyle name="Обычный 4 25 3 2" xfId="53595"/>
    <cellStyle name="Процентный 4 25 3 2" xfId="53596"/>
    <cellStyle name="Обычный 5 18 3 2" xfId="53597"/>
    <cellStyle name="Процентный 5 18 3 2" xfId="53598"/>
    <cellStyle name="Обычный 4 2 12 3 2" xfId="53599"/>
    <cellStyle name="Процентный 4 2 12 3 2" xfId="53600"/>
    <cellStyle name="Обычный 5 2 12 3 2" xfId="53601"/>
    <cellStyle name="Процентный 5 2 12 3 2" xfId="53602"/>
    <cellStyle name="Обычный 6 9 3 2" xfId="53603"/>
    <cellStyle name="Процентный 6 9 3 2" xfId="53604"/>
    <cellStyle name="Обычный 4 26 3 2" xfId="53605"/>
    <cellStyle name="Процентный 4 26 3 2" xfId="53606"/>
    <cellStyle name="Обычный 5 19 3 2" xfId="53607"/>
    <cellStyle name="Процентный 5 19 3 2" xfId="53608"/>
    <cellStyle name="Обычный 4 2 13 3 2" xfId="53609"/>
    <cellStyle name="Процентный 4 2 13 3 2" xfId="53610"/>
    <cellStyle name="Обычный 5 2 13 3 2" xfId="53611"/>
    <cellStyle name="Процентный 5 2 13 3 2" xfId="53612"/>
    <cellStyle name="Обычный 6 10 3 2" xfId="53613"/>
    <cellStyle name="Процентный 6 10 3 2" xfId="53614"/>
    <cellStyle name="Обычный 4 27 3 2" xfId="53615"/>
    <cellStyle name="Процентный 4 27 3 2" xfId="53616"/>
    <cellStyle name="Обычный 5 20 3 2" xfId="53617"/>
    <cellStyle name="Процентный 5 20 3 2" xfId="53618"/>
    <cellStyle name="Обычный 4 2 14 3 2" xfId="53619"/>
    <cellStyle name="Процентный 4 2 14 3 2" xfId="53620"/>
    <cellStyle name="Обычный 5 2 14 3 2" xfId="53621"/>
    <cellStyle name="Процентный 5 2 14 3 2" xfId="53622"/>
    <cellStyle name="Обычный 6 11 3 2" xfId="53623"/>
    <cellStyle name="Процентный 6 11 3 2" xfId="53624"/>
    <cellStyle name="Обычный 4 28 3 2" xfId="53625"/>
    <cellStyle name="Процентный 4 28 3 2" xfId="53626"/>
    <cellStyle name="Обычный 5 21 3 2" xfId="53627"/>
    <cellStyle name="Процентный 5 21 3 2" xfId="53628"/>
    <cellStyle name="Обычный 4 2 15 3 2" xfId="53629"/>
    <cellStyle name="Процентный 4 2 15 3 2" xfId="53630"/>
    <cellStyle name="Обычный 5 2 15 3 2" xfId="53631"/>
    <cellStyle name="Процентный 5 2 15 3 2" xfId="53632"/>
    <cellStyle name="Обычный 6 12 3 2" xfId="53633"/>
    <cellStyle name="Процентный 6 12 3 2" xfId="53634"/>
    <cellStyle name="Обычный 4 29 3 2" xfId="53635"/>
    <cellStyle name="Процентный 4 29 3 2" xfId="53636"/>
    <cellStyle name="Обычный 5 22 3 2" xfId="53637"/>
    <cellStyle name="Процентный 5 22 3 2" xfId="53638"/>
    <cellStyle name="Обычный 4 2 16 3 2" xfId="53639"/>
    <cellStyle name="Процентный 4 2 16 3 2" xfId="53640"/>
    <cellStyle name="Обычный 5 2 16 3 2" xfId="53641"/>
    <cellStyle name="Процентный 5 2 16 3 2" xfId="53642"/>
    <cellStyle name="Обычный 6 13 3 2" xfId="53643"/>
    <cellStyle name="Процентный 6 13 3 2" xfId="53644"/>
    <cellStyle name="Обычный 4 30 3 2" xfId="53645"/>
    <cellStyle name="Процентный 4 30 3 2" xfId="53646"/>
    <cellStyle name="Обычный 5 23 3 2" xfId="53647"/>
    <cellStyle name="Процентный 5 23 3 2" xfId="53648"/>
    <cellStyle name="Обычный 4 2 17 3 2" xfId="53649"/>
    <cellStyle name="Процентный 4 2 17 3 2" xfId="53650"/>
    <cellStyle name="Обычный 5 2 17 3 2" xfId="53651"/>
    <cellStyle name="Процентный 5 2 17 3 2" xfId="53652"/>
    <cellStyle name="Обычный 6 14 3 2" xfId="53653"/>
    <cellStyle name="Процентный 6 14 3 2" xfId="53654"/>
    <cellStyle name="Обычный 4 31 3 2" xfId="53655"/>
    <cellStyle name="Процентный 4 31 3 2" xfId="53656"/>
    <cellStyle name="Обычный 5 24 3 2" xfId="53657"/>
    <cellStyle name="Процентный 5 24 3 2" xfId="53658"/>
    <cellStyle name="Обычный 4 2 18 3 2" xfId="53659"/>
    <cellStyle name="Процентный 4 2 18 3 2" xfId="53660"/>
    <cellStyle name="Обычный 5 2 18 3 2" xfId="53661"/>
    <cellStyle name="Процентный 5 2 18 3 2" xfId="53662"/>
    <cellStyle name="Обычный 6 15 3 2" xfId="53663"/>
    <cellStyle name="Процентный 6 15 3 2" xfId="53664"/>
    <cellStyle name="Обычный 4 32 3 2" xfId="53665"/>
    <cellStyle name="Процентный 4 32 3 2" xfId="53666"/>
    <cellStyle name="Обычный 5 25 3 2" xfId="53667"/>
    <cellStyle name="Процентный 5 25 3 2" xfId="53668"/>
    <cellStyle name="Обычный 4 2 19 3 2" xfId="53669"/>
    <cellStyle name="Процентный 4 2 19 3 2" xfId="53670"/>
    <cellStyle name="Обычный 5 2 19 3 2" xfId="53671"/>
    <cellStyle name="Процентный 5 2 19 3 2" xfId="53672"/>
    <cellStyle name="Обычный 6 16 3 2" xfId="53673"/>
    <cellStyle name="Процентный 6 16 3 2" xfId="53674"/>
    <cellStyle name="Обычный 4 33 3 2" xfId="53675"/>
    <cellStyle name="Процентный 4 33 3 2" xfId="53676"/>
    <cellStyle name="Обычный 5 26 3 2" xfId="53677"/>
    <cellStyle name="Процентный 5 26 3 2" xfId="53678"/>
    <cellStyle name="Обычный 4 2 20 3 2" xfId="53679"/>
    <cellStyle name="Процентный 4 2 20 3 2" xfId="53680"/>
    <cellStyle name="Обычный 5 2 20 3 2" xfId="53681"/>
    <cellStyle name="Процентный 5 2 20 3 2" xfId="53682"/>
    <cellStyle name="Обычный 6 17 3 2" xfId="53683"/>
    <cellStyle name="Процентный 6 17 3 2" xfId="53684"/>
    <cellStyle name="Обычный 4 34 3 2" xfId="53685"/>
    <cellStyle name="Процентный 4 34 3 2" xfId="53686"/>
    <cellStyle name="Обычный 5 27 3 2" xfId="53687"/>
    <cellStyle name="Процентный 5 27 3 2" xfId="53688"/>
    <cellStyle name="Обычный 4 2 21 3 2" xfId="53689"/>
    <cellStyle name="Процентный 4 2 21 3 2" xfId="53690"/>
    <cellStyle name="Обычный 5 2 21 3 2" xfId="53691"/>
    <cellStyle name="Процентный 5 2 21 3 2" xfId="53692"/>
    <cellStyle name="Обычный 6 18 3 2" xfId="53693"/>
    <cellStyle name="Процентный 6 18 3 2" xfId="53694"/>
    <cellStyle name="Обычный 4 35 3 2" xfId="53695"/>
    <cellStyle name="Процентный 4 35 3 2" xfId="53696"/>
    <cellStyle name="Обычный 5 28 3 2" xfId="53697"/>
    <cellStyle name="Процентный 5 28 3 2" xfId="53698"/>
    <cellStyle name="Обычный 4 2 22 3 2" xfId="53699"/>
    <cellStyle name="Процентный 4 2 22 3 2" xfId="53700"/>
    <cellStyle name="Обычный 5 2 22 3 2" xfId="53701"/>
    <cellStyle name="Процентный 5 2 22 3 2" xfId="53702"/>
    <cellStyle name="Обычный 6 19 3 2" xfId="53703"/>
    <cellStyle name="Процентный 6 19 3 2" xfId="53704"/>
    <cellStyle name="Обычный 4 36 3 2" xfId="53705"/>
    <cellStyle name="Процентный 4 36 3 2" xfId="53706"/>
    <cellStyle name="Обычный 5 29 3 2" xfId="53707"/>
    <cellStyle name="Процентный 5 29 3 2" xfId="53708"/>
    <cellStyle name="Обычный 4 2 23 3 2" xfId="53709"/>
    <cellStyle name="Процентный 4 2 23 3 2" xfId="53710"/>
    <cellStyle name="Обычный 5 2 23 3 2" xfId="53711"/>
    <cellStyle name="Процентный 5 2 23 3 2" xfId="53712"/>
    <cellStyle name="Обычный 6 20 3 2" xfId="53713"/>
    <cellStyle name="Процентный 6 20 3 2" xfId="53714"/>
    <cellStyle name="Обычный 4 37 3 2" xfId="53715"/>
    <cellStyle name="Процентный 4 37 3 2" xfId="53716"/>
    <cellStyle name="Обычный 5 30 3 2" xfId="53717"/>
    <cellStyle name="Процентный 5 30 3 2" xfId="53718"/>
    <cellStyle name="Обычный 4 2 24 3 2" xfId="53719"/>
    <cellStyle name="Процентный 4 2 24 3 2" xfId="53720"/>
    <cellStyle name="Обычный 5 2 24 3 2" xfId="53721"/>
    <cellStyle name="Процентный 5 2 24 3 2" xfId="53722"/>
    <cellStyle name="Обычный 6 21 3 2" xfId="53723"/>
    <cellStyle name="Процентный 6 21 3 2" xfId="53724"/>
    <cellStyle name="Обычный 4 38 3 2" xfId="53725"/>
    <cellStyle name="Процентный 4 38 3 2" xfId="53726"/>
    <cellStyle name="Обычный 5 31 3 2" xfId="53727"/>
    <cellStyle name="Процентный 5 31 3 2" xfId="53728"/>
    <cellStyle name="Обычный 4 2 25 3 2" xfId="53729"/>
    <cellStyle name="Процентный 4 2 25 3 2" xfId="53730"/>
    <cellStyle name="Обычный 5 2 25 3 2" xfId="53731"/>
    <cellStyle name="Процентный 5 2 25 3 2" xfId="53732"/>
    <cellStyle name="Обычный 6 22 3 2" xfId="53733"/>
    <cellStyle name="Процентный 6 22 3 2" xfId="53734"/>
    <cellStyle name="Обычный 4 39 3 2" xfId="53735"/>
    <cellStyle name="Процентный 4 39 3 2" xfId="53736"/>
    <cellStyle name="Обычный 5 32 3 2" xfId="53737"/>
    <cellStyle name="Процентный 5 32 3 2" xfId="53738"/>
    <cellStyle name="Обычный 4 2 26 3 2" xfId="53739"/>
    <cellStyle name="Процентный 4 2 26 3 2" xfId="53740"/>
    <cellStyle name="Обычный 5 2 26 3 2" xfId="53741"/>
    <cellStyle name="Процентный 5 2 26 3 2" xfId="53742"/>
    <cellStyle name="Обычный 6 23 3 2" xfId="53743"/>
    <cellStyle name="Процентный 6 23 3 2" xfId="53744"/>
    <cellStyle name="Обычный 4 40 3 2" xfId="53745"/>
    <cellStyle name="Процентный 4 40 3 2" xfId="53746"/>
    <cellStyle name="Обычный 5 33 3 2" xfId="53747"/>
    <cellStyle name="Процентный 5 33 3 2" xfId="53748"/>
    <cellStyle name="Обычный 4 2 27 3 2" xfId="53749"/>
    <cellStyle name="Процентный 4 2 27 3 2" xfId="53750"/>
    <cellStyle name="Обычный 5 2 27 3 2" xfId="53751"/>
    <cellStyle name="Процентный 5 2 27 3 2" xfId="53752"/>
    <cellStyle name="Обычный 6 24 3 2" xfId="53753"/>
    <cellStyle name="Процентный 6 24 3 2" xfId="53754"/>
    <cellStyle name="Обычный 4 41 3 2" xfId="53755"/>
    <cellStyle name="Процентный 4 41 3 2" xfId="53756"/>
    <cellStyle name="Обычный 5 34 3 2" xfId="53757"/>
    <cellStyle name="Процентный 5 34 3 2" xfId="53758"/>
    <cellStyle name="Обычный 4 2 28 3 2" xfId="53759"/>
    <cellStyle name="Процентный 4 2 28 3 2" xfId="53760"/>
    <cellStyle name="Обычный 5 2 28 3 2" xfId="53761"/>
    <cellStyle name="Процентный 5 2 28 3 2" xfId="53762"/>
    <cellStyle name="Обычный 6 25 3 2" xfId="53763"/>
    <cellStyle name="Процентный 6 25 3 2" xfId="53764"/>
    <cellStyle name="Обычный 4 42 3 2" xfId="53765"/>
    <cellStyle name="Процентный 4 42 3 2" xfId="53766"/>
    <cellStyle name="Обычный 5 35 3 2" xfId="53767"/>
    <cellStyle name="Процентный 5 35 3 2" xfId="53768"/>
    <cellStyle name="Обычный 4 2 29 3 2" xfId="53769"/>
    <cellStyle name="Процентный 4 2 29 3 2" xfId="53770"/>
    <cellStyle name="Обычный 5 2 29 3 2" xfId="53771"/>
    <cellStyle name="Процентный 5 2 29 3 2" xfId="53772"/>
    <cellStyle name="Обычный 6 26 3 2" xfId="53773"/>
    <cellStyle name="Процентный 6 26 3 2" xfId="53774"/>
    <cellStyle name="Обычный 4 43 3 2" xfId="53775"/>
    <cellStyle name="Процентный 4 43 3 2" xfId="53776"/>
    <cellStyle name="Обычный 5 36 3 2" xfId="53777"/>
    <cellStyle name="Процентный 5 36 3 2" xfId="53778"/>
    <cellStyle name="Обычный 4 2 30 3 2" xfId="53779"/>
    <cellStyle name="Процентный 4 2 30 3 2" xfId="53780"/>
    <cellStyle name="Обычный 5 2 30 3 2" xfId="53781"/>
    <cellStyle name="Процентный 5 2 30 3 2" xfId="53782"/>
    <cellStyle name="Обычный 6 27 3 2" xfId="53783"/>
    <cellStyle name="Процентный 6 27 3 2" xfId="53784"/>
    <cellStyle name="Обычный 4 44 3 2" xfId="53785"/>
    <cellStyle name="Процентный 4 44 3 2" xfId="53786"/>
    <cellStyle name="Обычный 5 37 3 2" xfId="53787"/>
    <cellStyle name="Процентный 5 37 3 2" xfId="53788"/>
    <cellStyle name="Обычный 4 2 31 3 2" xfId="53789"/>
    <cellStyle name="Процентный 4 2 31 3 2" xfId="53790"/>
    <cellStyle name="Обычный 5 2 31 3 2" xfId="53791"/>
    <cellStyle name="Процентный 5 2 31 3 2" xfId="53792"/>
    <cellStyle name="Обычный 6 28 3 2" xfId="53793"/>
    <cellStyle name="Процентный 6 28 3 2" xfId="53794"/>
    <cellStyle name="Обычный 4 45 3 2" xfId="53795"/>
    <cellStyle name="Процентный 4 45 3 2" xfId="53796"/>
    <cellStyle name="Обычный 5 38 3 2" xfId="53797"/>
    <cellStyle name="Процентный 5 38 3 2" xfId="53798"/>
    <cellStyle name="Обычный 4 2 32 3 2" xfId="53799"/>
    <cellStyle name="Процентный 4 2 32 3 2" xfId="53800"/>
    <cellStyle name="Обычный 5 2 32 3 2" xfId="53801"/>
    <cellStyle name="Процентный 5 2 32 3 2" xfId="53802"/>
    <cellStyle name="Обычный 6 29 3 2" xfId="53803"/>
    <cellStyle name="Процентный 6 29 3 2" xfId="53804"/>
    <cellStyle name="Обычный 4 46 3 2" xfId="53805"/>
    <cellStyle name="Процентный 4 46 3 2" xfId="53806"/>
    <cellStyle name="Обычный 5 39 3 2" xfId="53807"/>
    <cellStyle name="Процентный 5 39 3 2" xfId="53808"/>
    <cellStyle name="Обычный 4 2 33 3 2" xfId="53809"/>
    <cellStyle name="Процентный 4 2 33 3 2" xfId="53810"/>
    <cellStyle name="Обычный 5 2 33 3 2" xfId="53811"/>
    <cellStyle name="Процентный 5 2 33 3 2" xfId="53812"/>
    <cellStyle name="Обычный 6 30 3 2" xfId="53813"/>
    <cellStyle name="Процентный 6 30 3 2" xfId="53814"/>
    <cellStyle name="Обычный 4 47 3 2" xfId="53815"/>
    <cellStyle name="Процентный 4 47 3 2" xfId="53816"/>
    <cellStyle name="Обычный 5 40 3 2" xfId="53817"/>
    <cellStyle name="Процентный 5 40 3 2" xfId="53818"/>
    <cellStyle name="Обычный 4 2 34 3 2" xfId="53819"/>
    <cellStyle name="Процентный 4 2 34 3 2" xfId="53820"/>
    <cellStyle name="Обычный 5 2 34 3 2" xfId="53821"/>
    <cellStyle name="Процентный 5 2 34 3 2" xfId="53822"/>
    <cellStyle name="Обычный 6 31 3 2" xfId="53823"/>
    <cellStyle name="Процентный 6 31 3 2" xfId="53824"/>
    <cellStyle name="Обычный 7 157 2" xfId="53825"/>
    <cellStyle name="Процентный 7 157 2" xfId="53826"/>
    <cellStyle name="Обычный 4 48 3 2" xfId="53827"/>
    <cellStyle name="Процентный 4 48 3 2" xfId="53828"/>
    <cellStyle name="Обычный 5 41 3 2" xfId="53829"/>
    <cellStyle name="Процентный 5 41 3 2" xfId="53830"/>
    <cellStyle name="Обычный 4 2 35 3 2" xfId="53831"/>
    <cellStyle name="Процентный 4 2 35 3 2" xfId="53832"/>
    <cellStyle name="Обычный 5 2 35 3 2" xfId="53833"/>
    <cellStyle name="Процентный 5 2 35 3 2" xfId="53834"/>
    <cellStyle name="Обычный 6 32 3 2" xfId="53835"/>
    <cellStyle name="Процентный 6 32 3 2" xfId="53836"/>
    <cellStyle name="Обычный 7 2 149 2" xfId="53837"/>
    <cellStyle name="Процентный 7 2 149 2" xfId="53838"/>
    <cellStyle name="Обычный 4 49 3 2" xfId="53839"/>
    <cellStyle name="Процентный 4 49 3 2" xfId="53840"/>
    <cellStyle name="Обычный 5 42 3 2" xfId="53841"/>
    <cellStyle name="Процентный 5 42 3 2" xfId="53842"/>
    <cellStyle name="Обычный 4 2 36 3 2" xfId="53843"/>
    <cellStyle name="Процентный 4 2 36 3 2" xfId="53844"/>
    <cellStyle name="Обычный 5 2 36 3 2" xfId="53845"/>
    <cellStyle name="Процентный 5 2 36 3 2" xfId="53846"/>
    <cellStyle name="Обычный 6 33 3 2" xfId="53847"/>
    <cellStyle name="Процентный 6 33 3 2" xfId="53848"/>
    <cellStyle name="Обычный 7 3 3 2" xfId="53849"/>
    <cellStyle name="Процентный 7 3 3 2" xfId="53850"/>
    <cellStyle name="Обычный 4 50 3 2" xfId="53851"/>
    <cellStyle name="Процентный 4 50 3 2" xfId="53852"/>
    <cellStyle name="Обычный 5 43 3 2" xfId="53853"/>
    <cellStyle name="Процентный 5 43 3 2" xfId="53854"/>
    <cellStyle name="Обычный 4 2 37 3 2" xfId="53855"/>
    <cellStyle name="Процентный 4 2 37 3 2" xfId="53856"/>
    <cellStyle name="Обычный 5 2 37 3 2" xfId="53857"/>
    <cellStyle name="Процентный 5 2 37 3 2" xfId="53858"/>
    <cellStyle name="Обычный 6 34 3 2" xfId="53859"/>
    <cellStyle name="Процентный 6 34 3 2" xfId="53860"/>
    <cellStyle name="Обычный 7 4 3 2" xfId="53861"/>
    <cellStyle name="Процентный 7 4 3 2" xfId="53862"/>
    <cellStyle name="Обычный 4 51 3 2" xfId="53863"/>
    <cellStyle name="Процентный 4 51 3 2" xfId="53864"/>
    <cellStyle name="Обычный 5 44 3 2" xfId="53865"/>
    <cellStyle name="Процентный 5 44 3 2" xfId="53866"/>
    <cellStyle name="Обычный 4 2 38 3 2" xfId="53867"/>
    <cellStyle name="Процентный 4 2 38 3 2" xfId="53868"/>
    <cellStyle name="Обычный 5 2 38 3 2" xfId="53869"/>
    <cellStyle name="Процентный 5 2 38 3 2" xfId="53870"/>
    <cellStyle name="Обычный 6 35 3 2" xfId="53871"/>
    <cellStyle name="Процентный 6 35 3 2" xfId="53872"/>
    <cellStyle name="Обычный 7 5 3 2" xfId="53873"/>
    <cellStyle name="Процентный 7 5 3 2" xfId="53874"/>
    <cellStyle name="Обычный 4 52 3 2" xfId="53875"/>
    <cellStyle name="Процентный 4 52 3 2" xfId="53876"/>
    <cellStyle name="Обычный 5 45 3 2" xfId="53877"/>
    <cellStyle name="Процентный 5 45 3 2" xfId="53878"/>
    <cellStyle name="Обычный 4 2 39 3 2" xfId="53879"/>
    <cellStyle name="Процентный 4 2 39 3 2" xfId="53880"/>
    <cellStyle name="Обычный 5 2 39 3 2" xfId="53881"/>
    <cellStyle name="Процентный 5 2 39 3 2" xfId="53882"/>
    <cellStyle name="Обычный 6 36 3 2" xfId="53883"/>
    <cellStyle name="Процентный 6 36 3 2" xfId="53884"/>
    <cellStyle name="Обычный 7 6 3 2" xfId="53885"/>
    <cellStyle name="Процентный 7 6 3 2" xfId="53886"/>
    <cellStyle name="Обычный 4 53 3 2" xfId="53887"/>
    <cellStyle name="Процентный 4 53 3 2" xfId="53888"/>
    <cellStyle name="Обычный 5 46 3 2" xfId="53889"/>
    <cellStyle name="Процентный 5 46 3 2" xfId="53890"/>
    <cellStyle name="Обычный 4 2 40 3 2" xfId="53891"/>
    <cellStyle name="Процентный 4 2 40 3 2" xfId="53892"/>
    <cellStyle name="Обычный 5 2 40 3 2" xfId="53893"/>
    <cellStyle name="Процентный 5 2 40 3 2" xfId="53894"/>
    <cellStyle name="Обычный 6 37 3 2" xfId="53895"/>
    <cellStyle name="Процентный 6 37 3 2" xfId="53896"/>
    <cellStyle name="Обычный 7 7 3 2" xfId="53897"/>
    <cellStyle name="Процентный 7 7 3 2" xfId="53898"/>
    <cellStyle name="Обычный 4 54 3 2" xfId="53899"/>
    <cellStyle name="Процентный 4 54 3 2" xfId="53900"/>
    <cellStyle name="Обычный 5 47 3 2" xfId="53901"/>
    <cellStyle name="Процентный 5 47 3 2" xfId="53902"/>
    <cellStyle name="Обычный 4 2 41 3 2" xfId="53903"/>
    <cellStyle name="Процентный 4 2 41 3 2" xfId="53904"/>
    <cellStyle name="Обычный 5 2 41 3 2" xfId="53905"/>
    <cellStyle name="Процентный 5 2 41 3 2" xfId="53906"/>
    <cellStyle name="Обычный 6 38 3 2" xfId="53907"/>
    <cellStyle name="Процентный 6 38 3 2" xfId="53908"/>
    <cellStyle name="Обычный 7 8 3 2" xfId="53909"/>
    <cellStyle name="Процентный 7 8 3 2" xfId="53910"/>
    <cellStyle name="Обычный 4 55 3 2" xfId="53911"/>
    <cellStyle name="Процентный 4 55 3 2" xfId="53912"/>
    <cellStyle name="Обычный 5 48 3 2" xfId="53913"/>
    <cellStyle name="Процентный 5 48 3 2" xfId="53914"/>
    <cellStyle name="Обычный 4 2 42 3 2" xfId="53915"/>
    <cellStyle name="Процентный 4 2 42 3 2" xfId="53916"/>
    <cellStyle name="Обычный 5 2 42 3 2" xfId="53917"/>
    <cellStyle name="Процентный 5 2 42 3 2" xfId="53918"/>
    <cellStyle name="Обычный 6 39 3 2" xfId="53919"/>
    <cellStyle name="Процентный 6 39 3 2" xfId="53920"/>
    <cellStyle name="Обычный 7 9 3 2" xfId="53921"/>
    <cellStyle name="Процентный 7 9 3 2" xfId="53922"/>
    <cellStyle name="Обычный 3 3 2 2" xfId="53923"/>
    <cellStyle name="Обычный 4 56 2 2" xfId="53924"/>
    <cellStyle name="Процентный 4 56 2 2" xfId="53925"/>
    <cellStyle name="Обычный 4 2 43 2 2" xfId="53926"/>
    <cellStyle name="Процентный 4 2 43 2 2" xfId="53927"/>
    <cellStyle name="Обычный 4 3 2 2 2" xfId="53928"/>
    <cellStyle name="Процентный 4 3 2 2 2" xfId="53929"/>
    <cellStyle name="Обычный 5 49 2 2" xfId="53930"/>
    <cellStyle name="Процентный 5 49 2 2" xfId="53931"/>
    <cellStyle name="Обычный 4 4 2 2 2" xfId="53932"/>
    <cellStyle name="Процентный 4 4 2 2 2" xfId="53933"/>
    <cellStyle name="Обычный 4 5 2 2 2" xfId="53934"/>
    <cellStyle name="Процентный 4 5 2 2 2" xfId="53935"/>
    <cellStyle name="Обычный 4 6 2 2 2" xfId="53936"/>
    <cellStyle name="Процентный 4 6 2 2 2" xfId="53937"/>
    <cellStyle name="Обычный 4 7 2 2 2" xfId="53938"/>
    <cellStyle name="Процентный 4 7 2 2 2" xfId="53939"/>
    <cellStyle name="Обычный 4 8 2 2 2" xfId="53940"/>
    <cellStyle name="Процентный 4 8 2 2 2" xfId="53941"/>
    <cellStyle name="Обычный 4 9 2 2 2" xfId="53942"/>
    <cellStyle name="Процентный 4 9 2 2 2" xfId="53943"/>
    <cellStyle name="Обычный 5 2 43 2 2" xfId="53944"/>
    <cellStyle name="Процентный 5 2 43 2 2" xfId="53945"/>
    <cellStyle name="Обычный 4 10 2 2 2" xfId="53946"/>
    <cellStyle name="Процентный 4 10 2 2 2" xfId="53947"/>
    <cellStyle name="Обычный 5 3 2 2 2" xfId="53948"/>
    <cellStyle name="Процентный 5 3 2 2 2" xfId="53949"/>
    <cellStyle name="Обычный 4 11 2 2 2" xfId="53950"/>
    <cellStyle name="Процентный 4 11 2 2 2" xfId="53951"/>
    <cellStyle name="Обычный 5 4 2 2 2" xfId="53952"/>
    <cellStyle name="Процентный 5 4 2 2 2" xfId="53953"/>
    <cellStyle name="Обычный 4 12 2 2 2" xfId="53954"/>
    <cellStyle name="Процентный 4 12 2 2 2" xfId="53955"/>
    <cellStyle name="Обычный 5 5 2 2 2" xfId="53956"/>
    <cellStyle name="Процентный 5 5 2 2 2" xfId="53957"/>
    <cellStyle name="Обычный 4 13 2 2 2" xfId="53958"/>
    <cellStyle name="Процентный 4 13 2 2 2" xfId="53959"/>
    <cellStyle name="Обычный 5 6 2 2 2" xfId="53960"/>
    <cellStyle name="Процентный 5 6 2 2 2" xfId="53961"/>
    <cellStyle name="Обычный 4 14 2 2 2" xfId="53962"/>
    <cellStyle name="Процентный 4 14 2 2 2" xfId="53963"/>
    <cellStyle name="Обычный 5 7 2 2 2" xfId="53964"/>
    <cellStyle name="Процентный 5 7 2 2 2" xfId="53965"/>
    <cellStyle name="Обычный 4 15 2 2 2" xfId="53966"/>
    <cellStyle name="Процентный 4 15 2 2 2" xfId="53967"/>
    <cellStyle name="Обычный 5 8 2 2 2" xfId="53968"/>
    <cellStyle name="Процентный 5 8 2 2 2" xfId="53969"/>
    <cellStyle name="Обычный 4 2 2 2 2 2" xfId="53970"/>
    <cellStyle name="Процентный 4 2 2 2 2 2" xfId="53971"/>
    <cellStyle name="Обычный 5 2 2 2 2 2" xfId="53972"/>
    <cellStyle name="Процентный 5 2 2 2 2 2" xfId="53973"/>
    <cellStyle name="Обычный 4 16 2 2 2" xfId="53974"/>
    <cellStyle name="Процентный 4 16 2 2 2" xfId="53975"/>
    <cellStyle name="Обычный 5 9 2 2 2" xfId="53976"/>
    <cellStyle name="Процентный 5 9 2 2 2" xfId="53977"/>
    <cellStyle name="Обычный 4 2 3 2 2 2" xfId="53978"/>
    <cellStyle name="Процентный 4 2 3 2 2 2" xfId="53979"/>
    <cellStyle name="Обычный 5 2 3 2 2 2" xfId="53980"/>
    <cellStyle name="Процентный 5 2 3 2 2 2" xfId="53981"/>
    <cellStyle name="Обычный 4 17 2 2 2" xfId="53982"/>
    <cellStyle name="Процентный 4 17 2 2 2" xfId="53983"/>
    <cellStyle name="Обычный 5 10 2 2 2" xfId="53984"/>
    <cellStyle name="Процентный 5 10 2 2 2" xfId="53985"/>
    <cellStyle name="Обычный 4 2 4 2 2 2" xfId="53986"/>
    <cellStyle name="Процентный 4 2 4 2 2 2" xfId="53987"/>
    <cellStyle name="Обычный 5 2 4 2 2 2" xfId="53988"/>
    <cellStyle name="Процентный 5 2 4 2 2 2" xfId="53989"/>
    <cellStyle name="Обычный 6 40 2 2" xfId="53990"/>
    <cellStyle name="Процентный 6 40 2 2" xfId="53991"/>
    <cellStyle name="Обычный 4 18 2 2 2" xfId="53992"/>
    <cellStyle name="Процентный 4 18 2 2 2" xfId="53993"/>
    <cellStyle name="Обычный 5 11 2 2 2" xfId="53994"/>
    <cellStyle name="Процентный 5 11 2 2 2" xfId="53995"/>
    <cellStyle name="Обычный 4 2 5 2 2 2" xfId="53996"/>
    <cellStyle name="Процентный 4 2 5 2 2 2" xfId="53997"/>
    <cellStyle name="Обычный 5 2 5 2 2 2" xfId="53998"/>
    <cellStyle name="Процентный 5 2 5 2 2 2" xfId="53999"/>
    <cellStyle name="Обычный 6 2 2 2 2" xfId="54000"/>
    <cellStyle name="Процентный 6 2 2 2 2" xfId="54001"/>
    <cellStyle name="Обычный 4 19 2 2 2" xfId="54002"/>
    <cellStyle name="Процентный 4 19 2 2 2" xfId="54003"/>
    <cellStyle name="Обычный 5 12 2 2 2" xfId="54004"/>
    <cellStyle name="Процентный 5 12 2 2 2" xfId="54005"/>
    <cellStyle name="Обычный 4 2 6 2 2 2" xfId="54006"/>
    <cellStyle name="Процентный 4 2 6 2 2 2" xfId="54007"/>
    <cellStyle name="Обычный 5 2 6 2 2 2" xfId="54008"/>
    <cellStyle name="Процентный 5 2 6 2 2 2" xfId="54009"/>
    <cellStyle name="Обычный 6 3 2 2 2" xfId="54010"/>
    <cellStyle name="Процентный 6 3 2 2 2" xfId="54011"/>
    <cellStyle name="Обычный 4 20 2 2 2" xfId="54012"/>
    <cellStyle name="Процентный 4 20 2 2 2" xfId="54013"/>
    <cellStyle name="Обычный 5 13 2 2 2" xfId="54014"/>
    <cellStyle name="Процентный 5 13 2 2 2" xfId="54015"/>
    <cellStyle name="Обычный 4 2 7 2 2 2" xfId="54016"/>
    <cellStyle name="Процентный 4 2 7 2 2 2" xfId="54017"/>
    <cellStyle name="Обычный 5 2 7 2 2 2" xfId="54018"/>
    <cellStyle name="Процентный 5 2 7 2 2 2" xfId="54019"/>
    <cellStyle name="Обычный 6 4 2 2 2" xfId="54020"/>
    <cellStyle name="Процентный 6 4 2 2 2" xfId="54021"/>
    <cellStyle name="Обычный 4 21 2 2 2" xfId="54022"/>
    <cellStyle name="Процентный 4 21 2 2 2" xfId="54023"/>
    <cellStyle name="Обычный 5 14 2 2 2" xfId="54024"/>
    <cellStyle name="Процентный 5 14 2 2 2" xfId="54025"/>
    <cellStyle name="Обычный 4 2 8 2 2 2" xfId="54026"/>
    <cellStyle name="Процентный 4 2 8 2 2 2" xfId="54027"/>
    <cellStyle name="Обычный 5 2 8 2 2 2" xfId="54028"/>
    <cellStyle name="Процентный 5 2 8 2 2 2" xfId="54029"/>
    <cellStyle name="Обычный 6 5 2 2 2" xfId="54030"/>
    <cellStyle name="Процентный 6 5 2 2 2" xfId="54031"/>
    <cellStyle name="Обычный 4 22 2 2 2" xfId="54032"/>
    <cellStyle name="Процентный 4 22 2 2 2" xfId="54033"/>
    <cellStyle name="Обычный 5 15 2 2 2" xfId="54034"/>
    <cellStyle name="Процентный 5 15 2 2 2" xfId="54035"/>
    <cellStyle name="Обычный 4 2 9 2 2 2" xfId="54036"/>
    <cellStyle name="Процентный 4 2 9 2 2 2" xfId="54037"/>
    <cellStyle name="Обычный 5 2 9 2 2 2" xfId="54038"/>
    <cellStyle name="Процентный 5 2 9 2 2 2" xfId="54039"/>
    <cellStyle name="Обычный 6 6 2 2 2" xfId="54040"/>
    <cellStyle name="Процентный 6 6 2 2 2" xfId="54041"/>
    <cellStyle name="Обычный 4 23 2 2 2" xfId="54042"/>
    <cellStyle name="Процентный 4 23 2 2 2" xfId="54043"/>
    <cellStyle name="Обычный 5 16 2 2 2" xfId="54044"/>
    <cellStyle name="Процентный 5 16 2 2 2" xfId="54045"/>
    <cellStyle name="Обычный 4 2 10 2 2 2" xfId="54046"/>
    <cellStyle name="Процентный 4 2 10 2 2 2" xfId="54047"/>
    <cellStyle name="Обычный 5 2 10 2 2 2" xfId="54048"/>
    <cellStyle name="Процентный 5 2 10 2 2 2" xfId="54049"/>
    <cellStyle name="Обычный 6 7 2 2 2" xfId="54050"/>
    <cellStyle name="Процентный 6 7 2 2 2" xfId="54051"/>
    <cellStyle name="Обычный 4 24 2 2 2" xfId="54052"/>
    <cellStyle name="Процентный 4 24 2 2 2" xfId="54053"/>
    <cellStyle name="Обычный 5 17 2 2 2" xfId="54054"/>
    <cellStyle name="Процентный 5 17 2 2 2" xfId="54055"/>
    <cellStyle name="Обычный 4 2 11 2 2 2" xfId="54056"/>
    <cellStyle name="Процентный 4 2 11 2 2 2" xfId="54057"/>
    <cellStyle name="Обычный 5 2 11 2 2 2" xfId="54058"/>
    <cellStyle name="Процентный 5 2 11 2 2 2" xfId="54059"/>
    <cellStyle name="Обычный 6 8 2 2 2" xfId="54060"/>
    <cellStyle name="Процентный 6 8 2 2 2" xfId="54061"/>
    <cellStyle name="Обычный 4 25 2 2 2" xfId="54062"/>
    <cellStyle name="Процентный 4 25 2 2 2" xfId="54063"/>
    <cellStyle name="Обычный 5 18 2 2 2" xfId="54064"/>
    <cellStyle name="Процентный 5 18 2 2 2" xfId="54065"/>
    <cellStyle name="Обычный 4 2 12 2 2 2" xfId="54066"/>
    <cellStyle name="Процентный 4 2 12 2 2 2" xfId="54067"/>
    <cellStyle name="Обычный 5 2 12 2 2 2" xfId="54068"/>
    <cellStyle name="Процентный 5 2 12 2 2 2" xfId="54069"/>
    <cellStyle name="Обычный 6 9 2 2 2" xfId="54070"/>
    <cellStyle name="Процентный 6 9 2 2 2" xfId="54071"/>
    <cellStyle name="Обычный 4 26 2 2 2" xfId="54072"/>
    <cellStyle name="Процентный 4 26 2 2 2" xfId="54073"/>
    <cellStyle name="Обычный 5 19 2 2 2" xfId="54074"/>
    <cellStyle name="Процентный 5 19 2 2 2" xfId="54075"/>
    <cellStyle name="Обычный 4 2 13 2 2 2" xfId="54076"/>
    <cellStyle name="Процентный 4 2 13 2 2 2" xfId="54077"/>
    <cellStyle name="Обычный 5 2 13 2 2 2" xfId="54078"/>
    <cellStyle name="Процентный 5 2 13 2 2 2" xfId="54079"/>
    <cellStyle name="Обычный 6 10 2 2 2" xfId="54080"/>
    <cellStyle name="Процентный 6 10 2 2 2" xfId="54081"/>
    <cellStyle name="Обычный 4 27 2 2 2" xfId="54082"/>
    <cellStyle name="Процентный 4 27 2 2 2" xfId="54083"/>
    <cellStyle name="Обычный 5 20 2 2 2" xfId="54084"/>
    <cellStyle name="Процентный 5 20 2 2 2" xfId="54085"/>
    <cellStyle name="Обычный 4 2 14 2 2 2" xfId="54086"/>
    <cellStyle name="Процентный 4 2 14 2 2 2" xfId="54087"/>
    <cellStyle name="Обычный 5 2 14 2 2 2" xfId="54088"/>
    <cellStyle name="Процентный 5 2 14 2 2 2" xfId="54089"/>
    <cellStyle name="Обычный 6 11 2 2 2" xfId="54090"/>
    <cellStyle name="Процентный 6 11 2 2 2" xfId="54091"/>
    <cellStyle name="Обычный 4 28 2 2 2" xfId="54092"/>
    <cellStyle name="Процентный 4 28 2 2 2" xfId="54093"/>
    <cellStyle name="Обычный 5 21 2 2 2" xfId="54094"/>
    <cellStyle name="Процентный 5 21 2 2 2" xfId="54095"/>
    <cellStyle name="Обычный 4 2 15 2 2 2" xfId="54096"/>
    <cellStyle name="Процентный 4 2 15 2 2 2" xfId="54097"/>
    <cellStyle name="Обычный 5 2 15 2 2 2" xfId="54098"/>
    <cellStyle name="Процентный 5 2 15 2 2 2" xfId="54099"/>
    <cellStyle name="Обычный 6 12 2 2 2" xfId="54100"/>
    <cellStyle name="Процентный 6 12 2 2 2" xfId="54101"/>
    <cellStyle name="Обычный 4 29 2 2 2" xfId="54102"/>
    <cellStyle name="Процентный 4 29 2 2 2" xfId="54103"/>
    <cellStyle name="Обычный 5 22 2 2 2" xfId="54104"/>
    <cellStyle name="Процентный 5 22 2 2 2" xfId="54105"/>
    <cellStyle name="Обычный 4 2 16 2 2 2" xfId="54106"/>
    <cellStyle name="Процентный 4 2 16 2 2 2" xfId="54107"/>
    <cellStyle name="Обычный 5 2 16 2 2 2" xfId="54108"/>
    <cellStyle name="Процентный 5 2 16 2 2 2" xfId="54109"/>
    <cellStyle name="Обычный 6 13 2 2 2" xfId="54110"/>
    <cellStyle name="Процентный 6 13 2 2 2" xfId="54111"/>
    <cellStyle name="Обычный 4 30 2 2 2" xfId="54112"/>
    <cellStyle name="Процентный 4 30 2 2 2" xfId="54113"/>
    <cellStyle name="Обычный 5 23 2 2 2" xfId="54114"/>
    <cellStyle name="Процентный 5 23 2 2 2" xfId="54115"/>
    <cellStyle name="Обычный 4 2 17 2 2 2" xfId="54116"/>
    <cellStyle name="Процентный 4 2 17 2 2 2" xfId="54117"/>
    <cellStyle name="Обычный 5 2 17 2 2 2" xfId="54118"/>
    <cellStyle name="Процентный 5 2 17 2 2 2" xfId="54119"/>
    <cellStyle name="Обычный 6 14 2 2 2" xfId="54120"/>
    <cellStyle name="Процентный 6 14 2 2 2" xfId="54121"/>
    <cellStyle name="Обычный 4 31 2 2 2" xfId="54122"/>
    <cellStyle name="Процентный 4 31 2 2 2" xfId="54123"/>
    <cellStyle name="Обычный 5 24 2 2 2" xfId="54124"/>
    <cellStyle name="Процентный 5 24 2 2 2" xfId="54125"/>
    <cellStyle name="Обычный 4 2 18 2 2 2" xfId="54126"/>
    <cellStyle name="Процентный 4 2 18 2 2 2" xfId="54127"/>
    <cellStyle name="Обычный 5 2 18 2 2 2" xfId="54128"/>
    <cellStyle name="Процентный 5 2 18 2 2 2" xfId="54129"/>
    <cellStyle name="Обычный 6 15 2 2 2" xfId="54130"/>
    <cellStyle name="Процентный 6 15 2 2 2" xfId="54131"/>
    <cellStyle name="Обычный 4 32 2 2 2" xfId="54132"/>
    <cellStyle name="Процентный 4 32 2 2 2" xfId="54133"/>
    <cellStyle name="Обычный 5 25 2 2 2" xfId="54134"/>
    <cellStyle name="Процентный 5 25 2 2 2" xfId="54135"/>
    <cellStyle name="Обычный 4 2 19 2 2 2" xfId="54136"/>
    <cellStyle name="Процентный 4 2 19 2 2 2" xfId="54137"/>
    <cellStyle name="Обычный 5 2 19 2 2 2" xfId="54138"/>
    <cellStyle name="Процентный 5 2 19 2 2 2" xfId="54139"/>
    <cellStyle name="Обычный 6 16 2 2 2" xfId="54140"/>
    <cellStyle name="Процентный 6 16 2 2 2" xfId="54141"/>
    <cellStyle name="Обычный 4 33 2 2 2" xfId="54142"/>
    <cellStyle name="Процентный 4 33 2 2 2" xfId="54143"/>
    <cellStyle name="Обычный 5 26 2 2 2" xfId="54144"/>
    <cellStyle name="Процентный 5 26 2 2 2" xfId="54145"/>
    <cellStyle name="Обычный 4 2 20 2 2 2" xfId="54146"/>
    <cellStyle name="Процентный 4 2 20 2 2 2" xfId="54147"/>
    <cellStyle name="Обычный 5 2 20 2 2 2" xfId="54148"/>
    <cellStyle name="Процентный 5 2 20 2 2 2" xfId="54149"/>
    <cellStyle name="Обычный 6 17 2 2 2" xfId="54150"/>
    <cellStyle name="Процентный 6 17 2 2 2" xfId="54151"/>
    <cellStyle name="Обычный 4 34 2 2 2" xfId="54152"/>
    <cellStyle name="Процентный 4 34 2 2 2" xfId="54153"/>
    <cellStyle name="Обычный 5 27 2 2 2" xfId="54154"/>
    <cellStyle name="Процентный 5 27 2 2 2" xfId="54155"/>
    <cellStyle name="Обычный 4 2 21 2 2 2" xfId="54156"/>
    <cellStyle name="Процентный 4 2 21 2 2 2" xfId="54157"/>
    <cellStyle name="Обычный 5 2 21 2 2 2" xfId="54158"/>
    <cellStyle name="Процентный 5 2 21 2 2 2" xfId="54159"/>
    <cellStyle name="Обычный 6 18 2 2 2" xfId="54160"/>
    <cellStyle name="Процентный 6 18 2 2 2" xfId="54161"/>
    <cellStyle name="Обычный 4 35 2 2 2" xfId="54162"/>
    <cellStyle name="Процентный 4 35 2 2 2" xfId="54163"/>
    <cellStyle name="Обычный 5 28 2 2 2" xfId="54164"/>
    <cellStyle name="Процентный 5 28 2 2 2" xfId="54165"/>
    <cellStyle name="Обычный 4 2 22 2 2 2" xfId="54166"/>
    <cellStyle name="Процентный 4 2 22 2 2 2" xfId="54167"/>
    <cellStyle name="Обычный 5 2 22 2 2 2" xfId="54168"/>
    <cellStyle name="Процентный 5 2 22 2 2 2" xfId="54169"/>
    <cellStyle name="Обычный 6 19 2 2 2" xfId="54170"/>
    <cellStyle name="Процентный 6 19 2 2 2" xfId="54171"/>
    <cellStyle name="Обычный 4 36 2 2 2" xfId="54172"/>
    <cellStyle name="Процентный 4 36 2 2 2" xfId="54173"/>
    <cellStyle name="Обычный 5 29 2 2 2" xfId="54174"/>
    <cellStyle name="Процентный 5 29 2 2 2" xfId="54175"/>
    <cellStyle name="Обычный 4 2 23 2 2 2" xfId="54176"/>
    <cellStyle name="Процентный 4 2 23 2 2 2" xfId="54177"/>
    <cellStyle name="Обычный 5 2 23 2 2 2" xfId="54178"/>
    <cellStyle name="Процентный 5 2 23 2 2 2" xfId="54179"/>
    <cellStyle name="Обычный 6 20 2 2 2" xfId="54180"/>
    <cellStyle name="Процентный 6 20 2 2 2" xfId="54181"/>
    <cellStyle name="Обычный 4 37 2 2 2" xfId="54182"/>
    <cellStyle name="Процентный 4 37 2 2 2" xfId="54183"/>
    <cellStyle name="Обычный 5 30 2 2 2" xfId="54184"/>
    <cellStyle name="Процентный 5 30 2 2 2" xfId="54185"/>
    <cellStyle name="Обычный 4 2 24 2 2 2" xfId="54186"/>
    <cellStyle name="Процентный 4 2 24 2 2 2" xfId="54187"/>
    <cellStyle name="Обычный 5 2 24 2 2 2" xfId="54188"/>
    <cellStyle name="Процентный 5 2 24 2 2 2" xfId="54189"/>
    <cellStyle name="Обычный 6 21 2 2 2" xfId="54190"/>
    <cellStyle name="Процентный 6 21 2 2 2" xfId="54191"/>
    <cellStyle name="Обычный 4 38 2 2 2" xfId="54192"/>
    <cellStyle name="Процентный 4 38 2 2 2" xfId="54193"/>
    <cellStyle name="Обычный 5 31 2 2 2" xfId="54194"/>
    <cellStyle name="Процентный 5 31 2 2 2" xfId="54195"/>
    <cellStyle name="Обычный 4 2 25 2 2 2" xfId="54196"/>
    <cellStyle name="Процентный 4 2 25 2 2 2" xfId="54197"/>
    <cellStyle name="Обычный 5 2 25 2 2 2" xfId="54198"/>
    <cellStyle name="Процентный 5 2 25 2 2 2" xfId="54199"/>
    <cellStyle name="Обычный 6 22 2 2 2" xfId="54200"/>
    <cellStyle name="Процентный 6 22 2 2 2" xfId="54201"/>
    <cellStyle name="Обычный 4 39 2 2 2" xfId="54202"/>
    <cellStyle name="Процентный 4 39 2 2 2" xfId="54203"/>
    <cellStyle name="Обычный 5 32 2 2 2" xfId="54204"/>
    <cellStyle name="Процентный 5 32 2 2 2" xfId="54205"/>
    <cellStyle name="Обычный 4 2 26 2 2 2" xfId="54206"/>
    <cellStyle name="Процентный 4 2 26 2 2 2" xfId="54207"/>
    <cellStyle name="Обычный 5 2 26 2 2 2" xfId="54208"/>
    <cellStyle name="Процентный 5 2 26 2 2 2" xfId="54209"/>
    <cellStyle name="Обычный 6 23 2 2 2" xfId="54210"/>
    <cellStyle name="Процентный 6 23 2 2 2" xfId="54211"/>
    <cellStyle name="Обычный 4 40 2 2 2" xfId="54212"/>
    <cellStyle name="Процентный 4 40 2 2 2" xfId="54213"/>
    <cellStyle name="Обычный 5 33 2 2 2" xfId="54214"/>
    <cellStyle name="Процентный 5 33 2 2 2" xfId="54215"/>
    <cellStyle name="Обычный 4 2 27 2 2 2" xfId="54216"/>
    <cellStyle name="Процентный 4 2 27 2 2 2" xfId="54217"/>
    <cellStyle name="Обычный 5 2 27 2 2 2" xfId="54218"/>
    <cellStyle name="Процентный 5 2 27 2 2 2" xfId="54219"/>
    <cellStyle name="Обычный 6 24 2 2 2" xfId="54220"/>
    <cellStyle name="Процентный 6 24 2 2 2" xfId="54221"/>
    <cellStyle name="Обычный 4 41 2 2 2" xfId="54222"/>
    <cellStyle name="Процентный 4 41 2 2 2" xfId="54223"/>
    <cellStyle name="Обычный 5 34 2 2 2" xfId="54224"/>
    <cellStyle name="Процентный 5 34 2 2 2" xfId="54225"/>
    <cellStyle name="Обычный 4 2 28 2 2 2" xfId="54226"/>
    <cellStyle name="Процентный 4 2 28 2 2 2" xfId="54227"/>
    <cellStyle name="Обычный 5 2 28 2 2 2" xfId="54228"/>
    <cellStyle name="Процентный 5 2 28 2 2 2" xfId="54229"/>
    <cellStyle name="Обычный 6 25 2 2 2" xfId="54230"/>
    <cellStyle name="Процентный 6 25 2 2 2" xfId="54231"/>
    <cellStyle name="Обычный 4 42 2 2 2" xfId="54232"/>
    <cellStyle name="Процентный 4 42 2 2 2" xfId="54233"/>
    <cellStyle name="Обычный 5 35 2 2 2" xfId="54234"/>
    <cellStyle name="Процентный 5 35 2 2 2" xfId="54235"/>
    <cellStyle name="Обычный 4 2 29 2 2 2" xfId="54236"/>
    <cellStyle name="Процентный 4 2 29 2 2 2" xfId="54237"/>
    <cellStyle name="Обычный 5 2 29 2 2 2" xfId="54238"/>
    <cellStyle name="Процентный 5 2 29 2 2 2" xfId="54239"/>
    <cellStyle name="Обычный 6 26 2 2 2" xfId="54240"/>
    <cellStyle name="Процентный 6 26 2 2 2" xfId="54241"/>
    <cellStyle name="Обычный 4 43 2 2 2" xfId="54242"/>
    <cellStyle name="Процентный 4 43 2 2 2" xfId="54243"/>
    <cellStyle name="Обычный 5 36 2 2 2" xfId="54244"/>
    <cellStyle name="Процентный 5 36 2 2 2" xfId="54245"/>
    <cellStyle name="Обычный 4 2 30 2 2 2" xfId="54246"/>
    <cellStyle name="Процентный 4 2 30 2 2 2" xfId="54247"/>
    <cellStyle name="Обычный 5 2 30 2 2 2" xfId="54248"/>
    <cellStyle name="Процентный 5 2 30 2 2 2" xfId="54249"/>
    <cellStyle name="Обычный 6 27 2 2 2" xfId="54250"/>
    <cellStyle name="Процентный 6 27 2 2 2" xfId="54251"/>
    <cellStyle name="Обычный 4 44 2 2 2" xfId="54252"/>
    <cellStyle name="Процентный 4 44 2 2 2" xfId="54253"/>
    <cellStyle name="Обычный 5 37 2 2 2" xfId="54254"/>
    <cellStyle name="Процентный 5 37 2 2 2" xfId="54255"/>
    <cellStyle name="Обычный 4 2 31 2 2 2" xfId="54256"/>
    <cellStyle name="Процентный 4 2 31 2 2 2" xfId="54257"/>
    <cellStyle name="Обычный 5 2 31 2 2 2" xfId="54258"/>
    <cellStyle name="Процентный 5 2 31 2 2 2" xfId="54259"/>
    <cellStyle name="Обычный 6 28 2 2 2" xfId="54260"/>
    <cellStyle name="Процентный 6 28 2 2 2" xfId="54261"/>
    <cellStyle name="Обычный 4 45 2 2 2" xfId="54262"/>
    <cellStyle name="Процентный 4 45 2 2 2" xfId="54263"/>
    <cellStyle name="Обычный 5 38 2 2 2" xfId="54264"/>
    <cellStyle name="Процентный 5 38 2 2 2" xfId="54265"/>
    <cellStyle name="Обычный 4 2 32 2 2 2" xfId="54266"/>
    <cellStyle name="Процентный 4 2 32 2 2 2" xfId="54267"/>
    <cellStyle name="Обычный 5 2 32 2 2 2" xfId="54268"/>
    <cellStyle name="Процентный 5 2 32 2 2 2" xfId="54269"/>
    <cellStyle name="Обычный 6 29 2 2 2" xfId="54270"/>
    <cellStyle name="Процентный 6 29 2 2 2" xfId="54271"/>
    <cellStyle name="Обычный 4 46 2 2 2" xfId="54272"/>
    <cellStyle name="Процентный 4 46 2 2 2" xfId="54273"/>
    <cellStyle name="Обычный 5 39 2 2 2" xfId="54274"/>
    <cellStyle name="Процентный 5 39 2 2 2" xfId="54275"/>
    <cellStyle name="Обычный 4 2 33 2 2 2" xfId="54276"/>
    <cellStyle name="Процентный 4 2 33 2 2 2" xfId="54277"/>
    <cellStyle name="Обычный 5 2 33 2 2 2" xfId="54278"/>
    <cellStyle name="Процентный 5 2 33 2 2 2" xfId="54279"/>
    <cellStyle name="Обычный 6 30 2 2 2" xfId="54280"/>
    <cellStyle name="Процентный 6 30 2 2 2" xfId="54281"/>
    <cellStyle name="Обычный 4 47 2 2 2" xfId="54282"/>
    <cellStyle name="Процентный 4 47 2 2 2" xfId="54283"/>
    <cellStyle name="Обычный 5 40 2 2 2" xfId="54284"/>
    <cellStyle name="Процентный 5 40 2 2 2" xfId="54285"/>
    <cellStyle name="Обычный 4 2 34 2 2 2" xfId="54286"/>
    <cellStyle name="Процентный 4 2 34 2 2 2" xfId="54287"/>
    <cellStyle name="Обычный 5 2 34 2 2 2" xfId="54288"/>
    <cellStyle name="Процентный 5 2 34 2 2 2" xfId="54289"/>
    <cellStyle name="Обычный 6 31 2 2 2" xfId="54290"/>
    <cellStyle name="Процентный 6 31 2 2 2" xfId="54291"/>
    <cellStyle name="Обычный 7 10 2 2" xfId="54292"/>
    <cellStyle name="Процентный 7 10 2 2" xfId="54293"/>
    <cellStyle name="Обычный 4 48 2 2 2" xfId="54294"/>
    <cellStyle name="Процентный 4 48 2 2 2" xfId="54295"/>
    <cellStyle name="Обычный 5 41 2 2 2" xfId="54296"/>
    <cellStyle name="Процентный 5 41 2 2 2" xfId="54297"/>
    <cellStyle name="Обычный 4 2 35 2 2 2" xfId="54298"/>
    <cellStyle name="Процентный 4 2 35 2 2 2" xfId="54299"/>
    <cellStyle name="Обычный 5 2 35 2 2 2" xfId="54300"/>
    <cellStyle name="Процентный 5 2 35 2 2 2" xfId="54301"/>
    <cellStyle name="Обычный 6 32 2 2 2" xfId="54302"/>
    <cellStyle name="Процентный 6 32 2 2 2" xfId="54303"/>
    <cellStyle name="Обычный 7 2 2 2 2" xfId="54304"/>
    <cellStyle name="Процентный 7 2 2 2 2" xfId="54305"/>
    <cellStyle name="Обычный 4 49 2 2 2" xfId="54306"/>
    <cellStyle name="Процентный 4 49 2 2 2" xfId="54307"/>
    <cellStyle name="Обычный 5 42 2 2 2" xfId="54308"/>
    <cellStyle name="Процентный 5 42 2 2 2" xfId="54309"/>
    <cellStyle name="Обычный 4 2 36 2 2 2" xfId="54310"/>
    <cellStyle name="Процентный 4 2 36 2 2 2" xfId="54311"/>
    <cellStyle name="Обычный 5 2 36 2 2 2" xfId="54312"/>
    <cellStyle name="Процентный 5 2 36 2 2 2" xfId="54313"/>
    <cellStyle name="Обычный 6 33 2 2 2" xfId="54314"/>
    <cellStyle name="Процентный 6 33 2 2 2" xfId="54315"/>
    <cellStyle name="Обычный 7 3 2 2 2" xfId="54316"/>
    <cellStyle name="Процентный 7 3 2 2 2" xfId="54317"/>
    <cellStyle name="Обычный 4 50 2 2 2" xfId="54318"/>
    <cellStyle name="Процентный 4 50 2 2 2" xfId="54319"/>
    <cellStyle name="Обычный 5 43 2 2 2" xfId="54320"/>
    <cellStyle name="Процентный 5 43 2 2 2" xfId="54321"/>
    <cellStyle name="Обычный 4 2 37 2 2 2" xfId="54322"/>
    <cellStyle name="Процентный 4 2 37 2 2 2" xfId="54323"/>
    <cellStyle name="Обычный 5 2 37 2 2 2" xfId="54324"/>
    <cellStyle name="Процентный 5 2 37 2 2 2" xfId="54325"/>
    <cellStyle name="Обычный 6 34 2 2 2" xfId="54326"/>
    <cellStyle name="Процентный 6 34 2 2 2" xfId="54327"/>
    <cellStyle name="Обычный 7 4 2 2 2" xfId="54328"/>
    <cellStyle name="Процентный 7 4 2 2 2" xfId="54329"/>
    <cellStyle name="Обычный 4 51 2 2 2" xfId="54330"/>
    <cellStyle name="Процентный 4 51 2 2 2" xfId="54331"/>
    <cellStyle name="Обычный 5 44 2 2 2" xfId="54332"/>
    <cellStyle name="Процентный 5 44 2 2 2" xfId="54333"/>
    <cellStyle name="Обычный 4 2 38 2 2 2" xfId="54334"/>
    <cellStyle name="Процентный 4 2 38 2 2 2" xfId="54335"/>
    <cellStyle name="Обычный 5 2 38 2 2 2" xfId="54336"/>
    <cellStyle name="Процентный 5 2 38 2 2 2" xfId="54337"/>
    <cellStyle name="Обычный 6 35 2 2 2" xfId="54338"/>
    <cellStyle name="Процентный 6 35 2 2 2" xfId="54339"/>
    <cellStyle name="Обычный 7 5 2 2 2" xfId="54340"/>
    <cellStyle name="Процентный 7 5 2 2 2" xfId="54341"/>
    <cellStyle name="Обычный 4 52 2 2 2" xfId="54342"/>
    <cellStyle name="Процентный 4 52 2 2 2" xfId="54343"/>
    <cellStyle name="Обычный 5 45 2 2 2" xfId="54344"/>
    <cellStyle name="Процентный 5 45 2 2 2" xfId="54345"/>
    <cellStyle name="Обычный 4 2 39 2 2 2" xfId="54346"/>
    <cellStyle name="Процентный 4 2 39 2 2 2" xfId="54347"/>
    <cellStyle name="Обычный 5 2 39 2 2 2" xfId="54348"/>
    <cellStyle name="Процентный 5 2 39 2 2 2" xfId="54349"/>
    <cellStyle name="Обычный 6 36 2 2 2" xfId="54350"/>
    <cellStyle name="Процентный 6 36 2 2 2" xfId="54351"/>
    <cellStyle name="Обычный 7 6 2 2 2" xfId="54352"/>
    <cellStyle name="Процентный 7 6 2 2 2" xfId="54353"/>
    <cellStyle name="Обычный 4 53 2 2 2" xfId="54354"/>
    <cellStyle name="Процентный 4 53 2 2 2" xfId="54355"/>
    <cellStyle name="Обычный 5 46 2 2 2" xfId="54356"/>
    <cellStyle name="Процентный 5 46 2 2 2" xfId="54357"/>
    <cellStyle name="Обычный 4 2 40 2 2 2" xfId="54358"/>
    <cellStyle name="Процентный 4 2 40 2 2 2" xfId="54359"/>
    <cellStyle name="Обычный 5 2 40 2 2 2" xfId="54360"/>
    <cellStyle name="Процентный 5 2 40 2 2 2" xfId="54361"/>
    <cellStyle name="Обычный 6 37 2 2 2" xfId="54362"/>
    <cellStyle name="Процентный 6 37 2 2 2" xfId="54363"/>
    <cellStyle name="Обычный 7 7 2 2 2" xfId="54364"/>
    <cellStyle name="Процентный 7 7 2 2 2" xfId="54365"/>
    <cellStyle name="Обычный 4 54 2 2 2" xfId="54366"/>
    <cellStyle name="Процентный 4 54 2 2 2" xfId="54367"/>
    <cellStyle name="Обычный 5 47 2 2 2" xfId="54368"/>
    <cellStyle name="Процентный 5 47 2 2 2" xfId="54369"/>
    <cellStyle name="Обычный 4 2 41 2 2 2" xfId="54370"/>
    <cellStyle name="Процентный 4 2 41 2 2 2" xfId="54371"/>
    <cellStyle name="Обычный 5 2 41 2 2 2" xfId="54372"/>
    <cellStyle name="Процентный 5 2 41 2 2 2" xfId="54373"/>
    <cellStyle name="Обычный 6 38 2 2 2" xfId="54374"/>
    <cellStyle name="Процентный 6 38 2 2 2" xfId="54375"/>
    <cellStyle name="Обычный 7 8 2 2 2" xfId="54376"/>
    <cellStyle name="Процентный 7 8 2 2 2" xfId="54377"/>
    <cellStyle name="Обычный 4 55 2 2 2" xfId="54378"/>
    <cellStyle name="Процентный 4 55 2 2 2" xfId="54379"/>
    <cellStyle name="Обычный 5 48 2 2 2" xfId="54380"/>
    <cellStyle name="Процентный 5 48 2 2 2" xfId="54381"/>
    <cellStyle name="Обычный 4 2 42 2 2 2" xfId="54382"/>
    <cellStyle name="Процентный 4 2 42 2 2 2" xfId="54383"/>
    <cellStyle name="Обычный 5 2 42 2 2 2" xfId="54384"/>
    <cellStyle name="Процентный 5 2 42 2 2 2" xfId="54385"/>
    <cellStyle name="Обычный 6 39 2 2 2" xfId="54386"/>
    <cellStyle name="Процентный 6 39 2 2 2" xfId="54387"/>
    <cellStyle name="Обычный 7 9 2 2 2" xfId="54388"/>
    <cellStyle name="Процентный 7 9 2 2 2" xfId="54389"/>
    <cellStyle name="Обычный 4 57 2 2" xfId="54390"/>
    <cellStyle name="Процентный 4 57 2 2" xfId="54391"/>
    <cellStyle name="Обычный 5 50 2 2" xfId="54392"/>
    <cellStyle name="Процентный 5 50 2 2" xfId="54393"/>
    <cellStyle name="Обычный 4 2 44 2 2" xfId="54394"/>
    <cellStyle name="Процентный 4 2 44 2 2" xfId="54395"/>
    <cellStyle name="Обычный 5 2 44 2 2" xfId="54396"/>
    <cellStyle name="Процентный 5 2 44 2 2" xfId="54397"/>
    <cellStyle name="Обычный 6 41 2 2" xfId="54398"/>
    <cellStyle name="Процентный 6 41 2 2" xfId="54399"/>
    <cellStyle name="Обычный 7 11 2 2" xfId="54400"/>
    <cellStyle name="Процентный 7 11 2 2" xfId="54401"/>
    <cellStyle name="Обычный 4 3 3 2 2" xfId="54402"/>
    <cellStyle name="Процентный 4 3 3 2 2" xfId="54403"/>
    <cellStyle name="Обычный 5 3 3 2 2" xfId="54404"/>
    <cellStyle name="Процентный 5 3 3 2 2" xfId="54405"/>
    <cellStyle name="Обычный 4 2 2 3 2 2" xfId="54406"/>
    <cellStyle name="Процентный 4 2 2 3 2 2" xfId="54407"/>
    <cellStyle name="Обычный 5 2 2 3 2 2" xfId="54408"/>
    <cellStyle name="Процентный 5 2 2 3 2 2" xfId="54409"/>
    <cellStyle name="Обычный 6 2 3 2 2" xfId="54410"/>
    <cellStyle name="Процентный 6 2 3 2 2" xfId="54411"/>
    <cellStyle name="Обычный 7 2 3 2 2" xfId="54412"/>
    <cellStyle name="Процентный 7 2 3 2 2" xfId="54413"/>
    <cellStyle name="Обычный 4 58 2 2" xfId="54414"/>
    <cellStyle name="Процентный 4 58 2 2" xfId="54415"/>
    <cellStyle name="Обычный 5 51 2 2" xfId="54416"/>
    <cellStyle name="Процентный 5 51 2 2" xfId="54417"/>
    <cellStyle name="Обычный 4 2 45 2 2" xfId="54418"/>
    <cellStyle name="Процентный 4 2 45 2 2" xfId="54419"/>
    <cellStyle name="Обычный 5 2 45 2 2" xfId="54420"/>
    <cellStyle name="Процентный 5 2 45 2 2" xfId="54421"/>
    <cellStyle name="Обычный 6 42 2 2" xfId="54422"/>
    <cellStyle name="Процентный 6 42 2 2" xfId="54423"/>
    <cellStyle name="Обычный 7 12 2 2" xfId="54424"/>
    <cellStyle name="Процентный 7 12 2 2" xfId="54425"/>
    <cellStyle name="Обычный 4 3 4 2 2" xfId="54426"/>
    <cellStyle name="Процентный 4 3 4 2 2" xfId="54427"/>
    <cellStyle name="Обычный 5 3 4 2 2" xfId="54428"/>
    <cellStyle name="Процентный 5 3 4 2 2" xfId="54429"/>
    <cellStyle name="Обычный 4 2 2 4 2 2" xfId="54430"/>
    <cellStyle name="Процентный 4 2 2 4 2 2" xfId="54431"/>
    <cellStyle name="Обычный 5 2 2 4 2 2" xfId="54432"/>
    <cellStyle name="Процентный 5 2 2 4 2 2" xfId="54433"/>
    <cellStyle name="Обычный 6 2 4 2 2" xfId="54434"/>
    <cellStyle name="Процентный 6 2 4 2 2" xfId="54435"/>
    <cellStyle name="Обычный 7 2 4 2 2" xfId="54436"/>
    <cellStyle name="Процентный 7 2 4 2 2" xfId="54437"/>
    <cellStyle name="Обычный 4 59 2 2" xfId="54438"/>
    <cellStyle name="Процентный 4 59 2 2" xfId="54439"/>
    <cellStyle name="Обычный 5 52 2 2" xfId="54440"/>
    <cellStyle name="Процентный 5 52 2 2" xfId="54441"/>
    <cellStyle name="Обычный 4 2 46 2 2" xfId="54442"/>
    <cellStyle name="Процентный 4 2 46 2 2" xfId="54443"/>
    <cellStyle name="Обычный 5 2 46 2 2" xfId="54444"/>
    <cellStyle name="Процентный 5 2 46 2 2" xfId="54445"/>
    <cellStyle name="Обычный 6 43 2 2" xfId="54446"/>
    <cellStyle name="Процентный 6 43 2 2" xfId="54447"/>
    <cellStyle name="Обычный 7 13 2 2" xfId="54448"/>
    <cellStyle name="Процентный 7 13 2 2" xfId="54449"/>
    <cellStyle name="Обычный 4 3 5 2 2" xfId="54450"/>
    <cellStyle name="Процентный 4 3 5 2 2" xfId="54451"/>
    <cellStyle name="Обычный 5 3 5 2 2" xfId="54452"/>
    <cellStyle name="Процентный 5 3 5 2 2" xfId="54453"/>
    <cellStyle name="Обычный 4 2 2 5 2 2" xfId="54454"/>
    <cellStyle name="Процентный 4 2 2 5 2 2" xfId="54455"/>
    <cellStyle name="Обычный 5 2 2 5 2 2" xfId="54456"/>
    <cellStyle name="Процентный 5 2 2 5 2 2" xfId="54457"/>
    <cellStyle name="Обычный 6 2 5 2 2" xfId="54458"/>
    <cellStyle name="Процентный 6 2 5 2 2" xfId="54459"/>
    <cellStyle name="Обычный 7 2 5 2 2" xfId="54460"/>
    <cellStyle name="Процентный 7 2 5 2 2" xfId="54461"/>
    <cellStyle name="Обычный 8 145 2" xfId="54462"/>
    <cellStyle name="Процентный 8 145 2" xfId="54463"/>
    <cellStyle name="Обычный 4 60 2 2" xfId="54464"/>
    <cellStyle name="Процентный 4 60 2 2" xfId="54465"/>
    <cellStyle name="Обычный 5 53 2 2" xfId="54466"/>
    <cellStyle name="Процентный 5 53 2 2" xfId="54467"/>
    <cellStyle name="Обычный 4 2 47 2 2" xfId="54468"/>
    <cellStyle name="Процентный 4 2 47 2 2" xfId="54469"/>
    <cellStyle name="Обычный 5 2 47 2 2" xfId="54470"/>
    <cellStyle name="Процентный 5 2 47 2 2" xfId="54471"/>
    <cellStyle name="Обычный 6 44 2 2" xfId="54472"/>
    <cellStyle name="Процентный 6 44 2 2" xfId="54473"/>
    <cellStyle name="Обычный 7 14 2 2" xfId="54474"/>
    <cellStyle name="Процентный 7 14 2 2" xfId="54475"/>
    <cellStyle name="Обычный 4 3 6 2 2" xfId="54476"/>
    <cellStyle name="Процентный 4 3 6 2 2" xfId="54477"/>
    <cellStyle name="Обычный 5 3 6 2 2" xfId="54478"/>
    <cellStyle name="Процентный 5 3 6 2 2" xfId="54479"/>
    <cellStyle name="Обычный 4 2 2 6 2 2" xfId="54480"/>
    <cellStyle name="Процентный 4 2 2 6 2 2" xfId="54481"/>
    <cellStyle name="Обычный 5 2 2 6 2 2" xfId="54482"/>
    <cellStyle name="Процентный 5 2 2 6 2 2" xfId="54483"/>
    <cellStyle name="Обычный 6 2 6 2 2" xfId="54484"/>
    <cellStyle name="Процентный 6 2 6 2 2" xfId="54485"/>
    <cellStyle name="Обычный 7 2 6 2 2" xfId="54486"/>
    <cellStyle name="Процентный 7 2 6 2 2" xfId="54487"/>
    <cellStyle name="Обычный 8 2 2 2" xfId="54488"/>
    <cellStyle name="Процентный 8 2 2 2" xfId="54489"/>
    <cellStyle name="Обычный 4 61 2 2" xfId="54490"/>
    <cellStyle name="Процентный 4 61 2 2" xfId="54491"/>
    <cellStyle name="Обычный 5 54 2 2" xfId="54492"/>
    <cellStyle name="Процентный 5 54 2 2" xfId="54493"/>
    <cellStyle name="Обычный 4 2 48 2 2" xfId="54494"/>
    <cellStyle name="Процентный 4 2 48 2 2" xfId="54495"/>
    <cellStyle name="Обычный 5 2 48 2 2" xfId="54496"/>
    <cellStyle name="Процентный 5 2 48 2 2" xfId="54497"/>
    <cellStyle name="Обычный 6 45 2 2" xfId="54498"/>
    <cellStyle name="Процентный 6 45 2 2" xfId="54499"/>
    <cellStyle name="Обычный 7 15 2 2" xfId="54500"/>
    <cellStyle name="Процентный 7 15 2 2" xfId="54501"/>
    <cellStyle name="Обычный 4 3 7 2 2" xfId="54502"/>
    <cellStyle name="Процентный 4 3 7 2 2" xfId="54503"/>
    <cellStyle name="Обычный 5 3 7 2 2" xfId="54504"/>
    <cellStyle name="Процентный 5 3 7 2 2" xfId="54505"/>
    <cellStyle name="Обычный 4 2 2 7 2 2" xfId="54506"/>
    <cellStyle name="Процентный 4 2 2 7 2 2" xfId="54507"/>
    <cellStyle name="Обычный 5 2 2 7 2 2" xfId="54508"/>
    <cellStyle name="Процентный 5 2 2 7 2 2" xfId="54509"/>
    <cellStyle name="Обычный 6 2 7 2 2" xfId="54510"/>
    <cellStyle name="Процентный 6 2 7 2 2" xfId="54511"/>
    <cellStyle name="Обычный 7 2 7 2 2" xfId="54512"/>
    <cellStyle name="Процентный 7 2 7 2 2" xfId="54513"/>
    <cellStyle name="Обычный 8 3 2 2" xfId="54514"/>
    <cellStyle name="Процентный 8 3 2 2" xfId="54515"/>
    <cellStyle name="Обычный 4 62 2 2" xfId="54516"/>
    <cellStyle name="Процентный 4 62 2 2" xfId="54517"/>
    <cellStyle name="Обычный 5 55 2 2" xfId="54518"/>
    <cellStyle name="Процентный 5 55 2 2" xfId="54519"/>
    <cellStyle name="Обычный 4 2 49 2 2" xfId="54520"/>
    <cellStyle name="Процентный 4 2 49 2 2" xfId="54521"/>
    <cellStyle name="Обычный 5 2 49 2 2" xfId="54522"/>
    <cellStyle name="Процентный 5 2 49 2 2" xfId="54523"/>
    <cellStyle name="Обычный 6 46 2 2" xfId="54524"/>
    <cellStyle name="Процентный 6 46 2 2" xfId="54525"/>
    <cellStyle name="Обычный 7 16 2 2" xfId="54526"/>
    <cellStyle name="Процентный 7 16 2 2" xfId="54527"/>
    <cellStyle name="Обычный 4 3 8 2 2" xfId="54528"/>
    <cellStyle name="Процентный 4 3 8 2 2" xfId="54529"/>
    <cellStyle name="Обычный 5 3 8 2 2" xfId="54530"/>
    <cellStyle name="Процентный 5 3 8 2 2" xfId="54531"/>
    <cellStyle name="Обычный 4 2 2 8 2 2" xfId="54532"/>
    <cellStyle name="Процентный 4 2 2 8 2 2" xfId="54533"/>
    <cellStyle name="Обычный 5 2 2 8 2 2" xfId="54534"/>
    <cellStyle name="Процентный 5 2 2 8 2 2" xfId="54535"/>
    <cellStyle name="Обычный 6 2 8 2 2" xfId="54536"/>
    <cellStyle name="Процентный 6 2 8 2 2" xfId="54537"/>
    <cellStyle name="Обычный 7 2 8 2 2" xfId="54538"/>
    <cellStyle name="Процентный 7 2 8 2 2" xfId="54539"/>
    <cellStyle name="Обычный 8 4 2 2" xfId="54540"/>
    <cellStyle name="Процентный 8 4 2 2" xfId="54541"/>
    <cellStyle name="Обычный 4 63 2 2" xfId="54542"/>
    <cellStyle name="Процентный 4 63 2 2" xfId="54543"/>
    <cellStyle name="Обычный 5 56 2 2" xfId="54544"/>
    <cellStyle name="Процентный 5 56 2 2" xfId="54545"/>
    <cellStyle name="Обычный 4 2 50 2 2" xfId="54546"/>
    <cellStyle name="Процентный 4 2 50 2 2" xfId="54547"/>
    <cellStyle name="Обычный 5 2 50 2 2" xfId="54548"/>
    <cellStyle name="Процентный 5 2 50 2 2" xfId="54549"/>
    <cellStyle name="Обычный 6 47 2 2" xfId="54550"/>
    <cellStyle name="Процентный 6 47 2 2" xfId="54551"/>
    <cellStyle name="Обычный 7 17 2 2" xfId="54552"/>
    <cellStyle name="Процентный 7 17 2 2" xfId="54553"/>
    <cellStyle name="Обычный 4 3 9 2 2" xfId="54554"/>
    <cellStyle name="Процентный 4 3 9 2 2" xfId="54555"/>
    <cellStyle name="Обычный 5 3 9 2 2" xfId="54556"/>
    <cellStyle name="Процентный 5 3 9 2 2" xfId="54557"/>
    <cellStyle name="Обычный 4 2 2 9 2 2" xfId="54558"/>
    <cellStyle name="Процентный 4 2 2 9 2 2" xfId="54559"/>
    <cellStyle name="Обычный 5 2 2 9 2 2" xfId="54560"/>
    <cellStyle name="Процентный 5 2 2 9 2 2" xfId="54561"/>
    <cellStyle name="Обычный 6 2 9 2 2" xfId="54562"/>
    <cellStyle name="Процентный 6 2 9 2 2" xfId="54563"/>
    <cellStyle name="Обычный 7 2 9 2 2" xfId="54564"/>
    <cellStyle name="Процентный 7 2 9 2 2" xfId="54565"/>
    <cellStyle name="Обычный 8 5 2 2" xfId="54566"/>
    <cellStyle name="Процентный 8 5 2 2" xfId="54567"/>
    <cellStyle name="Обычный 4 64 2 2" xfId="54568"/>
    <cellStyle name="Процентный 4 64 2 2" xfId="54569"/>
    <cellStyle name="Обычный 5 57 2 2" xfId="54570"/>
    <cellStyle name="Процентный 5 57 2 2" xfId="54571"/>
    <cellStyle name="Обычный 4 2 51 2 2" xfId="54572"/>
    <cellStyle name="Процентный 4 2 51 2 2" xfId="54573"/>
    <cellStyle name="Обычный 5 2 51 2 2" xfId="54574"/>
    <cellStyle name="Процентный 5 2 51 2 2" xfId="54575"/>
    <cellStyle name="Обычный 6 48 2 2" xfId="54576"/>
    <cellStyle name="Процентный 6 48 2 2" xfId="54577"/>
    <cellStyle name="Обычный 7 18 2 2" xfId="54578"/>
    <cellStyle name="Процентный 7 18 2 2" xfId="54579"/>
    <cellStyle name="Обычный 4 3 10 2 2" xfId="54580"/>
    <cellStyle name="Процентный 4 3 10 2 2" xfId="54581"/>
    <cellStyle name="Обычный 5 3 10 2 2" xfId="54582"/>
    <cellStyle name="Процентный 5 3 10 2 2" xfId="54583"/>
    <cellStyle name="Обычный 4 2 2 10 2 2" xfId="54584"/>
    <cellStyle name="Процентный 4 2 2 10 2 2" xfId="54585"/>
    <cellStyle name="Обычный 5 2 2 10 2 2" xfId="54586"/>
    <cellStyle name="Процентный 5 2 2 10 2 2" xfId="54587"/>
    <cellStyle name="Обычный 6 2 10 2 2" xfId="54588"/>
    <cellStyle name="Процентный 6 2 10 2 2" xfId="54589"/>
    <cellStyle name="Обычный 7 2 10 2 2" xfId="54590"/>
    <cellStyle name="Процентный 7 2 10 2 2" xfId="54591"/>
    <cellStyle name="Обычный 8 6 2 2" xfId="54592"/>
    <cellStyle name="Процентный 8 6 2 2" xfId="54593"/>
    <cellStyle name="Обычный 4 65 2 2" xfId="54594"/>
    <cellStyle name="Процентный 4 65 2 2" xfId="54595"/>
    <cellStyle name="Обычный 5 58 2 2" xfId="54596"/>
    <cellStyle name="Процентный 5 58 2 2" xfId="54597"/>
    <cellStyle name="Обычный 4 2 52 2 2" xfId="54598"/>
    <cellStyle name="Процентный 4 2 52 2 2" xfId="54599"/>
    <cellStyle name="Обычный 5 2 52 2 2" xfId="54600"/>
    <cellStyle name="Процентный 5 2 52 2 2" xfId="54601"/>
    <cellStyle name="Обычный 6 49 2 2" xfId="54602"/>
    <cellStyle name="Процентный 6 49 2 2" xfId="54603"/>
    <cellStyle name="Обычный 7 19 2 2" xfId="54604"/>
    <cellStyle name="Процентный 7 19 2 2" xfId="54605"/>
    <cellStyle name="Обычный 4 3 11 2 2" xfId="54606"/>
    <cellStyle name="Процентный 4 3 11 2 2" xfId="54607"/>
    <cellStyle name="Обычный 5 3 11 2 2" xfId="54608"/>
    <cellStyle name="Процентный 5 3 11 2 2" xfId="54609"/>
    <cellStyle name="Обычный 4 2 2 11 2 2" xfId="54610"/>
    <cellStyle name="Процентный 4 2 2 11 2 2" xfId="54611"/>
    <cellStyle name="Обычный 5 2 2 11 2 2" xfId="54612"/>
    <cellStyle name="Процентный 5 2 2 11 2 2" xfId="54613"/>
    <cellStyle name="Обычный 6 2 11 2 2" xfId="54614"/>
    <cellStyle name="Процентный 6 2 11 2 2" xfId="54615"/>
    <cellStyle name="Обычный 7 2 11 2 2" xfId="54616"/>
    <cellStyle name="Процентный 7 2 11 2 2" xfId="54617"/>
    <cellStyle name="Обычный 8 7 2 2" xfId="54618"/>
    <cellStyle name="Процентный 8 7 2 2" xfId="54619"/>
    <cellStyle name="Обычный 4 66 2 2" xfId="54620"/>
    <cellStyle name="Процентный 4 66 2 2" xfId="54621"/>
    <cellStyle name="Обычный 5 59 2 2" xfId="54622"/>
    <cellStyle name="Процентный 5 59 2 2" xfId="54623"/>
    <cellStyle name="Обычный 4 2 53 2 2" xfId="54624"/>
    <cellStyle name="Процентный 4 2 53 2 2" xfId="54625"/>
    <cellStyle name="Обычный 5 2 53 2 2" xfId="54626"/>
    <cellStyle name="Процентный 5 2 53 2 2" xfId="54627"/>
    <cellStyle name="Обычный 6 50 2 2" xfId="54628"/>
    <cellStyle name="Процентный 6 50 2 2" xfId="54629"/>
    <cellStyle name="Обычный 7 20 2 2" xfId="54630"/>
    <cellStyle name="Процентный 7 20 2 2" xfId="54631"/>
    <cellStyle name="Обычный 4 3 12 2 2" xfId="54632"/>
    <cellStyle name="Процентный 4 3 12 2 2" xfId="54633"/>
    <cellStyle name="Обычный 5 3 12 2 2" xfId="54634"/>
    <cellStyle name="Процентный 5 3 12 2 2" xfId="54635"/>
    <cellStyle name="Обычный 4 2 2 12 2 2" xfId="54636"/>
    <cellStyle name="Процентный 4 2 2 12 2 2" xfId="54637"/>
    <cellStyle name="Обычный 5 2 2 12 2 2" xfId="54638"/>
    <cellStyle name="Процентный 5 2 2 12 2 2" xfId="54639"/>
    <cellStyle name="Обычный 6 2 12 2 2" xfId="54640"/>
    <cellStyle name="Процентный 6 2 12 2 2" xfId="54641"/>
    <cellStyle name="Обычный 7 2 12 2 2" xfId="54642"/>
    <cellStyle name="Процентный 7 2 12 2 2" xfId="54643"/>
    <cellStyle name="Обычный 8 8 2 2" xfId="54644"/>
    <cellStyle name="Процентный 8 8 2 2" xfId="54645"/>
    <cellStyle name="Обычный 4 67 2 2" xfId="54646"/>
    <cellStyle name="Процентный 4 67 2 2" xfId="54647"/>
    <cellStyle name="Обычный 5 60 2 2" xfId="54648"/>
    <cellStyle name="Процентный 5 60 2 2" xfId="54649"/>
    <cellStyle name="Обычный 4 2 54 2 2" xfId="54650"/>
    <cellStyle name="Процентный 4 2 54 2 2" xfId="54651"/>
    <cellStyle name="Обычный 5 2 54 2 2" xfId="54652"/>
    <cellStyle name="Процентный 5 2 54 2 2" xfId="54653"/>
    <cellStyle name="Обычный 6 51 2 2" xfId="54654"/>
    <cellStyle name="Процентный 6 51 2 2" xfId="54655"/>
    <cellStyle name="Обычный 7 21 2 2" xfId="54656"/>
    <cellStyle name="Процентный 7 21 2 2" xfId="54657"/>
    <cellStyle name="Обычный 4 3 13 2 2" xfId="54658"/>
    <cellStyle name="Процентный 4 3 13 2 2" xfId="54659"/>
    <cellStyle name="Обычный 5 3 13 2 2" xfId="54660"/>
    <cellStyle name="Процентный 5 3 13 2 2" xfId="54661"/>
    <cellStyle name="Обычный 4 2 2 13 2 2" xfId="54662"/>
    <cellStyle name="Процентный 4 2 2 13 2 2" xfId="54663"/>
    <cellStyle name="Обычный 5 2 2 13 2 2" xfId="54664"/>
    <cellStyle name="Процентный 5 2 2 13 2 2" xfId="54665"/>
    <cellStyle name="Обычный 6 2 13 2 2" xfId="54666"/>
    <cellStyle name="Процентный 6 2 13 2 2" xfId="54667"/>
    <cellStyle name="Обычный 7 2 13 2 2" xfId="54668"/>
    <cellStyle name="Процентный 7 2 13 2 2" xfId="54669"/>
    <cellStyle name="Обычный 8 9 2 2" xfId="54670"/>
    <cellStyle name="Процентный 8 9 2 2" xfId="54671"/>
    <cellStyle name="Обычный 4 68 2 2" xfId="54672"/>
    <cellStyle name="Процентный 4 68 2 2" xfId="54673"/>
    <cellStyle name="Обычный 5 61 2 2" xfId="54674"/>
    <cellStyle name="Процентный 5 61 2 2" xfId="54675"/>
    <cellStyle name="Обычный 4 2 55 2 2" xfId="54676"/>
    <cellStyle name="Процентный 4 2 55 2 2" xfId="54677"/>
    <cellStyle name="Обычный 5 2 55 2 2" xfId="54678"/>
    <cellStyle name="Процентный 5 2 55 2 2" xfId="54679"/>
    <cellStyle name="Обычный 6 52 2 2" xfId="54680"/>
    <cellStyle name="Процентный 6 52 2 2" xfId="54681"/>
    <cellStyle name="Обычный 7 22 2 2" xfId="54682"/>
    <cellStyle name="Процентный 7 22 2 2" xfId="54683"/>
    <cellStyle name="Обычный 4 3 14 2 2" xfId="54684"/>
    <cellStyle name="Процентный 4 3 14 2 2" xfId="54685"/>
    <cellStyle name="Обычный 5 3 14 2 2" xfId="54686"/>
    <cellStyle name="Процентный 5 3 14 2 2" xfId="54687"/>
    <cellStyle name="Обычный 4 2 2 14 2 2" xfId="54688"/>
    <cellStyle name="Процентный 4 2 2 14 2 2" xfId="54689"/>
    <cellStyle name="Обычный 5 2 2 14 2 2" xfId="54690"/>
    <cellStyle name="Процентный 5 2 2 14 2 2" xfId="54691"/>
    <cellStyle name="Обычный 6 2 14 2 2" xfId="54692"/>
    <cellStyle name="Процентный 6 2 14 2 2" xfId="54693"/>
    <cellStyle name="Обычный 7 2 14 2 2" xfId="54694"/>
    <cellStyle name="Процентный 7 2 14 2 2" xfId="54695"/>
    <cellStyle name="Обычный 8 10 2 2" xfId="54696"/>
    <cellStyle name="Процентный 8 10 2 2" xfId="54697"/>
    <cellStyle name="Обычный 4 69 2 2" xfId="54698"/>
    <cellStyle name="Процентный 4 69 2 2" xfId="54699"/>
    <cellStyle name="Обычный 5 62 2 2" xfId="54700"/>
    <cellStyle name="Процентный 5 62 2 2" xfId="54701"/>
    <cellStyle name="Обычный 4 2 56 2 2" xfId="54702"/>
    <cellStyle name="Процентный 4 2 56 2 2" xfId="54703"/>
    <cellStyle name="Обычный 5 2 56 2 2" xfId="54704"/>
    <cellStyle name="Процентный 5 2 56 2 2" xfId="54705"/>
    <cellStyle name="Обычный 6 53 2 2" xfId="54706"/>
    <cellStyle name="Процентный 6 53 2 2" xfId="54707"/>
    <cellStyle name="Обычный 7 23 2 2" xfId="54708"/>
    <cellStyle name="Процентный 7 23 2 2" xfId="54709"/>
    <cellStyle name="Обычный 4 3 15 2 2" xfId="54710"/>
    <cellStyle name="Процентный 4 3 15 2 2" xfId="54711"/>
    <cellStyle name="Обычный 5 3 15 2 2" xfId="54712"/>
    <cellStyle name="Процентный 5 3 15 2 2" xfId="54713"/>
    <cellStyle name="Обычный 4 2 2 15 2 2" xfId="54714"/>
    <cellStyle name="Процентный 4 2 2 15 2 2" xfId="54715"/>
    <cellStyle name="Обычный 5 2 2 15 2 2" xfId="54716"/>
    <cellStyle name="Процентный 5 2 2 15 2 2" xfId="54717"/>
    <cellStyle name="Обычный 6 2 15 2 2" xfId="54718"/>
    <cellStyle name="Процентный 6 2 15 2 2" xfId="54719"/>
    <cellStyle name="Обычный 7 2 15 2 2" xfId="54720"/>
    <cellStyle name="Процентный 7 2 15 2 2" xfId="54721"/>
    <cellStyle name="Обычный 8 11 2 2" xfId="54722"/>
    <cellStyle name="Процентный 8 11 2 2" xfId="54723"/>
    <cellStyle name="Обычный 4 70 2 2" xfId="54724"/>
    <cellStyle name="Процентный 4 70 2 2" xfId="54725"/>
    <cellStyle name="Обычный 5 63 2 2" xfId="54726"/>
    <cellStyle name="Процентный 5 63 2 2" xfId="54727"/>
    <cellStyle name="Обычный 4 2 57 2 2" xfId="54728"/>
    <cellStyle name="Процентный 4 2 57 2 2" xfId="54729"/>
    <cellStyle name="Обычный 5 2 57 2 2" xfId="54730"/>
    <cellStyle name="Процентный 5 2 57 2 2" xfId="54731"/>
    <cellStyle name="Обычный 6 54 2 2" xfId="54732"/>
    <cellStyle name="Процентный 6 54 2 2" xfId="54733"/>
    <cellStyle name="Обычный 7 24 2 2" xfId="54734"/>
    <cellStyle name="Процентный 7 24 2 2" xfId="54735"/>
    <cellStyle name="Обычный 4 3 16 2 2" xfId="54736"/>
    <cellStyle name="Процентный 4 3 16 2 2" xfId="54737"/>
    <cellStyle name="Обычный 5 3 16 2 2" xfId="54738"/>
    <cellStyle name="Процентный 5 3 16 2 2" xfId="54739"/>
    <cellStyle name="Обычный 4 2 2 16 2 2" xfId="54740"/>
    <cellStyle name="Процентный 4 2 2 16 2 2" xfId="54741"/>
    <cellStyle name="Обычный 5 2 2 16 2 2" xfId="54742"/>
    <cellStyle name="Процентный 5 2 2 16 2 2" xfId="54743"/>
    <cellStyle name="Обычный 6 2 16 2 2" xfId="54744"/>
    <cellStyle name="Процентный 6 2 16 2 2" xfId="54745"/>
    <cellStyle name="Обычный 7 2 16 2 2" xfId="54746"/>
    <cellStyle name="Процентный 7 2 16 2 2" xfId="54747"/>
    <cellStyle name="Обычный 8 12 2 2" xfId="54748"/>
    <cellStyle name="Процентный 8 12 2 2" xfId="54749"/>
    <cellStyle name="Обычный 4 71 2 2" xfId="54750"/>
    <cellStyle name="Процентный 4 71 2 2" xfId="54751"/>
    <cellStyle name="Обычный 5 64 2 2" xfId="54752"/>
    <cellStyle name="Процентный 5 64 2 2" xfId="54753"/>
    <cellStyle name="Обычный 4 2 58 2 2" xfId="54754"/>
    <cellStyle name="Процентный 4 2 58 2 2" xfId="54755"/>
    <cellStyle name="Обычный 5 2 58 2 2" xfId="54756"/>
    <cellStyle name="Процентный 5 2 58 2 2" xfId="54757"/>
    <cellStyle name="Обычный 6 55 2 2" xfId="54758"/>
    <cellStyle name="Процентный 6 55 2 2" xfId="54759"/>
    <cellStyle name="Обычный 7 25 2 2" xfId="54760"/>
    <cellStyle name="Процентный 7 25 2 2" xfId="54761"/>
    <cellStyle name="Обычный 4 3 17 2 2" xfId="54762"/>
    <cellStyle name="Процентный 4 3 17 2 2" xfId="54763"/>
    <cellStyle name="Обычный 5 3 17 2 2" xfId="54764"/>
    <cellStyle name="Процентный 5 3 17 2 2" xfId="54765"/>
    <cellStyle name="Обычный 4 2 2 17 2 2" xfId="54766"/>
    <cellStyle name="Процентный 4 2 2 17 2 2" xfId="54767"/>
    <cellStyle name="Обычный 5 2 2 17 2 2" xfId="54768"/>
    <cellStyle name="Процентный 5 2 2 17 2 2" xfId="54769"/>
    <cellStyle name="Обычный 6 2 17 2 2" xfId="54770"/>
    <cellStyle name="Процентный 6 2 17 2 2" xfId="54771"/>
    <cellStyle name="Обычный 7 2 17 2 2" xfId="54772"/>
    <cellStyle name="Процентный 7 2 17 2 2" xfId="54773"/>
    <cellStyle name="Обычный 8 13 2 2" xfId="54774"/>
    <cellStyle name="Процентный 8 13 2 2" xfId="54775"/>
    <cellStyle name="Обычный 4 72 2 2" xfId="54776"/>
    <cellStyle name="Процентный 4 72 2 2" xfId="54777"/>
    <cellStyle name="Обычный 5 65 2 2" xfId="54778"/>
    <cellStyle name="Процентный 5 65 2 2" xfId="54779"/>
    <cellStyle name="Обычный 4 2 59 2 2" xfId="54780"/>
    <cellStyle name="Процентный 4 2 59 2 2" xfId="54781"/>
    <cellStyle name="Обычный 5 2 59 2 2" xfId="54782"/>
    <cellStyle name="Процентный 5 2 59 2 2" xfId="54783"/>
    <cellStyle name="Обычный 6 56 2 2" xfId="54784"/>
    <cellStyle name="Процентный 6 56 2 2" xfId="54785"/>
    <cellStyle name="Обычный 7 26 2 2" xfId="54786"/>
    <cellStyle name="Процентный 7 26 2 2" xfId="54787"/>
    <cellStyle name="Обычный 4 3 18 2 2" xfId="54788"/>
    <cellStyle name="Процентный 4 3 18 2 2" xfId="54789"/>
    <cellStyle name="Обычный 5 3 18 2 2" xfId="54790"/>
    <cellStyle name="Процентный 5 3 18 2 2" xfId="54791"/>
    <cellStyle name="Обычный 4 2 2 18 2 2" xfId="54792"/>
    <cellStyle name="Процентный 4 2 2 18 2 2" xfId="54793"/>
    <cellStyle name="Обычный 5 2 2 18 2 2" xfId="54794"/>
    <cellStyle name="Процентный 5 2 2 18 2 2" xfId="54795"/>
    <cellStyle name="Обычный 6 2 18 2 2" xfId="54796"/>
    <cellStyle name="Процентный 6 2 18 2 2" xfId="54797"/>
    <cellStyle name="Обычный 7 2 18 2 2" xfId="54798"/>
    <cellStyle name="Процентный 7 2 18 2 2" xfId="54799"/>
    <cellStyle name="Обычный 8 14 2 2" xfId="54800"/>
    <cellStyle name="Процентный 8 14 2 2" xfId="54801"/>
    <cellStyle name="Обычный 4 73 2 2" xfId="54802"/>
    <cellStyle name="Процентный 4 73 2 2" xfId="54803"/>
    <cellStyle name="Обычный 5 66 2 2" xfId="54804"/>
    <cellStyle name="Процентный 5 66 2 2" xfId="54805"/>
    <cellStyle name="Обычный 4 2 60 2 2" xfId="54806"/>
    <cellStyle name="Процентный 4 2 60 2 2" xfId="54807"/>
    <cellStyle name="Обычный 5 2 60 2 2" xfId="54808"/>
    <cellStyle name="Процентный 5 2 60 2 2" xfId="54809"/>
    <cellStyle name="Обычный 6 57 2 2" xfId="54810"/>
    <cellStyle name="Процентный 6 57 2 2" xfId="54811"/>
    <cellStyle name="Обычный 7 27 2 2" xfId="54812"/>
    <cellStyle name="Процентный 7 27 2 2" xfId="54813"/>
    <cellStyle name="Обычный 4 3 19 2 2" xfId="54814"/>
    <cellStyle name="Процентный 4 3 19 2 2" xfId="54815"/>
    <cellStyle name="Обычный 5 3 19 2 2" xfId="54816"/>
    <cellStyle name="Процентный 5 3 19 2 2" xfId="54817"/>
    <cellStyle name="Обычный 4 2 2 19 2 2" xfId="54818"/>
    <cellStyle name="Процентный 4 2 2 19 2 2" xfId="54819"/>
    <cellStyle name="Обычный 5 2 2 19 2 2" xfId="54820"/>
    <cellStyle name="Процентный 5 2 2 19 2 2" xfId="54821"/>
    <cellStyle name="Обычный 6 2 19 2 2" xfId="54822"/>
    <cellStyle name="Процентный 6 2 19 2 2" xfId="54823"/>
    <cellStyle name="Обычный 7 2 19 2 2" xfId="54824"/>
    <cellStyle name="Процентный 7 2 19 2 2" xfId="54825"/>
    <cellStyle name="Обычный 8 15 2 2" xfId="54826"/>
    <cellStyle name="Процентный 8 15 2 2" xfId="54827"/>
    <cellStyle name="Обычный 4 74 2 2" xfId="54828"/>
    <cellStyle name="Процентный 4 74 2 2" xfId="54829"/>
    <cellStyle name="Обычный 5 67 2 2" xfId="54830"/>
    <cellStyle name="Процентный 5 67 2 2" xfId="54831"/>
    <cellStyle name="Обычный 4 2 61 2 2" xfId="54832"/>
    <cellStyle name="Процентный 4 2 61 2 2" xfId="54833"/>
    <cellStyle name="Обычный 5 2 61 2 2" xfId="54834"/>
    <cellStyle name="Процентный 5 2 61 2 2" xfId="54835"/>
    <cellStyle name="Обычный 6 58 2 2" xfId="54836"/>
    <cellStyle name="Процентный 6 58 2 2" xfId="54837"/>
    <cellStyle name="Обычный 7 28 2 2" xfId="54838"/>
    <cellStyle name="Процентный 7 28 2 2" xfId="54839"/>
    <cellStyle name="Обычный 4 3 20 2 2" xfId="54840"/>
    <cellStyle name="Процентный 4 3 20 2 2" xfId="54841"/>
    <cellStyle name="Обычный 5 3 20 2 2" xfId="54842"/>
    <cellStyle name="Процентный 5 3 20 2 2" xfId="54843"/>
    <cellStyle name="Обычный 4 2 2 20 2 2" xfId="54844"/>
    <cellStyle name="Процентный 4 2 2 20 2 2" xfId="54845"/>
    <cellStyle name="Обычный 5 2 2 20 2 2" xfId="54846"/>
    <cellStyle name="Процентный 5 2 2 20 2 2" xfId="54847"/>
    <cellStyle name="Обычный 6 2 20 2 2" xfId="54848"/>
    <cellStyle name="Процентный 6 2 20 2 2" xfId="54849"/>
    <cellStyle name="Обычный 7 2 20 2 2" xfId="54850"/>
    <cellStyle name="Процентный 7 2 20 2 2" xfId="54851"/>
    <cellStyle name="Обычный 8 16 2 2" xfId="54852"/>
    <cellStyle name="Процентный 8 16 2 2" xfId="54853"/>
    <cellStyle name="Обычный 4 75 2 2" xfId="54854"/>
    <cellStyle name="Процентный 4 75 2 2" xfId="54855"/>
    <cellStyle name="Обычный 5 68 2 2" xfId="54856"/>
    <cellStyle name="Процентный 5 68 2 2" xfId="54857"/>
    <cellStyle name="Обычный 4 2 62 2 2" xfId="54858"/>
    <cellStyle name="Процентный 4 2 62 2 2" xfId="54859"/>
    <cellStyle name="Обычный 5 2 62 2 2" xfId="54860"/>
    <cellStyle name="Процентный 5 2 62 2 2" xfId="54861"/>
    <cellStyle name="Обычный 6 59 2 2" xfId="54862"/>
    <cellStyle name="Процентный 6 59 2 2" xfId="54863"/>
    <cellStyle name="Обычный 7 29 2 2" xfId="54864"/>
    <cellStyle name="Процентный 7 29 2 2" xfId="54865"/>
    <cellStyle name="Обычный 4 3 21 2 2" xfId="54866"/>
    <cellStyle name="Процентный 4 3 21 2 2" xfId="54867"/>
    <cellStyle name="Обычный 5 3 21 2 2" xfId="54868"/>
    <cellStyle name="Процентный 5 3 21 2 2" xfId="54869"/>
    <cellStyle name="Обычный 4 2 2 21 2 2" xfId="54870"/>
    <cellStyle name="Процентный 4 2 2 21 2 2" xfId="54871"/>
    <cellStyle name="Обычный 5 2 2 21 2 2" xfId="54872"/>
    <cellStyle name="Процентный 5 2 2 21 2 2" xfId="54873"/>
    <cellStyle name="Обычный 6 2 21 2 2" xfId="54874"/>
    <cellStyle name="Процентный 6 2 21 2 2" xfId="54875"/>
    <cellStyle name="Обычный 7 2 21 2 2" xfId="54876"/>
    <cellStyle name="Процентный 7 2 21 2 2" xfId="54877"/>
    <cellStyle name="Обычный 8 17 2 2" xfId="54878"/>
    <cellStyle name="Процентный 8 17 2 2" xfId="54879"/>
    <cellStyle name="Обычный 4 76 2 2" xfId="54880"/>
    <cellStyle name="Процентный 4 76 2 2" xfId="54881"/>
    <cellStyle name="Обычный 5 69 2 2" xfId="54882"/>
    <cellStyle name="Процентный 5 69 2 2" xfId="54883"/>
    <cellStyle name="Обычный 4 2 63 2 2" xfId="54884"/>
    <cellStyle name="Процентный 4 2 63 2 2" xfId="54885"/>
    <cellStyle name="Обычный 5 2 63 2 2" xfId="54886"/>
    <cellStyle name="Процентный 5 2 63 2 2" xfId="54887"/>
    <cellStyle name="Обычный 6 60 2 2" xfId="54888"/>
    <cellStyle name="Процентный 6 60 2 2" xfId="54889"/>
    <cellStyle name="Обычный 7 30 2 2" xfId="54890"/>
    <cellStyle name="Процентный 7 30 2 2" xfId="54891"/>
    <cellStyle name="Обычный 4 3 22 2 2" xfId="54892"/>
    <cellStyle name="Процентный 4 3 22 2 2" xfId="54893"/>
    <cellStyle name="Обычный 5 3 22 2 2" xfId="54894"/>
    <cellStyle name="Процентный 5 3 22 2 2" xfId="54895"/>
    <cellStyle name="Обычный 4 2 2 22 2 2" xfId="54896"/>
    <cellStyle name="Процентный 4 2 2 22 2 2" xfId="54897"/>
    <cellStyle name="Обычный 5 2 2 22 2 2" xfId="54898"/>
    <cellStyle name="Процентный 5 2 2 22 2 2" xfId="54899"/>
    <cellStyle name="Обычный 6 2 22 2 2" xfId="54900"/>
    <cellStyle name="Процентный 6 2 22 2 2" xfId="54901"/>
    <cellStyle name="Обычный 7 2 22 2 2" xfId="54902"/>
    <cellStyle name="Процентный 7 2 22 2 2" xfId="54903"/>
    <cellStyle name="Обычный 8 18 2 2" xfId="54904"/>
    <cellStyle name="Процентный 8 18 2 2" xfId="54905"/>
    <cellStyle name="Обычный 4 77 2 2" xfId="54906"/>
    <cellStyle name="Процентный 4 77 2 2" xfId="54907"/>
    <cellStyle name="Обычный 5 70 2 2" xfId="54908"/>
    <cellStyle name="Процентный 5 70 2 2" xfId="54909"/>
    <cellStyle name="Обычный 4 2 64 2 2" xfId="54910"/>
    <cellStyle name="Процентный 4 2 64 2 2" xfId="54911"/>
    <cellStyle name="Обычный 5 2 64 2 2" xfId="54912"/>
    <cellStyle name="Процентный 5 2 64 2 2" xfId="54913"/>
    <cellStyle name="Обычный 6 61 2 2" xfId="54914"/>
    <cellStyle name="Процентный 6 61 2 2" xfId="54915"/>
    <cellStyle name="Обычный 7 31 2 2" xfId="54916"/>
    <cellStyle name="Процентный 7 31 2 2" xfId="54917"/>
    <cellStyle name="Обычный 4 3 23 2 2" xfId="54918"/>
    <cellStyle name="Процентный 4 3 23 2 2" xfId="54919"/>
    <cellStyle name="Обычный 5 3 23 2 2" xfId="54920"/>
    <cellStyle name="Процентный 5 3 23 2 2" xfId="54921"/>
    <cellStyle name="Обычный 4 2 2 23 2 2" xfId="54922"/>
    <cellStyle name="Процентный 4 2 2 23 2 2" xfId="54923"/>
    <cellStyle name="Обычный 5 2 2 23 2 2" xfId="54924"/>
    <cellStyle name="Процентный 5 2 2 23 2 2" xfId="54925"/>
    <cellStyle name="Обычный 6 2 23 2 2" xfId="54926"/>
    <cellStyle name="Процентный 6 2 23 2 2" xfId="54927"/>
    <cellStyle name="Обычный 7 2 23 2 2" xfId="54928"/>
    <cellStyle name="Процентный 7 2 23 2 2" xfId="54929"/>
    <cellStyle name="Обычный 8 19 2 2" xfId="54930"/>
    <cellStyle name="Процентный 8 19 2 2" xfId="54931"/>
    <cellStyle name="Обычный 4 78 2 2" xfId="54932"/>
    <cellStyle name="Процентный 4 78 2 2" xfId="54933"/>
    <cellStyle name="Обычный 5 71 2 2" xfId="54934"/>
    <cellStyle name="Процентный 5 71 2 2" xfId="54935"/>
    <cellStyle name="Обычный 4 2 65 2 2" xfId="54936"/>
    <cellStyle name="Процентный 4 2 65 2 2" xfId="54937"/>
    <cellStyle name="Обычный 5 2 65 2 2" xfId="54938"/>
    <cellStyle name="Процентный 5 2 65 2 2" xfId="54939"/>
    <cellStyle name="Обычный 6 62 2 2" xfId="54940"/>
    <cellStyle name="Процентный 6 62 2 2" xfId="54941"/>
    <cellStyle name="Обычный 7 32 2 2" xfId="54942"/>
    <cellStyle name="Процентный 7 32 2 2" xfId="54943"/>
    <cellStyle name="Обычный 4 3 24 2 2" xfId="54944"/>
    <cellStyle name="Процентный 4 3 24 2 2" xfId="54945"/>
    <cellStyle name="Обычный 5 3 24 2 2" xfId="54946"/>
    <cellStyle name="Процентный 5 3 24 2 2" xfId="54947"/>
    <cellStyle name="Обычный 4 2 2 24 2 2" xfId="54948"/>
    <cellStyle name="Процентный 4 2 2 24 2 2" xfId="54949"/>
    <cellStyle name="Обычный 5 2 2 24 2 2" xfId="54950"/>
    <cellStyle name="Процентный 5 2 2 24 2 2" xfId="54951"/>
    <cellStyle name="Обычный 6 2 24 2 2" xfId="54952"/>
    <cellStyle name="Процентный 6 2 24 2 2" xfId="54953"/>
    <cellStyle name="Обычный 7 2 24 2 2" xfId="54954"/>
    <cellStyle name="Процентный 7 2 24 2 2" xfId="54955"/>
    <cellStyle name="Обычный 8 20 2 2" xfId="54956"/>
    <cellStyle name="Процентный 8 20 2 2" xfId="54957"/>
    <cellStyle name="Обычный 4 79 2 2" xfId="54958"/>
    <cellStyle name="Процентный 4 79 2 2" xfId="54959"/>
    <cellStyle name="Обычный 5 72 2 2" xfId="54960"/>
    <cellStyle name="Процентный 5 72 2 2" xfId="54961"/>
    <cellStyle name="Обычный 4 2 66 2 2" xfId="54962"/>
    <cellStyle name="Процентный 4 2 66 2 2" xfId="54963"/>
    <cellStyle name="Обычный 5 2 66 2 2" xfId="54964"/>
    <cellStyle name="Процентный 5 2 66 2 2" xfId="54965"/>
    <cellStyle name="Обычный 6 63 2 2" xfId="54966"/>
    <cellStyle name="Процентный 6 63 2 2" xfId="54967"/>
    <cellStyle name="Обычный 7 33 2 2" xfId="54968"/>
    <cellStyle name="Процентный 7 33 2 2" xfId="54969"/>
    <cellStyle name="Обычный 4 3 25 2 2" xfId="54970"/>
    <cellStyle name="Процентный 4 3 25 2 2" xfId="54971"/>
    <cellStyle name="Обычный 5 3 25 2 2" xfId="54972"/>
    <cellStyle name="Процентный 5 3 25 2 2" xfId="54973"/>
    <cellStyle name="Обычный 4 2 2 25 2 2" xfId="54974"/>
    <cellStyle name="Процентный 4 2 2 25 2 2" xfId="54975"/>
    <cellStyle name="Обычный 5 2 2 25 2 2" xfId="54976"/>
    <cellStyle name="Процентный 5 2 2 25 2 2" xfId="54977"/>
    <cellStyle name="Обычный 6 2 25 2 2" xfId="54978"/>
    <cellStyle name="Процентный 6 2 25 2 2" xfId="54979"/>
    <cellStyle name="Обычный 7 2 25 2 2" xfId="54980"/>
    <cellStyle name="Процентный 7 2 25 2 2" xfId="54981"/>
    <cellStyle name="Обычный 8 21 2 2" xfId="54982"/>
    <cellStyle name="Процентный 8 21 2 2" xfId="54983"/>
    <cellStyle name="Обычный 4 80 2 2" xfId="54984"/>
    <cellStyle name="Процентный 4 80 2 2" xfId="54985"/>
    <cellStyle name="Обычный 5 73 2 2" xfId="54986"/>
    <cellStyle name="Процентный 5 73 2 2" xfId="54987"/>
    <cellStyle name="Обычный 4 2 67 2 2" xfId="54988"/>
    <cellStyle name="Процентный 4 2 67 2 2" xfId="54989"/>
    <cellStyle name="Обычный 5 2 67 2 2" xfId="54990"/>
    <cellStyle name="Процентный 5 2 67 2 2" xfId="54991"/>
    <cellStyle name="Обычный 6 64 2 2" xfId="54992"/>
    <cellStyle name="Процентный 6 64 2 2" xfId="54993"/>
    <cellStyle name="Обычный 7 34 2 2" xfId="54994"/>
    <cellStyle name="Процентный 7 34 2 2" xfId="54995"/>
    <cellStyle name="Обычный 4 3 26 2 2" xfId="54996"/>
    <cellStyle name="Процентный 4 3 26 2 2" xfId="54997"/>
    <cellStyle name="Обычный 5 3 26 2 2" xfId="54998"/>
    <cellStyle name="Процентный 5 3 26 2 2" xfId="54999"/>
    <cellStyle name="Обычный 4 2 2 26 2 2" xfId="55000"/>
    <cellStyle name="Процентный 4 2 2 26 2 2" xfId="55001"/>
    <cellStyle name="Обычный 5 2 2 26 2 2" xfId="55002"/>
    <cellStyle name="Процентный 5 2 2 26 2 2" xfId="55003"/>
    <cellStyle name="Обычный 6 2 26 2 2" xfId="55004"/>
    <cellStyle name="Процентный 6 2 26 2 2" xfId="55005"/>
    <cellStyle name="Обычный 7 2 26 2 2" xfId="55006"/>
    <cellStyle name="Процентный 7 2 26 2 2" xfId="55007"/>
    <cellStyle name="Обычный 8 22 2 2" xfId="55008"/>
    <cellStyle name="Процентный 8 22 2 2" xfId="55009"/>
    <cellStyle name="Обычный 4 81 2 2" xfId="55010"/>
    <cellStyle name="Процентный 4 81 2 2" xfId="55011"/>
    <cellStyle name="Обычный 5 74 2 2" xfId="55012"/>
    <cellStyle name="Процентный 5 74 2 2" xfId="55013"/>
    <cellStyle name="Обычный 4 2 68 2 2" xfId="55014"/>
    <cellStyle name="Процентный 4 2 68 2 2" xfId="55015"/>
    <cellStyle name="Обычный 5 2 68 2 2" xfId="55016"/>
    <cellStyle name="Процентный 5 2 68 2 2" xfId="55017"/>
    <cellStyle name="Обычный 6 65 2 2" xfId="55018"/>
    <cellStyle name="Процентный 6 65 2 2" xfId="55019"/>
    <cellStyle name="Обычный 7 35 2 2" xfId="55020"/>
    <cellStyle name="Процентный 7 35 2 2" xfId="55021"/>
    <cellStyle name="Обычный 4 3 27 2 2" xfId="55022"/>
    <cellStyle name="Процентный 4 3 27 2 2" xfId="55023"/>
    <cellStyle name="Обычный 5 3 27 2 2" xfId="55024"/>
    <cellStyle name="Процентный 5 3 27 2 2" xfId="55025"/>
    <cellStyle name="Обычный 4 2 2 27 2 2" xfId="55026"/>
    <cellStyle name="Процентный 4 2 2 27 2 2" xfId="55027"/>
    <cellStyle name="Обычный 5 2 2 27 2 2" xfId="55028"/>
    <cellStyle name="Процентный 5 2 2 27 2 2" xfId="55029"/>
    <cellStyle name="Обычный 6 2 27 2 2" xfId="55030"/>
    <cellStyle name="Процентный 6 2 27 2 2" xfId="55031"/>
    <cellStyle name="Обычный 7 2 27 2 2" xfId="55032"/>
    <cellStyle name="Процентный 7 2 27 2 2" xfId="55033"/>
    <cellStyle name="Обычный 8 23 2 2" xfId="55034"/>
    <cellStyle name="Процентный 8 23 2 2" xfId="55035"/>
    <cellStyle name="Обычный 4 82 2 2" xfId="55036"/>
    <cellStyle name="Процентный 4 82 2 2" xfId="55037"/>
    <cellStyle name="Обычный 5 75 2 2" xfId="55038"/>
    <cellStyle name="Процентный 5 75 2 2" xfId="55039"/>
    <cellStyle name="Обычный 4 2 69 2 2" xfId="55040"/>
    <cellStyle name="Процентный 4 2 69 2 2" xfId="55041"/>
    <cellStyle name="Обычный 5 2 69 2 2" xfId="55042"/>
    <cellStyle name="Процентный 5 2 69 2 2" xfId="55043"/>
    <cellStyle name="Обычный 6 66 2 2" xfId="55044"/>
    <cellStyle name="Процентный 6 66 2 2" xfId="55045"/>
    <cellStyle name="Обычный 7 36 2 2" xfId="55046"/>
    <cellStyle name="Процентный 7 36 2 2" xfId="55047"/>
    <cellStyle name="Обычный 4 3 28 2 2" xfId="55048"/>
    <cellStyle name="Процентный 4 3 28 2 2" xfId="55049"/>
    <cellStyle name="Обычный 5 3 28 2 2" xfId="55050"/>
    <cellStyle name="Процентный 5 3 28 2 2" xfId="55051"/>
    <cellStyle name="Обычный 4 2 2 28 2 2" xfId="55052"/>
    <cellStyle name="Процентный 4 2 2 28 2 2" xfId="55053"/>
    <cellStyle name="Обычный 5 2 2 28 2 2" xfId="55054"/>
    <cellStyle name="Процентный 5 2 2 28 2 2" xfId="55055"/>
    <cellStyle name="Обычный 6 2 28 2 2" xfId="55056"/>
    <cellStyle name="Процентный 6 2 28 2 2" xfId="55057"/>
    <cellStyle name="Обычный 7 2 28 2 2" xfId="55058"/>
    <cellStyle name="Процентный 7 2 28 2 2" xfId="55059"/>
    <cellStyle name="Обычный 8 24 2 2" xfId="55060"/>
    <cellStyle name="Процентный 8 24 2 2" xfId="55061"/>
    <cellStyle name="Обычный 4 83 2 2" xfId="55062"/>
    <cellStyle name="Процентный 4 83 2 2" xfId="55063"/>
    <cellStyle name="Обычный 5 76 2 2" xfId="55064"/>
    <cellStyle name="Процентный 5 76 2 2" xfId="55065"/>
    <cellStyle name="Обычный 4 2 70 2 2" xfId="55066"/>
    <cellStyle name="Процентный 4 2 70 2 2" xfId="55067"/>
    <cellStyle name="Обычный 5 2 70 2 2" xfId="55068"/>
    <cellStyle name="Процентный 5 2 70 2 2" xfId="55069"/>
    <cellStyle name="Обычный 6 67 2 2" xfId="55070"/>
    <cellStyle name="Процентный 6 67 2 2" xfId="55071"/>
    <cellStyle name="Обычный 7 37 2 2" xfId="55072"/>
    <cellStyle name="Процентный 7 37 2 2" xfId="55073"/>
    <cellStyle name="Обычный 4 3 29 2 2" xfId="55074"/>
    <cellStyle name="Процентный 4 3 29 2 2" xfId="55075"/>
    <cellStyle name="Обычный 5 3 29 2 2" xfId="55076"/>
    <cellStyle name="Процентный 5 3 29 2 2" xfId="55077"/>
    <cellStyle name="Обычный 4 2 2 29 2 2" xfId="55078"/>
    <cellStyle name="Процентный 4 2 2 29 2 2" xfId="55079"/>
    <cellStyle name="Обычный 5 2 2 29 2 2" xfId="55080"/>
    <cellStyle name="Процентный 5 2 2 29 2 2" xfId="55081"/>
    <cellStyle name="Обычный 6 2 29 2 2" xfId="55082"/>
    <cellStyle name="Процентный 6 2 29 2 2" xfId="55083"/>
    <cellStyle name="Обычный 7 2 29 2 2" xfId="55084"/>
    <cellStyle name="Процентный 7 2 29 2 2" xfId="55085"/>
    <cellStyle name="Обычный 8 25 2 2" xfId="55086"/>
    <cellStyle name="Процентный 8 25 2 2" xfId="55087"/>
    <cellStyle name="Обычный 4 84 2 2" xfId="55088"/>
    <cellStyle name="Процентный 4 84 2 2" xfId="55089"/>
    <cellStyle name="Обычный 5 77 2 2" xfId="55090"/>
    <cellStyle name="Процентный 5 77 2 2" xfId="55091"/>
    <cellStyle name="Обычный 4 2 71 2 2" xfId="55092"/>
    <cellStyle name="Процентный 4 2 71 2 2" xfId="55093"/>
    <cellStyle name="Обычный 5 2 71 2 2" xfId="55094"/>
    <cellStyle name="Процентный 5 2 71 2 2" xfId="55095"/>
    <cellStyle name="Обычный 6 68 2 2" xfId="55096"/>
    <cellStyle name="Процентный 6 68 2 2" xfId="55097"/>
    <cellStyle name="Обычный 7 38 2 2" xfId="55098"/>
    <cellStyle name="Процентный 7 38 2 2" xfId="55099"/>
    <cellStyle name="Обычный 4 3 30 2 2" xfId="55100"/>
    <cellStyle name="Процентный 4 3 30 2 2" xfId="55101"/>
    <cellStyle name="Обычный 5 3 30 2 2" xfId="55102"/>
    <cellStyle name="Процентный 5 3 30 2 2" xfId="55103"/>
    <cellStyle name="Обычный 4 2 2 30 2 2" xfId="55104"/>
    <cellStyle name="Процентный 4 2 2 30 2 2" xfId="55105"/>
    <cellStyle name="Обычный 5 2 2 30 2 2" xfId="55106"/>
    <cellStyle name="Процентный 5 2 2 30 2 2" xfId="55107"/>
    <cellStyle name="Обычный 6 2 30 2 2" xfId="55108"/>
    <cellStyle name="Процентный 6 2 30 2 2" xfId="55109"/>
    <cellStyle name="Обычный 7 2 30 2 2" xfId="55110"/>
    <cellStyle name="Процентный 7 2 30 2 2" xfId="55111"/>
    <cellStyle name="Обычный 8 26 2 2" xfId="55112"/>
    <cellStyle name="Процентный 8 26 2 2" xfId="55113"/>
    <cellStyle name="Обычный 4 85 2 2" xfId="55114"/>
    <cellStyle name="Процентный 4 85 2 2" xfId="55115"/>
    <cellStyle name="Обычный 5 78 2 2" xfId="55116"/>
    <cellStyle name="Процентный 5 78 2 2" xfId="55117"/>
    <cellStyle name="Обычный 4 2 72 2 2" xfId="55118"/>
    <cellStyle name="Процентный 4 2 72 2 2" xfId="55119"/>
    <cellStyle name="Обычный 5 2 72 2 2" xfId="55120"/>
    <cellStyle name="Процентный 5 2 72 2 2" xfId="55121"/>
    <cellStyle name="Обычный 6 69 2 2" xfId="55122"/>
    <cellStyle name="Процентный 6 69 2 2" xfId="55123"/>
    <cellStyle name="Обычный 7 39 2 2" xfId="55124"/>
    <cellStyle name="Процентный 7 39 2 2" xfId="55125"/>
    <cellStyle name="Обычный 4 3 31 2 2" xfId="55126"/>
    <cellStyle name="Процентный 4 3 31 2 2" xfId="55127"/>
    <cellStyle name="Обычный 5 3 31 2 2" xfId="55128"/>
    <cellStyle name="Процентный 5 3 31 2 2" xfId="55129"/>
    <cellStyle name="Обычный 4 2 2 31 2 2" xfId="55130"/>
    <cellStyle name="Процентный 4 2 2 31 2 2" xfId="55131"/>
    <cellStyle name="Обычный 5 2 2 31 2 2" xfId="55132"/>
    <cellStyle name="Процентный 5 2 2 31 2 2" xfId="55133"/>
    <cellStyle name="Обычный 6 2 31 2 2" xfId="55134"/>
    <cellStyle name="Процентный 6 2 31 2 2" xfId="55135"/>
    <cellStyle name="Обычный 7 2 31 2 2" xfId="55136"/>
    <cellStyle name="Процентный 7 2 31 2 2" xfId="55137"/>
    <cellStyle name="Обычный 8 27 2 2" xfId="55138"/>
    <cellStyle name="Процентный 8 27 2 2" xfId="55139"/>
    <cellStyle name="Обычный 4 86 2 2" xfId="55140"/>
    <cellStyle name="Процентный 4 86 2 2" xfId="55141"/>
    <cellStyle name="Обычный 5 79 2 2" xfId="55142"/>
    <cellStyle name="Процентный 5 79 2 2" xfId="55143"/>
    <cellStyle name="Обычный 4 2 73 2 2" xfId="55144"/>
    <cellStyle name="Процентный 4 2 73 2 2" xfId="55145"/>
    <cellStyle name="Обычный 5 2 73 2 2" xfId="55146"/>
    <cellStyle name="Процентный 5 2 73 2 2" xfId="55147"/>
    <cellStyle name="Обычный 6 70 2 2" xfId="55148"/>
    <cellStyle name="Процентный 6 70 2 2" xfId="55149"/>
    <cellStyle name="Обычный 7 40 2 2" xfId="55150"/>
    <cellStyle name="Процентный 7 40 2 2" xfId="55151"/>
    <cellStyle name="Обычный 4 3 32 2 2" xfId="55152"/>
    <cellStyle name="Процентный 4 3 32 2 2" xfId="55153"/>
    <cellStyle name="Обычный 5 3 32 2 2" xfId="55154"/>
    <cellStyle name="Процентный 5 3 32 2 2" xfId="55155"/>
    <cellStyle name="Обычный 4 2 2 32 2 2" xfId="55156"/>
    <cellStyle name="Процентный 4 2 2 32 2 2" xfId="55157"/>
    <cellStyle name="Обычный 5 2 2 32 2 2" xfId="55158"/>
    <cellStyle name="Процентный 5 2 2 32 2 2" xfId="55159"/>
    <cellStyle name="Обычный 6 2 32 2 2" xfId="55160"/>
    <cellStyle name="Процентный 6 2 32 2 2" xfId="55161"/>
    <cellStyle name="Обычный 7 2 32 2 2" xfId="55162"/>
    <cellStyle name="Процентный 7 2 32 2 2" xfId="55163"/>
    <cellStyle name="Обычный 8 28 2 2" xfId="55164"/>
    <cellStyle name="Процентный 8 28 2 2" xfId="55165"/>
    <cellStyle name="Обычный 4 87 2 2" xfId="55166"/>
    <cellStyle name="Процентный 4 87 2 2" xfId="55167"/>
    <cellStyle name="Обычный 5 80 2 2" xfId="55168"/>
    <cellStyle name="Процентный 5 80 2 2" xfId="55169"/>
    <cellStyle name="Обычный 4 2 74 2 2" xfId="55170"/>
    <cellStyle name="Процентный 4 2 74 2 2" xfId="55171"/>
    <cellStyle name="Обычный 5 2 74 2 2" xfId="55172"/>
    <cellStyle name="Процентный 5 2 74 2 2" xfId="55173"/>
    <cellStyle name="Обычный 6 71 2 2" xfId="55174"/>
    <cellStyle name="Процентный 6 71 2 2" xfId="55175"/>
    <cellStyle name="Обычный 7 41 2 2" xfId="55176"/>
    <cellStyle name="Процентный 7 41 2 2" xfId="55177"/>
    <cellStyle name="Обычный 4 3 33 2 2" xfId="55178"/>
    <cellStyle name="Процентный 4 3 33 2 2" xfId="55179"/>
    <cellStyle name="Обычный 5 3 33 2 2" xfId="55180"/>
    <cellStyle name="Процентный 5 3 33 2 2" xfId="55181"/>
    <cellStyle name="Обычный 4 2 2 33 2 2" xfId="55182"/>
    <cellStyle name="Процентный 4 2 2 33 2 2" xfId="55183"/>
    <cellStyle name="Обычный 5 2 2 33 2 2" xfId="55184"/>
    <cellStyle name="Процентный 5 2 2 33 2 2" xfId="55185"/>
    <cellStyle name="Обычный 6 2 33 2 2" xfId="55186"/>
    <cellStyle name="Процентный 6 2 33 2 2" xfId="55187"/>
    <cellStyle name="Обычный 7 2 33 2 2" xfId="55188"/>
    <cellStyle name="Процентный 7 2 33 2 2" xfId="55189"/>
    <cellStyle name="Обычный 8 29 2 2" xfId="55190"/>
    <cellStyle name="Процентный 8 29 2 2" xfId="55191"/>
    <cellStyle name="Обычный 4 88 2 2" xfId="55192"/>
    <cellStyle name="Процентный 4 88 2 2" xfId="55193"/>
    <cellStyle name="Обычный 5 81 2 2" xfId="55194"/>
    <cellStyle name="Процентный 5 81 2 2" xfId="55195"/>
    <cellStyle name="Обычный 4 2 75 2 2" xfId="55196"/>
    <cellStyle name="Процентный 4 2 75 2 2" xfId="55197"/>
    <cellStyle name="Обычный 5 2 75 2 2" xfId="55198"/>
    <cellStyle name="Процентный 5 2 75 2 2" xfId="55199"/>
    <cellStyle name="Обычный 6 72 2 2" xfId="55200"/>
    <cellStyle name="Процентный 6 72 2 2" xfId="55201"/>
    <cellStyle name="Обычный 7 42 2 2" xfId="55202"/>
    <cellStyle name="Процентный 7 42 2 2" xfId="55203"/>
    <cellStyle name="Обычный 4 3 34 2 2" xfId="55204"/>
    <cellStyle name="Процентный 4 3 34 2 2" xfId="55205"/>
    <cellStyle name="Обычный 5 3 34 2 2" xfId="55206"/>
    <cellStyle name="Процентный 5 3 34 2 2" xfId="55207"/>
    <cellStyle name="Обычный 4 2 2 34 2 2" xfId="55208"/>
    <cellStyle name="Процентный 4 2 2 34 2 2" xfId="55209"/>
    <cellStyle name="Обычный 5 2 2 34 2 2" xfId="55210"/>
    <cellStyle name="Процентный 5 2 2 34 2 2" xfId="55211"/>
    <cellStyle name="Обычный 6 2 34 2 2" xfId="55212"/>
    <cellStyle name="Процентный 6 2 34 2 2" xfId="55213"/>
    <cellStyle name="Обычный 7 2 34 2 2" xfId="55214"/>
    <cellStyle name="Процентный 7 2 34 2 2" xfId="55215"/>
    <cellStyle name="Обычный 8 30 2 2" xfId="55216"/>
    <cellStyle name="Процентный 8 30 2 2" xfId="55217"/>
    <cellStyle name="Обычный 4 89 2 2" xfId="55218"/>
    <cellStyle name="Процентный 4 89 2 2" xfId="55219"/>
    <cellStyle name="Обычный 5 82 2 2" xfId="55220"/>
    <cellStyle name="Процентный 5 82 2 2" xfId="55221"/>
    <cellStyle name="Обычный 4 2 76 2 2" xfId="55222"/>
    <cellStyle name="Процентный 4 2 76 2 2" xfId="55223"/>
    <cellStyle name="Обычный 5 2 76 2 2" xfId="55224"/>
    <cellStyle name="Процентный 5 2 76 2 2" xfId="55225"/>
    <cellStyle name="Обычный 6 73 2 2" xfId="55226"/>
    <cellStyle name="Процентный 6 73 2 2" xfId="55227"/>
    <cellStyle name="Обычный 7 43 2 2" xfId="55228"/>
    <cellStyle name="Процентный 7 43 2 2" xfId="55229"/>
    <cellStyle name="Обычный 4 3 35 2 2" xfId="55230"/>
    <cellStyle name="Процентный 4 3 35 2 2" xfId="55231"/>
    <cellStyle name="Обычный 5 3 35 2 2" xfId="55232"/>
    <cellStyle name="Процентный 5 3 35 2 2" xfId="55233"/>
    <cellStyle name="Обычный 4 2 2 35 2 2" xfId="55234"/>
    <cellStyle name="Процентный 4 2 2 35 2 2" xfId="55235"/>
    <cellStyle name="Обычный 5 2 2 35 2 2" xfId="55236"/>
    <cellStyle name="Процентный 5 2 2 35 2 2" xfId="55237"/>
    <cellStyle name="Обычный 6 2 35 2 2" xfId="55238"/>
    <cellStyle name="Процентный 6 2 35 2 2" xfId="55239"/>
    <cellStyle name="Обычный 7 2 35 2 2" xfId="55240"/>
    <cellStyle name="Процентный 7 2 35 2 2" xfId="55241"/>
    <cellStyle name="Обычный 8 31 2 2" xfId="55242"/>
    <cellStyle name="Процентный 8 31 2 2" xfId="55243"/>
    <cellStyle name="Обычный 4 90 2 2" xfId="55244"/>
    <cellStyle name="Процентный 4 90 2 2" xfId="55245"/>
    <cellStyle name="Обычный 5 83 2 2" xfId="55246"/>
    <cellStyle name="Процентный 5 83 2 2" xfId="55247"/>
    <cellStyle name="Обычный 4 2 77 2 2" xfId="55248"/>
    <cellStyle name="Процентный 4 2 77 2 2" xfId="55249"/>
    <cellStyle name="Обычный 5 2 77 2 2" xfId="55250"/>
    <cellStyle name="Процентный 5 2 77 2 2" xfId="55251"/>
    <cellStyle name="Обычный 6 74 2 2" xfId="55252"/>
    <cellStyle name="Процентный 6 74 2 2" xfId="55253"/>
    <cellStyle name="Обычный 7 44 2 2" xfId="55254"/>
    <cellStyle name="Процентный 7 44 2 2" xfId="55255"/>
    <cellStyle name="Обычный 4 3 36 2 2" xfId="55256"/>
    <cellStyle name="Процентный 4 3 36 2 2" xfId="55257"/>
    <cellStyle name="Обычный 5 3 36 2 2" xfId="55258"/>
    <cellStyle name="Процентный 5 3 36 2 2" xfId="55259"/>
    <cellStyle name="Обычный 4 2 2 36 2 2" xfId="55260"/>
    <cellStyle name="Процентный 4 2 2 36 2 2" xfId="55261"/>
    <cellStyle name="Обычный 5 2 2 36 2 2" xfId="55262"/>
    <cellStyle name="Процентный 5 2 2 36 2 2" xfId="55263"/>
    <cellStyle name="Обычный 6 2 36 2 2" xfId="55264"/>
    <cellStyle name="Процентный 6 2 36 2 2" xfId="55265"/>
    <cellStyle name="Обычный 7 2 36 2 2" xfId="55266"/>
    <cellStyle name="Процентный 7 2 36 2 2" xfId="55267"/>
    <cellStyle name="Обычный 8 32 2 2" xfId="55268"/>
    <cellStyle name="Процентный 8 32 2 2" xfId="55269"/>
    <cellStyle name="Обычный 4 91 2 2" xfId="55270"/>
    <cellStyle name="Процентный 4 91 2 2" xfId="55271"/>
    <cellStyle name="Обычный 5 84 2 2" xfId="55272"/>
    <cellStyle name="Процентный 5 84 2 2" xfId="55273"/>
    <cellStyle name="Обычный 4 2 78 2 2" xfId="55274"/>
    <cellStyle name="Процентный 4 2 78 2 2" xfId="55275"/>
    <cellStyle name="Обычный 5 2 78 2 2" xfId="55276"/>
    <cellStyle name="Процентный 5 2 78 2 2" xfId="55277"/>
    <cellStyle name="Обычный 6 75 2 2" xfId="55278"/>
    <cellStyle name="Процентный 6 75 2 2" xfId="55279"/>
    <cellStyle name="Обычный 7 45 2 2" xfId="55280"/>
    <cellStyle name="Процентный 7 45 2 2" xfId="55281"/>
    <cellStyle name="Обычный 4 3 37 2 2" xfId="55282"/>
    <cellStyle name="Процентный 4 3 37 2 2" xfId="55283"/>
    <cellStyle name="Обычный 5 3 37 2 2" xfId="55284"/>
    <cellStyle name="Процентный 5 3 37 2 2" xfId="55285"/>
    <cellStyle name="Обычный 4 2 2 37 2 2" xfId="55286"/>
    <cellStyle name="Процентный 4 2 2 37 2 2" xfId="55287"/>
    <cellStyle name="Обычный 5 2 2 37 2 2" xfId="55288"/>
    <cellStyle name="Процентный 5 2 2 37 2 2" xfId="55289"/>
    <cellStyle name="Обычный 6 2 37 2 2" xfId="55290"/>
    <cellStyle name="Процентный 6 2 37 2 2" xfId="55291"/>
    <cellStyle name="Обычный 7 2 37 2 2" xfId="55292"/>
    <cellStyle name="Процентный 7 2 37 2 2" xfId="55293"/>
    <cellStyle name="Обычный 8 33 2 2" xfId="55294"/>
    <cellStyle name="Процентный 8 33 2 2" xfId="55295"/>
    <cellStyle name="Обычный 4 92 2 2" xfId="55296"/>
    <cellStyle name="Процентный 4 92 2 2" xfId="55297"/>
    <cellStyle name="Обычный 5 85 2 2" xfId="55298"/>
    <cellStyle name="Процентный 5 85 2 2" xfId="55299"/>
    <cellStyle name="Обычный 4 2 79 2 2" xfId="55300"/>
    <cellStyle name="Процентный 4 2 79 2 2" xfId="55301"/>
    <cellStyle name="Обычный 5 2 79 2 2" xfId="55302"/>
    <cellStyle name="Процентный 5 2 79 2 2" xfId="55303"/>
    <cellStyle name="Обычный 6 76 2 2" xfId="55304"/>
    <cellStyle name="Процентный 6 76 2 2" xfId="55305"/>
    <cellStyle name="Обычный 7 46 2 2" xfId="55306"/>
    <cellStyle name="Процентный 7 46 2 2" xfId="55307"/>
    <cellStyle name="Обычный 4 3 38 2 2" xfId="55308"/>
    <cellStyle name="Процентный 4 3 38 2 2" xfId="55309"/>
    <cellStyle name="Обычный 5 3 38 2 2" xfId="55310"/>
    <cellStyle name="Процентный 5 3 38 2 2" xfId="55311"/>
    <cellStyle name="Обычный 4 2 2 38 2 2" xfId="55312"/>
    <cellStyle name="Процентный 4 2 2 38 2 2" xfId="55313"/>
    <cellStyle name="Обычный 5 2 2 38 2 2" xfId="55314"/>
    <cellStyle name="Процентный 5 2 2 38 2 2" xfId="55315"/>
    <cellStyle name="Обычный 6 2 38 2 2" xfId="55316"/>
    <cellStyle name="Процентный 6 2 38 2 2" xfId="55317"/>
    <cellStyle name="Обычный 7 2 38 2 2" xfId="55318"/>
    <cellStyle name="Процентный 7 2 38 2 2" xfId="55319"/>
    <cellStyle name="Обычный 8 34 2 2" xfId="55320"/>
    <cellStyle name="Процентный 8 34 2 2" xfId="55321"/>
    <cellStyle name="Обычный 4 93 2 2" xfId="55322"/>
    <cellStyle name="Процентный 4 93 2 2" xfId="55323"/>
    <cellStyle name="Обычный 5 86 2 2" xfId="55324"/>
    <cellStyle name="Процентный 5 86 2 2" xfId="55325"/>
    <cellStyle name="Обычный 4 2 80 2 2" xfId="55326"/>
    <cellStyle name="Процентный 4 2 80 2 2" xfId="55327"/>
    <cellStyle name="Обычный 5 2 80 2 2" xfId="55328"/>
    <cellStyle name="Процентный 5 2 80 2 2" xfId="55329"/>
    <cellStyle name="Обычный 6 77 2 2" xfId="55330"/>
    <cellStyle name="Процентный 6 77 2 2" xfId="55331"/>
    <cellStyle name="Обычный 7 47 2 2" xfId="55332"/>
    <cellStyle name="Процентный 7 47 2 2" xfId="55333"/>
    <cellStyle name="Обычный 4 3 39 2 2" xfId="55334"/>
    <cellStyle name="Процентный 4 3 39 2 2" xfId="55335"/>
    <cellStyle name="Обычный 5 3 39 2 2" xfId="55336"/>
    <cellStyle name="Процентный 5 3 39 2 2" xfId="55337"/>
    <cellStyle name="Обычный 4 2 2 39 2 2" xfId="55338"/>
    <cellStyle name="Процентный 4 2 2 39 2 2" xfId="55339"/>
    <cellStyle name="Обычный 5 2 2 39 2 2" xfId="55340"/>
    <cellStyle name="Процентный 5 2 2 39 2 2" xfId="55341"/>
    <cellStyle name="Обычный 6 2 39 2 2" xfId="55342"/>
    <cellStyle name="Процентный 6 2 39 2 2" xfId="55343"/>
    <cellStyle name="Обычный 7 2 39 2 2" xfId="55344"/>
    <cellStyle name="Процентный 7 2 39 2 2" xfId="55345"/>
    <cellStyle name="Обычный 8 35 2 2" xfId="55346"/>
    <cellStyle name="Процентный 8 35 2 2" xfId="55347"/>
    <cellStyle name="Обычный 9 111 2" xfId="55348"/>
    <cellStyle name="Процентный 9 2 2 2" xfId="55349"/>
    <cellStyle name="Обычный 4 94 2 2" xfId="55350"/>
    <cellStyle name="Процентный 4 94 2 2" xfId="55351"/>
    <cellStyle name="Обычный 5 87 2 2" xfId="55352"/>
    <cellStyle name="Процентный 5 87 2 2" xfId="55353"/>
    <cellStyle name="Обычный 4 2 81 2 2" xfId="55354"/>
    <cellStyle name="Процентный 4 2 81 2 2" xfId="55355"/>
    <cellStyle name="Обычный 5 2 81 2 2" xfId="55356"/>
    <cellStyle name="Процентный 5 2 81 2 2" xfId="55357"/>
    <cellStyle name="Обычный 6 78 2 2" xfId="55358"/>
    <cellStyle name="Процентный 6 78 2 2" xfId="55359"/>
    <cellStyle name="Обычный 7 48 2 2" xfId="55360"/>
    <cellStyle name="Процентный 7 48 2 2" xfId="55361"/>
    <cellStyle name="Обычный 4 3 40 2 2" xfId="55362"/>
    <cellStyle name="Процентный 4 3 40 2 2" xfId="55363"/>
    <cellStyle name="Обычный 5 3 40 2 2" xfId="55364"/>
    <cellStyle name="Процентный 5 3 40 2 2" xfId="55365"/>
    <cellStyle name="Обычный 4 2 2 40 2 2" xfId="55366"/>
    <cellStyle name="Процентный 4 2 2 40 2 2" xfId="55367"/>
    <cellStyle name="Обычный 5 2 2 40 2 2" xfId="55368"/>
    <cellStyle name="Процентный 5 2 2 40 2 2" xfId="55369"/>
    <cellStyle name="Обычный 6 2 40 2 2" xfId="55370"/>
    <cellStyle name="Процентный 6 2 40 2 2" xfId="55371"/>
    <cellStyle name="Обычный 7 2 40 2 2" xfId="55372"/>
    <cellStyle name="Процентный 7 2 40 2 2" xfId="55373"/>
    <cellStyle name="Обычный 8 36 2 2" xfId="55374"/>
    <cellStyle name="Процентный 8 36 2 2" xfId="55375"/>
    <cellStyle name="Обычный 9 2 2 2" xfId="55376"/>
    <cellStyle name="Процентный 9 3 2 2" xfId="55377"/>
    <cellStyle name="Обычный 4 95 2 2" xfId="55378"/>
    <cellStyle name="Процентный 4 95 2 2" xfId="55379"/>
    <cellStyle name="Обычный 5 88 2 2" xfId="55380"/>
    <cellStyle name="Процентный 5 88 2 2" xfId="55381"/>
    <cellStyle name="Обычный 4 2 82 2 2" xfId="55382"/>
    <cellStyle name="Процентный 4 2 82 2 2" xfId="55383"/>
    <cellStyle name="Обычный 5 2 82 2 2" xfId="55384"/>
    <cellStyle name="Процентный 5 2 82 2 2" xfId="55385"/>
    <cellStyle name="Обычный 6 79 2 2" xfId="55386"/>
    <cellStyle name="Процентный 6 79 2 2" xfId="55387"/>
    <cellStyle name="Обычный 7 49 2 2" xfId="55388"/>
    <cellStyle name="Процентный 7 49 2 2" xfId="55389"/>
    <cellStyle name="Обычный 4 3 41 2 2" xfId="55390"/>
    <cellStyle name="Процентный 4 3 41 2 2" xfId="55391"/>
    <cellStyle name="Обычный 5 3 41 2 2" xfId="55392"/>
    <cellStyle name="Процентный 5 3 41 2 2" xfId="55393"/>
    <cellStyle name="Обычный 4 2 2 41 2 2" xfId="55394"/>
    <cellStyle name="Процентный 4 2 2 41 2 2" xfId="55395"/>
    <cellStyle name="Обычный 5 2 2 41 2 2" xfId="55396"/>
    <cellStyle name="Процентный 5 2 2 41 2 2" xfId="55397"/>
    <cellStyle name="Обычный 6 2 41 2 2" xfId="55398"/>
    <cellStyle name="Процентный 6 2 41 2 2" xfId="55399"/>
    <cellStyle name="Обычный 7 2 41 2 2" xfId="55400"/>
    <cellStyle name="Процентный 7 2 41 2 2" xfId="55401"/>
    <cellStyle name="Обычный 8 37 2 2" xfId="55402"/>
    <cellStyle name="Процентный 8 37 2 2" xfId="55403"/>
    <cellStyle name="Обычный 9 3 2 2" xfId="55404"/>
    <cellStyle name="Процентный 9 4 2 2" xfId="55405"/>
    <cellStyle name="Обычный 4 96 2 2" xfId="55406"/>
    <cellStyle name="Процентный 4 96 2 2" xfId="55407"/>
    <cellStyle name="Обычный 5 89 2 2" xfId="55408"/>
    <cellStyle name="Процентный 5 89 2 2" xfId="55409"/>
    <cellStyle name="Обычный 4 2 83 2 2" xfId="55410"/>
    <cellStyle name="Процентный 4 2 83 2 2" xfId="55411"/>
    <cellStyle name="Обычный 5 2 83 2 2" xfId="55412"/>
    <cellStyle name="Процентный 5 2 83 2 2" xfId="55413"/>
    <cellStyle name="Обычный 6 80 2 2" xfId="55414"/>
    <cellStyle name="Процентный 6 80 2 2" xfId="55415"/>
    <cellStyle name="Обычный 7 50 2 2" xfId="55416"/>
    <cellStyle name="Процентный 7 50 2 2" xfId="55417"/>
    <cellStyle name="Обычный 4 3 42 2 2" xfId="55418"/>
    <cellStyle name="Процентный 4 3 42 2 2" xfId="55419"/>
    <cellStyle name="Обычный 5 3 42 2 2" xfId="55420"/>
    <cellStyle name="Процентный 5 3 42 2 2" xfId="55421"/>
    <cellStyle name="Обычный 4 2 2 42 2 2" xfId="55422"/>
    <cellStyle name="Процентный 4 2 2 42 2 2" xfId="55423"/>
    <cellStyle name="Обычный 5 2 2 42 2 2" xfId="55424"/>
    <cellStyle name="Процентный 5 2 2 42 2 2" xfId="55425"/>
    <cellStyle name="Обычный 6 2 42 2 2" xfId="55426"/>
    <cellStyle name="Процентный 6 2 42 2 2" xfId="55427"/>
    <cellStyle name="Обычный 7 2 42 2 2" xfId="55428"/>
    <cellStyle name="Процентный 7 2 42 2 2" xfId="55429"/>
    <cellStyle name="Обычный 8 38 2 2" xfId="55430"/>
    <cellStyle name="Процентный 8 38 2 2" xfId="55431"/>
    <cellStyle name="Обычный 9 4 2 2" xfId="55432"/>
    <cellStyle name="Процентный 9 5 2 2" xfId="55433"/>
    <cellStyle name="Обычный 4 97 2 2" xfId="55434"/>
    <cellStyle name="Процентный 4 97 2 2" xfId="55435"/>
    <cellStyle name="Обычный 5 90 2 2" xfId="55436"/>
    <cellStyle name="Процентный 5 90 2 2" xfId="55437"/>
    <cellStyle name="Обычный 4 2 84 2 2" xfId="55438"/>
    <cellStyle name="Процентный 4 2 84 2 2" xfId="55439"/>
    <cellStyle name="Обычный 5 2 84 2 2" xfId="55440"/>
    <cellStyle name="Процентный 5 2 84 2 2" xfId="55441"/>
    <cellStyle name="Обычный 6 81 2 2" xfId="55442"/>
    <cellStyle name="Процентный 6 81 2 2" xfId="55443"/>
    <cellStyle name="Обычный 7 51 2 2" xfId="55444"/>
    <cellStyle name="Процентный 7 51 2 2" xfId="55445"/>
    <cellStyle name="Обычный 4 3 43 2 2" xfId="55446"/>
    <cellStyle name="Процентный 4 3 43 2 2" xfId="55447"/>
    <cellStyle name="Обычный 5 3 43 2 2" xfId="55448"/>
    <cellStyle name="Процентный 5 3 43 2 2" xfId="55449"/>
    <cellStyle name="Обычный 4 2 2 43 2 2" xfId="55450"/>
    <cellStyle name="Процентный 4 2 2 43 2 2" xfId="55451"/>
    <cellStyle name="Обычный 5 2 2 43 2 2" xfId="55452"/>
    <cellStyle name="Процентный 5 2 2 43 2 2" xfId="55453"/>
    <cellStyle name="Обычный 6 2 43 2 2" xfId="55454"/>
    <cellStyle name="Процентный 6 2 43 2 2" xfId="55455"/>
    <cellStyle name="Обычный 7 2 43 2 2" xfId="55456"/>
    <cellStyle name="Процентный 7 2 43 2 2" xfId="55457"/>
    <cellStyle name="Обычный 8 39 2 2" xfId="55458"/>
    <cellStyle name="Процентный 8 39 2 2" xfId="55459"/>
    <cellStyle name="Обычный 9 5 2 2" xfId="55460"/>
    <cellStyle name="Процентный 9 6 2 2" xfId="55461"/>
    <cellStyle name="Обычный 4 98 2 2" xfId="55462"/>
    <cellStyle name="Процентный 4 98 2 2" xfId="55463"/>
    <cellStyle name="Обычный 5 91 2 2" xfId="55464"/>
    <cellStyle name="Процентный 5 91 2 2" xfId="55465"/>
    <cellStyle name="Обычный 4 2 85 2 2" xfId="55466"/>
    <cellStyle name="Процентный 4 2 85 2 2" xfId="55467"/>
    <cellStyle name="Обычный 5 2 85 2 2" xfId="55468"/>
    <cellStyle name="Процентный 5 2 85 2 2" xfId="55469"/>
    <cellStyle name="Обычный 6 82 2 2" xfId="55470"/>
    <cellStyle name="Процентный 6 82 2 2" xfId="55471"/>
    <cellStyle name="Обычный 7 52 2 2" xfId="55472"/>
    <cellStyle name="Процентный 7 52 2 2" xfId="55473"/>
    <cellStyle name="Обычный 4 3 44 2 2" xfId="55474"/>
    <cellStyle name="Процентный 4 3 44 2 2" xfId="55475"/>
    <cellStyle name="Обычный 5 3 44 2 2" xfId="55476"/>
    <cellStyle name="Процентный 5 3 44 2 2" xfId="55477"/>
    <cellStyle name="Обычный 4 2 2 44 2 2" xfId="55478"/>
    <cellStyle name="Процентный 4 2 2 44 2 2" xfId="55479"/>
    <cellStyle name="Обычный 5 2 2 44 2 2" xfId="55480"/>
    <cellStyle name="Процентный 5 2 2 44 2 2" xfId="55481"/>
    <cellStyle name="Обычный 6 2 44 2 2" xfId="55482"/>
    <cellStyle name="Процентный 6 2 44 2 2" xfId="55483"/>
    <cellStyle name="Обычный 7 2 44 2 2" xfId="55484"/>
    <cellStyle name="Процентный 7 2 44 2 2" xfId="55485"/>
    <cellStyle name="Обычный 8 40 2 2" xfId="55486"/>
    <cellStyle name="Процентный 8 40 2 2" xfId="55487"/>
    <cellStyle name="Обычный 9 6 2 2" xfId="55488"/>
    <cellStyle name="Процентный 9 7 2 2" xfId="55489"/>
    <cellStyle name="Обычный 4 99 2 2" xfId="55490"/>
    <cellStyle name="Процентный 4 99 2 2" xfId="55491"/>
    <cellStyle name="Обычный 5 92 2 2" xfId="55492"/>
    <cellStyle name="Процентный 5 92 2 2" xfId="55493"/>
    <cellStyle name="Обычный 4 2 86 2 2" xfId="55494"/>
    <cellStyle name="Процентный 4 2 86 2 2" xfId="55495"/>
    <cellStyle name="Обычный 5 2 86 2 2" xfId="55496"/>
    <cellStyle name="Процентный 5 2 86 2 2" xfId="55497"/>
    <cellStyle name="Обычный 6 83 2 2" xfId="55498"/>
    <cellStyle name="Процентный 6 83 2 2" xfId="55499"/>
    <cellStyle name="Обычный 7 53 2 2" xfId="55500"/>
    <cellStyle name="Процентный 7 53 2 2" xfId="55501"/>
    <cellStyle name="Обычный 4 3 45 2 2" xfId="55502"/>
    <cellStyle name="Процентный 4 3 45 2 2" xfId="55503"/>
    <cellStyle name="Обычный 5 3 45 2 2" xfId="55504"/>
    <cellStyle name="Процентный 5 3 45 2 2" xfId="55505"/>
    <cellStyle name="Обычный 4 2 2 45 2 2" xfId="55506"/>
    <cellStyle name="Процентный 4 2 2 45 2 2" xfId="55507"/>
    <cellStyle name="Обычный 5 2 2 45 2 2" xfId="55508"/>
    <cellStyle name="Процентный 5 2 2 45 2 2" xfId="55509"/>
    <cellStyle name="Обычный 6 2 45 2 2" xfId="55510"/>
    <cellStyle name="Процентный 6 2 45 2 2" xfId="55511"/>
    <cellStyle name="Обычный 7 2 45 2 2" xfId="55512"/>
    <cellStyle name="Процентный 7 2 45 2 2" xfId="55513"/>
    <cellStyle name="Обычный 8 41 2 2" xfId="55514"/>
    <cellStyle name="Процентный 8 41 2 2" xfId="55515"/>
    <cellStyle name="Обычный 9 7 2 2" xfId="55516"/>
    <cellStyle name="Процентный 9 8 2 2" xfId="55517"/>
    <cellStyle name="Обычный 4 100 2 2" xfId="55518"/>
    <cellStyle name="Процентный 4 100 2 2" xfId="55519"/>
    <cellStyle name="Обычный 5 93 2 2" xfId="55520"/>
    <cellStyle name="Процентный 5 93 2 2" xfId="55521"/>
    <cellStyle name="Обычный 4 2 87 2 2" xfId="55522"/>
    <cellStyle name="Процентный 4 2 87 2 2" xfId="55523"/>
    <cellStyle name="Обычный 5 2 87 2 2" xfId="55524"/>
    <cellStyle name="Процентный 5 2 87 2 2" xfId="55525"/>
    <cellStyle name="Обычный 6 84 2 2" xfId="55526"/>
    <cellStyle name="Процентный 6 84 2 2" xfId="55527"/>
    <cellStyle name="Обычный 7 54 2 2" xfId="55528"/>
    <cellStyle name="Процентный 7 54 2 2" xfId="55529"/>
    <cellStyle name="Обычный 4 3 46 2 2" xfId="55530"/>
    <cellStyle name="Процентный 4 3 46 2 2" xfId="55531"/>
    <cellStyle name="Обычный 5 3 46 2 2" xfId="55532"/>
    <cellStyle name="Процентный 5 3 46 2 2" xfId="55533"/>
    <cellStyle name="Обычный 4 2 2 46 2 2" xfId="55534"/>
    <cellStyle name="Процентный 4 2 2 46 2 2" xfId="55535"/>
    <cellStyle name="Обычный 5 2 2 46 2 2" xfId="55536"/>
    <cellStyle name="Процентный 5 2 2 46 2 2" xfId="55537"/>
    <cellStyle name="Обычный 6 2 46 2 2" xfId="55538"/>
    <cellStyle name="Процентный 6 2 46 2 2" xfId="55539"/>
    <cellStyle name="Обычный 7 2 46 2 2" xfId="55540"/>
    <cellStyle name="Процентный 7 2 46 2 2" xfId="55541"/>
    <cellStyle name="Обычный 8 42 2 2" xfId="55542"/>
    <cellStyle name="Процентный 8 42 2 2" xfId="55543"/>
    <cellStyle name="Обычный 9 8 2 2" xfId="55544"/>
    <cellStyle name="Процентный 9 9 2 2" xfId="55545"/>
    <cellStyle name="Обычный 10 104 2" xfId="55546"/>
    <cellStyle name="Процентный 10 104 2" xfId="55547"/>
    <cellStyle name="Обычный 4 101 2 2" xfId="55548"/>
    <cellStyle name="Процентный 4 101 2 2" xfId="55549"/>
    <cellStyle name="Обычный 5 94 2 2" xfId="55550"/>
    <cellStyle name="Процентный 5 94 2 2" xfId="55551"/>
    <cellStyle name="Обычный 4 2 88 2 2" xfId="55552"/>
    <cellStyle name="Процентный 4 2 88 2 2" xfId="55553"/>
    <cellStyle name="Обычный 5 2 88 2 2" xfId="55554"/>
    <cellStyle name="Процентный 5 2 88 2 2" xfId="55555"/>
    <cellStyle name="Обычный 6 85 2 2" xfId="55556"/>
    <cellStyle name="Процентный 6 85 2 2" xfId="55557"/>
    <cellStyle name="Обычный 7 55 2 2" xfId="55558"/>
    <cellStyle name="Процентный 7 55 2 2" xfId="55559"/>
    <cellStyle name="Обычный 4 3 47 2 2" xfId="55560"/>
    <cellStyle name="Процентный 4 3 47 2 2" xfId="55561"/>
    <cellStyle name="Обычный 5 3 47 2 2" xfId="55562"/>
    <cellStyle name="Процентный 5 3 47 2 2" xfId="55563"/>
    <cellStyle name="Обычный 4 2 2 47 2 2" xfId="55564"/>
    <cellStyle name="Процентный 4 2 2 47 2 2" xfId="55565"/>
    <cellStyle name="Обычный 5 2 2 47 2 2" xfId="55566"/>
    <cellStyle name="Процентный 5 2 2 47 2 2" xfId="55567"/>
    <cellStyle name="Обычный 6 2 47 2 2" xfId="55568"/>
    <cellStyle name="Процентный 6 2 47 2 2" xfId="55569"/>
    <cellStyle name="Обычный 7 2 47 2 2" xfId="55570"/>
    <cellStyle name="Процентный 7 2 47 2 2" xfId="55571"/>
    <cellStyle name="Обычный 8 43 2 2" xfId="55572"/>
    <cellStyle name="Процентный 8 43 2 2" xfId="55573"/>
    <cellStyle name="Обычный 9 9 2 2" xfId="55574"/>
    <cellStyle name="Процентный 9 10 2 2" xfId="55575"/>
    <cellStyle name="Обычный 10 2 2 2" xfId="55576"/>
    <cellStyle name="Процентный 10 2 2 2" xfId="55577"/>
    <cellStyle name="Обычный 4 102 2 2" xfId="55578"/>
    <cellStyle name="Процентный 4 102 2 2" xfId="55579"/>
    <cellStyle name="Обычный 5 95 2 2" xfId="55580"/>
    <cellStyle name="Процентный 5 95 2 2" xfId="55581"/>
    <cellStyle name="Обычный 4 2 89 2 2" xfId="55582"/>
    <cellStyle name="Процентный 4 2 89 2 2" xfId="55583"/>
    <cellStyle name="Обычный 5 2 89 2 2" xfId="55584"/>
    <cellStyle name="Процентный 5 2 89 2 2" xfId="55585"/>
    <cellStyle name="Обычный 6 86 2 2" xfId="55586"/>
    <cellStyle name="Процентный 6 86 2 2" xfId="55587"/>
    <cellStyle name="Обычный 7 56 2 2" xfId="55588"/>
    <cellStyle name="Процентный 7 56 2 2" xfId="55589"/>
    <cellStyle name="Обычный 4 3 48 2 2" xfId="55590"/>
    <cellStyle name="Процентный 4 3 48 2 2" xfId="55591"/>
    <cellStyle name="Обычный 5 3 48 2 2" xfId="55592"/>
    <cellStyle name="Процентный 5 3 48 2 2" xfId="55593"/>
    <cellStyle name="Обычный 4 2 2 48 2 2" xfId="55594"/>
    <cellStyle name="Процентный 4 2 2 48 2 2" xfId="55595"/>
    <cellStyle name="Обычный 5 2 2 48 2 2" xfId="55596"/>
    <cellStyle name="Процентный 5 2 2 48 2 2" xfId="55597"/>
    <cellStyle name="Обычный 6 2 48 2 2" xfId="55598"/>
    <cellStyle name="Процентный 6 2 48 2 2" xfId="55599"/>
    <cellStyle name="Обычный 7 2 48 2 2" xfId="55600"/>
    <cellStyle name="Процентный 7 2 48 2 2" xfId="55601"/>
    <cellStyle name="Обычный 8 44 2 2" xfId="55602"/>
    <cellStyle name="Процентный 8 44 2 2" xfId="55603"/>
    <cellStyle name="Обычный 9 10 2 2" xfId="55604"/>
    <cellStyle name="Процентный 9 11 2 2" xfId="55605"/>
    <cellStyle name="Обычный 10 3 2 2" xfId="55606"/>
    <cellStyle name="Процентный 10 3 2 2" xfId="55607"/>
    <cellStyle name="Обычный 4 103 2 2" xfId="55608"/>
    <cellStyle name="Процентный 4 103 2 2" xfId="55609"/>
    <cellStyle name="Обычный 5 96 2 2" xfId="55610"/>
    <cellStyle name="Процентный 5 96 2 2" xfId="55611"/>
    <cellStyle name="Обычный 4 2 90 2 2" xfId="55612"/>
    <cellStyle name="Процентный 4 2 90 2 2" xfId="55613"/>
    <cellStyle name="Обычный 5 2 90 2 2" xfId="55614"/>
    <cellStyle name="Процентный 5 2 90 2 2" xfId="55615"/>
    <cellStyle name="Обычный 6 87 2 2" xfId="55616"/>
    <cellStyle name="Процентный 6 87 2 2" xfId="55617"/>
    <cellStyle name="Обычный 7 57 2 2" xfId="55618"/>
    <cellStyle name="Процентный 7 57 2 2" xfId="55619"/>
    <cellStyle name="Обычный 4 3 49 2 2" xfId="55620"/>
    <cellStyle name="Процентный 4 3 49 2 2" xfId="55621"/>
    <cellStyle name="Обычный 5 3 49 2 2" xfId="55622"/>
    <cellStyle name="Процентный 5 3 49 2 2" xfId="55623"/>
    <cellStyle name="Обычный 4 2 2 49 2 2" xfId="55624"/>
    <cellStyle name="Процентный 4 2 2 49 2 2" xfId="55625"/>
    <cellStyle name="Обычный 5 2 2 49 2 2" xfId="55626"/>
    <cellStyle name="Процентный 5 2 2 49 2 2" xfId="55627"/>
    <cellStyle name="Обычный 6 2 49 2 2" xfId="55628"/>
    <cellStyle name="Процентный 6 2 49 2 2" xfId="55629"/>
    <cellStyle name="Обычный 7 2 49 2 2" xfId="55630"/>
    <cellStyle name="Процентный 7 2 49 2 2" xfId="55631"/>
    <cellStyle name="Обычный 8 45 2 2" xfId="55632"/>
    <cellStyle name="Процентный 8 45 2 2" xfId="55633"/>
    <cellStyle name="Обычный 9 11 2 2" xfId="55634"/>
    <cellStyle name="Процентный 9 12 2 2" xfId="55635"/>
    <cellStyle name="Обычный 10 4 2 2" xfId="55636"/>
    <cellStyle name="Процентный 10 4 2 2" xfId="55637"/>
    <cellStyle name="Обычный 4 104 2 2" xfId="55638"/>
    <cellStyle name="Процентный 4 104 2 2" xfId="55639"/>
    <cellStyle name="Обычный 5 97 2 2" xfId="55640"/>
    <cellStyle name="Процентный 5 97 2 2" xfId="55641"/>
    <cellStyle name="Обычный 4 2 91 2 2" xfId="55642"/>
    <cellStyle name="Процентный 4 2 91 2 2" xfId="55643"/>
    <cellStyle name="Обычный 5 2 91 2 2" xfId="55644"/>
    <cellStyle name="Процентный 5 2 91 2 2" xfId="55645"/>
    <cellStyle name="Обычный 6 88 2 2" xfId="55646"/>
    <cellStyle name="Процентный 6 88 2 2" xfId="55647"/>
    <cellStyle name="Обычный 7 58 2 2" xfId="55648"/>
    <cellStyle name="Процентный 7 58 2 2" xfId="55649"/>
    <cellStyle name="Обычный 4 3 50 2 2" xfId="55650"/>
    <cellStyle name="Процентный 4 3 50 2 2" xfId="55651"/>
    <cellStyle name="Обычный 5 3 50 2 2" xfId="55652"/>
    <cellStyle name="Процентный 5 3 50 2 2" xfId="55653"/>
    <cellStyle name="Обычный 4 2 2 50 2 2" xfId="55654"/>
    <cellStyle name="Процентный 4 2 2 50 2 2" xfId="55655"/>
    <cellStyle name="Обычный 5 2 2 50 2 2" xfId="55656"/>
    <cellStyle name="Процентный 5 2 2 50 2 2" xfId="55657"/>
    <cellStyle name="Обычный 6 2 50 2 2" xfId="55658"/>
    <cellStyle name="Процентный 6 2 50 2 2" xfId="55659"/>
    <cellStyle name="Обычный 7 2 50 2 2" xfId="55660"/>
    <cellStyle name="Процентный 7 2 50 2 2" xfId="55661"/>
    <cellStyle name="Обычный 8 46 2 2" xfId="55662"/>
    <cellStyle name="Процентный 8 46 2 2" xfId="55663"/>
    <cellStyle name="Обычный 9 12 2 2" xfId="55664"/>
    <cellStyle name="Процентный 9 13 2 2" xfId="55665"/>
    <cellStyle name="Обычный 10 5 2 2" xfId="55666"/>
    <cellStyle name="Процентный 10 5 2 2" xfId="55667"/>
    <cellStyle name="Обычный 4 105 2 2" xfId="55668"/>
    <cellStyle name="Процентный 4 105 2 2" xfId="55669"/>
    <cellStyle name="Обычный 5 98 2 2" xfId="55670"/>
    <cellStyle name="Процентный 5 98 2 2" xfId="55671"/>
    <cellStyle name="Обычный 4 2 92 2 2" xfId="55672"/>
    <cellStyle name="Процентный 4 2 92 2 2" xfId="55673"/>
    <cellStyle name="Обычный 5 2 92 2 2" xfId="55674"/>
    <cellStyle name="Процентный 5 2 92 2 2" xfId="55675"/>
    <cellStyle name="Обычный 6 89 2 2" xfId="55676"/>
    <cellStyle name="Процентный 6 89 2 2" xfId="55677"/>
    <cellStyle name="Обычный 7 59 2 2" xfId="55678"/>
    <cellStyle name="Процентный 7 59 2 2" xfId="55679"/>
    <cellStyle name="Обычный 4 3 51 2 2" xfId="55680"/>
    <cellStyle name="Процентный 4 3 51 2 2" xfId="55681"/>
    <cellStyle name="Обычный 5 3 51 2 2" xfId="55682"/>
    <cellStyle name="Процентный 5 3 51 2 2" xfId="55683"/>
    <cellStyle name="Обычный 4 2 2 51 2 2" xfId="55684"/>
    <cellStyle name="Процентный 4 2 2 51 2 2" xfId="55685"/>
    <cellStyle name="Обычный 5 2 2 51 2 2" xfId="55686"/>
    <cellStyle name="Процентный 5 2 2 51 2 2" xfId="55687"/>
    <cellStyle name="Обычный 6 2 51 2 2" xfId="55688"/>
    <cellStyle name="Процентный 6 2 51 2 2" xfId="55689"/>
    <cellStyle name="Обычный 7 2 51 2 2" xfId="55690"/>
    <cellStyle name="Процентный 7 2 51 2 2" xfId="55691"/>
    <cellStyle name="Обычный 8 47 2 2" xfId="55692"/>
    <cellStyle name="Процентный 8 47 2 2" xfId="55693"/>
    <cellStyle name="Обычный 9 13 2 2" xfId="55694"/>
    <cellStyle name="Процентный 9 14 2 2" xfId="55695"/>
    <cellStyle name="Обычный 10 6 2 2" xfId="55696"/>
    <cellStyle name="Процентный 10 6 2 2" xfId="55697"/>
    <cellStyle name="Обычный 4 106 2 2" xfId="55698"/>
    <cellStyle name="Процентный 4 106 2 2" xfId="55699"/>
    <cellStyle name="Обычный 5 99 2 2" xfId="55700"/>
    <cellStyle name="Процентный 5 99 2 2" xfId="55701"/>
    <cellStyle name="Обычный 4 2 93 2 2" xfId="55702"/>
    <cellStyle name="Процентный 4 2 93 2 2" xfId="55703"/>
    <cellStyle name="Обычный 5 2 93 2 2" xfId="55704"/>
    <cellStyle name="Процентный 5 2 93 2 2" xfId="55705"/>
    <cellStyle name="Обычный 6 90 2 2" xfId="55706"/>
    <cellStyle name="Процентный 6 90 2 2" xfId="55707"/>
    <cellStyle name="Обычный 7 60 2 2" xfId="55708"/>
    <cellStyle name="Процентный 7 60 2 2" xfId="55709"/>
    <cellStyle name="Обычный 4 3 52 2 2" xfId="55710"/>
    <cellStyle name="Процентный 4 3 52 2 2" xfId="55711"/>
    <cellStyle name="Обычный 5 3 52 2 2" xfId="55712"/>
    <cellStyle name="Процентный 5 3 52 2 2" xfId="55713"/>
    <cellStyle name="Обычный 4 2 2 52 2 2" xfId="55714"/>
    <cellStyle name="Процентный 4 2 2 52 2 2" xfId="55715"/>
    <cellStyle name="Обычный 5 2 2 52 2 2" xfId="55716"/>
    <cellStyle name="Процентный 5 2 2 52 2 2" xfId="55717"/>
    <cellStyle name="Обычный 6 2 52 2 2" xfId="55718"/>
    <cellStyle name="Процентный 6 2 52 2 2" xfId="55719"/>
    <cellStyle name="Обычный 7 2 52 2 2" xfId="55720"/>
    <cellStyle name="Процентный 7 2 52 2 2" xfId="55721"/>
    <cellStyle name="Обычный 8 48 2 2" xfId="55722"/>
    <cellStyle name="Процентный 8 48 2 2" xfId="55723"/>
    <cellStyle name="Обычный 9 14 2 2" xfId="55724"/>
    <cellStyle name="Процентный 9 15 2 2" xfId="55725"/>
    <cellStyle name="Обычный 10 7 2 2" xfId="55726"/>
    <cellStyle name="Процентный 10 7 2 2" xfId="55727"/>
    <cellStyle name="Обычный 4 107 2 2" xfId="55728"/>
    <cellStyle name="Процентный 4 107 2 2" xfId="55729"/>
    <cellStyle name="Обычный 5 100 2 2" xfId="55730"/>
    <cellStyle name="Процентный 5 100 2 2" xfId="55731"/>
    <cellStyle name="Обычный 4 2 94 2 2" xfId="55732"/>
    <cellStyle name="Процентный 4 2 94 2 2" xfId="55733"/>
    <cellStyle name="Обычный 5 2 94 2 2" xfId="55734"/>
    <cellStyle name="Процентный 5 2 94 2 2" xfId="55735"/>
    <cellStyle name="Обычный 6 91 2 2" xfId="55736"/>
    <cellStyle name="Процентный 6 91 2 2" xfId="55737"/>
    <cellStyle name="Обычный 7 61 2 2" xfId="55738"/>
    <cellStyle name="Процентный 7 61 2 2" xfId="55739"/>
    <cellStyle name="Обычный 4 3 53 2 2" xfId="55740"/>
    <cellStyle name="Процентный 4 3 53 2 2" xfId="55741"/>
    <cellStyle name="Обычный 5 3 53 2 2" xfId="55742"/>
    <cellStyle name="Процентный 5 3 53 2 2" xfId="55743"/>
    <cellStyle name="Обычный 4 2 2 53 2 2" xfId="55744"/>
    <cellStyle name="Процентный 4 2 2 53 2 2" xfId="55745"/>
    <cellStyle name="Обычный 5 2 2 53 2 2" xfId="55746"/>
    <cellStyle name="Процентный 5 2 2 53 2 2" xfId="55747"/>
    <cellStyle name="Обычный 6 2 53 2 2" xfId="55748"/>
    <cellStyle name="Процентный 6 2 53 2 2" xfId="55749"/>
    <cellStyle name="Обычный 7 2 53 2 2" xfId="55750"/>
    <cellStyle name="Процентный 7 2 53 2 2" xfId="55751"/>
    <cellStyle name="Обычный 8 49 2 2" xfId="55752"/>
    <cellStyle name="Процентный 8 49 2 2" xfId="55753"/>
    <cellStyle name="Обычный 9 15 2 2" xfId="55754"/>
    <cellStyle name="Процентный 9 16 2 2" xfId="55755"/>
    <cellStyle name="Обычный 10 8 2 2" xfId="55756"/>
    <cellStyle name="Процентный 10 8 2 2" xfId="55757"/>
    <cellStyle name="Обычный 4 108 2 2" xfId="55758"/>
    <cellStyle name="Процентный 4 108 2 2" xfId="55759"/>
    <cellStyle name="Обычный 5 101 2 2" xfId="55760"/>
    <cellStyle name="Процентный 5 101 2 2" xfId="55761"/>
    <cellStyle name="Обычный 4 2 95 2 2" xfId="55762"/>
    <cellStyle name="Процентный 4 2 95 2 2" xfId="55763"/>
    <cellStyle name="Обычный 5 2 95 2 2" xfId="55764"/>
    <cellStyle name="Процентный 5 2 95 2 2" xfId="55765"/>
    <cellStyle name="Обычный 6 92 2 2" xfId="55766"/>
    <cellStyle name="Процентный 6 92 2 2" xfId="55767"/>
    <cellStyle name="Обычный 7 62 2 2" xfId="55768"/>
    <cellStyle name="Процентный 7 62 2 2" xfId="55769"/>
    <cellStyle name="Обычный 4 3 54 2 2" xfId="55770"/>
    <cellStyle name="Процентный 4 3 54 2 2" xfId="55771"/>
    <cellStyle name="Обычный 5 3 54 2 2" xfId="55772"/>
    <cellStyle name="Процентный 5 3 54 2 2" xfId="55773"/>
    <cellStyle name="Обычный 4 2 2 54 2 2" xfId="55774"/>
    <cellStyle name="Процентный 4 2 2 54 2 2" xfId="55775"/>
    <cellStyle name="Обычный 5 2 2 54 2 2" xfId="55776"/>
    <cellStyle name="Процентный 5 2 2 54 2 2" xfId="55777"/>
    <cellStyle name="Обычный 6 2 54 2 2" xfId="55778"/>
    <cellStyle name="Процентный 6 2 54 2 2" xfId="55779"/>
    <cellStyle name="Обычный 7 2 54 2 2" xfId="55780"/>
    <cellStyle name="Процентный 7 2 54 2 2" xfId="55781"/>
    <cellStyle name="Обычный 8 50 2 2" xfId="55782"/>
    <cellStyle name="Процентный 8 50 2 2" xfId="55783"/>
    <cellStyle name="Обычный 9 16 2 2" xfId="55784"/>
    <cellStyle name="Процентный 9 17 2 2" xfId="55785"/>
    <cellStyle name="Обычный 10 9 2 2" xfId="55786"/>
    <cellStyle name="Процентный 10 9 2 2" xfId="55787"/>
    <cellStyle name="Обычный 4 109 2 2" xfId="55788"/>
    <cellStyle name="Процентный 4 109 2 2" xfId="55789"/>
    <cellStyle name="Обычный 5 102 2 2" xfId="55790"/>
    <cellStyle name="Процентный 5 102 2 2" xfId="55791"/>
    <cellStyle name="Обычный 4 2 96 2 2" xfId="55792"/>
    <cellStyle name="Процентный 4 2 96 2 2" xfId="55793"/>
    <cellStyle name="Обычный 5 2 96 2 2" xfId="55794"/>
    <cellStyle name="Процентный 5 2 96 2 2" xfId="55795"/>
    <cellStyle name="Обычный 6 93 2 2" xfId="55796"/>
    <cellStyle name="Процентный 6 93 2 2" xfId="55797"/>
    <cellStyle name="Обычный 7 63 2 2" xfId="55798"/>
    <cellStyle name="Процентный 7 63 2 2" xfId="55799"/>
    <cellStyle name="Обычный 4 3 55 2 2" xfId="55800"/>
    <cellStyle name="Процентный 4 3 55 2 2" xfId="55801"/>
    <cellStyle name="Обычный 5 3 55 2 2" xfId="55802"/>
    <cellStyle name="Процентный 5 3 55 2 2" xfId="55803"/>
    <cellStyle name="Обычный 4 2 2 55 2 2" xfId="55804"/>
    <cellStyle name="Процентный 4 2 2 55 2 2" xfId="55805"/>
    <cellStyle name="Обычный 5 2 2 55 2 2" xfId="55806"/>
    <cellStyle name="Процентный 5 2 2 55 2 2" xfId="55807"/>
    <cellStyle name="Обычный 6 2 55 2 2" xfId="55808"/>
    <cellStyle name="Процентный 6 2 55 2 2" xfId="55809"/>
    <cellStyle name="Обычный 7 2 55 2 2" xfId="55810"/>
    <cellStyle name="Процентный 7 2 55 2 2" xfId="55811"/>
    <cellStyle name="Обычный 8 51 2 2" xfId="55812"/>
    <cellStyle name="Процентный 8 51 2 2" xfId="55813"/>
    <cellStyle name="Обычный 9 17 2 2" xfId="55814"/>
    <cellStyle name="Процентный 9 18 2 2" xfId="55815"/>
    <cellStyle name="Обычный 10 10 2 2" xfId="55816"/>
    <cellStyle name="Процентный 10 10 2 2" xfId="55817"/>
    <cellStyle name="Обычный 4 110 2 2" xfId="55818"/>
    <cellStyle name="Процентный 4 110 2 2" xfId="55819"/>
    <cellStyle name="Обычный 5 103 2 2" xfId="55820"/>
    <cellStyle name="Процентный 5 103 2 2" xfId="55821"/>
    <cellStyle name="Обычный 4 2 97 2 2" xfId="55822"/>
    <cellStyle name="Процентный 4 2 97 2 2" xfId="55823"/>
    <cellStyle name="Обычный 5 2 97 2 2" xfId="55824"/>
    <cellStyle name="Процентный 5 2 97 2 2" xfId="55825"/>
    <cellStyle name="Обычный 6 94 2 2" xfId="55826"/>
    <cellStyle name="Процентный 6 94 2 2" xfId="55827"/>
    <cellStyle name="Обычный 7 64 2 2" xfId="55828"/>
    <cellStyle name="Процентный 7 64 2 2" xfId="55829"/>
    <cellStyle name="Обычный 4 3 56 2 2" xfId="55830"/>
    <cellStyle name="Процентный 4 3 56 2 2" xfId="55831"/>
    <cellStyle name="Обычный 5 3 56 2 2" xfId="55832"/>
    <cellStyle name="Процентный 5 3 56 2 2" xfId="55833"/>
    <cellStyle name="Обычный 4 2 2 56 2 2" xfId="55834"/>
    <cellStyle name="Процентный 4 2 2 56 2 2" xfId="55835"/>
    <cellStyle name="Обычный 5 2 2 56 2 2" xfId="55836"/>
    <cellStyle name="Процентный 5 2 2 56 2 2" xfId="55837"/>
    <cellStyle name="Обычный 6 2 56 2 2" xfId="55838"/>
    <cellStyle name="Процентный 6 2 56 2 2" xfId="55839"/>
    <cellStyle name="Обычный 7 2 56 2 2" xfId="55840"/>
    <cellStyle name="Процентный 7 2 56 2 2" xfId="55841"/>
    <cellStyle name="Обычный 8 52 2 2" xfId="55842"/>
    <cellStyle name="Процентный 8 52 2 2" xfId="55843"/>
    <cellStyle name="Обычный 9 18 2 2" xfId="55844"/>
    <cellStyle name="Процентный 9 19 2 2" xfId="55845"/>
    <cellStyle name="Обычный 10 11 2 2" xfId="55846"/>
    <cellStyle name="Процентный 10 11 2 2" xfId="55847"/>
    <cellStyle name="Обычный 4 111 2 2" xfId="55848"/>
    <cellStyle name="Процентный 4 111 2 2" xfId="55849"/>
    <cellStyle name="Обычный 5 104 2 2" xfId="55850"/>
    <cellStyle name="Процентный 5 104 2 2" xfId="55851"/>
    <cellStyle name="Обычный 4 2 98 2 2" xfId="55852"/>
    <cellStyle name="Процентный 4 2 98 2 2" xfId="55853"/>
    <cellStyle name="Обычный 5 2 98 2 2" xfId="55854"/>
    <cellStyle name="Процентный 5 2 98 2 2" xfId="55855"/>
    <cellStyle name="Обычный 6 95 2 2" xfId="55856"/>
    <cellStyle name="Процентный 6 95 2 2" xfId="55857"/>
    <cellStyle name="Обычный 7 65 2 2" xfId="55858"/>
    <cellStyle name="Процентный 7 65 2 2" xfId="55859"/>
    <cellStyle name="Обычный 4 3 57 2 2" xfId="55860"/>
    <cellStyle name="Процентный 4 3 57 2 2" xfId="55861"/>
    <cellStyle name="Обычный 5 3 57 2 2" xfId="55862"/>
    <cellStyle name="Процентный 5 3 57 2 2" xfId="55863"/>
    <cellStyle name="Обычный 4 2 2 57 2 2" xfId="55864"/>
    <cellStyle name="Процентный 4 2 2 57 2 2" xfId="55865"/>
    <cellStyle name="Обычный 5 2 2 57 2 2" xfId="55866"/>
    <cellStyle name="Процентный 5 2 2 57 2 2" xfId="55867"/>
    <cellStyle name="Обычный 6 2 57 2 2" xfId="55868"/>
    <cellStyle name="Процентный 6 2 57 2 2" xfId="55869"/>
    <cellStyle name="Обычный 7 2 57 2 2" xfId="55870"/>
    <cellStyle name="Процентный 7 2 57 2 2" xfId="55871"/>
    <cellStyle name="Обычный 8 53 2 2" xfId="55872"/>
    <cellStyle name="Процентный 8 53 2 2" xfId="55873"/>
    <cellStyle name="Обычный 9 19 2 2" xfId="55874"/>
    <cellStyle name="Процентный 9 20 2 2" xfId="55875"/>
    <cellStyle name="Обычный 10 12 2 2" xfId="55876"/>
    <cellStyle name="Процентный 10 12 2 2" xfId="55877"/>
    <cellStyle name="Обычный 4 112 2 2" xfId="55878"/>
    <cellStyle name="Процентный 4 112 2 2" xfId="55879"/>
    <cellStyle name="Обычный 5 105 2 2" xfId="55880"/>
    <cellStyle name="Процентный 5 105 2 2" xfId="55881"/>
    <cellStyle name="Обычный 4 2 99 2 2" xfId="55882"/>
    <cellStyle name="Процентный 4 2 99 2 2" xfId="55883"/>
    <cellStyle name="Обычный 5 2 99 2 2" xfId="55884"/>
    <cellStyle name="Процентный 5 2 99 2 2" xfId="55885"/>
    <cellStyle name="Обычный 6 96 2 2" xfId="55886"/>
    <cellStyle name="Процентный 6 96 2 2" xfId="55887"/>
    <cellStyle name="Обычный 7 66 2 2" xfId="55888"/>
    <cellStyle name="Процентный 7 66 2 2" xfId="55889"/>
    <cellStyle name="Обычный 4 3 58 2 2" xfId="55890"/>
    <cellStyle name="Процентный 4 3 58 2 2" xfId="55891"/>
    <cellStyle name="Обычный 5 3 58 2 2" xfId="55892"/>
    <cellStyle name="Процентный 5 3 58 2 2" xfId="55893"/>
    <cellStyle name="Обычный 4 2 2 58 2 2" xfId="55894"/>
    <cellStyle name="Процентный 4 2 2 58 2 2" xfId="55895"/>
    <cellStyle name="Обычный 5 2 2 58 2 2" xfId="55896"/>
    <cellStyle name="Процентный 5 2 2 58 2 2" xfId="55897"/>
    <cellStyle name="Обычный 6 2 58 2 2" xfId="55898"/>
    <cellStyle name="Процентный 6 2 58 2 2" xfId="55899"/>
    <cellStyle name="Обычный 7 2 58 2 2" xfId="55900"/>
    <cellStyle name="Процентный 7 2 58 2 2" xfId="55901"/>
    <cellStyle name="Обычный 8 54 2 2" xfId="55902"/>
    <cellStyle name="Процентный 8 54 2 2" xfId="55903"/>
    <cellStyle name="Обычный 9 20 2 2" xfId="55904"/>
    <cellStyle name="Процентный 9 21 2 2" xfId="55905"/>
    <cellStyle name="Обычный 10 13 2 2" xfId="55906"/>
    <cellStyle name="Процентный 10 13 2 2" xfId="55907"/>
    <cellStyle name="Обычный 11 92 2" xfId="55908"/>
    <cellStyle name="Процентный 11 92 2" xfId="55909"/>
    <cellStyle name="Обычный 4 113 2 2" xfId="55910"/>
    <cellStyle name="Процентный 4 113 2 2" xfId="55911"/>
    <cellStyle name="Обычный 5 106 2 2" xfId="55912"/>
    <cellStyle name="Процентный 5 106 2 2" xfId="55913"/>
    <cellStyle name="Обычный 4 2 100 2 2" xfId="55914"/>
    <cellStyle name="Процентный 4 2 100 2 2" xfId="55915"/>
    <cellStyle name="Обычный 5 2 100 2 2" xfId="55916"/>
    <cellStyle name="Процентный 5 2 100 2 2" xfId="55917"/>
    <cellStyle name="Обычный 6 97 2 2" xfId="55918"/>
    <cellStyle name="Процентный 6 97 2 2" xfId="55919"/>
    <cellStyle name="Обычный 7 67 2 2" xfId="55920"/>
    <cellStyle name="Процентный 7 67 2 2" xfId="55921"/>
    <cellStyle name="Обычный 4 3 59 2 2" xfId="55922"/>
    <cellStyle name="Процентный 4 3 59 2 2" xfId="55923"/>
    <cellStyle name="Обычный 5 3 59 2 2" xfId="55924"/>
    <cellStyle name="Процентный 5 3 59 2 2" xfId="55925"/>
    <cellStyle name="Обычный 4 2 2 59 2 2" xfId="55926"/>
    <cellStyle name="Процентный 4 2 2 59 2 2" xfId="55927"/>
    <cellStyle name="Обычный 5 2 2 59 2 2" xfId="55928"/>
    <cellStyle name="Процентный 5 2 2 59 2 2" xfId="55929"/>
    <cellStyle name="Обычный 6 2 59 2 2" xfId="55930"/>
    <cellStyle name="Процентный 6 2 59 2 2" xfId="55931"/>
    <cellStyle name="Обычный 7 2 59 2 2" xfId="55932"/>
    <cellStyle name="Процентный 7 2 59 2 2" xfId="55933"/>
    <cellStyle name="Обычный 8 55 2 2" xfId="55934"/>
    <cellStyle name="Процентный 8 55 2 2" xfId="55935"/>
    <cellStyle name="Обычный 9 21 2 2" xfId="55936"/>
    <cellStyle name="Процентный 9 22 2 2" xfId="55937"/>
    <cellStyle name="Обычный 10 14 2 2" xfId="55938"/>
    <cellStyle name="Процентный 10 14 2 2" xfId="55939"/>
    <cellStyle name="Обычный 11 2 2 2" xfId="55940"/>
    <cellStyle name="Процентный 11 2 2 2" xfId="55941"/>
    <cellStyle name="Обычный 12 2 2" xfId="55942"/>
    <cellStyle name="Процентный 12 2 2" xfId="55943"/>
    <cellStyle name="Обычный 4 114 2 2" xfId="55944"/>
    <cellStyle name="Процентный 4 114 2 2" xfId="55945"/>
    <cellStyle name="Обычный 5 107 2 2" xfId="55946"/>
    <cellStyle name="Процентный 5 107 2 2" xfId="55947"/>
    <cellStyle name="Обычный 4 2 101 2 2" xfId="55948"/>
    <cellStyle name="Процентный 4 2 101 2 2" xfId="55949"/>
    <cellStyle name="Обычный 5 2 101 2 2" xfId="55950"/>
    <cellStyle name="Процентный 5 2 101 2 2" xfId="55951"/>
    <cellStyle name="Обычный 6 98 2 2" xfId="55952"/>
    <cellStyle name="Процентный 6 98 2 2" xfId="55953"/>
    <cellStyle name="Обычный 7 68 2 2" xfId="55954"/>
    <cellStyle name="Процентный 7 68 2 2" xfId="55955"/>
    <cellStyle name="Обычный 4 3 60 2 2" xfId="55956"/>
    <cellStyle name="Процентный 4 3 60 2 2" xfId="55957"/>
    <cellStyle name="Обычный 5 3 60 2 2" xfId="55958"/>
    <cellStyle name="Процентный 5 3 60 2 2" xfId="55959"/>
    <cellStyle name="Обычный 4 2 2 60 2 2" xfId="55960"/>
    <cellStyle name="Процентный 4 2 2 60 2 2" xfId="55961"/>
    <cellStyle name="Обычный 5 2 2 60 2 2" xfId="55962"/>
    <cellStyle name="Процентный 5 2 2 60 2 2" xfId="55963"/>
    <cellStyle name="Обычный 6 2 60 2 2" xfId="55964"/>
    <cellStyle name="Процентный 6 2 60 2 2" xfId="55965"/>
    <cellStyle name="Обычный 7 2 60 2 2" xfId="55966"/>
    <cellStyle name="Процентный 7 2 60 2 2" xfId="55967"/>
    <cellStyle name="Обычный 8 56 2 2" xfId="55968"/>
    <cellStyle name="Процентный 8 56 2 2" xfId="55969"/>
    <cellStyle name="Обычный 9 22 2 2" xfId="55970"/>
    <cellStyle name="Процентный 9 23 2 2" xfId="55971"/>
    <cellStyle name="Обычный 10 15 2 2" xfId="55972"/>
    <cellStyle name="Процентный 10 15 2 2" xfId="55973"/>
    <cellStyle name="Обычный 11 3 2 2" xfId="55974"/>
    <cellStyle name="Процентный 11 3 2 2" xfId="55975"/>
    <cellStyle name="Обычный 4 115 2 2" xfId="55976"/>
    <cellStyle name="Процентный 4 115 2 2" xfId="55977"/>
    <cellStyle name="Обычный 5 108 2 2" xfId="55978"/>
    <cellStyle name="Процентный 5 108 2 2" xfId="55979"/>
    <cellStyle name="Обычный 4 2 102 2 2" xfId="55980"/>
    <cellStyle name="Процентный 4 2 102 2 2" xfId="55981"/>
    <cellStyle name="Обычный 5 2 102 2 2" xfId="55982"/>
    <cellStyle name="Процентный 5 2 102 2 2" xfId="55983"/>
    <cellStyle name="Обычный 6 99 2 2" xfId="55984"/>
    <cellStyle name="Процентный 6 99 2 2" xfId="55985"/>
    <cellStyle name="Обычный 7 69 2 2" xfId="55986"/>
    <cellStyle name="Процентный 7 69 2 2" xfId="55987"/>
    <cellStyle name="Обычный 4 3 61 2 2" xfId="55988"/>
    <cellStyle name="Процентный 4 3 61 2 2" xfId="55989"/>
    <cellStyle name="Обычный 5 3 61 2 2" xfId="55990"/>
    <cellStyle name="Процентный 5 3 61 2 2" xfId="55991"/>
    <cellStyle name="Обычный 4 2 2 61 2 2" xfId="55992"/>
    <cellStyle name="Процентный 4 2 2 61 2 2" xfId="55993"/>
    <cellStyle name="Обычный 5 2 2 61 2 2" xfId="55994"/>
    <cellStyle name="Процентный 5 2 2 61 2 2" xfId="55995"/>
    <cellStyle name="Обычный 6 2 61 2 2" xfId="55996"/>
    <cellStyle name="Процентный 6 2 61 2 2" xfId="55997"/>
    <cellStyle name="Обычный 7 2 61 2 2" xfId="55998"/>
    <cellStyle name="Процентный 7 2 61 2 2" xfId="55999"/>
    <cellStyle name="Обычный 8 57 2 2" xfId="56000"/>
    <cellStyle name="Процентный 8 57 2 2" xfId="56001"/>
    <cellStyle name="Обычный 9 23 2 2" xfId="56002"/>
    <cellStyle name="Процентный 9 24 2 2" xfId="56003"/>
    <cellStyle name="Обычный 10 16 2 2" xfId="56004"/>
    <cellStyle name="Процентный 10 16 2 2" xfId="56005"/>
    <cellStyle name="Обычный 11 4 2 2" xfId="56006"/>
    <cellStyle name="Процентный 11 4 2 2" xfId="56007"/>
    <cellStyle name="Обычный 4 116 2 2" xfId="56008"/>
    <cellStyle name="Процентный 4 116 2 2" xfId="56009"/>
    <cellStyle name="Обычный 5 109 2 2" xfId="56010"/>
    <cellStyle name="Процентный 5 109 2 2" xfId="56011"/>
    <cellStyle name="Обычный 4 2 103 2 2" xfId="56012"/>
    <cellStyle name="Процентный 4 2 103 2 2" xfId="56013"/>
    <cellStyle name="Обычный 5 2 103 2 2" xfId="56014"/>
    <cellStyle name="Процентный 5 2 103 2 2" xfId="56015"/>
    <cellStyle name="Обычный 6 100 2 2" xfId="56016"/>
    <cellStyle name="Процентный 6 100 2 2" xfId="56017"/>
    <cellStyle name="Обычный 7 70 2 2" xfId="56018"/>
    <cellStyle name="Процентный 7 70 2 2" xfId="56019"/>
    <cellStyle name="Обычный 4 3 62 2 2" xfId="56020"/>
    <cellStyle name="Процентный 4 3 62 2 2" xfId="56021"/>
    <cellStyle name="Обычный 5 3 62 2 2" xfId="56022"/>
    <cellStyle name="Процентный 5 3 62 2 2" xfId="56023"/>
    <cellStyle name="Обычный 4 2 2 62 2 2" xfId="56024"/>
    <cellStyle name="Процентный 4 2 2 62 2 2" xfId="56025"/>
    <cellStyle name="Обычный 5 2 2 62 2 2" xfId="56026"/>
    <cellStyle name="Процентный 5 2 2 62 2 2" xfId="56027"/>
    <cellStyle name="Обычный 6 2 62 2 2" xfId="56028"/>
    <cellStyle name="Процентный 6 2 62 2 2" xfId="56029"/>
    <cellStyle name="Обычный 7 2 62 2 2" xfId="56030"/>
    <cellStyle name="Процентный 7 2 62 2 2" xfId="56031"/>
    <cellStyle name="Обычный 8 58 2 2" xfId="56032"/>
    <cellStyle name="Процентный 8 58 2 2" xfId="56033"/>
    <cellStyle name="Обычный 9 24 2 2" xfId="56034"/>
    <cellStyle name="Процентный 9 25 2 2" xfId="56035"/>
    <cellStyle name="Обычный 10 17 2 2" xfId="56036"/>
    <cellStyle name="Процентный 10 17 2 2" xfId="56037"/>
    <cellStyle name="Обычный 11 5 2 2" xfId="56038"/>
    <cellStyle name="Процентный 11 5 2 2" xfId="56039"/>
    <cellStyle name="Обычный 4 117 2 2" xfId="56040"/>
    <cellStyle name="Процентный 4 117 2 2" xfId="56041"/>
    <cellStyle name="Обычный 5 110 2 2" xfId="56042"/>
    <cellStyle name="Процентный 5 110 2 2" xfId="56043"/>
    <cellStyle name="Обычный 4 2 104 2 2" xfId="56044"/>
    <cellStyle name="Процентный 4 2 104 2 2" xfId="56045"/>
    <cellStyle name="Обычный 5 2 104 2 2" xfId="56046"/>
    <cellStyle name="Процентный 5 2 104 2 2" xfId="56047"/>
    <cellStyle name="Обычный 6 101 2 2" xfId="56048"/>
    <cellStyle name="Процентный 6 101 2 2" xfId="56049"/>
    <cellStyle name="Обычный 7 71 2 2" xfId="56050"/>
    <cellStyle name="Процентный 7 71 2 2" xfId="56051"/>
    <cellStyle name="Обычный 4 3 63 2 2" xfId="56052"/>
    <cellStyle name="Процентный 4 3 63 2 2" xfId="56053"/>
    <cellStyle name="Обычный 5 3 63 2 2" xfId="56054"/>
    <cellStyle name="Процентный 5 3 63 2 2" xfId="56055"/>
    <cellStyle name="Обычный 4 2 2 63 2 2" xfId="56056"/>
    <cellStyle name="Процентный 4 2 2 63 2 2" xfId="56057"/>
    <cellStyle name="Обычный 5 2 2 63 2 2" xfId="56058"/>
    <cellStyle name="Процентный 5 2 2 63 2 2" xfId="56059"/>
    <cellStyle name="Обычный 6 2 63 2 2" xfId="56060"/>
    <cellStyle name="Процентный 6 2 63 2 2" xfId="56061"/>
    <cellStyle name="Обычный 7 2 63 2 2" xfId="56062"/>
    <cellStyle name="Процентный 7 2 63 2 2" xfId="56063"/>
    <cellStyle name="Обычный 8 59 2 2" xfId="56064"/>
    <cellStyle name="Процентный 8 59 2 2" xfId="56065"/>
    <cellStyle name="Обычный 9 25 2 2" xfId="56066"/>
    <cellStyle name="Процентный 9 26 2 2" xfId="56067"/>
    <cellStyle name="Обычный 10 18 2 2" xfId="56068"/>
    <cellStyle name="Процентный 10 18 2 2" xfId="56069"/>
    <cellStyle name="Обычный 11 6 2 2" xfId="56070"/>
    <cellStyle name="Процентный 11 6 2 2" xfId="56071"/>
    <cellStyle name="Обычный 4 118 2 2" xfId="56072"/>
    <cellStyle name="Процентный 4 118 2 2" xfId="56073"/>
    <cellStyle name="Обычный 5 111 2 2" xfId="56074"/>
    <cellStyle name="Процентный 5 111 2 2" xfId="56075"/>
    <cellStyle name="Обычный 4 2 105 2 2" xfId="56076"/>
    <cellStyle name="Процентный 4 2 105 2 2" xfId="56077"/>
    <cellStyle name="Обычный 5 2 105 2 2" xfId="56078"/>
    <cellStyle name="Процентный 5 2 105 2 2" xfId="56079"/>
    <cellStyle name="Обычный 6 102 2 2" xfId="56080"/>
    <cellStyle name="Процентный 6 102 2 2" xfId="56081"/>
    <cellStyle name="Обычный 7 72 2 2" xfId="56082"/>
    <cellStyle name="Процентный 7 72 2 2" xfId="56083"/>
    <cellStyle name="Обычный 4 3 64 2 2" xfId="56084"/>
    <cellStyle name="Процентный 4 3 64 2 2" xfId="56085"/>
    <cellStyle name="Обычный 5 3 64 2 2" xfId="56086"/>
    <cellStyle name="Процентный 5 3 64 2 2" xfId="56087"/>
    <cellStyle name="Обычный 4 2 2 64 2 2" xfId="56088"/>
    <cellStyle name="Процентный 4 2 2 64 2 2" xfId="56089"/>
    <cellStyle name="Обычный 5 2 2 64 2 2" xfId="56090"/>
    <cellStyle name="Процентный 5 2 2 64 2 2" xfId="56091"/>
    <cellStyle name="Обычный 6 2 64 2 2" xfId="56092"/>
    <cellStyle name="Процентный 6 2 64 2 2" xfId="56093"/>
    <cellStyle name="Обычный 7 2 64 2 2" xfId="56094"/>
    <cellStyle name="Процентный 7 2 64 2 2" xfId="56095"/>
    <cellStyle name="Обычный 8 60 2 2" xfId="56096"/>
    <cellStyle name="Процентный 8 60 2 2" xfId="56097"/>
    <cellStyle name="Обычный 9 26 2 2" xfId="56098"/>
    <cellStyle name="Процентный 9 27 2 2" xfId="56099"/>
    <cellStyle name="Обычный 10 19 2 2" xfId="56100"/>
    <cellStyle name="Процентный 10 19 2 2" xfId="56101"/>
    <cellStyle name="Обычный 11 7 2 2" xfId="56102"/>
    <cellStyle name="Процентный 11 7 2 2" xfId="56103"/>
    <cellStyle name="Обычный 4 119 2 2" xfId="56104"/>
    <cellStyle name="Процентный 4 119 2 2" xfId="56105"/>
    <cellStyle name="Обычный 5 112 2 2" xfId="56106"/>
    <cellStyle name="Процентный 5 112 2 2" xfId="56107"/>
    <cellStyle name="Обычный 4 2 106 2 2" xfId="56108"/>
    <cellStyle name="Процентный 4 2 106 2 2" xfId="56109"/>
    <cellStyle name="Обычный 5 2 106 2 2" xfId="56110"/>
    <cellStyle name="Процентный 5 2 106 2 2" xfId="56111"/>
    <cellStyle name="Обычный 6 103 2 2" xfId="56112"/>
    <cellStyle name="Процентный 6 103 2 2" xfId="56113"/>
    <cellStyle name="Обычный 7 73 2 2" xfId="56114"/>
    <cellStyle name="Процентный 7 73 2 2" xfId="56115"/>
    <cellStyle name="Обычный 4 3 65 2 2" xfId="56116"/>
    <cellStyle name="Процентный 4 3 65 2 2" xfId="56117"/>
    <cellStyle name="Обычный 5 3 65 2 2" xfId="56118"/>
    <cellStyle name="Процентный 5 3 65 2 2" xfId="56119"/>
    <cellStyle name="Обычный 4 2 2 65 2 2" xfId="56120"/>
    <cellStyle name="Процентный 4 2 2 65 2 2" xfId="56121"/>
    <cellStyle name="Обычный 5 2 2 65 2 2" xfId="56122"/>
    <cellStyle name="Процентный 5 2 2 65 2 2" xfId="56123"/>
    <cellStyle name="Обычный 6 2 65 2 2" xfId="56124"/>
    <cellStyle name="Процентный 6 2 65 2 2" xfId="56125"/>
    <cellStyle name="Обычный 7 2 65 2 2" xfId="56126"/>
    <cellStyle name="Процентный 7 2 65 2 2" xfId="56127"/>
    <cellStyle name="Обычный 8 61 2 2" xfId="56128"/>
    <cellStyle name="Процентный 8 61 2 2" xfId="56129"/>
    <cellStyle name="Обычный 9 27 2 2" xfId="56130"/>
    <cellStyle name="Процентный 9 28 2 2" xfId="56131"/>
    <cellStyle name="Обычный 10 20 2 2" xfId="56132"/>
    <cellStyle name="Процентный 10 20 2 2" xfId="56133"/>
    <cellStyle name="Обычный 11 8 2 2" xfId="56134"/>
    <cellStyle name="Процентный 11 8 2 2" xfId="56135"/>
    <cellStyle name="Обычный 4 120 2 2" xfId="56136"/>
    <cellStyle name="Процентный 4 120 2 2" xfId="56137"/>
    <cellStyle name="Обычный 5 113 2 2" xfId="56138"/>
    <cellStyle name="Процентный 5 113 2 2" xfId="56139"/>
    <cellStyle name="Обычный 4 2 107 2 2" xfId="56140"/>
    <cellStyle name="Процентный 4 2 107 2 2" xfId="56141"/>
    <cellStyle name="Обычный 5 2 107 2 2" xfId="56142"/>
    <cellStyle name="Процентный 5 2 107 2 2" xfId="56143"/>
    <cellStyle name="Обычный 6 104 2 2" xfId="56144"/>
    <cellStyle name="Процентный 6 104 2 2" xfId="56145"/>
    <cellStyle name="Обычный 7 74 2 2" xfId="56146"/>
    <cellStyle name="Процентный 7 74 2 2" xfId="56147"/>
    <cellStyle name="Обычный 4 3 66 2 2" xfId="56148"/>
    <cellStyle name="Процентный 4 3 66 2 2" xfId="56149"/>
    <cellStyle name="Обычный 5 3 66 2 2" xfId="56150"/>
    <cellStyle name="Процентный 5 3 66 2 2" xfId="56151"/>
    <cellStyle name="Обычный 4 2 2 66 2 2" xfId="56152"/>
    <cellStyle name="Процентный 4 2 2 66 2 2" xfId="56153"/>
    <cellStyle name="Обычный 5 2 2 66 2 2" xfId="56154"/>
    <cellStyle name="Процентный 5 2 2 66 2 2" xfId="56155"/>
    <cellStyle name="Обычный 6 2 66 2 2" xfId="56156"/>
    <cellStyle name="Процентный 6 2 66 2 2" xfId="56157"/>
    <cellStyle name="Обычный 7 2 66 2 2" xfId="56158"/>
    <cellStyle name="Процентный 7 2 66 2 2" xfId="56159"/>
    <cellStyle name="Обычный 8 62 2 2" xfId="56160"/>
    <cellStyle name="Процентный 8 62 2 2" xfId="56161"/>
    <cellStyle name="Обычный 9 28 2 2" xfId="56162"/>
    <cellStyle name="Процентный 9 29 2 2" xfId="56163"/>
    <cellStyle name="Обычный 10 21 2 2" xfId="56164"/>
    <cellStyle name="Процентный 10 21 2 2" xfId="56165"/>
    <cellStyle name="Обычный 11 9 2 2" xfId="56166"/>
    <cellStyle name="Процентный 11 9 2 2" xfId="56167"/>
    <cellStyle name="Обычный 13 2 2" xfId="56168"/>
    <cellStyle name="Процентный 13 2 2" xfId="56169"/>
    <cellStyle name="Обычный 4 121 2 2" xfId="56170"/>
    <cellStyle name="Процентный 4 121 2 2" xfId="56171"/>
    <cellStyle name="Обычный 5 114 2 2" xfId="56172"/>
    <cellStyle name="Процентный 5 114 2 2" xfId="56173"/>
    <cellStyle name="Обычный 4 2 108 2 2" xfId="56174"/>
    <cellStyle name="Процентный 4 2 108 2 2" xfId="56175"/>
    <cellStyle name="Обычный 5 2 108 2 2" xfId="56176"/>
    <cellStyle name="Процентный 5 2 108 2 2" xfId="56177"/>
    <cellStyle name="Обычный 6 105 2 2" xfId="56178"/>
    <cellStyle name="Процентный 6 105 2 2" xfId="56179"/>
    <cellStyle name="Обычный 7 75 2 2" xfId="56180"/>
    <cellStyle name="Процентный 7 75 2 2" xfId="56181"/>
    <cellStyle name="Обычный 4 3 67 2 2" xfId="56182"/>
    <cellStyle name="Процентный 4 3 67 2 2" xfId="56183"/>
    <cellStyle name="Обычный 5 3 67 2 2" xfId="56184"/>
    <cellStyle name="Процентный 5 3 67 2 2" xfId="56185"/>
    <cellStyle name="Обычный 4 2 2 67 2 2" xfId="56186"/>
    <cellStyle name="Процентный 4 2 2 67 2 2" xfId="56187"/>
    <cellStyle name="Обычный 5 2 2 67 2 2" xfId="56188"/>
    <cellStyle name="Процентный 5 2 2 67 2 2" xfId="56189"/>
    <cellStyle name="Обычный 6 2 67 2 2" xfId="56190"/>
    <cellStyle name="Процентный 6 2 67 2 2" xfId="56191"/>
    <cellStyle name="Обычный 7 2 67 2 2" xfId="56192"/>
    <cellStyle name="Процентный 7 2 67 2 2" xfId="56193"/>
    <cellStyle name="Обычный 8 63 2 2" xfId="56194"/>
    <cellStyle name="Процентный 8 63 2 2" xfId="56195"/>
    <cellStyle name="Обычный 9 29 2 2" xfId="56196"/>
    <cellStyle name="Процентный 9 30 2 2" xfId="56197"/>
    <cellStyle name="Обычный 10 22 2 2" xfId="56198"/>
    <cellStyle name="Процентный 10 22 2 2" xfId="56199"/>
    <cellStyle name="Обычный 11 10 2 2" xfId="56200"/>
    <cellStyle name="Процентный 11 10 2 2" xfId="56201"/>
    <cellStyle name="Обычный 4 122 2 2" xfId="56202"/>
    <cellStyle name="Процентный 4 122 2 2" xfId="56203"/>
    <cellStyle name="Обычный 5 115 2 2" xfId="56204"/>
    <cellStyle name="Процентный 5 115 2 2" xfId="56205"/>
    <cellStyle name="Обычный 4 2 109 2 2" xfId="56206"/>
    <cellStyle name="Процентный 4 2 109 2 2" xfId="56207"/>
    <cellStyle name="Обычный 5 2 109 2 2" xfId="56208"/>
    <cellStyle name="Процентный 5 2 109 2 2" xfId="56209"/>
    <cellStyle name="Обычный 6 106 2 2" xfId="56210"/>
    <cellStyle name="Процентный 6 106 2 2" xfId="56211"/>
    <cellStyle name="Обычный 7 76 2 2" xfId="56212"/>
    <cellStyle name="Процентный 7 76 2 2" xfId="56213"/>
    <cellStyle name="Обычный 4 3 68 2 2" xfId="56214"/>
    <cellStyle name="Процентный 4 3 68 2 2" xfId="56215"/>
    <cellStyle name="Обычный 5 3 68 2 2" xfId="56216"/>
    <cellStyle name="Процентный 5 3 68 2 2" xfId="56217"/>
    <cellStyle name="Обычный 4 2 2 68 2 2" xfId="56218"/>
    <cellStyle name="Процентный 4 2 2 68 2 2" xfId="56219"/>
    <cellStyle name="Обычный 5 2 2 68 2 2" xfId="56220"/>
    <cellStyle name="Процентный 5 2 2 68 2 2" xfId="56221"/>
    <cellStyle name="Обычный 6 2 68 2 2" xfId="56222"/>
    <cellStyle name="Процентный 6 2 68 2 2" xfId="56223"/>
    <cellStyle name="Обычный 7 2 68 2 2" xfId="56224"/>
    <cellStyle name="Процентный 7 2 68 2 2" xfId="56225"/>
    <cellStyle name="Обычный 8 64 2 2" xfId="56226"/>
    <cellStyle name="Процентный 8 64 2 2" xfId="56227"/>
    <cellStyle name="Обычный 9 30 2 2" xfId="56228"/>
    <cellStyle name="Процентный 9 31 2 2" xfId="56229"/>
    <cellStyle name="Обычный 10 23 2 2" xfId="56230"/>
    <cellStyle name="Процентный 10 23 2 2" xfId="56231"/>
    <cellStyle name="Обычный 11 11 2 2" xfId="56232"/>
    <cellStyle name="Процентный 11 11 2 2" xfId="56233"/>
    <cellStyle name="Обычный 4 123 2 2" xfId="56234"/>
    <cellStyle name="Процентный 4 123 2 2" xfId="56235"/>
    <cellStyle name="Обычный 5 116 2 2" xfId="56236"/>
    <cellStyle name="Процентный 5 116 2 2" xfId="56237"/>
    <cellStyle name="Обычный 4 2 110 2 2" xfId="56238"/>
    <cellStyle name="Процентный 4 2 110 2 2" xfId="56239"/>
    <cellStyle name="Обычный 5 2 110 2 2" xfId="56240"/>
    <cellStyle name="Процентный 5 2 110 2 2" xfId="56241"/>
    <cellStyle name="Обычный 6 107 2 2" xfId="56242"/>
    <cellStyle name="Процентный 6 107 2 2" xfId="56243"/>
    <cellStyle name="Обычный 7 77 2 2" xfId="56244"/>
    <cellStyle name="Процентный 7 77 2 2" xfId="56245"/>
    <cellStyle name="Обычный 4 3 69 2 2" xfId="56246"/>
    <cellStyle name="Процентный 4 3 69 2 2" xfId="56247"/>
    <cellStyle name="Обычный 5 3 69 2 2" xfId="56248"/>
    <cellStyle name="Процентный 5 3 69 2 2" xfId="56249"/>
    <cellStyle name="Обычный 4 2 2 69 2 2" xfId="56250"/>
    <cellStyle name="Процентный 4 2 2 69 2 2" xfId="56251"/>
    <cellStyle name="Обычный 5 2 2 69 2 2" xfId="56252"/>
    <cellStyle name="Процентный 5 2 2 69 2 2" xfId="56253"/>
    <cellStyle name="Обычный 6 2 69 2 2" xfId="56254"/>
    <cellStyle name="Процентный 6 2 69 2 2" xfId="56255"/>
    <cellStyle name="Обычный 7 2 69 2 2" xfId="56256"/>
    <cellStyle name="Процентный 7 2 69 2 2" xfId="56257"/>
    <cellStyle name="Обычный 8 65 2 2" xfId="56258"/>
    <cellStyle name="Процентный 8 65 2 2" xfId="56259"/>
    <cellStyle name="Обычный 9 31 2 2" xfId="56260"/>
    <cellStyle name="Процентный 9 32 2 2" xfId="56261"/>
    <cellStyle name="Обычный 10 24 2 2" xfId="56262"/>
    <cellStyle name="Процентный 10 24 2 2" xfId="56263"/>
    <cellStyle name="Обычный 11 12 2 2" xfId="56264"/>
    <cellStyle name="Процентный 11 12 2 2" xfId="56265"/>
    <cellStyle name="Обычный 4 124 2 2" xfId="56266"/>
    <cellStyle name="Процентный 4 124 2 2" xfId="56267"/>
    <cellStyle name="Обычный 5 117 2 2" xfId="56268"/>
    <cellStyle name="Процентный 5 117 2 2" xfId="56269"/>
    <cellStyle name="Обычный 4 2 111 2 2" xfId="56270"/>
    <cellStyle name="Процентный 4 2 111 2 2" xfId="56271"/>
    <cellStyle name="Обычный 5 2 111 2 2" xfId="56272"/>
    <cellStyle name="Процентный 5 2 111 2 2" xfId="56273"/>
    <cellStyle name="Обычный 6 108 2 2" xfId="56274"/>
    <cellStyle name="Процентный 6 108 2 2" xfId="56275"/>
    <cellStyle name="Обычный 7 78 2 2" xfId="56276"/>
    <cellStyle name="Процентный 7 78 2 2" xfId="56277"/>
    <cellStyle name="Обычный 4 3 70 2 2" xfId="56278"/>
    <cellStyle name="Процентный 4 3 70 2 2" xfId="56279"/>
    <cellStyle name="Обычный 5 3 70 2 2" xfId="56280"/>
    <cellStyle name="Процентный 5 3 70 2 2" xfId="56281"/>
    <cellStyle name="Обычный 4 2 2 70 2 2" xfId="56282"/>
    <cellStyle name="Процентный 4 2 2 70 2 2" xfId="56283"/>
    <cellStyle name="Обычный 5 2 2 70 2 2" xfId="56284"/>
    <cellStyle name="Процентный 5 2 2 70 2 2" xfId="56285"/>
    <cellStyle name="Обычный 6 2 70 2 2" xfId="56286"/>
    <cellStyle name="Процентный 6 2 70 2 2" xfId="56287"/>
    <cellStyle name="Обычный 7 2 70 2 2" xfId="56288"/>
    <cellStyle name="Процентный 7 2 70 2 2" xfId="56289"/>
    <cellStyle name="Обычный 8 66 2 2" xfId="56290"/>
    <cellStyle name="Процентный 8 66 2 2" xfId="56291"/>
    <cellStyle name="Обычный 9 32 2 2" xfId="56292"/>
    <cellStyle name="Процентный 9 33 2 2" xfId="56293"/>
    <cellStyle name="Обычный 10 25 2 2" xfId="56294"/>
    <cellStyle name="Процентный 10 25 2 2" xfId="56295"/>
    <cellStyle name="Обычный 11 13 2 2" xfId="56296"/>
    <cellStyle name="Процентный 11 13 2 2" xfId="56297"/>
    <cellStyle name="Обычный 4 125 2 2" xfId="56298"/>
    <cellStyle name="Процентный 4 125 2 2" xfId="56299"/>
    <cellStyle name="Обычный 5 118 2 2" xfId="56300"/>
    <cellStyle name="Процентный 5 118 2 2" xfId="56301"/>
    <cellStyle name="Обычный 4 2 112 2 2" xfId="56302"/>
    <cellStyle name="Процентный 4 2 112 2 2" xfId="56303"/>
    <cellStyle name="Обычный 5 2 112 2 2" xfId="56304"/>
    <cellStyle name="Процентный 5 2 112 2 2" xfId="56305"/>
    <cellStyle name="Обычный 6 109 2 2" xfId="56306"/>
    <cellStyle name="Процентный 6 109 2 2" xfId="56307"/>
    <cellStyle name="Обычный 7 79 2 2" xfId="56308"/>
    <cellStyle name="Процентный 7 79 2 2" xfId="56309"/>
    <cellStyle name="Обычный 4 3 71 2 2" xfId="56310"/>
    <cellStyle name="Процентный 4 3 71 2 2" xfId="56311"/>
    <cellStyle name="Обычный 5 3 71 2 2" xfId="56312"/>
    <cellStyle name="Процентный 5 3 71 2 2" xfId="56313"/>
    <cellStyle name="Обычный 4 2 2 71 2 2" xfId="56314"/>
    <cellStyle name="Процентный 4 2 2 71 2 2" xfId="56315"/>
    <cellStyle name="Обычный 5 2 2 71 2 2" xfId="56316"/>
    <cellStyle name="Процентный 5 2 2 71 2 2" xfId="56317"/>
    <cellStyle name="Обычный 6 2 71 2 2" xfId="56318"/>
    <cellStyle name="Процентный 6 2 71 2 2" xfId="56319"/>
    <cellStyle name="Обычный 7 2 71 2 2" xfId="56320"/>
    <cellStyle name="Процентный 7 2 71 2 2" xfId="56321"/>
    <cellStyle name="Обычный 8 67 2 2" xfId="56322"/>
    <cellStyle name="Процентный 8 67 2 2" xfId="56323"/>
    <cellStyle name="Обычный 9 33 2 2" xfId="56324"/>
    <cellStyle name="Процентный 9 34 2 2" xfId="56325"/>
    <cellStyle name="Обычный 10 26 2 2" xfId="56326"/>
    <cellStyle name="Процентный 10 26 2 2" xfId="56327"/>
    <cellStyle name="Обычный 11 14 2 2" xfId="56328"/>
    <cellStyle name="Процентный 11 14 2 2" xfId="56329"/>
    <cellStyle name="Обычный 4 126 2 2" xfId="56330"/>
    <cellStyle name="Процентный 4 126 2 2" xfId="56331"/>
    <cellStyle name="Обычный 5 119 2 2" xfId="56332"/>
    <cellStyle name="Процентный 5 119 2 2" xfId="56333"/>
    <cellStyle name="Обычный 4 2 113 2 2" xfId="56334"/>
    <cellStyle name="Процентный 4 2 113 2 2" xfId="56335"/>
    <cellStyle name="Обычный 5 2 113 2 2" xfId="56336"/>
    <cellStyle name="Процентный 5 2 113 2 2" xfId="56337"/>
    <cellStyle name="Обычный 6 110 2 2" xfId="56338"/>
    <cellStyle name="Процентный 6 110 2 2" xfId="56339"/>
    <cellStyle name="Обычный 7 80 2 2" xfId="56340"/>
    <cellStyle name="Процентный 7 80 2 2" xfId="56341"/>
    <cellStyle name="Обычный 4 3 72 2 2" xfId="56342"/>
    <cellStyle name="Процентный 4 3 72 2 2" xfId="56343"/>
    <cellStyle name="Обычный 5 3 72 2 2" xfId="56344"/>
    <cellStyle name="Процентный 5 3 72 2 2" xfId="56345"/>
    <cellStyle name="Обычный 4 2 2 72 2 2" xfId="56346"/>
    <cellStyle name="Процентный 4 2 2 72 2 2" xfId="56347"/>
    <cellStyle name="Обычный 5 2 2 72 2 2" xfId="56348"/>
    <cellStyle name="Процентный 5 2 2 72 2 2" xfId="56349"/>
    <cellStyle name="Обычный 6 2 72 2 2" xfId="56350"/>
    <cellStyle name="Процентный 6 2 72 2 2" xfId="56351"/>
    <cellStyle name="Обычный 7 2 72 2 2" xfId="56352"/>
    <cellStyle name="Процентный 7 2 72 2 2" xfId="56353"/>
    <cellStyle name="Обычный 8 68 2 2" xfId="56354"/>
    <cellStyle name="Процентный 8 68 2 2" xfId="56355"/>
    <cellStyle name="Обычный 9 34 2 2" xfId="56356"/>
    <cellStyle name="Процентный 9 35 2 2" xfId="56357"/>
    <cellStyle name="Обычный 10 27 2 2" xfId="56358"/>
    <cellStyle name="Процентный 10 27 2 2" xfId="56359"/>
    <cellStyle name="Обычный 11 15 2 2" xfId="56360"/>
    <cellStyle name="Процентный 11 15 2 2" xfId="56361"/>
    <cellStyle name="Обычный 4 127 2 2" xfId="56362"/>
    <cellStyle name="Процентный 4 127 2 2" xfId="56363"/>
    <cellStyle name="Обычный 5 120 2 2" xfId="56364"/>
    <cellStyle name="Процентный 5 120 2 2" xfId="56365"/>
    <cellStyle name="Обычный 4 2 114 2 2" xfId="56366"/>
    <cellStyle name="Процентный 4 2 114 2 2" xfId="56367"/>
    <cellStyle name="Обычный 5 2 114 2 2" xfId="56368"/>
    <cellStyle name="Процентный 5 2 114 2 2" xfId="56369"/>
    <cellStyle name="Обычный 6 111 2 2" xfId="56370"/>
    <cellStyle name="Процентный 6 111 2 2" xfId="56371"/>
    <cellStyle name="Обычный 7 81 2 2" xfId="56372"/>
    <cellStyle name="Процентный 7 81 2 2" xfId="56373"/>
    <cellStyle name="Обычный 4 3 73 2 2" xfId="56374"/>
    <cellStyle name="Процентный 4 3 73 2 2" xfId="56375"/>
    <cellStyle name="Обычный 5 3 73 2 2" xfId="56376"/>
    <cellStyle name="Процентный 5 3 73 2 2" xfId="56377"/>
    <cellStyle name="Обычный 4 2 2 73 2 2" xfId="56378"/>
    <cellStyle name="Процентный 4 2 2 73 2 2" xfId="56379"/>
    <cellStyle name="Обычный 5 2 2 73 2 2" xfId="56380"/>
    <cellStyle name="Процентный 5 2 2 73 2 2" xfId="56381"/>
    <cellStyle name="Обычный 6 2 73 2 2" xfId="56382"/>
    <cellStyle name="Процентный 6 2 73 2 2" xfId="56383"/>
    <cellStyle name="Обычный 7 2 73 2 2" xfId="56384"/>
    <cellStyle name="Процентный 7 2 73 2 2" xfId="56385"/>
    <cellStyle name="Обычный 8 69 2 2" xfId="56386"/>
    <cellStyle name="Процентный 8 69 2 2" xfId="56387"/>
    <cellStyle name="Обычный 9 35 2 2" xfId="56388"/>
    <cellStyle name="Процентный 9 36 2 2" xfId="56389"/>
    <cellStyle name="Обычный 10 28 2 2" xfId="56390"/>
    <cellStyle name="Процентный 10 28 2 2" xfId="56391"/>
    <cellStyle name="Обычный 11 16 2 2" xfId="56392"/>
    <cellStyle name="Процентный 11 16 2 2" xfId="56393"/>
    <cellStyle name="Обычный 4 128 2 2" xfId="56394"/>
    <cellStyle name="Процентный 4 128 2 2" xfId="56395"/>
    <cellStyle name="Обычный 5 121 2 2" xfId="56396"/>
    <cellStyle name="Процентный 5 121 2 2" xfId="56397"/>
    <cellStyle name="Обычный 4 2 115 2 2" xfId="56398"/>
    <cellStyle name="Процентный 4 2 115 2 2" xfId="56399"/>
    <cellStyle name="Обычный 5 2 115 2 2" xfId="56400"/>
    <cellStyle name="Процентный 5 2 115 2 2" xfId="56401"/>
    <cellStyle name="Обычный 6 112 2 2" xfId="56402"/>
    <cellStyle name="Процентный 6 112 2 2" xfId="56403"/>
    <cellStyle name="Обычный 7 82 2 2" xfId="56404"/>
    <cellStyle name="Процентный 7 82 2 2" xfId="56405"/>
    <cellStyle name="Обычный 4 3 74 2 2" xfId="56406"/>
    <cellStyle name="Процентный 4 3 74 2 2" xfId="56407"/>
    <cellStyle name="Обычный 5 3 74 2 2" xfId="56408"/>
    <cellStyle name="Процентный 5 3 74 2 2" xfId="56409"/>
    <cellStyle name="Обычный 4 2 2 74 2 2" xfId="56410"/>
    <cellStyle name="Процентный 4 2 2 74 2 2" xfId="56411"/>
    <cellStyle name="Обычный 5 2 2 74 2 2" xfId="56412"/>
    <cellStyle name="Процентный 5 2 2 74 2 2" xfId="56413"/>
    <cellStyle name="Обычный 6 2 74 2 2" xfId="56414"/>
    <cellStyle name="Процентный 6 2 74 2 2" xfId="56415"/>
    <cellStyle name="Обычный 7 2 74 2 2" xfId="56416"/>
    <cellStyle name="Процентный 7 2 74 2 2" xfId="56417"/>
    <cellStyle name="Обычный 8 70 2 2" xfId="56418"/>
    <cellStyle name="Процентный 8 70 2 2" xfId="56419"/>
    <cellStyle name="Обычный 9 36 2 2" xfId="56420"/>
    <cellStyle name="Процентный 9 37 2 2" xfId="56421"/>
    <cellStyle name="Обычный 10 29 2 2" xfId="56422"/>
    <cellStyle name="Процентный 10 29 2 2" xfId="56423"/>
    <cellStyle name="Обычный 11 17 2 2" xfId="56424"/>
    <cellStyle name="Процентный 11 17 2 2" xfId="56425"/>
    <cellStyle name="Обычный 4 129 2 2" xfId="56426"/>
    <cellStyle name="Процентный 4 129 2 2" xfId="56427"/>
    <cellStyle name="Обычный 5 122 2 2" xfId="56428"/>
    <cellStyle name="Процентный 5 122 2 2" xfId="56429"/>
    <cellStyle name="Обычный 4 2 116 2 2" xfId="56430"/>
    <cellStyle name="Процентный 4 2 116 2 2" xfId="56431"/>
    <cellStyle name="Обычный 5 2 116 2 2" xfId="56432"/>
    <cellStyle name="Процентный 5 2 116 2 2" xfId="56433"/>
    <cellStyle name="Обычный 6 113 2 2" xfId="56434"/>
    <cellStyle name="Процентный 6 113 2 2" xfId="56435"/>
    <cellStyle name="Обычный 7 83 2 2" xfId="56436"/>
    <cellStyle name="Процентный 7 83 2 2" xfId="56437"/>
    <cellStyle name="Обычный 4 3 75 2 2" xfId="56438"/>
    <cellStyle name="Процентный 4 3 75 2 2" xfId="56439"/>
    <cellStyle name="Обычный 5 3 75 2 2" xfId="56440"/>
    <cellStyle name="Процентный 5 3 75 2 2" xfId="56441"/>
    <cellStyle name="Обычный 4 2 2 75 2 2" xfId="56442"/>
    <cellStyle name="Процентный 4 2 2 75 2 2" xfId="56443"/>
    <cellStyle name="Обычный 5 2 2 75 2 2" xfId="56444"/>
    <cellStyle name="Процентный 5 2 2 75 2 2" xfId="56445"/>
    <cellStyle name="Обычный 6 2 75 2 2" xfId="56446"/>
    <cellStyle name="Процентный 6 2 75 2 2" xfId="56447"/>
    <cellStyle name="Обычный 7 2 75 2 2" xfId="56448"/>
    <cellStyle name="Процентный 7 2 75 2 2" xfId="56449"/>
    <cellStyle name="Обычный 8 71 2 2" xfId="56450"/>
    <cellStyle name="Процентный 8 71 2 2" xfId="56451"/>
    <cellStyle name="Обычный 9 37 2 2" xfId="56452"/>
    <cellStyle name="Процентный 9 38 2 2" xfId="56453"/>
    <cellStyle name="Обычный 10 30 2 2" xfId="56454"/>
    <cellStyle name="Процентный 10 30 2 2" xfId="56455"/>
    <cellStyle name="Обычный 11 18 2 2" xfId="56456"/>
    <cellStyle name="Процентный 11 18 2 2" xfId="56457"/>
    <cellStyle name="Обычный 4 130 2 2" xfId="56458"/>
    <cellStyle name="Процентный 4 130 2 2" xfId="56459"/>
    <cellStyle name="Обычный 5 123 2 2" xfId="56460"/>
    <cellStyle name="Процентный 5 123 2 2" xfId="56461"/>
    <cellStyle name="Обычный 4 2 117 2 2" xfId="56462"/>
    <cellStyle name="Процентный 4 2 117 2 2" xfId="56463"/>
    <cellStyle name="Обычный 5 2 117 2 2" xfId="56464"/>
    <cellStyle name="Процентный 5 2 117 2 2" xfId="56465"/>
    <cellStyle name="Обычный 6 114 2 2" xfId="56466"/>
    <cellStyle name="Процентный 6 114 2 2" xfId="56467"/>
    <cellStyle name="Обычный 7 84 2 2" xfId="56468"/>
    <cellStyle name="Процентный 7 84 2 2" xfId="56469"/>
    <cellStyle name="Обычный 4 3 76 2 2" xfId="56470"/>
    <cellStyle name="Процентный 4 3 76 2 2" xfId="56471"/>
    <cellStyle name="Обычный 5 3 76 2 2" xfId="56472"/>
    <cellStyle name="Процентный 5 3 76 2 2" xfId="56473"/>
    <cellStyle name="Обычный 4 2 2 76 2 2" xfId="56474"/>
    <cellStyle name="Процентный 4 2 2 76 2 2" xfId="56475"/>
    <cellStyle name="Обычный 5 2 2 76 2 2" xfId="56476"/>
    <cellStyle name="Процентный 5 2 2 76 2 2" xfId="56477"/>
    <cellStyle name="Обычный 6 2 76 2 2" xfId="56478"/>
    <cellStyle name="Процентный 6 2 76 2 2" xfId="56479"/>
    <cellStyle name="Обычный 7 2 76 2 2" xfId="56480"/>
    <cellStyle name="Процентный 7 2 76 2 2" xfId="56481"/>
    <cellStyle name="Обычный 8 72 2 2" xfId="56482"/>
    <cellStyle name="Процентный 8 72 2 2" xfId="56483"/>
    <cellStyle name="Обычный 9 38 2 2" xfId="56484"/>
    <cellStyle name="Процентный 9 39 2 2" xfId="56485"/>
    <cellStyle name="Обычный 10 31 2 2" xfId="56486"/>
    <cellStyle name="Процентный 10 31 2 2" xfId="56487"/>
    <cellStyle name="Обычный 11 19 2 2" xfId="56488"/>
    <cellStyle name="Процентный 11 19 2 2" xfId="56489"/>
    <cellStyle name="Обычный 4 131 2 2" xfId="56490"/>
    <cellStyle name="Процентный 4 131 2 2" xfId="56491"/>
    <cellStyle name="Обычный 5 124 2 2" xfId="56492"/>
    <cellStyle name="Процентный 5 124 2 2" xfId="56493"/>
    <cellStyle name="Обычный 4 2 118 2 2" xfId="56494"/>
    <cellStyle name="Процентный 4 2 118 2 2" xfId="56495"/>
    <cellStyle name="Обычный 5 2 118 2 2" xfId="56496"/>
    <cellStyle name="Процентный 5 2 118 2 2" xfId="56497"/>
    <cellStyle name="Обычный 6 115 2 2" xfId="56498"/>
    <cellStyle name="Процентный 6 115 2 2" xfId="56499"/>
    <cellStyle name="Обычный 7 85 2 2" xfId="56500"/>
    <cellStyle name="Процентный 7 85 2 2" xfId="56501"/>
    <cellStyle name="Обычный 4 3 77 2 2" xfId="56502"/>
    <cellStyle name="Процентный 4 3 77 2 2" xfId="56503"/>
    <cellStyle name="Обычный 5 3 77 2 2" xfId="56504"/>
    <cellStyle name="Процентный 5 3 77 2 2" xfId="56505"/>
    <cellStyle name="Обычный 4 2 2 77 2 2" xfId="56506"/>
    <cellStyle name="Процентный 4 2 2 77 2 2" xfId="56507"/>
    <cellStyle name="Обычный 5 2 2 77 2 2" xfId="56508"/>
    <cellStyle name="Процентный 5 2 2 77 2 2" xfId="56509"/>
    <cellStyle name="Обычный 6 2 77 2 2" xfId="56510"/>
    <cellStyle name="Процентный 6 2 77 2 2" xfId="56511"/>
    <cellStyle name="Обычный 7 2 77 2 2" xfId="56512"/>
    <cellStyle name="Процентный 7 2 77 2 2" xfId="56513"/>
    <cellStyle name="Обычный 8 73 2 2" xfId="56514"/>
    <cellStyle name="Процентный 8 73 2 2" xfId="56515"/>
    <cellStyle name="Обычный 9 39 2 2" xfId="56516"/>
    <cellStyle name="Процентный 9 40 2 2" xfId="56517"/>
    <cellStyle name="Обычный 10 32 2 2" xfId="56518"/>
    <cellStyle name="Процентный 10 32 2 2" xfId="56519"/>
    <cellStyle name="Обычный 11 20 2 2" xfId="56520"/>
    <cellStyle name="Процентный 11 20 2 2" xfId="56521"/>
    <cellStyle name="Обычный 4 132 2 2" xfId="56522"/>
    <cellStyle name="Процентный 4 132 2 2" xfId="56523"/>
    <cellStyle name="Обычный 5 125 2 2" xfId="56524"/>
    <cellStyle name="Процентный 5 125 2 2" xfId="56525"/>
    <cellStyle name="Обычный 4 2 119 2 2" xfId="56526"/>
    <cellStyle name="Процентный 4 2 119 2 2" xfId="56527"/>
    <cellStyle name="Обычный 5 2 119 2 2" xfId="56528"/>
    <cellStyle name="Процентный 5 2 119 2 2" xfId="56529"/>
    <cellStyle name="Обычный 6 116 2 2" xfId="56530"/>
    <cellStyle name="Процентный 6 116 2 2" xfId="56531"/>
    <cellStyle name="Обычный 7 86 2 2" xfId="56532"/>
    <cellStyle name="Процентный 7 86 2 2" xfId="56533"/>
    <cellStyle name="Обычный 4 3 78 2 2" xfId="56534"/>
    <cellStyle name="Процентный 4 3 78 2 2" xfId="56535"/>
    <cellStyle name="Обычный 5 3 78 2 2" xfId="56536"/>
    <cellStyle name="Процентный 5 3 78 2 2" xfId="56537"/>
    <cellStyle name="Обычный 4 2 2 78 2 2" xfId="56538"/>
    <cellStyle name="Процентный 4 2 2 78 2 2" xfId="56539"/>
    <cellStyle name="Обычный 5 2 2 78 2 2" xfId="56540"/>
    <cellStyle name="Процентный 5 2 2 78 2 2" xfId="56541"/>
    <cellStyle name="Обычный 6 2 78 2 2" xfId="56542"/>
    <cellStyle name="Процентный 6 2 78 2 2" xfId="56543"/>
    <cellStyle name="Обычный 7 2 78 2 2" xfId="56544"/>
    <cellStyle name="Процентный 7 2 78 2 2" xfId="56545"/>
    <cellStyle name="Обычный 8 74 2 2" xfId="56546"/>
    <cellStyle name="Процентный 8 74 2 2" xfId="56547"/>
    <cellStyle name="Обычный 9 40 2 2" xfId="56548"/>
    <cellStyle name="Процентный 9 41 2 2" xfId="56549"/>
    <cellStyle name="Обычный 10 33 2 2" xfId="56550"/>
    <cellStyle name="Процентный 10 33 2 2" xfId="56551"/>
    <cellStyle name="Обычный 11 21 2 2" xfId="56552"/>
    <cellStyle name="Процентный 11 21 2 2" xfId="56553"/>
    <cellStyle name="Обычный 4 133 2 2" xfId="56554"/>
    <cellStyle name="Процентный 4 133 2 2" xfId="56555"/>
    <cellStyle name="Обычный 5 126 2 2" xfId="56556"/>
    <cellStyle name="Процентный 5 126 2 2" xfId="56557"/>
    <cellStyle name="Обычный 4 2 120 2 2" xfId="56558"/>
    <cellStyle name="Процентный 4 2 120 2 2" xfId="56559"/>
    <cellStyle name="Обычный 5 2 120 2 2" xfId="56560"/>
    <cellStyle name="Процентный 5 2 120 2 2" xfId="56561"/>
    <cellStyle name="Обычный 6 117 2 2" xfId="56562"/>
    <cellStyle name="Процентный 6 117 2 2" xfId="56563"/>
    <cellStyle name="Обычный 7 87 2 2" xfId="56564"/>
    <cellStyle name="Процентный 7 87 2 2" xfId="56565"/>
    <cellStyle name="Обычный 4 3 79 2 2" xfId="56566"/>
    <cellStyle name="Процентный 4 3 79 2 2" xfId="56567"/>
    <cellStyle name="Обычный 5 3 79 2 2" xfId="56568"/>
    <cellStyle name="Процентный 5 3 79 2 2" xfId="56569"/>
    <cellStyle name="Обычный 4 2 2 79 2 2" xfId="56570"/>
    <cellStyle name="Процентный 4 2 2 79 2 2" xfId="56571"/>
    <cellStyle name="Обычный 5 2 2 79 2 2" xfId="56572"/>
    <cellStyle name="Процентный 5 2 2 79 2 2" xfId="56573"/>
    <cellStyle name="Обычный 6 2 79 2 2" xfId="56574"/>
    <cellStyle name="Процентный 6 2 79 2 2" xfId="56575"/>
    <cellStyle name="Обычный 7 2 79 2 2" xfId="56576"/>
    <cellStyle name="Процентный 7 2 79 2 2" xfId="56577"/>
    <cellStyle name="Обычный 8 75 2 2" xfId="56578"/>
    <cellStyle name="Процентный 8 75 2 2" xfId="56579"/>
    <cellStyle name="Обычный 9 41 2 2" xfId="56580"/>
    <cellStyle name="Процентный 9 42 2 2" xfId="56581"/>
    <cellStyle name="Обычный 10 34 2 2" xfId="56582"/>
    <cellStyle name="Процентный 10 34 2 2" xfId="56583"/>
    <cellStyle name="Обычный 11 22 2 2" xfId="56584"/>
    <cellStyle name="Процентный 11 22 2 2" xfId="56585"/>
    <cellStyle name="Обычный 4 134 2 2" xfId="56586"/>
    <cellStyle name="Процентный 4 134 2 2" xfId="56587"/>
    <cellStyle name="Обычный 5 127 2 2" xfId="56588"/>
    <cellStyle name="Процентный 5 127 2 2" xfId="56589"/>
    <cellStyle name="Обычный 4 2 121 2 2" xfId="56590"/>
    <cellStyle name="Процентный 4 2 121 2 2" xfId="56591"/>
    <cellStyle name="Обычный 5 2 121 2 2" xfId="56592"/>
    <cellStyle name="Процентный 5 2 121 2 2" xfId="56593"/>
    <cellStyle name="Обычный 6 118 2 2" xfId="56594"/>
    <cellStyle name="Процентный 6 118 2 2" xfId="56595"/>
    <cellStyle name="Обычный 7 88 2 2" xfId="56596"/>
    <cellStyle name="Процентный 7 88 2 2" xfId="56597"/>
    <cellStyle name="Обычный 4 3 80 2 2" xfId="56598"/>
    <cellStyle name="Процентный 4 3 80 2 2" xfId="56599"/>
    <cellStyle name="Обычный 5 3 80 2 2" xfId="56600"/>
    <cellStyle name="Процентный 5 3 80 2 2" xfId="56601"/>
    <cellStyle name="Обычный 4 2 2 80 2 2" xfId="56602"/>
    <cellStyle name="Процентный 4 2 2 80 2 2" xfId="56603"/>
    <cellStyle name="Обычный 5 2 2 80 2 2" xfId="56604"/>
    <cellStyle name="Процентный 5 2 2 80 2 2" xfId="56605"/>
    <cellStyle name="Обычный 6 2 80 2 2" xfId="56606"/>
    <cellStyle name="Процентный 6 2 80 2 2" xfId="56607"/>
    <cellStyle name="Обычный 7 2 80 2 2" xfId="56608"/>
    <cellStyle name="Процентный 7 2 80 2 2" xfId="56609"/>
    <cellStyle name="Обычный 8 76 2 2" xfId="56610"/>
    <cellStyle name="Процентный 8 76 2 2" xfId="56611"/>
    <cellStyle name="Обычный 9 42 2 2" xfId="56612"/>
    <cellStyle name="Процентный 9 43 2 2" xfId="56613"/>
    <cellStyle name="Обычный 10 35 2 2" xfId="56614"/>
    <cellStyle name="Процентный 10 35 2 2" xfId="56615"/>
    <cellStyle name="Обычный 11 23 2 2" xfId="56616"/>
    <cellStyle name="Процентный 11 23 2 2" xfId="56617"/>
    <cellStyle name="Обычный 4 135 2 2" xfId="56618"/>
    <cellStyle name="Процентный 4 135 2 2" xfId="56619"/>
    <cellStyle name="Обычный 5 128 2 2" xfId="56620"/>
    <cellStyle name="Процентный 5 128 2 2" xfId="56621"/>
    <cellStyle name="Обычный 4 2 122 2 2" xfId="56622"/>
    <cellStyle name="Процентный 4 2 122 2 2" xfId="56623"/>
    <cellStyle name="Обычный 5 2 122 2 2" xfId="56624"/>
    <cellStyle name="Процентный 5 2 122 2 2" xfId="56625"/>
    <cellStyle name="Обычный 6 119 2 2" xfId="56626"/>
    <cellStyle name="Процентный 6 119 2 2" xfId="56627"/>
    <cellStyle name="Обычный 7 89 2 2" xfId="56628"/>
    <cellStyle name="Процентный 7 89 2 2" xfId="56629"/>
    <cellStyle name="Обычный 4 3 81 2 2" xfId="56630"/>
    <cellStyle name="Процентный 4 3 81 2 2" xfId="56631"/>
    <cellStyle name="Обычный 5 3 81 2 2" xfId="56632"/>
    <cellStyle name="Процентный 5 3 81 2 2" xfId="56633"/>
    <cellStyle name="Обычный 4 2 2 81 2 2" xfId="56634"/>
    <cellStyle name="Процентный 4 2 2 81 2 2" xfId="56635"/>
    <cellStyle name="Обычный 5 2 2 81 2 2" xfId="56636"/>
    <cellStyle name="Процентный 5 2 2 81 2 2" xfId="56637"/>
    <cellStyle name="Обычный 6 2 81 2 2" xfId="56638"/>
    <cellStyle name="Процентный 6 2 81 2 2" xfId="56639"/>
    <cellStyle name="Обычный 7 2 81 2 2" xfId="56640"/>
    <cellStyle name="Процентный 7 2 81 2 2" xfId="56641"/>
    <cellStyle name="Обычный 8 77 2 2" xfId="56642"/>
    <cellStyle name="Процентный 8 77 2 2" xfId="56643"/>
    <cellStyle name="Обычный 9 43 2 2" xfId="56644"/>
    <cellStyle name="Процентный 9 44 2 2" xfId="56645"/>
    <cellStyle name="Обычный 10 36 2 2" xfId="56646"/>
    <cellStyle name="Процентный 10 36 2 2" xfId="56647"/>
    <cellStyle name="Обычный 11 24 2 2" xfId="56648"/>
    <cellStyle name="Процентный 11 24 2 2" xfId="56649"/>
    <cellStyle name="Обычный 4 136 2 2" xfId="56650"/>
    <cellStyle name="Процентный 4 136 2 2" xfId="56651"/>
    <cellStyle name="Обычный 5 129 2 2" xfId="56652"/>
    <cellStyle name="Процентный 5 129 2 2" xfId="56653"/>
    <cellStyle name="Обычный 4 2 123 2 2" xfId="56654"/>
    <cellStyle name="Процентный 4 2 123 2 2" xfId="56655"/>
    <cellStyle name="Обычный 5 2 123 2 2" xfId="56656"/>
    <cellStyle name="Процентный 5 2 123 2 2" xfId="56657"/>
    <cellStyle name="Обычный 6 120 2 2" xfId="56658"/>
    <cellStyle name="Процентный 6 120 2 2" xfId="56659"/>
    <cellStyle name="Обычный 7 90 2 2" xfId="56660"/>
    <cellStyle name="Процентный 7 90 2 2" xfId="56661"/>
    <cellStyle name="Обычный 4 3 82 2 2" xfId="56662"/>
    <cellStyle name="Процентный 4 3 82 2 2" xfId="56663"/>
    <cellStyle name="Обычный 5 3 82 2 2" xfId="56664"/>
    <cellStyle name="Процентный 5 3 82 2 2" xfId="56665"/>
    <cellStyle name="Обычный 4 2 2 82 2 2" xfId="56666"/>
    <cellStyle name="Процентный 4 2 2 82 2 2" xfId="56667"/>
    <cellStyle name="Обычный 5 2 2 82 2 2" xfId="56668"/>
    <cellStyle name="Процентный 5 2 2 82 2 2" xfId="56669"/>
    <cellStyle name="Обычный 6 2 82 2 2" xfId="56670"/>
    <cellStyle name="Процентный 6 2 82 2 2" xfId="56671"/>
    <cellStyle name="Обычный 7 2 82 2 2" xfId="56672"/>
    <cellStyle name="Процентный 7 2 82 2 2" xfId="56673"/>
    <cellStyle name="Обычный 8 78 2 2" xfId="56674"/>
    <cellStyle name="Процентный 8 78 2 2" xfId="56675"/>
    <cellStyle name="Обычный 9 44 2 2" xfId="56676"/>
    <cellStyle name="Процентный 9 45 2 2" xfId="56677"/>
    <cellStyle name="Обычный 10 37 2 2" xfId="56678"/>
    <cellStyle name="Процентный 10 37 2 2" xfId="56679"/>
    <cellStyle name="Обычный 11 25 2 2" xfId="56680"/>
    <cellStyle name="Процентный 11 25 2 2" xfId="56681"/>
    <cellStyle name="Обычный 4 137 2 2" xfId="56682"/>
    <cellStyle name="Процентный 4 137 2 2" xfId="56683"/>
    <cellStyle name="Обычный 5 130 2 2" xfId="56684"/>
    <cellStyle name="Процентный 5 130 2 2" xfId="56685"/>
    <cellStyle name="Обычный 4 2 124 2 2" xfId="56686"/>
    <cellStyle name="Процентный 4 2 124 2 2" xfId="56687"/>
    <cellStyle name="Обычный 5 2 124 2 2" xfId="56688"/>
    <cellStyle name="Процентный 5 2 124 2 2" xfId="56689"/>
    <cellStyle name="Обычный 6 121 2 2" xfId="56690"/>
    <cellStyle name="Процентный 6 121 2 2" xfId="56691"/>
    <cellStyle name="Обычный 7 91 2 2" xfId="56692"/>
    <cellStyle name="Процентный 7 91 2 2" xfId="56693"/>
    <cellStyle name="Обычный 4 3 83 2 2" xfId="56694"/>
    <cellStyle name="Процентный 4 3 83 2 2" xfId="56695"/>
    <cellStyle name="Обычный 5 3 83 2 2" xfId="56696"/>
    <cellStyle name="Процентный 5 3 83 2 2" xfId="56697"/>
    <cellStyle name="Обычный 4 2 2 83 2 2" xfId="56698"/>
    <cellStyle name="Процентный 4 2 2 83 2 2" xfId="56699"/>
    <cellStyle name="Обычный 5 2 2 83 2 2" xfId="56700"/>
    <cellStyle name="Процентный 5 2 2 83 2 2" xfId="56701"/>
    <cellStyle name="Обычный 6 2 83 2 2" xfId="56702"/>
    <cellStyle name="Процентный 6 2 83 2 2" xfId="56703"/>
    <cellStyle name="Обычный 7 2 83 2 2" xfId="56704"/>
    <cellStyle name="Процентный 7 2 83 2 2" xfId="56705"/>
    <cellStyle name="Обычный 8 79 2 2" xfId="56706"/>
    <cellStyle name="Процентный 8 79 2 2" xfId="56707"/>
    <cellStyle name="Обычный 9 45 2 2" xfId="56708"/>
    <cellStyle name="Процентный 9 46 2 2" xfId="56709"/>
    <cellStyle name="Обычный 10 38 2 2" xfId="56710"/>
    <cellStyle name="Процентный 10 38 2 2" xfId="56711"/>
    <cellStyle name="Обычный 11 26 2 2" xfId="56712"/>
    <cellStyle name="Процентный 11 26 2 2" xfId="56713"/>
    <cellStyle name="Обычный 4 138 2 2" xfId="56714"/>
    <cellStyle name="Процентный 4 138 2 2" xfId="56715"/>
    <cellStyle name="Обычный 5 131 2 2" xfId="56716"/>
    <cellStyle name="Процентный 5 131 2 2" xfId="56717"/>
    <cellStyle name="Обычный 4 2 125 2 2" xfId="56718"/>
    <cellStyle name="Процентный 4 2 125 2 2" xfId="56719"/>
    <cellStyle name="Обычный 5 2 125 2 2" xfId="56720"/>
    <cellStyle name="Процентный 5 2 125 2 2" xfId="56721"/>
    <cellStyle name="Обычный 6 122 2 2" xfId="56722"/>
    <cellStyle name="Процентный 6 122 2 2" xfId="56723"/>
    <cellStyle name="Обычный 7 92 2 2" xfId="56724"/>
    <cellStyle name="Процентный 7 92 2 2" xfId="56725"/>
    <cellStyle name="Обычный 4 3 84 2 2" xfId="56726"/>
    <cellStyle name="Процентный 4 3 84 2 2" xfId="56727"/>
    <cellStyle name="Обычный 5 3 84 2 2" xfId="56728"/>
    <cellStyle name="Процентный 5 3 84 2 2" xfId="56729"/>
    <cellStyle name="Обычный 4 2 2 84 2 2" xfId="56730"/>
    <cellStyle name="Процентный 4 2 2 84 2 2" xfId="56731"/>
    <cellStyle name="Обычный 5 2 2 84 2 2" xfId="56732"/>
    <cellStyle name="Процентный 5 2 2 84 2 2" xfId="56733"/>
    <cellStyle name="Обычный 6 2 84 2 2" xfId="56734"/>
    <cellStyle name="Процентный 6 2 84 2 2" xfId="56735"/>
    <cellStyle name="Обычный 7 2 84 2 2" xfId="56736"/>
    <cellStyle name="Процентный 7 2 84 2 2" xfId="56737"/>
    <cellStyle name="Обычный 8 80 2 2" xfId="56738"/>
    <cellStyle name="Процентный 8 80 2 2" xfId="56739"/>
    <cellStyle name="Обычный 9 46 2 2" xfId="56740"/>
    <cellStyle name="Процентный 9 47 2 2" xfId="56741"/>
    <cellStyle name="Обычный 10 39 2 2" xfId="56742"/>
    <cellStyle name="Процентный 10 39 2 2" xfId="56743"/>
    <cellStyle name="Обычный 11 27 2 2" xfId="56744"/>
    <cellStyle name="Процентный 11 27 2 2" xfId="56745"/>
    <cellStyle name="Обычный 4 139 2 2" xfId="56746"/>
    <cellStyle name="Процентный 4 139 2 2" xfId="56747"/>
    <cellStyle name="Обычный 5 132 2 2" xfId="56748"/>
    <cellStyle name="Процентный 5 132 2 2" xfId="56749"/>
    <cellStyle name="Обычный 4 2 126 2 2" xfId="56750"/>
    <cellStyle name="Процентный 4 2 126 2 2" xfId="56751"/>
    <cellStyle name="Обычный 5 2 126 2 2" xfId="56752"/>
    <cellStyle name="Процентный 5 2 126 2 2" xfId="56753"/>
    <cellStyle name="Обычный 6 123 2 2" xfId="56754"/>
    <cellStyle name="Процентный 6 123 2 2" xfId="56755"/>
    <cellStyle name="Обычный 7 93 2 2" xfId="56756"/>
    <cellStyle name="Процентный 7 93 2 2" xfId="56757"/>
    <cellStyle name="Обычный 4 3 85 2 2" xfId="56758"/>
    <cellStyle name="Процентный 4 3 85 2 2" xfId="56759"/>
    <cellStyle name="Обычный 5 3 85 2 2" xfId="56760"/>
    <cellStyle name="Процентный 5 3 85 2 2" xfId="56761"/>
    <cellStyle name="Обычный 4 2 2 85 2 2" xfId="56762"/>
    <cellStyle name="Процентный 4 2 2 85 2 2" xfId="56763"/>
    <cellStyle name="Обычный 5 2 2 85 2 2" xfId="56764"/>
    <cellStyle name="Процентный 5 2 2 85 2 2" xfId="56765"/>
    <cellStyle name="Обычный 6 2 85 2 2" xfId="56766"/>
    <cellStyle name="Процентный 6 2 85 2 2" xfId="56767"/>
    <cellStyle name="Обычный 7 2 85 2 2" xfId="56768"/>
    <cellStyle name="Процентный 7 2 85 2 2" xfId="56769"/>
    <cellStyle name="Обычный 8 81 2 2" xfId="56770"/>
    <cellStyle name="Процентный 8 81 2 2" xfId="56771"/>
    <cellStyle name="Обычный 9 47 2 2" xfId="56772"/>
    <cellStyle name="Процентный 9 48 2 2" xfId="56773"/>
    <cellStyle name="Обычный 10 40 2 2" xfId="56774"/>
    <cellStyle name="Процентный 10 40 2 2" xfId="56775"/>
    <cellStyle name="Обычный 11 28 2 2" xfId="56776"/>
    <cellStyle name="Процентный 11 28 2 2" xfId="56777"/>
    <cellStyle name="Обычный 4 140 2 2" xfId="56778"/>
    <cellStyle name="Процентный 4 140 2 2" xfId="56779"/>
    <cellStyle name="Обычный 5 133 2 2" xfId="56780"/>
    <cellStyle name="Процентный 5 133 2 2" xfId="56781"/>
    <cellStyle name="Обычный 4 2 127 2 2" xfId="56782"/>
    <cellStyle name="Процентный 4 2 127 2 2" xfId="56783"/>
    <cellStyle name="Обычный 5 2 127 2 2" xfId="56784"/>
    <cellStyle name="Процентный 5 2 127 2 2" xfId="56785"/>
    <cellStyle name="Обычный 6 124 2 2" xfId="56786"/>
    <cellStyle name="Процентный 6 124 2 2" xfId="56787"/>
    <cellStyle name="Обычный 7 94 2 2" xfId="56788"/>
    <cellStyle name="Процентный 7 94 2 2" xfId="56789"/>
    <cellStyle name="Обычный 4 3 86 2 2" xfId="56790"/>
    <cellStyle name="Процентный 4 3 86 2 2" xfId="56791"/>
    <cellStyle name="Обычный 5 3 86 2 2" xfId="56792"/>
    <cellStyle name="Процентный 5 3 86 2 2" xfId="56793"/>
    <cellStyle name="Обычный 4 2 2 86 2 2" xfId="56794"/>
    <cellStyle name="Процентный 4 2 2 86 2 2" xfId="56795"/>
    <cellStyle name="Обычный 5 2 2 86 2 2" xfId="56796"/>
    <cellStyle name="Процентный 5 2 2 86 2 2" xfId="56797"/>
    <cellStyle name="Обычный 6 2 86 2 2" xfId="56798"/>
    <cellStyle name="Процентный 6 2 86 2 2" xfId="56799"/>
    <cellStyle name="Обычный 7 2 86 2 2" xfId="56800"/>
    <cellStyle name="Процентный 7 2 86 2 2" xfId="56801"/>
    <cellStyle name="Обычный 8 82 2 2" xfId="56802"/>
    <cellStyle name="Процентный 8 82 2 2" xfId="56803"/>
    <cellStyle name="Обычный 9 48 2 2" xfId="56804"/>
    <cellStyle name="Процентный 9 49 2 2" xfId="56805"/>
    <cellStyle name="Обычный 10 41 2 2" xfId="56806"/>
    <cellStyle name="Процентный 10 41 2 2" xfId="56807"/>
    <cellStyle name="Обычный 11 29 2 2" xfId="56808"/>
    <cellStyle name="Процентный 11 29 2 2" xfId="56809"/>
    <cellStyle name="Обычный 4 141 2 2" xfId="56810"/>
    <cellStyle name="Процентный 4 141 2 2" xfId="56811"/>
    <cellStyle name="Обычный 5 134 2 2" xfId="56812"/>
    <cellStyle name="Процентный 5 134 2 2" xfId="56813"/>
    <cellStyle name="Обычный 4 2 128 2 2" xfId="56814"/>
    <cellStyle name="Процентный 4 2 128 2 2" xfId="56815"/>
    <cellStyle name="Обычный 5 2 128 2 2" xfId="56816"/>
    <cellStyle name="Процентный 5 2 128 2 2" xfId="56817"/>
    <cellStyle name="Обычный 6 125 2 2" xfId="56818"/>
    <cellStyle name="Процентный 6 125 2 2" xfId="56819"/>
    <cellStyle name="Обычный 7 95 2 2" xfId="56820"/>
    <cellStyle name="Процентный 7 95 2 2" xfId="56821"/>
    <cellStyle name="Обычный 4 3 87 2 2" xfId="56822"/>
    <cellStyle name="Процентный 4 3 87 2 2" xfId="56823"/>
    <cellStyle name="Обычный 5 3 87 2 2" xfId="56824"/>
    <cellStyle name="Процентный 5 3 87 2 2" xfId="56825"/>
    <cellStyle name="Обычный 4 2 2 87 2 2" xfId="56826"/>
    <cellStyle name="Процентный 4 2 2 87 2 2" xfId="56827"/>
    <cellStyle name="Обычный 5 2 2 87 2 2" xfId="56828"/>
    <cellStyle name="Процентный 5 2 2 87 2 2" xfId="56829"/>
    <cellStyle name="Обычный 6 2 87 2 2" xfId="56830"/>
    <cellStyle name="Процентный 6 2 87 2 2" xfId="56831"/>
    <cellStyle name="Обычный 7 2 87 2 2" xfId="56832"/>
    <cellStyle name="Процентный 7 2 87 2 2" xfId="56833"/>
    <cellStyle name="Обычный 8 83 2 2" xfId="56834"/>
    <cellStyle name="Процентный 8 83 2 2" xfId="56835"/>
    <cellStyle name="Обычный 9 49 2 2" xfId="56836"/>
    <cellStyle name="Процентный 9 50 2 2" xfId="56837"/>
    <cellStyle name="Обычный 10 42 2 2" xfId="56838"/>
    <cellStyle name="Процентный 10 42 2 2" xfId="56839"/>
    <cellStyle name="Обычный 11 30 2 2" xfId="56840"/>
    <cellStyle name="Процентный 11 30 2 2" xfId="56841"/>
    <cellStyle name="Обычный 4 142 2 2" xfId="56842"/>
    <cellStyle name="Процентный 4 142 2 2" xfId="56843"/>
    <cellStyle name="Обычный 5 135 2 2" xfId="56844"/>
    <cellStyle name="Процентный 5 135 2 2" xfId="56845"/>
    <cellStyle name="Обычный 4 2 129 2 2" xfId="56846"/>
    <cellStyle name="Процентный 4 2 129 2 2" xfId="56847"/>
    <cellStyle name="Обычный 5 2 129 2 2" xfId="56848"/>
    <cellStyle name="Процентный 5 2 129 2 2" xfId="56849"/>
    <cellStyle name="Обычный 6 126 2 2" xfId="56850"/>
    <cellStyle name="Процентный 6 126 2 2" xfId="56851"/>
    <cellStyle name="Обычный 7 96 2 2" xfId="56852"/>
    <cellStyle name="Процентный 7 96 2 2" xfId="56853"/>
    <cellStyle name="Обычный 4 3 88 2 2" xfId="56854"/>
    <cellStyle name="Процентный 4 3 88 2 2" xfId="56855"/>
    <cellStyle name="Обычный 5 3 88 2 2" xfId="56856"/>
    <cellStyle name="Процентный 5 3 88 2 2" xfId="56857"/>
    <cellStyle name="Обычный 4 2 2 88 2 2" xfId="56858"/>
    <cellStyle name="Процентный 4 2 2 88 2 2" xfId="56859"/>
    <cellStyle name="Обычный 5 2 2 88 2 2" xfId="56860"/>
    <cellStyle name="Процентный 5 2 2 88 2 2" xfId="56861"/>
    <cellStyle name="Обычный 6 2 88 2 2" xfId="56862"/>
    <cellStyle name="Процентный 6 2 88 2 2" xfId="56863"/>
    <cellStyle name="Обычный 7 2 88 2 2" xfId="56864"/>
    <cellStyle name="Процентный 7 2 88 2 2" xfId="56865"/>
    <cellStyle name="Обычный 8 84 2 2" xfId="56866"/>
    <cellStyle name="Процентный 8 84 2 2" xfId="56867"/>
    <cellStyle name="Обычный 9 50 2 2" xfId="56868"/>
    <cellStyle name="Процентный 9 51 2 2" xfId="56869"/>
    <cellStyle name="Обычный 10 43 2 2" xfId="56870"/>
    <cellStyle name="Процентный 10 43 2 2" xfId="56871"/>
    <cellStyle name="Обычный 11 31 2 2" xfId="56872"/>
    <cellStyle name="Процентный 11 31 2 2" xfId="56873"/>
    <cellStyle name="Обычный 4 143 2 2" xfId="56874"/>
    <cellStyle name="Процентный 4 143 2 2" xfId="56875"/>
    <cellStyle name="Обычный 5 136 2 2" xfId="56876"/>
    <cellStyle name="Процентный 5 136 2 2" xfId="56877"/>
    <cellStyle name="Обычный 4 2 130 2 2" xfId="56878"/>
    <cellStyle name="Процентный 4 2 130 2 2" xfId="56879"/>
    <cellStyle name="Обычный 5 2 130 2 2" xfId="56880"/>
    <cellStyle name="Процентный 5 2 130 2 2" xfId="56881"/>
    <cellStyle name="Обычный 6 127 2 2" xfId="56882"/>
    <cellStyle name="Процентный 6 127 2 2" xfId="56883"/>
    <cellStyle name="Обычный 7 97 2 2" xfId="56884"/>
    <cellStyle name="Процентный 7 97 2 2" xfId="56885"/>
    <cellStyle name="Обычный 4 3 89 2 2" xfId="56886"/>
    <cellStyle name="Процентный 4 3 89 2 2" xfId="56887"/>
    <cellStyle name="Обычный 5 3 89 2 2" xfId="56888"/>
    <cellStyle name="Процентный 5 3 89 2 2" xfId="56889"/>
    <cellStyle name="Обычный 4 2 2 89 2 2" xfId="56890"/>
    <cellStyle name="Процентный 4 2 2 89 2 2" xfId="56891"/>
    <cellStyle name="Обычный 5 2 2 89 2 2" xfId="56892"/>
    <cellStyle name="Процентный 5 2 2 89 2 2" xfId="56893"/>
    <cellStyle name="Обычный 6 2 89 2 2" xfId="56894"/>
    <cellStyle name="Процентный 6 2 89 2 2" xfId="56895"/>
    <cellStyle name="Обычный 7 2 89 2 2" xfId="56896"/>
    <cellStyle name="Процентный 7 2 89 2 2" xfId="56897"/>
    <cellStyle name="Обычный 8 85 2 2" xfId="56898"/>
    <cellStyle name="Процентный 8 85 2 2" xfId="56899"/>
    <cellStyle name="Обычный 9 51 2 2" xfId="56900"/>
    <cellStyle name="Процентный 9 52 2 2" xfId="56901"/>
    <cellStyle name="Обычный 10 44 2 2" xfId="56902"/>
    <cellStyle name="Процентный 10 44 2 2" xfId="56903"/>
    <cellStyle name="Обычный 11 32 2 2" xfId="56904"/>
    <cellStyle name="Процентный 11 32 2 2" xfId="56905"/>
    <cellStyle name="Обычный 4 144 2 2" xfId="56906"/>
    <cellStyle name="Процентный 4 144 2 2" xfId="56907"/>
    <cellStyle name="Обычный 5 137 2 2" xfId="56908"/>
    <cellStyle name="Процентный 5 137 2 2" xfId="56909"/>
    <cellStyle name="Обычный 4 2 131 2 2" xfId="56910"/>
    <cellStyle name="Процентный 4 2 131 2 2" xfId="56911"/>
    <cellStyle name="Обычный 5 2 131 2 2" xfId="56912"/>
    <cellStyle name="Процентный 5 2 131 2 2" xfId="56913"/>
    <cellStyle name="Обычный 6 128 2 2" xfId="56914"/>
    <cellStyle name="Процентный 6 128 2 2" xfId="56915"/>
    <cellStyle name="Обычный 7 98 2 2" xfId="56916"/>
    <cellStyle name="Процентный 7 98 2 2" xfId="56917"/>
    <cellStyle name="Обычный 4 3 90 2 2" xfId="56918"/>
    <cellStyle name="Процентный 4 3 90 2 2" xfId="56919"/>
    <cellStyle name="Обычный 5 3 90 2 2" xfId="56920"/>
    <cellStyle name="Процентный 5 3 90 2 2" xfId="56921"/>
    <cellStyle name="Обычный 4 2 2 90 2 2" xfId="56922"/>
    <cellStyle name="Процентный 4 2 2 90 2 2" xfId="56923"/>
    <cellStyle name="Обычный 5 2 2 90 2 2" xfId="56924"/>
    <cellStyle name="Процентный 5 2 2 90 2 2" xfId="56925"/>
    <cellStyle name="Обычный 6 2 90 2 2" xfId="56926"/>
    <cellStyle name="Процентный 6 2 90 2 2" xfId="56927"/>
    <cellStyle name="Обычный 7 2 90 2 2" xfId="56928"/>
    <cellStyle name="Процентный 7 2 90 2 2" xfId="56929"/>
    <cellStyle name="Обычный 8 86 2 2" xfId="56930"/>
    <cellStyle name="Процентный 8 86 2 2" xfId="56931"/>
    <cellStyle name="Обычный 9 52 2 2" xfId="56932"/>
    <cellStyle name="Процентный 9 53 2 2" xfId="56933"/>
    <cellStyle name="Обычный 10 45 2 2" xfId="56934"/>
    <cellStyle name="Процентный 10 45 2 2" xfId="56935"/>
    <cellStyle name="Обычный 11 33 2 2" xfId="56936"/>
    <cellStyle name="Процентный 11 33 2 2" xfId="56937"/>
    <cellStyle name="Обычный 4 145 2 2" xfId="56938"/>
    <cellStyle name="Процентный 4 145 2 2" xfId="56939"/>
    <cellStyle name="Обычный 5 138 2 2" xfId="56940"/>
    <cellStyle name="Процентный 5 138 2 2" xfId="56941"/>
    <cellStyle name="Обычный 4 2 132 2 2" xfId="56942"/>
    <cellStyle name="Процентный 4 2 132 2 2" xfId="56943"/>
    <cellStyle name="Обычный 5 2 132 2 2" xfId="56944"/>
    <cellStyle name="Процентный 5 2 132 2 2" xfId="56945"/>
    <cellStyle name="Обычный 6 129 2 2" xfId="56946"/>
    <cellStyle name="Процентный 6 129 2 2" xfId="56947"/>
    <cellStyle name="Обычный 7 99 2 2" xfId="56948"/>
    <cellStyle name="Процентный 7 99 2 2" xfId="56949"/>
    <cellStyle name="Обычный 4 3 91 2 2" xfId="56950"/>
    <cellStyle name="Процентный 4 3 91 2 2" xfId="56951"/>
    <cellStyle name="Обычный 5 3 91 2 2" xfId="56952"/>
    <cellStyle name="Процентный 5 3 91 2 2" xfId="56953"/>
    <cellStyle name="Обычный 4 2 2 91 2 2" xfId="56954"/>
    <cellStyle name="Процентный 4 2 2 91 2 2" xfId="56955"/>
    <cellStyle name="Обычный 5 2 2 91 2 2" xfId="56956"/>
    <cellStyle name="Процентный 5 2 2 91 2 2" xfId="56957"/>
    <cellStyle name="Обычный 6 2 91 2 2" xfId="56958"/>
    <cellStyle name="Процентный 6 2 91 2 2" xfId="56959"/>
    <cellStyle name="Обычный 7 2 91 2 2" xfId="56960"/>
    <cellStyle name="Процентный 7 2 91 2 2" xfId="56961"/>
    <cellStyle name="Обычный 8 87 2 2" xfId="56962"/>
    <cellStyle name="Процентный 8 87 2 2" xfId="56963"/>
    <cellStyle name="Обычный 9 53 2 2" xfId="56964"/>
    <cellStyle name="Процентный 9 54 2 2" xfId="56965"/>
    <cellStyle name="Обычный 10 46 2 2" xfId="56966"/>
    <cellStyle name="Процентный 10 46 2 2" xfId="56967"/>
    <cellStyle name="Обычный 11 34 2 2" xfId="56968"/>
    <cellStyle name="Процентный 11 34 2 2" xfId="56969"/>
    <cellStyle name="Обычный 4 146 2 2" xfId="56970"/>
    <cellStyle name="Процентный 4 146 2 2" xfId="56971"/>
    <cellStyle name="Обычный 5 139 2 2" xfId="56972"/>
    <cellStyle name="Процентный 5 139 2 2" xfId="56973"/>
    <cellStyle name="Обычный 4 2 133 2 2" xfId="56974"/>
    <cellStyle name="Процентный 4 2 133 2 2" xfId="56975"/>
    <cellStyle name="Обычный 5 2 133 2 2" xfId="56976"/>
    <cellStyle name="Процентный 5 2 133 2 2" xfId="56977"/>
    <cellStyle name="Обычный 6 130 2 2" xfId="56978"/>
    <cellStyle name="Процентный 6 130 2 2" xfId="56979"/>
    <cellStyle name="Обычный 7 100 2 2" xfId="56980"/>
    <cellStyle name="Процентный 7 100 2 2" xfId="56981"/>
    <cellStyle name="Обычный 4 3 92 2 2" xfId="56982"/>
    <cellStyle name="Процентный 4 3 92 2 2" xfId="56983"/>
    <cellStyle name="Обычный 5 3 92 2 2" xfId="56984"/>
    <cellStyle name="Процентный 5 3 92 2 2" xfId="56985"/>
    <cellStyle name="Обычный 4 2 2 92 2 2" xfId="56986"/>
    <cellStyle name="Процентный 4 2 2 92 2 2" xfId="56987"/>
    <cellStyle name="Обычный 5 2 2 92 2 2" xfId="56988"/>
    <cellStyle name="Процентный 5 2 2 92 2 2" xfId="56989"/>
    <cellStyle name="Обычный 6 2 92 2 2" xfId="56990"/>
    <cellStyle name="Процентный 6 2 92 2 2" xfId="56991"/>
    <cellStyle name="Обычный 7 2 92 2 2" xfId="56992"/>
    <cellStyle name="Процентный 7 2 92 2 2" xfId="56993"/>
    <cellStyle name="Обычный 8 88 2 2" xfId="56994"/>
    <cellStyle name="Процентный 8 88 2 2" xfId="56995"/>
    <cellStyle name="Обычный 9 54 2 2" xfId="56996"/>
    <cellStyle name="Процентный 9 55 2 2" xfId="56997"/>
    <cellStyle name="Обычный 10 47 2 2" xfId="56998"/>
    <cellStyle name="Процентный 10 47 2 2" xfId="56999"/>
    <cellStyle name="Обычный 11 35 2 2" xfId="57000"/>
    <cellStyle name="Процентный 11 35 2 2" xfId="57001"/>
    <cellStyle name="Обычный 4 147 2 2" xfId="57002"/>
    <cellStyle name="Процентный 4 147 2 2" xfId="57003"/>
    <cellStyle name="Обычный 5 140 2 2" xfId="57004"/>
    <cellStyle name="Процентный 5 140 2 2" xfId="57005"/>
    <cellStyle name="Обычный 4 2 134 2 2" xfId="57006"/>
    <cellStyle name="Процентный 4 2 134 2 2" xfId="57007"/>
    <cellStyle name="Обычный 5 2 134 2 2" xfId="57008"/>
    <cellStyle name="Процентный 5 2 134 2 2" xfId="57009"/>
    <cellStyle name="Обычный 6 131 2 2" xfId="57010"/>
    <cellStyle name="Процентный 6 131 2 2" xfId="57011"/>
    <cellStyle name="Обычный 7 101 2 2" xfId="57012"/>
    <cellStyle name="Процентный 7 101 2 2" xfId="57013"/>
    <cellStyle name="Обычный 4 3 93 2 2" xfId="57014"/>
    <cellStyle name="Процентный 4 3 93 2 2" xfId="57015"/>
    <cellStyle name="Обычный 5 3 93 2 2" xfId="57016"/>
    <cellStyle name="Процентный 5 3 93 2 2" xfId="57017"/>
    <cellStyle name="Обычный 4 2 2 93 2 2" xfId="57018"/>
    <cellStyle name="Процентный 4 2 2 93 2 2" xfId="57019"/>
    <cellStyle name="Обычный 5 2 2 93 2 2" xfId="57020"/>
    <cellStyle name="Процентный 5 2 2 93 2 2" xfId="57021"/>
    <cellStyle name="Обычный 6 2 93 2 2" xfId="57022"/>
    <cellStyle name="Процентный 6 2 93 2 2" xfId="57023"/>
    <cellStyle name="Обычный 7 2 93 2 2" xfId="57024"/>
    <cellStyle name="Процентный 7 2 93 2 2" xfId="57025"/>
    <cellStyle name="Обычный 8 89 2 2" xfId="57026"/>
    <cellStyle name="Процентный 8 89 2 2" xfId="57027"/>
    <cellStyle name="Обычный 9 55 2 2" xfId="57028"/>
    <cellStyle name="Процентный 9 56 2 2" xfId="57029"/>
    <cellStyle name="Обычный 10 48 2 2" xfId="57030"/>
    <cellStyle name="Процентный 10 48 2 2" xfId="57031"/>
    <cellStyle name="Обычный 11 36 2 2" xfId="57032"/>
    <cellStyle name="Процентный 11 36 2 2" xfId="57033"/>
    <cellStyle name="Обычный 4 148 2 2" xfId="57034"/>
    <cellStyle name="Процентный 4 148 2 2" xfId="57035"/>
    <cellStyle name="Обычный 5 141 2 2" xfId="57036"/>
    <cellStyle name="Процентный 5 141 2 2" xfId="57037"/>
    <cellStyle name="Обычный 4 2 135 2 2" xfId="57038"/>
    <cellStyle name="Процентный 4 2 135 2 2" xfId="57039"/>
    <cellStyle name="Обычный 5 2 135 2 2" xfId="57040"/>
    <cellStyle name="Процентный 5 2 135 2 2" xfId="57041"/>
    <cellStyle name="Обычный 6 132 2 2" xfId="57042"/>
    <cellStyle name="Процентный 6 132 2 2" xfId="57043"/>
    <cellStyle name="Обычный 7 102 2 2" xfId="57044"/>
    <cellStyle name="Процентный 7 102 2 2" xfId="57045"/>
    <cellStyle name="Обычный 4 3 94 2 2" xfId="57046"/>
    <cellStyle name="Процентный 4 3 94 2 2" xfId="57047"/>
    <cellStyle name="Обычный 5 3 94 2 2" xfId="57048"/>
    <cellStyle name="Процентный 5 3 94 2 2" xfId="57049"/>
    <cellStyle name="Обычный 4 2 2 94 2 2" xfId="57050"/>
    <cellStyle name="Процентный 4 2 2 94 2 2" xfId="57051"/>
    <cellStyle name="Обычный 5 2 2 94 2 2" xfId="57052"/>
    <cellStyle name="Процентный 5 2 2 94 2 2" xfId="57053"/>
    <cellStyle name="Обычный 6 2 94 2 2" xfId="57054"/>
    <cellStyle name="Процентный 6 2 94 2 2" xfId="57055"/>
    <cellStyle name="Обычный 7 2 94 2 2" xfId="57056"/>
    <cellStyle name="Процентный 7 2 94 2 2" xfId="57057"/>
    <cellStyle name="Обычный 8 90 2 2" xfId="57058"/>
    <cellStyle name="Процентный 8 90 2 2" xfId="57059"/>
    <cellStyle name="Обычный 9 56 2 2" xfId="57060"/>
    <cellStyle name="Процентный 9 57 2 2" xfId="57061"/>
    <cellStyle name="Обычный 10 49 2 2" xfId="57062"/>
    <cellStyle name="Процентный 10 49 2 2" xfId="57063"/>
    <cellStyle name="Обычный 11 37 2 2" xfId="57064"/>
    <cellStyle name="Процентный 11 37 2 2" xfId="57065"/>
    <cellStyle name="Обычный 4 149 2 2" xfId="57066"/>
    <cellStyle name="Процентный 4 149 2 2" xfId="57067"/>
    <cellStyle name="Обычный 5 142 2 2" xfId="57068"/>
    <cellStyle name="Процентный 5 142 2 2" xfId="57069"/>
    <cellStyle name="Обычный 4 2 136 2 2" xfId="57070"/>
    <cellStyle name="Процентный 4 2 136 2 2" xfId="57071"/>
    <cellStyle name="Обычный 5 2 136 2 2" xfId="57072"/>
    <cellStyle name="Процентный 5 2 136 2 2" xfId="57073"/>
    <cellStyle name="Обычный 6 133 2 2" xfId="57074"/>
    <cellStyle name="Процентный 6 133 2 2" xfId="57075"/>
    <cellStyle name="Обычный 7 103 2 2" xfId="57076"/>
    <cellStyle name="Процентный 7 103 2 2" xfId="57077"/>
    <cellStyle name="Обычный 4 3 95 2 2" xfId="57078"/>
    <cellStyle name="Процентный 4 3 95 2 2" xfId="57079"/>
    <cellStyle name="Обычный 5 3 95 2 2" xfId="57080"/>
    <cellStyle name="Процентный 5 3 95 2 2" xfId="57081"/>
    <cellStyle name="Обычный 4 2 2 95 2 2" xfId="57082"/>
    <cellStyle name="Процентный 4 2 2 95 2 2" xfId="57083"/>
    <cellStyle name="Обычный 5 2 2 95 2 2" xfId="57084"/>
    <cellStyle name="Процентный 5 2 2 95 2 2" xfId="57085"/>
    <cellStyle name="Обычный 6 2 95 2 2" xfId="57086"/>
    <cellStyle name="Процентный 6 2 95 2 2" xfId="57087"/>
    <cellStyle name="Обычный 7 2 95 2 2" xfId="57088"/>
    <cellStyle name="Процентный 7 2 95 2 2" xfId="57089"/>
    <cellStyle name="Обычный 8 91 2 2" xfId="57090"/>
    <cellStyle name="Процентный 8 91 2 2" xfId="57091"/>
    <cellStyle name="Обычный 9 57 2 2" xfId="57092"/>
    <cellStyle name="Процентный 9 58 2 2" xfId="57093"/>
    <cellStyle name="Обычный 10 50 2 2" xfId="57094"/>
    <cellStyle name="Процентный 10 50 2 2" xfId="57095"/>
    <cellStyle name="Обычный 11 38 2 2" xfId="57096"/>
    <cellStyle name="Процентный 11 38 2 2" xfId="57097"/>
    <cellStyle name="Обычный 4 150 2 2" xfId="57098"/>
    <cellStyle name="Процентный 4 150 2 2" xfId="57099"/>
    <cellStyle name="Обычный 5 143 2 2" xfId="57100"/>
    <cellStyle name="Процентный 5 143 2 2" xfId="57101"/>
    <cellStyle name="Обычный 4 2 137 2 2" xfId="57102"/>
    <cellStyle name="Процентный 4 2 137 2 2" xfId="57103"/>
    <cellStyle name="Обычный 5 2 137 2 2" xfId="57104"/>
    <cellStyle name="Процентный 5 2 137 2 2" xfId="57105"/>
    <cellStyle name="Обычный 6 134 2 2" xfId="57106"/>
    <cellStyle name="Процентный 6 134 2 2" xfId="57107"/>
    <cellStyle name="Обычный 7 104 2 2" xfId="57108"/>
    <cellStyle name="Процентный 7 104 2 2" xfId="57109"/>
    <cellStyle name="Обычный 4 3 96 2 2" xfId="57110"/>
    <cellStyle name="Процентный 4 3 96 2 2" xfId="57111"/>
    <cellStyle name="Обычный 5 3 96 2 2" xfId="57112"/>
    <cellStyle name="Процентный 5 3 96 2 2" xfId="57113"/>
    <cellStyle name="Обычный 4 2 2 96 2 2" xfId="57114"/>
    <cellStyle name="Процентный 4 2 2 96 2 2" xfId="57115"/>
    <cellStyle name="Обычный 5 2 2 96 2 2" xfId="57116"/>
    <cellStyle name="Процентный 5 2 2 96 2 2" xfId="57117"/>
    <cellStyle name="Обычный 6 2 96 2 2" xfId="57118"/>
    <cellStyle name="Процентный 6 2 96 2 2" xfId="57119"/>
    <cellStyle name="Обычный 7 2 96 2 2" xfId="57120"/>
    <cellStyle name="Процентный 7 2 96 2 2" xfId="57121"/>
    <cellStyle name="Обычный 8 92 2 2" xfId="57122"/>
    <cellStyle name="Процентный 8 92 2 2" xfId="57123"/>
    <cellStyle name="Обычный 9 58 2 2" xfId="57124"/>
    <cellStyle name="Процентный 9 59 2 2" xfId="57125"/>
    <cellStyle name="Обычный 10 51 2 2" xfId="57126"/>
    <cellStyle name="Процентный 10 51 2 2" xfId="57127"/>
    <cellStyle name="Обычный 11 39 2 2" xfId="57128"/>
    <cellStyle name="Процентный 11 39 2 2" xfId="57129"/>
    <cellStyle name="Обычный 4 151 2 2" xfId="57130"/>
    <cellStyle name="Процентный 4 151 2 2" xfId="57131"/>
    <cellStyle name="Обычный 5 144 2 2" xfId="57132"/>
    <cellStyle name="Процентный 5 144 2 2" xfId="57133"/>
    <cellStyle name="Обычный 4 2 138 2 2" xfId="57134"/>
    <cellStyle name="Процентный 4 2 138 2 2" xfId="57135"/>
    <cellStyle name="Обычный 5 2 138 2 2" xfId="57136"/>
    <cellStyle name="Процентный 5 2 138 2 2" xfId="57137"/>
    <cellStyle name="Обычный 6 135 2 2" xfId="57138"/>
    <cellStyle name="Процентный 6 135 2 2" xfId="57139"/>
    <cellStyle name="Обычный 7 105 2 2" xfId="57140"/>
    <cellStyle name="Процентный 7 105 2 2" xfId="57141"/>
    <cellStyle name="Обычный 4 3 97 2 2" xfId="57142"/>
    <cellStyle name="Процентный 4 3 97 2 2" xfId="57143"/>
    <cellStyle name="Обычный 5 3 97 2 2" xfId="57144"/>
    <cellStyle name="Процентный 5 3 97 2 2" xfId="57145"/>
    <cellStyle name="Обычный 4 2 2 97 2 2" xfId="57146"/>
    <cellStyle name="Процентный 4 2 2 97 2 2" xfId="57147"/>
    <cellStyle name="Обычный 5 2 2 97 2 2" xfId="57148"/>
    <cellStyle name="Процентный 5 2 2 97 2 2" xfId="57149"/>
    <cellStyle name="Обычный 6 2 97 2 2" xfId="57150"/>
    <cellStyle name="Процентный 6 2 97 2 2" xfId="57151"/>
    <cellStyle name="Обычный 7 2 97 2 2" xfId="57152"/>
    <cellStyle name="Процентный 7 2 97 2 2" xfId="57153"/>
    <cellStyle name="Обычный 8 93 2 2" xfId="57154"/>
    <cellStyle name="Процентный 8 93 2 2" xfId="57155"/>
    <cellStyle name="Обычный 9 59 2 2" xfId="57156"/>
    <cellStyle name="Процентный 9 60 2 2" xfId="57157"/>
    <cellStyle name="Обычный 10 52 2 2" xfId="57158"/>
    <cellStyle name="Процентный 10 52 2 2" xfId="57159"/>
    <cellStyle name="Обычный 11 40 2 2" xfId="57160"/>
    <cellStyle name="Процентный 11 40 2 2" xfId="57161"/>
    <cellStyle name="Обычный 4 152 2 2" xfId="57162"/>
    <cellStyle name="Процентный 4 152 2 2" xfId="57163"/>
    <cellStyle name="Обычный 5 145 2 2" xfId="57164"/>
    <cellStyle name="Процентный 5 145 2 2" xfId="57165"/>
    <cellStyle name="Обычный 4 2 139 2 2" xfId="57166"/>
    <cellStyle name="Процентный 4 2 139 2 2" xfId="57167"/>
    <cellStyle name="Обычный 5 2 139 2 2" xfId="57168"/>
    <cellStyle name="Процентный 5 2 139 2 2" xfId="57169"/>
    <cellStyle name="Обычный 6 136 2 2" xfId="57170"/>
    <cellStyle name="Процентный 6 136 2 2" xfId="57171"/>
    <cellStyle name="Обычный 7 106 2 2" xfId="57172"/>
    <cellStyle name="Процентный 7 106 2 2" xfId="57173"/>
    <cellStyle name="Обычный 4 3 98 2 2" xfId="57174"/>
    <cellStyle name="Процентный 4 3 98 2 2" xfId="57175"/>
    <cellStyle name="Обычный 5 3 98 2 2" xfId="57176"/>
    <cellStyle name="Процентный 5 3 98 2 2" xfId="57177"/>
    <cellStyle name="Обычный 4 2 2 98 2 2" xfId="57178"/>
    <cellStyle name="Процентный 4 2 2 98 2 2" xfId="57179"/>
    <cellStyle name="Обычный 5 2 2 98 2 2" xfId="57180"/>
    <cellStyle name="Процентный 5 2 2 98 2 2" xfId="57181"/>
    <cellStyle name="Обычный 6 2 98 2 2" xfId="57182"/>
    <cellStyle name="Процентный 6 2 98 2 2" xfId="57183"/>
    <cellStyle name="Обычный 7 2 98 2 2" xfId="57184"/>
    <cellStyle name="Процентный 7 2 98 2 2" xfId="57185"/>
    <cellStyle name="Обычный 8 94 2 2" xfId="57186"/>
    <cellStyle name="Процентный 8 94 2 2" xfId="57187"/>
    <cellStyle name="Обычный 9 60 2 2" xfId="57188"/>
    <cellStyle name="Процентный 9 61 2 2" xfId="57189"/>
    <cellStyle name="Обычный 10 53 2 2" xfId="57190"/>
    <cellStyle name="Процентный 10 53 2 2" xfId="57191"/>
    <cellStyle name="Обычный 11 41 2 2" xfId="57192"/>
    <cellStyle name="Процентный 11 41 2 2" xfId="57193"/>
    <cellStyle name="Обычный 4 153 2 2" xfId="57194"/>
    <cellStyle name="Процентный 4 153 2 2" xfId="57195"/>
    <cellStyle name="Обычный 5 146 2 2" xfId="57196"/>
    <cellStyle name="Процентный 5 146 2 2" xfId="57197"/>
    <cellStyle name="Обычный 4 2 140 2 2" xfId="57198"/>
    <cellStyle name="Процентный 4 2 140 2 2" xfId="57199"/>
    <cellStyle name="Обычный 5 2 140 2 2" xfId="57200"/>
    <cellStyle name="Процентный 5 2 140 2 2" xfId="57201"/>
    <cellStyle name="Обычный 6 137 2 2" xfId="57202"/>
    <cellStyle name="Процентный 6 137 2 2" xfId="57203"/>
    <cellStyle name="Обычный 7 107 2 2" xfId="57204"/>
    <cellStyle name="Процентный 7 107 2 2" xfId="57205"/>
    <cellStyle name="Обычный 4 3 99 2 2" xfId="57206"/>
    <cellStyle name="Процентный 4 3 99 2 2" xfId="57207"/>
    <cellStyle name="Обычный 5 3 99 2 2" xfId="57208"/>
    <cellStyle name="Процентный 5 3 99 2 2" xfId="57209"/>
    <cellStyle name="Обычный 4 2 2 99 2 2" xfId="57210"/>
    <cellStyle name="Процентный 4 2 2 99 2 2" xfId="57211"/>
    <cellStyle name="Обычный 5 2 2 99 2 2" xfId="57212"/>
    <cellStyle name="Процентный 5 2 2 99 2 2" xfId="57213"/>
    <cellStyle name="Обычный 6 2 99 2 2" xfId="57214"/>
    <cellStyle name="Процентный 6 2 99 2 2" xfId="57215"/>
    <cellStyle name="Обычный 7 2 99 2 2" xfId="57216"/>
    <cellStyle name="Процентный 7 2 99 2 2" xfId="57217"/>
    <cellStyle name="Обычный 8 95 2 2" xfId="57218"/>
    <cellStyle name="Процентный 8 95 2 2" xfId="57219"/>
    <cellStyle name="Обычный 9 61 2 2" xfId="57220"/>
    <cellStyle name="Процентный 9 62 2 2" xfId="57221"/>
    <cellStyle name="Обычный 10 54 2 2" xfId="57222"/>
    <cellStyle name="Процентный 10 54 2 2" xfId="57223"/>
    <cellStyle name="Обычный 11 42 2 2" xfId="57224"/>
    <cellStyle name="Процентный 11 42 2 2" xfId="57225"/>
    <cellStyle name="Обычный 4 154 2 2" xfId="57226"/>
    <cellStyle name="Процентный 4 154 2 2" xfId="57227"/>
    <cellStyle name="Обычный 5 147 2 2" xfId="57228"/>
    <cellStyle name="Процентный 5 147 2 2" xfId="57229"/>
    <cellStyle name="Обычный 4 2 141 2 2" xfId="57230"/>
    <cellStyle name="Процентный 4 2 141 2 2" xfId="57231"/>
    <cellStyle name="Обычный 5 2 141 2 2" xfId="57232"/>
    <cellStyle name="Процентный 5 2 141 2 2" xfId="57233"/>
    <cellStyle name="Обычный 6 138 2 2" xfId="57234"/>
    <cellStyle name="Процентный 6 138 2 2" xfId="57235"/>
    <cellStyle name="Обычный 7 108 2 2" xfId="57236"/>
    <cellStyle name="Процентный 7 108 2 2" xfId="57237"/>
    <cellStyle name="Обычный 4 3 100 2 2" xfId="57238"/>
    <cellStyle name="Процентный 4 3 100 2 2" xfId="57239"/>
    <cellStyle name="Обычный 5 3 100 2 2" xfId="57240"/>
    <cellStyle name="Процентный 5 3 100 2 2" xfId="57241"/>
    <cellStyle name="Обычный 4 2 2 100 2 2" xfId="57242"/>
    <cellStyle name="Процентный 4 2 2 100 2 2" xfId="57243"/>
    <cellStyle name="Обычный 5 2 2 100 2 2" xfId="57244"/>
    <cellStyle name="Процентный 5 2 2 100 2 2" xfId="57245"/>
    <cellStyle name="Обычный 6 2 100 2 2" xfId="57246"/>
    <cellStyle name="Процентный 6 2 100 2 2" xfId="57247"/>
    <cellStyle name="Обычный 7 2 100 2 2" xfId="57248"/>
    <cellStyle name="Процентный 7 2 100 2 2" xfId="57249"/>
    <cellStyle name="Обычный 8 96 2 2" xfId="57250"/>
    <cellStyle name="Процентный 8 96 2 2" xfId="57251"/>
    <cellStyle name="Обычный 9 62 2 2" xfId="57252"/>
    <cellStyle name="Процентный 9 63 2 2" xfId="57253"/>
    <cellStyle name="Обычный 10 55 2 2" xfId="57254"/>
    <cellStyle name="Процентный 10 55 2 2" xfId="57255"/>
    <cellStyle name="Обычный 11 43 2 2" xfId="57256"/>
    <cellStyle name="Процентный 11 43 2 2" xfId="57257"/>
    <cellStyle name="Обычный 4 155 2 2" xfId="57258"/>
    <cellStyle name="Процентный 4 155 2 2" xfId="57259"/>
    <cellStyle name="Обычный 5 148 2 2" xfId="57260"/>
    <cellStyle name="Процентный 5 148 2 2" xfId="57261"/>
    <cellStyle name="Обычный 4 2 142 2 2" xfId="57262"/>
    <cellStyle name="Процентный 4 2 142 2 2" xfId="57263"/>
    <cellStyle name="Обычный 5 2 142 2 2" xfId="57264"/>
    <cellStyle name="Процентный 5 2 142 2 2" xfId="57265"/>
    <cellStyle name="Обычный 6 139 2 2" xfId="57266"/>
    <cellStyle name="Процентный 6 139 2 2" xfId="57267"/>
    <cellStyle name="Обычный 7 109 2 2" xfId="57268"/>
    <cellStyle name="Процентный 7 109 2 2" xfId="57269"/>
    <cellStyle name="Обычный 4 3 101 2 2" xfId="57270"/>
    <cellStyle name="Процентный 4 3 101 2 2" xfId="57271"/>
    <cellStyle name="Обычный 5 3 101 2 2" xfId="57272"/>
    <cellStyle name="Процентный 5 3 101 2 2" xfId="57273"/>
    <cellStyle name="Обычный 4 2 2 101 2 2" xfId="57274"/>
    <cellStyle name="Процентный 4 2 2 101 2 2" xfId="57275"/>
    <cellStyle name="Обычный 5 2 2 101 2 2" xfId="57276"/>
    <cellStyle name="Процентный 5 2 2 101 2 2" xfId="57277"/>
    <cellStyle name="Обычный 6 2 101 2 2" xfId="57278"/>
    <cellStyle name="Процентный 6 2 101 2 2" xfId="57279"/>
    <cellStyle name="Обычный 7 2 101 2 2" xfId="57280"/>
    <cellStyle name="Процентный 7 2 101 2 2" xfId="57281"/>
    <cellStyle name="Обычный 8 97 2 2" xfId="57282"/>
    <cellStyle name="Процентный 8 97 2 2" xfId="57283"/>
    <cellStyle name="Обычный 9 63 2 2" xfId="57284"/>
    <cellStyle name="Процентный 9 64 2 2" xfId="57285"/>
    <cellStyle name="Обычный 10 56 2 2" xfId="57286"/>
    <cellStyle name="Процентный 10 56 2 2" xfId="57287"/>
    <cellStyle name="Обычный 11 44 2 2" xfId="57288"/>
    <cellStyle name="Процентный 11 44 2 2" xfId="57289"/>
    <cellStyle name="Обычный 4 156 2 2" xfId="57290"/>
    <cellStyle name="Процентный 4 156 2 2" xfId="57291"/>
    <cellStyle name="Обычный 5 149 2 2" xfId="57292"/>
    <cellStyle name="Процентный 5 149 2 2" xfId="57293"/>
    <cellStyle name="Обычный 4 2 143 2 2" xfId="57294"/>
    <cellStyle name="Процентный 4 2 143 2 2" xfId="57295"/>
    <cellStyle name="Обычный 5 2 143 2 2" xfId="57296"/>
    <cellStyle name="Процентный 5 2 143 2 2" xfId="57297"/>
    <cellStyle name="Обычный 6 140 2 2" xfId="57298"/>
    <cellStyle name="Процентный 6 140 2 2" xfId="57299"/>
    <cellStyle name="Обычный 7 110 2 2" xfId="57300"/>
    <cellStyle name="Процентный 7 110 2 2" xfId="57301"/>
    <cellStyle name="Обычный 4 3 102 2 2" xfId="57302"/>
    <cellStyle name="Процентный 4 3 102 2 2" xfId="57303"/>
    <cellStyle name="Обычный 5 3 102 2 2" xfId="57304"/>
    <cellStyle name="Процентный 5 3 102 2 2" xfId="57305"/>
    <cellStyle name="Обычный 4 2 2 102 2 2" xfId="57306"/>
    <cellStyle name="Процентный 4 2 2 102 2 2" xfId="57307"/>
    <cellStyle name="Обычный 5 2 2 102 2 2" xfId="57308"/>
    <cellStyle name="Процентный 5 2 2 102 2 2" xfId="57309"/>
    <cellStyle name="Обычный 6 2 102 2 2" xfId="57310"/>
    <cellStyle name="Процентный 6 2 102 2 2" xfId="57311"/>
    <cellStyle name="Обычный 7 2 102 2 2" xfId="57312"/>
    <cellStyle name="Процентный 7 2 102 2 2" xfId="57313"/>
    <cellStyle name="Обычный 8 98 2 2" xfId="57314"/>
    <cellStyle name="Процентный 8 98 2 2" xfId="57315"/>
    <cellStyle name="Обычный 9 64 2 2" xfId="57316"/>
    <cellStyle name="Процентный 9 65 2 2" xfId="57317"/>
    <cellStyle name="Обычный 10 57 2 2" xfId="57318"/>
    <cellStyle name="Процентный 10 57 2 2" xfId="57319"/>
    <cellStyle name="Обычный 11 45 2 2" xfId="57320"/>
    <cellStyle name="Процентный 11 45 2 2" xfId="57321"/>
    <cellStyle name="Обычный 4 157 2 2" xfId="57322"/>
    <cellStyle name="Процентный 4 157 2 2" xfId="57323"/>
    <cellStyle name="Обычный 5 150 2 2" xfId="57324"/>
    <cellStyle name="Процентный 5 150 2 2" xfId="57325"/>
    <cellStyle name="Обычный 4 2 144 2 2" xfId="57326"/>
    <cellStyle name="Процентный 4 2 144 2 2" xfId="57327"/>
    <cellStyle name="Обычный 5 2 144 2 2" xfId="57328"/>
    <cellStyle name="Процентный 5 2 144 2 2" xfId="57329"/>
    <cellStyle name="Обычный 6 141 2 2" xfId="57330"/>
    <cellStyle name="Процентный 6 141 2 2" xfId="57331"/>
    <cellStyle name="Обычный 7 111 2 2" xfId="57332"/>
    <cellStyle name="Процентный 7 111 2 2" xfId="57333"/>
    <cellStyle name="Обычный 4 3 103 2 2" xfId="57334"/>
    <cellStyle name="Процентный 4 3 103 2 2" xfId="57335"/>
    <cellStyle name="Обычный 5 3 103 2 2" xfId="57336"/>
    <cellStyle name="Процентный 5 3 103 2 2" xfId="57337"/>
    <cellStyle name="Обычный 4 2 2 103 2 2" xfId="57338"/>
    <cellStyle name="Процентный 4 2 2 103 2 2" xfId="57339"/>
    <cellStyle name="Обычный 5 2 2 103 2 2" xfId="57340"/>
    <cellStyle name="Процентный 5 2 2 103 2 2" xfId="57341"/>
    <cellStyle name="Обычный 6 2 103 2 2" xfId="57342"/>
    <cellStyle name="Процентный 6 2 103 2 2" xfId="57343"/>
    <cellStyle name="Обычный 7 2 103 2 2" xfId="57344"/>
    <cellStyle name="Процентный 7 2 103 2 2" xfId="57345"/>
    <cellStyle name="Обычный 8 99 2 2" xfId="57346"/>
    <cellStyle name="Процентный 8 99 2 2" xfId="57347"/>
    <cellStyle name="Обычный 9 65 2 2" xfId="57348"/>
    <cellStyle name="Процентный 9 66 2 2" xfId="57349"/>
    <cellStyle name="Обычный 10 58 2 2" xfId="57350"/>
    <cellStyle name="Процентный 10 58 2 2" xfId="57351"/>
    <cellStyle name="Обычный 11 46 2 2" xfId="57352"/>
    <cellStyle name="Процентный 11 46 2 2" xfId="57353"/>
    <cellStyle name="Обычный 4 158 2 2" xfId="57354"/>
    <cellStyle name="Процентный 4 158 2 2" xfId="57355"/>
    <cellStyle name="Обычный 5 151 2 2" xfId="57356"/>
    <cellStyle name="Процентный 5 151 2 2" xfId="57357"/>
    <cellStyle name="Обычный 4 2 145 2 2" xfId="57358"/>
    <cellStyle name="Процентный 4 2 145 2 2" xfId="57359"/>
    <cellStyle name="Обычный 5 2 145 2 2" xfId="57360"/>
    <cellStyle name="Процентный 5 2 145 2 2" xfId="57361"/>
    <cellStyle name="Обычный 6 142 2 2" xfId="57362"/>
    <cellStyle name="Процентный 6 142 2 2" xfId="57363"/>
    <cellStyle name="Обычный 7 112 2 2" xfId="57364"/>
    <cellStyle name="Процентный 7 112 2 2" xfId="57365"/>
    <cellStyle name="Обычный 4 3 104 2 2" xfId="57366"/>
    <cellStyle name="Процентный 4 3 104 2 2" xfId="57367"/>
    <cellStyle name="Обычный 5 3 104 2 2" xfId="57368"/>
    <cellStyle name="Процентный 5 3 104 2 2" xfId="57369"/>
    <cellStyle name="Обычный 4 2 2 104 2 2" xfId="57370"/>
    <cellStyle name="Процентный 4 2 2 104 2 2" xfId="57371"/>
    <cellStyle name="Обычный 5 2 2 104 2 2" xfId="57372"/>
    <cellStyle name="Процентный 5 2 2 104 2 2" xfId="57373"/>
    <cellStyle name="Обычный 6 2 104 2 2" xfId="57374"/>
    <cellStyle name="Процентный 6 2 104 2 2" xfId="57375"/>
    <cellStyle name="Обычный 7 2 104 2 2" xfId="57376"/>
    <cellStyle name="Процентный 7 2 104 2 2" xfId="57377"/>
    <cellStyle name="Обычный 8 100 2 2" xfId="57378"/>
    <cellStyle name="Процентный 8 100 2 2" xfId="57379"/>
    <cellStyle name="Обычный 9 66 2 2" xfId="57380"/>
    <cellStyle name="Процентный 9 67 2 2" xfId="57381"/>
    <cellStyle name="Обычный 10 59 2 2" xfId="57382"/>
    <cellStyle name="Процентный 10 59 2 2" xfId="57383"/>
    <cellStyle name="Обычный 11 47 2 2" xfId="57384"/>
    <cellStyle name="Процентный 11 47 2 2" xfId="57385"/>
    <cellStyle name="Обычный 4 159 2 2" xfId="57386"/>
    <cellStyle name="Процентный 4 159 2 2" xfId="57387"/>
    <cellStyle name="Обычный 5 152 2 2" xfId="57388"/>
    <cellStyle name="Процентный 5 152 2 2" xfId="57389"/>
    <cellStyle name="Обычный 4 2 146 2 2" xfId="57390"/>
    <cellStyle name="Процентный 4 2 146 2 2" xfId="57391"/>
    <cellStyle name="Обычный 5 2 146 2 2" xfId="57392"/>
    <cellStyle name="Процентный 5 2 146 2 2" xfId="57393"/>
    <cellStyle name="Обычный 6 143 2 2" xfId="57394"/>
    <cellStyle name="Процентный 6 143 2 2" xfId="57395"/>
    <cellStyle name="Обычный 7 113 2 2" xfId="57396"/>
    <cellStyle name="Процентный 7 113 2 2" xfId="57397"/>
    <cellStyle name="Обычный 4 3 105 2 2" xfId="57398"/>
    <cellStyle name="Процентный 4 3 105 2 2" xfId="57399"/>
    <cellStyle name="Обычный 5 3 105 2 2" xfId="57400"/>
    <cellStyle name="Процентный 5 3 105 2 2" xfId="57401"/>
    <cellStyle name="Обычный 4 2 2 105 2 2" xfId="57402"/>
    <cellStyle name="Процентный 4 2 2 105 2 2" xfId="57403"/>
    <cellStyle name="Обычный 5 2 2 105 2 2" xfId="57404"/>
    <cellStyle name="Процентный 5 2 2 105 2 2" xfId="57405"/>
    <cellStyle name="Обычный 6 2 105 2 2" xfId="57406"/>
    <cellStyle name="Процентный 6 2 105 2 2" xfId="57407"/>
    <cellStyle name="Обычный 7 2 105 2 2" xfId="57408"/>
    <cellStyle name="Процентный 7 2 105 2 2" xfId="57409"/>
    <cellStyle name="Обычный 8 101 2 2" xfId="57410"/>
    <cellStyle name="Процентный 8 101 2 2" xfId="57411"/>
    <cellStyle name="Обычный 9 67 2 2" xfId="57412"/>
    <cellStyle name="Процентный 9 68 2 2" xfId="57413"/>
    <cellStyle name="Обычный 10 60 2 2" xfId="57414"/>
    <cellStyle name="Процентный 10 60 2 2" xfId="57415"/>
    <cellStyle name="Обычный 11 48 2 2" xfId="57416"/>
    <cellStyle name="Процентный 11 48 2 2" xfId="57417"/>
    <cellStyle name="Обычный 4 160 2 2" xfId="57418"/>
    <cellStyle name="Процентный 4 160 2 2" xfId="57419"/>
    <cellStyle name="Обычный 5 153 2 2" xfId="57420"/>
    <cellStyle name="Процентный 5 153 2 2" xfId="57421"/>
    <cellStyle name="Обычный 4 2 147 2 2" xfId="57422"/>
    <cellStyle name="Процентный 4 2 147 2 2" xfId="57423"/>
    <cellStyle name="Обычный 5 2 147 2 2" xfId="57424"/>
    <cellStyle name="Процентный 5 2 147 2 2" xfId="57425"/>
    <cellStyle name="Обычный 6 144 2 2" xfId="57426"/>
    <cellStyle name="Процентный 6 144 2 2" xfId="57427"/>
    <cellStyle name="Обычный 7 114 2 2" xfId="57428"/>
    <cellStyle name="Процентный 7 114 2 2" xfId="57429"/>
    <cellStyle name="Обычный 4 3 106 2 2" xfId="57430"/>
    <cellStyle name="Процентный 4 3 106 2 2" xfId="57431"/>
    <cellStyle name="Обычный 5 3 106 2 2" xfId="57432"/>
    <cellStyle name="Процентный 5 3 106 2 2" xfId="57433"/>
    <cellStyle name="Обычный 4 2 2 106 2 2" xfId="57434"/>
    <cellStyle name="Процентный 4 2 2 106 2 2" xfId="57435"/>
    <cellStyle name="Обычный 5 2 2 106 2 2" xfId="57436"/>
    <cellStyle name="Процентный 5 2 2 106 2 2" xfId="57437"/>
    <cellStyle name="Обычный 6 2 106 2 2" xfId="57438"/>
    <cellStyle name="Процентный 6 2 106 2 2" xfId="57439"/>
    <cellStyle name="Обычный 7 2 106 2 2" xfId="57440"/>
    <cellStyle name="Процентный 7 2 106 2 2" xfId="57441"/>
    <cellStyle name="Обычный 8 102 2 2" xfId="57442"/>
    <cellStyle name="Процентный 8 102 2 2" xfId="57443"/>
    <cellStyle name="Обычный 9 68 2 2" xfId="57444"/>
    <cellStyle name="Процентный 9 69 2 2" xfId="57445"/>
    <cellStyle name="Обычный 10 61 2 2" xfId="57446"/>
    <cellStyle name="Процентный 10 61 2 2" xfId="57447"/>
    <cellStyle name="Обычный 11 49 2 2" xfId="57448"/>
    <cellStyle name="Процентный 11 49 2 2" xfId="57449"/>
    <cellStyle name="Обычный 4 161 2 2" xfId="57450"/>
    <cellStyle name="Процентный 4 161 2 2" xfId="57451"/>
    <cellStyle name="Обычный 5 154 2 2" xfId="57452"/>
    <cellStyle name="Процентный 5 154 2 2" xfId="57453"/>
    <cellStyle name="Обычный 4 2 148 2 2" xfId="57454"/>
    <cellStyle name="Процентный 4 2 148 2 2" xfId="57455"/>
    <cellStyle name="Обычный 5 2 148 2 2" xfId="57456"/>
    <cellStyle name="Процентный 5 2 148 2 2" xfId="57457"/>
    <cellStyle name="Обычный 6 145 2 2" xfId="57458"/>
    <cellStyle name="Процентный 6 145 2 2" xfId="57459"/>
    <cellStyle name="Обычный 7 115 2 2" xfId="57460"/>
    <cellStyle name="Процентный 7 115 2 2" xfId="57461"/>
    <cellStyle name="Обычный 4 3 107 2 2" xfId="57462"/>
    <cellStyle name="Процентный 4 3 107 2 2" xfId="57463"/>
    <cellStyle name="Обычный 5 3 107 2 2" xfId="57464"/>
    <cellStyle name="Процентный 5 3 107 2 2" xfId="57465"/>
    <cellStyle name="Обычный 4 2 2 107 2 2" xfId="57466"/>
    <cellStyle name="Процентный 4 2 2 107 2 2" xfId="57467"/>
    <cellStyle name="Обычный 5 2 2 107 2 2" xfId="57468"/>
    <cellStyle name="Процентный 5 2 2 107 2 2" xfId="57469"/>
    <cellStyle name="Обычный 6 2 107 2 2" xfId="57470"/>
    <cellStyle name="Процентный 6 2 107 2 2" xfId="57471"/>
    <cellStyle name="Обычный 7 2 107 2 2" xfId="57472"/>
    <cellStyle name="Процентный 7 2 107 2 2" xfId="57473"/>
    <cellStyle name="Обычный 8 103 2 2" xfId="57474"/>
    <cellStyle name="Процентный 8 103 2 2" xfId="57475"/>
    <cellStyle name="Обычный 9 69 2 2" xfId="57476"/>
    <cellStyle name="Процентный 9 70 2 2" xfId="57477"/>
    <cellStyle name="Обычный 10 62 2 2" xfId="57478"/>
    <cellStyle name="Процентный 10 62 2 2" xfId="57479"/>
    <cellStyle name="Обычный 11 50 2 2" xfId="57480"/>
    <cellStyle name="Процентный 11 50 2 2" xfId="57481"/>
    <cellStyle name="Обычный 4 162 2 2" xfId="57482"/>
    <cellStyle name="Процентный 4 162 2 2" xfId="57483"/>
    <cellStyle name="Обычный 5 155 2 2" xfId="57484"/>
    <cellStyle name="Процентный 5 155 2 2" xfId="57485"/>
    <cellStyle name="Обычный 4 2 149 2 2" xfId="57486"/>
    <cellStyle name="Процентный 4 2 149 2 2" xfId="57487"/>
    <cellStyle name="Обычный 5 2 149 2 2" xfId="57488"/>
    <cellStyle name="Процентный 5 2 149 2 2" xfId="57489"/>
    <cellStyle name="Обычный 6 146 2 2" xfId="57490"/>
    <cellStyle name="Процентный 6 146 2 2" xfId="57491"/>
    <cellStyle name="Обычный 7 116 2 2" xfId="57492"/>
    <cellStyle name="Процентный 7 116 2 2" xfId="57493"/>
    <cellStyle name="Обычный 4 3 108 2 2" xfId="57494"/>
    <cellStyle name="Процентный 4 3 108 2 2" xfId="57495"/>
    <cellStyle name="Обычный 5 3 108 2 2" xfId="57496"/>
    <cellStyle name="Процентный 5 3 108 2 2" xfId="57497"/>
    <cellStyle name="Обычный 4 2 2 108 2 2" xfId="57498"/>
    <cellStyle name="Процентный 4 2 2 108 2 2" xfId="57499"/>
    <cellStyle name="Обычный 5 2 2 108 2 2" xfId="57500"/>
    <cellStyle name="Процентный 5 2 2 108 2 2" xfId="57501"/>
    <cellStyle name="Обычный 6 2 108 2 2" xfId="57502"/>
    <cellStyle name="Процентный 6 2 108 2 2" xfId="57503"/>
    <cellStyle name="Обычный 7 2 108 2 2" xfId="57504"/>
    <cellStyle name="Процентный 7 2 108 2 2" xfId="57505"/>
    <cellStyle name="Обычный 8 104 2 2" xfId="57506"/>
    <cellStyle name="Процентный 8 104 2 2" xfId="57507"/>
    <cellStyle name="Обычный 9 70 2 2" xfId="57508"/>
    <cellStyle name="Процентный 9 71 2 2" xfId="57509"/>
    <cellStyle name="Обычный 10 63 2 2" xfId="57510"/>
    <cellStyle name="Процентный 10 63 2 2" xfId="57511"/>
    <cellStyle name="Обычный 11 51 2 2" xfId="57512"/>
    <cellStyle name="Процентный 11 51 2 2" xfId="57513"/>
    <cellStyle name="Обычный 4 163 2 2" xfId="57514"/>
    <cellStyle name="Процентный 4 163 2 2" xfId="57515"/>
    <cellStyle name="Обычный 5 156 2 2" xfId="57516"/>
    <cellStyle name="Процентный 5 156 2 2" xfId="57517"/>
    <cellStyle name="Обычный 4 2 150 2 2" xfId="57518"/>
    <cellStyle name="Процентный 4 2 150 2 2" xfId="57519"/>
    <cellStyle name="Обычный 5 2 150 2 2" xfId="57520"/>
    <cellStyle name="Процентный 5 2 150 2 2" xfId="57521"/>
    <cellStyle name="Обычный 6 147 2 2" xfId="57522"/>
    <cellStyle name="Процентный 6 147 2 2" xfId="57523"/>
    <cellStyle name="Обычный 7 117 2 2" xfId="57524"/>
    <cellStyle name="Процентный 7 117 2 2" xfId="57525"/>
    <cellStyle name="Обычный 4 3 109 2 2" xfId="57526"/>
    <cellStyle name="Процентный 4 3 109 2 2" xfId="57527"/>
    <cellStyle name="Обычный 5 3 109 2 2" xfId="57528"/>
    <cellStyle name="Процентный 5 3 109 2 2" xfId="57529"/>
    <cellStyle name="Обычный 4 2 2 109 2 2" xfId="57530"/>
    <cellStyle name="Процентный 4 2 2 109 2 2" xfId="57531"/>
    <cellStyle name="Обычный 5 2 2 109 2 2" xfId="57532"/>
    <cellStyle name="Процентный 5 2 2 109 2 2" xfId="57533"/>
    <cellStyle name="Обычный 6 2 109 2 2" xfId="57534"/>
    <cellStyle name="Процентный 6 2 109 2 2" xfId="57535"/>
    <cellStyle name="Обычный 7 2 109 2 2" xfId="57536"/>
    <cellStyle name="Процентный 7 2 109 2 2" xfId="57537"/>
    <cellStyle name="Обычный 8 105 2 2" xfId="57538"/>
    <cellStyle name="Процентный 8 105 2 2" xfId="57539"/>
    <cellStyle name="Обычный 9 71 2 2" xfId="57540"/>
    <cellStyle name="Процентный 9 72 2 2" xfId="57541"/>
    <cellStyle name="Обычный 10 64 2 2" xfId="57542"/>
    <cellStyle name="Процентный 10 64 2 2" xfId="57543"/>
    <cellStyle name="Обычный 11 52 2 2" xfId="57544"/>
    <cellStyle name="Процентный 11 52 2 2" xfId="57545"/>
    <cellStyle name="Обычный 4 164 2 2" xfId="57546"/>
    <cellStyle name="Процентный 4 164 2 2" xfId="57547"/>
    <cellStyle name="Обычный 5 157 2 2" xfId="57548"/>
    <cellStyle name="Процентный 5 157 2 2" xfId="57549"/>
    <cellStyle name="Обычный 4 2 151 2 2" xfId="57550"/>
    <cellStyle name="Процентный 4 2 151 2 2" xfId="57551"/>
    <cellStyle name="Обычный 5 2 151 2 2" xfId="57552"/>
    <cellStyle name="Процентный 5 2 151 2 2" xfId="57553"/>
    <cellStyle name="Обычный 6 148 2 2" xfId="57554"/>
    <cellStyle name="Процентный 6 148 2 2" xfId="57555"/>
    <cellStyle name="Обычный 7 118 2 2" xfId="57556"/>
    <cellStyle name="Процентный 7 118 2 2" xfId="57557"/>
    <cellStyle name="Обычный 4 3 110 2 2" xfId="57558"/>
    <cellStyle name="Процентный 4 3 110 2 2" xfId="57559"/>
    <cellStyle name="Обычный 5 3 110 2 2" xfId="57560"/>
    <cellStyle name="Процентный 5 3 110 2 2" xfId="57561"/>
    <cellStyle name="Обычный 4 2 2 110 2 2" xfId="57562"/>
    <cellStyle name="Процентный 4 2 2 110 2 2" xfId="57563"/>
    <cellStyle name="Обычный 5 2 2 110 2 2" xfId="57564"/>
    <cellStyle name="Процентный 5 2 2 110 2 2" xfId="57565"/>
    <cellStyle name="Обычный 6 2 110 2 2" xfId="57566"/>
    <cellStyle name="Процентный 6 2 110 2 2" xfId="57567"/>
    <cellStyle name="Обычный 7 2 110 2 2" xfId="57568"/>
    <cellStyle name="Процентный 7 2 110 2 2" xfId="57569"/>
    <cellStyle name="Обычный 8 106 2 2" xfId="57570"/>
    <cellStyle name="Процентный 8 106 2 2" xfId="57571"/>
    <cellStyle name="Обычный 9 72 2 2" xfId="57572"/>
    <cellStyle name="Процентный 9 73 2 2" xfId="57573"/>
    <cellStyle name="Обычный 10 65 2 2" xfId="57574"/>
    <cellStyle name="Процентный 10 65 2 2" xfId="57575"/>
    <cellStyle name="Обычный 11 53 2 2" xfId="57576"/>
    <cellStyle name="Процентный 11 53 2 2" xfId="57577"/>
    <cellStyle name="Обычный 4 165 2 2" xfId="57578"/>
    <cellStyle name="Процентный 4 165 2 2" xfId="57579"/>
    <cellStyle name="Обычный 5 158 2 2" xfId="57580"/>
    <cellStyle name="Процентный 5 158 2 2" xfId="57581"/>
    <cellStyle name="Обычный 4 2 152 2 2" xfId="57582"/>
    <cellStyle name="Процентный 4 2 152 2 2" xfId="57583"/>
    <cellStyle name="Обычный 5 2 152 2 2" xfId="57584"/>
    <cellStyle name="Процентный 5 2 152 2 2" xfId="57585"/>
    <cellStyle name="Обычный 6 149 2 2" xfId="57586"/>
    <cellStyle name="Процентный 6 149 2 2" xfId="57587"/>
    <cellStyle name="Обычный 7 119 2 2" xfId="57588"/>
    <cellStyle name="Процентный 7 119 2 2" xfId="57589"/>
    <cellStyle name="Обычный 4 3 111 2 2" xfId="57590"/>
    <cellStyle name="Процентный 4 3 111 2 2" xfId="57591"/>
    <cellStyle name="Обычный 5 3 111 2 2" xfId="57592"/>
    <cellStyle name="Процентный 5 3 111 2 2" xfId="57593"/>
    <cellStyle name="Обычный 4 2 2 111 2 2" xfId="57594"/>
    <cellStyle name="Процентный 4 2 2 111 2 2" xfId="57595"/>
    <cellStyle name="Обычный 5 2 2 111 2 2" xfId="57596"/>
    <cellStyle name="Процентный 5 2 2 111 2 2" xfId="57597"/>
    <cellStyle name="Обычный 6 2 111 2 2" xfId="57598"/>
    <cellStyle name="Процентный 6 2 111 2 2" xfId="57599"/>
    <cellStyle name="Обычный 7 2 111 2 2" xfId="57600"/>
    <cellStyle name="Процентный 7 2 111 2 2" xfId="57601"/>
    <cellStyle name="Обычный 8 107 2 2" xfId="57602"/>
    <cellStyle name="Процентный 8 107 2 2" xfId="57603"/>
    <cellStyle name="Обычный 9 73 2 2" xfId="57604"/>
    <cellStyle name="Процентный 9 74 2 2" xfId="57605"/>
    <cellStyle name="Обычный 10 66 2 2" xfId="57606"/>
    <cellStyle name="Процентный 10 66 2 2" xfId="57607"/>
    <cellStyle name="Обычный 11 54 2 2" xfId="57608"/>
    <cellStyle name="Процентный 11 54 2 2" xfId="57609"/>
    <cellStyle name="Обычный 4 166 2 2" xfId="57610"/>
    <cellStyle name="Процентный 4 166 2 2" xfId="57611"/>
    <cellStyle name="Обычный 5 159 2 2" xfId="57612"/>
    <cellStyle name="Процентный 5 159 2 2" xfId="57613"/>
    <cellStyle name="Обычный 4 2 153 2 2" xfId="57614"/>
    <cellStyle name="Процентный 4 2 153 2 2" xfId="57615"/>
    <cellStyle name="Обычный 5 2 153 2 2" xfId="57616"/>
    <cellStyle name="Процентный 5 2 153 2 2" xfId="57617"/>
    <cellStyle name="Обычный 6 150 2 2" xfId="57618"/>
    <cellStyle name="Процентный 6 150 2 2" xfId="57619"/>
    <cellStyle name="Обычный 7 120 2 2" xfId="57620"/>
    <cellStyle name="Процентный 7 120 2 2" xfId="57621"/>
    <cellStyle name="Обычный 4 3 112 2 2" xfId="57622"/>
    <cellStyle name="Процентный 4 3 112 2 2" xfId="57623"/>
    <cellStyle name="Обычный 5 3 112 2 2" xfId="57624"/>
    <cellStyle name="Процентный 5 3 112 2 2" xfId="57625"/>
    <cellStyle name="Обычный 4 2 2 112 2 2" xfId="57626"/>
    <cellStyle name="Процентный 4 2 2 112 2 2" xfId="57627"/>
    <cellStyle name="Обычный 5 2 2 112 2 2" xfId="57628"/>
    <cellStyle name="Процентный 5 2 2 112 2 2" xfId="57629"/>
    <cellStyle name="Обычный 6 2 112 2 2" xfId="57630"/>
    <cellStyle name="Процентный 6 2 112 2 2" xfId="57631"/>
    <cellStyle name="Обычный 7 2 112 2 2" xfId="57632"/>
    <cellStyle name="Процентный 7 2 112 2 2" xfId="57633"/>
    <cellStyle name="Обычный 8 108 2 2" xfId="57634"/>
    <cellStyle name="Процентный 8 108 2 2" xfId="57635"/>
    <cellStyle name="Обычный 9 74 2 2" xfId="57636"/>
    <cellStyle name="Процентный 9 75 2 2" xfId="57637"/>
    <cellStyle name="Обычный 10 67 2 2" xfId="57638"/>
    <cellStyle name="Процентный 10 67 2 2" xfId="57639"/>
    <cellStyle name="Обычный 11 55 2 2" xfId="57640"/>
    <cellStyle name="Процентный 11 55 2 2" xfId="57641"/>
    <cellStyle name="Обычный 4 167 2 2" xfId="57642"/>
    <cellStyle name="Процентный 4 167 2 2" xfId="57643"/>
    <cellStyle name="Обычный 5 160 2 2" xfId="57644"/>
    <cellStyle name="Процентный 5 160 2 2" xfId="57645"/>
    <cellStyle name="Обычный 4 2 154 2 2" xfId="57646"/>
    <cellStyle name="Процентный 4 2 154 2 2" xfId="57647"/>
    <cellStyle name="Обычный 5 2 154 2 2" xfId="57648"/>
    <cellStyle name="Процентный 5 2 154 2 2" xfId="57649"/>
    <cellStyle name="Обычный 6 151 2 2" xfId="57650"/>
    <cellStyle name="Процентный 6 151 2 2" xfId="57651"/>
    <cellStyle name="Обычный 7 121 2 2" xfId="57652"/>
    <cellStyle name="Процентный 7 121 2 2" xfId="57653"/>
    <cellStyle name="Обычный 4 3 113 2 2" xfId="57654"/>
    <cellStyle name="Процентный 4 3 113 2 2" xfId="57655"/>
    <cellStyle name="Обычный 5 3 113 2 2" xfId="57656"/>
    <cellStyle name="Процентный 5 3 113 2 2" xfId="57657"/>
    <cellStyle name="Обычный 4 2 2 113 2 2" xfId="57658"/>
    <cellStyle name="Процентный 4 2 2 113 2 2" xfId="57659"/>
    <cellStyle name="Обычный 5 2 2 113 2 2" xfId="57660"/>
    <cellStyle name="Процентный 5 2 2 113 2 2" xfId="57661"/>
    <cellStyle name="Обычный 6 2 113 2 2" xfId="57662"/>
    <cellStyle name="Процентный 6 2 113 2 2" xfId="57663"/>
    <cellStyle name="Обычный 7 2 113 2 2" xfId="57664"/>
    <cellStyle name="Процентный 7 2 113 2 2" xfId="57665"/>
    <cellStyle name="Обычный 8 109 2 2" xfId="57666"/>
    <cellStyle name="Процентный 8 109 2 2" xfId="57667"/>
    <cellStyle name="Обычный 9 75 2 2" xfId="57668"/>
    <cellStyle name="Процентный 9 76 2 2" xfId="57669"/>
    <cellStyle name="Обычный 10 68 2 2" xfId="57670"/>
    <cellStyle name="Процентный 10 68 2 2" xfId="57671"/>
    <cellStyle name="Обычный 11 56 2 2" xfId="57672"/>
    <cellStyle name="Процентный 11 56 2 2" xfId="57673"/>
    <cellStyle name="Обычный 4 168 2 2" xfId="57674"/>
    <cellStyle name="Процентный 4 168 2 2" xfId="57675"/>
    <cellStyle name="Обычный 5 161 2 2" xfId="57676"/>
    <cellStyle name="Процентный 5 161 2 2" xfId="57677"/>
    <cellStyle name="Обычный 4 2 155 2 2" xfId="57678"/>
    <cellStyle name="Процентный 4 2 155 2 2" xfId="57679"/>
    <cellStyle name="Обычный 5 2 155 2 2" xfId="57680"/>
    <cellStyle name="Процентный 5 2 155 2 2" xfId="57681"/>
    <cellStyle name="Обычный 6 152 2 2" xfId="57682"/>
    <cellStyle name="Процентный 6 152 2 2" xfId="57683"/>
    <cellStyle name="Обычный 7 122 2 2" xfId="57684"/>
    <cellStyle name="Процентный 7 122 2 2" xfId="57685"/>
    <cellStyle name="Обычный 4 3 114 2 2" xfId="57686"/>
    <cellStyle name="Процентный 4 3 114 2 2" xfId="57687"/>
    <cellStyle name="Обычный 5 3 114 2 2" xfId="57688"/>
    <cellStyle name="Процентный 5 3 114 2 2" xfId="57689"/>
    <cellStyle name="Обычный 4 2 2 114 2 2" xfId="57690"/>
    <cellStyle name="Процентный 4 2 2 114 2 2" xfId="57691"/>
    <cellStyle name="Обычный 5 2 2 114 2 2" xfId="57692"/>
    <cellStyle name="Процентный 5 2 2 114 2 2" xfId="57693"/>
    <cellStyle name="Обычный 6 2 114 2 2" xfId="57694"/>
    <cellStyle name="Процентный 6 2 114 2 2" xfId="57695"/>
    <cellStyle name="Обычный 7 2 114 2 2" xfId="57696"/>
    <cellStyle name="Процентный 7 2 114 2 2" xfId="57697"/>
    <cellStyle name="Обычный 8 110 2 2" xfId="57698"/>
    <cellStyle name="Процентный 8 110 2 2" xfId="57699"/>
    <cellStyle name="Обычный 9 76 2 2" xfId="57700"/>
    <cellStyle name="Процентный 9 77 2 2" xfId="57701"/>
    <cellStyle name="Обычный 10 69 2 2" xfId="57702"/>
    <cellStyle name="Процентный 10 69 2 2" xfId="57703"/>
    <cellStyle name="Обычный 11 57 2 2" xfId="57704"/>
    <cellStyle name="Процентный 11 57 2 2" xfId="57705"/>
    <cellStyle name="Обычный 4 169 2 2" xfId="57706"/>
    <cellStyle name="Процентный 4 169 2 2" xfId="57707"/>
    <cellStyle name="Обычный 5 162 2 2" xfId="57708"/>
    <cellStyle name="Процентный 5 162 2 2" xfId="57709"/>
    <cellStyle name="Обычный 4 2 156 2 2" xfId="57710"/>
    <cellStyle name="Процентный 4 2 156 2 2" xfId="57711"/>
    <cellStyle name="Обычный 5 2 156 2 2" xfId="57712"/>
    <cellStyle name="Процентный 5 2 156 2 2" xfId="57713"/>
    <cellStyle name="Обычный 6 153 2 2" xfId="57714"/>
    <cellStyle name="Процентный 6 153 2 2" xfId="57715"/>
    <cellStyle name="Обычный 7 123 2 2" xfId="57716"/>
    <cellStyle name="Процентный 7 123 2 2" xfId="57717"/>
    <cellStyle name="Обычный 4 3 115 2 2" xfId="57718"/>
    <cellStyle name="Процентный 4 3 115 2 2" xfId="57719"/>
    <cellStyle name="Обычный 5 3 115 2 2" xfId="57720"/>
    <cellStyle name="Процентный 5 3 115 2 2" xfId="57721"/>
    <cellStyle name="Обычный 4 2 2 115 2 2" xfId="57722"/>
    <cellStyle name="Процентный 4 2 2 115 2 2" xfId="57723"/>
    <cellStyle name="Обычный 5 2 2 115 2 2" xfId="57724"/>
    <cellStyle name="Процентный 5 2 2 115 2 2" xfId="57725"/>
    <cellStyle name="Обычный 6 2 115 2 2" xfId="57726"/>
    <cellStyle name="Процентный 6 2 115 2 2" xfId="57727"/>
    <cellStyle name="Обычный 7 2 115 2 2" xfId="57728"/>
    <cellStyle name="Процентный 7 2 115 2 2" xfId="57729"/>
    <cellStyle name="Обычный 8 111 2 2" xfId="57730"/>
    <cellStyle name="Процентный 8 111 2 2" xfId="57731"/>
    <cellStyle name="Обычный 9 77 2 2" xfId="57732"/>
    <cellStyle name="Процентный 9 78 2 2" xfId="57733"/>
    <cellStyle name="Обычный 10 70 2 2" xfId="57734"/>
    <cellStyle name="Процентный 10 70 2 2" xfId="57735"/>
    <cellStyle name="Обычный 11 58 2 2" xfId="57736"/>
    <cellStyle name="Процентный 11 58 2 2" xfId="57737"/>
    <cellStyle name="Обычный 4 170 2 2" xfId="57738"/>
    <cellStyle name="Процентный 4 170 2 2" xfId="57739"/>
    <cellStyle name="Обычный 5 163 2 2" xfId="57740"/>
    <cellStyle name="Процентный 5 163 2 2" xfId="57741"/>
    <cellStyle name="Обычный 4 2 157 2 2" xfId="57742"/>
    <cellStyle name="Процентный 4 2 157 2 2" xfId="57743"/>
    <cellStyle name="Обычный 5 2 157 2 2" xfId="57744"/>
    <cellStyle name="Процентный 5 2 157 2 2" xfId="57745"/>
    <cellStyle name="Обычный 6 154 2 2" xfId="57746"/>
    <cellStyle name="Процентный 6 154 2 2" xfId="57747"/>
    <cellStyle name="Обычный 7 124 2 2" xfId="57748"/>
    <cellStyle name="Процентный 7 124 2 2" xfId="57749"/>
    <cellStyle name="Обычный 4 3 116 2 2" xfId="57750"/>
    <cellStyle name="Процентный 4 3 116 2 2" xfId="57751"/>
    <cellStyle name="Обычный 5 3 116 2 2" xfId="57752"/>
    <cellStyle name="Процентный 5 3 116 2 2" xfId="57753"/>
    <cellStyle name="Обычный 4 2 2 116 2 2" xfId="57754"/>
    <cellStyle name="Процентный 4 2 2 116 2 2" xfId="57755"/>
    <cellStyle name="Обычный 5 2 2 116 2 2" xfId="57756"/>
    <cellStyle name="Процентный 5 2 2 116 2 2" xfId="57757"/>
    <cellStyle name="Обычный 6 2 116 2 2" xfId="57758"/>
    <cellStyle name="Процентный 6 2 116 2 2" xfId="57759"/>
    <cellStyle name="Обычный 7 2 116 2 2" xfId="57760"/>
    <cellStyle name="Процентный 7 2 116 2 2" xfId="57761"/>
    <cellStyle name="Обычный 8 112 2 2" xfId="57762"/>
    <cellStyle name="Процентный 8 112 2 2" xfId="57763"/>
    <cellStyle name="Обычный 9 78 2 2" xfId="57764"/>
    <cellStyle name="Процентный 9 79 2 2" xfId="57765"/>
    <cellStyle name="Обычный 10 71 2 2" xfId="57766"/>
    <cellStyle name="Процентный 10 71 2 2" xfId="57767"/>
    <cellStyle name="Обычный 11 59 2 2" xfId="57768"/>
    <cellStyle name="Процентный 11 59 2 2" xfId="57769"/>
    <cellStyle name="Обычный 4 171 2 2" xfId="57770"/>
    <cellStyle name="Процентный 4 171 2 2" xfId="57771"/>
    <cellStyle name="Обычный 5 164 2 2" xfId="57772"/>
    <cellStyle name="Процентный 5 164 2 2" xfId="57773"/>
    <cellStyle name="Обычный 4 2 158 2 2" xfId="57774"/>
    <cellStyle name="Процентный 4 2 158 2 2" xfId="57775"/>
    <cellStyle name="Обычный 5 2 158 2 2" xfId="57776"/>
    <cellStyle name="Процентный 5 2 158 2 2" xfId="57777"/>
    <cellStyle name="Обычный 6 155 2 2" xfId="57778"/>
    <cellStyle name="Процентный 6 155 2 2" xfId="57779"/>
    <cellStyle name="Обычный 7 125 2 2" xfId="57780"/>
    <cellStyle name="Процентный 7 125 2 2" xfId="57781"/>
    <cellStyle name="Обычный 4 3 117 2 2" xfId="57782"/>
    <cellStyle name="Процентный 4 3 117 2 2" xfId="57783"/>
    <cellStyle name="Обычный 5 3 117 2 2" xfId="57784"/>
    <cellStyle name="Процентный 5 3 117 2 2" xfId="57785"/>
    <cellStyle name="Обычный 4 2 2 117 2 2" xfId="57786"/>
    <cellStyle name="Процентный 4 2 2 117 2 2" xfId="57787"/>
    <cellStyle name="Обычный 5 2 2 117 2 2" xfId="57788"/>
    <cellStyle name="Процентный 5 2 2 117 2 2" xfId="57789"/>
    <cellStyle name="Обычный 6 2 117 2 2" xfId="57790"/>
    <cellStyle name="Процентный 6 2 117 2 2" xfId="57791"/>
    <cellStyle name="Обычный 7 2 117 2 2" xfId="57792"/>
    <cellStyle name="Процентный 7 2 117 2 2" xfId="57793"/>
    <cellStyle name="Обычный 8 113 2 2" xfId="57794"/>
    <cellStyle name="Процентный 8 113 2 2" xfId="57795"/>
    <cellStyle name="Обычный 9 79 2 2" xfId="57796"/>
    <cellStyle name="Процентный 9 80 2 2" xfId="57797"/>
    <cellStyle name="Обычный 10 72 2 2" xfId="57798"/>
    <cellStyle name="Процентный 10 72 2 2" xfId="57799"/>
    <cellStyle name="Обычный 11 60 2 2" xfId="57800"/>
    <cellStyle name="Процентный 11 60 2 2" xfId="57801"/>
    <cellStyle name="Обычный 4 172 2 2" xfId="57802"/>
    <cellStyle name="Процентный 4 172 2 2" xfId="57803"/>
    <cellStyle name="Обычный 5 165 2 2" xfId="57804"/>
    <cellStyle name="Процентный 5 165 2 2" xfId="57805"/>
    <cellStyle name="Обычный 4 2 159 2 2" xfId="57806"/>
    <cellStyle name="Процентный 4 2 159 2 2" xfId="57807"/>
    <cellStyle name="Обычный 5 2 159 2 2" xfId="57808"/>
    <cellStyle name="Процентный 5 2 159 2 2" xfId="57809"/>
    <cellStyle name="Обычный 6 156 2 2" xfId="57810"/>
    <cellStyle name="Процентный 6 156 2 2" xfId="57811"/>
    <cellStyle name="Обычный 7 126 2 2" xfId="57812"/>
    <cellStyle name="Процентный 7 126 2 2" xfId="57813"/>
    <cellStyle name="Обычный 4 3 118 2 2" xfId="57814"/>
    <cellStyle name="Процентный 4 3 118 2 2" xfId="57815"/>
    <cellStyle name="Обычный 5 3 118 2 2" xfId="57816"/>
    <cellStyle name="Процентный 5 3 118 2 2" xfId="57817"/>
    <cellStyle name="Обычный 4 2 2 118 2 2" xfId="57818"/>
    <cellStyle name="Процентный 4 2 2 118 2 2" xfId="57819"/>
    <cellStyle name="Обычный 5 2 2 118 2 2" xfId="57820"/>
    <cellStyle name="Процентный 5 2 2 118 2 2" xfId="57821"/>
    <cellStyle name="Обычный 6 2 118 2 2" xfId="57822"/>
    <cellStyle name="Процентный 6 2 118 2 2" xfId="57823"/>
    <cellStyle name="Обычный 7 2 118 2 2" xfId="57824"/>
    <cellStyle name="Процентный 7 2 118 2 2" xfId="57825"/>
    <cellStyle name="Обычный 8 114 2 2" xfId="57826"/>
    <cellStyle name="Процентный 8 114 2 2" xfId="57827"/>
    <cellStyle name="Обычный 9 80 2 2" xfId="57828"/>
    <cellStyle name="Процентный 9 81 2 2" xfId="57829"/>
    <cellStyle name="Обычный 10 73 2 2" xfId="57830"/>
    <cellStyle name="Процентный 10 73 2 2" xfId="57831"/>
    <cellStyle name="Обычный 11 61 2 2" xfId="57832"/>
    <cellStyle name="Процентный 11 61 2 2" xfId="57833"/>
    <cellStyle name="Обычный 4 173 2 2" xfId="57834"/>
    <cellStyle name="Процентный 4 173 2 2" xfId="57835"/>
    <cellStyle name="Обычный 5 166 2 2" xfId="57836"/>
    <cellStyle name="Процентный 5 166 2 2" xfId="57837"/>
    <cellStyle name="Обычный 4 2 160 2 2" xfId="57838"/>
    <cellStyle name="Процентный 4 2 160 2 2" xfId="57839"/>
    <cellStyle name="Обычный 5 2 160 2 2" xfId="57840"/>
    <cellStyle name="Процентный 5 2 160 2 2" xfId="57841"/>
    <cellStyle name="Обычный 6 157 2 2" xfId="57842"/>
    <cellStyle name="Процентный 6 157 2 2" xfId="57843"/>
    <cellStyle name="Обычный 7 127 2 2" xfId="57844"/>
    <cellStyle name="Процентный 7 127 2 2" xfId="57845"/>
    <cellStyle name="Обычный 4 3 119 2 2" xfId="57846"/>
    <cellStyle name="Процентный 4 3 119 2 2" xfId="57847"/>
    <cellStyle name="Обычный 5 3 119 2 2" xfId="57848"/>
    <cellStyle name="Процентный 5 3 119 2 2" xfId="57849"/>
    <cellStyle name="Обычный 4 2 2 119 2 2" xfId="57850"/>
    <cellStyle name="Процентный 4 2 2 119 2 2" xfId="57851"/>
    <cellStyle name="Обычный 5 2 2 119 2 2" xfId="57852"/>
    <cellStyle name="Процентный 5 2 2 119 2 2" xfId="57853"/>
    <cellStyle name="Обычный 6 2 119 2 2" xfId="57854"/>
    <cellStyle name="Процентный 6 2 119 2 2" xfId="57855"/>
    <cellStyle name="Обычный 7 2 119 2 2" xfId="57856"/>
    <cellStyle name="Процентный 7 2 119 2 2" xfId="57857"/>
    <cellStyle name="Обычный 8 115 2 2" xfId="57858"/>
    <cellStyle name="Процентный 8 115 2 2" xfId="57859"/>
    <cellStyle name="Обычный 9 81 2 2" xfId="57860"/>
    <cellStyle name="Процентный 9 82 2 2" xfId="57861"/>
    <cellStyle name="Обычный 10 74 2 2" xfId="57862"/>
    <cellStyle name="Процентный 10 74 2 2" xfId="57863"/>
    <cellStyle name="Обычный 11 62 2 2" xfId="57864"/>
    <cellStyle name="Процентный 11 62 2 2" xfId="57865"/>
    <cellStyle name="Обычный 4 174 2 2" xfId="57866"/>
    <cellStyle name="Процентный 4 174 2 2" xfId="57867"/>
    <cellStyle name="Обычный 5 167 2 2" xfId="57868"/>
    <cellStyle name="Процентный 5 167 2 2" xfId="57869"/>
    <cellStyle name="Обычный 4 2 161 2 2" xfId="57870"/>
    <cellStyle name="Процентный 4 2 161 2 2" xfId="57871"/>
    <cellStyle name="Обычный 5 2 161 2 2" xfId="57872"/>
    <cellStyle name="Процентный 5 2 161 2 2" xfId="57873"/>
    <cellStyle name="Обычный 6 158 2 2" xfId="57874"/>
    <cellStyle name="Процентный 6 158 2 2" xfId="57875"/>
    <cellStyle name="Обычный 7 128 2 2" xfId="57876"/>
    <cellStyle name="Процентный 7 128 2 2" xfId="57877"/>
    <cellStyle name="Обычный 4 3 120 2 2" xfId="57878"/>
    <cellStyle name="Процентный 4 3 120 2 2" xfId="57879"/>
    <cellStyle name="Обычный 5 3 120 2 2" xfId="57880"/>
    <cellStyle name="Процентный 5 3 120 2 2" xfId="57881"/>
    <cellStyle name="Обычный 4 2 2 120 2 2" xfId="57882"/>
    <cellStyle name="Процентный 4 2 2 120 2 2" xfId="57883"/>
    <cellStyle name="Обычный 5 2 2 120 2 2" xfId="57884"/>
    <cellStyle name="Процентный 5 2 2 120 2 2" xfId="57885"/>
    <cellStyle name="Обычный 6 2 120 2 2" xfId="57886"/>
    <cellStyle name="Процентный 6 2 120 2 2" xfId="57887"/>
    <cellStyle name="Обычный 7 2 120 2 2" xfId="57888"/>
    <cellStyle name="Процентный 7 2 120 2 2" xfId="57889"/>
    <cellStyle name="Обычный 8 116 2 2" xfId="57890"/>
    <cellStyle name="Процентный 8 116 2 2" xfId="57891"/>
    <cellStyle name="Обычный 9 82 2 2" xfId="57892"/>
    <cellStyle name="Процентный 9 83 2 2" xfId="57893"/>
    <cellStyle name="Обычный 10 75 2 2" xfId="57894"/>
    <cellStyle name="Процентный 10 75 2 2" xfId="57895"/>
    <cellStyle name="Обычный 11 63 2 2" xfId="57896"/>
    <cellStyle name="Процентный 11 63 2 2" xfId="57897"/>
    <cellStyle name="Обычный 4 175 2 2" xfId="57898"/>
    <cellStyle name="Процентный 4 175 2 2" xfId="57899"/>
    <cellStyle name="Обычный 5 168 2 2" xfId="57900"/>
    <cellStyle name="Процентный 5 168 2 2" xfId="57901"/>
    <cellStyle name="Обычный 4 2 162 2 2" xfId="57902"/>
    <cellStyle name="Процентный 4 2 162 2 2" xfId="57903"/>
    <cellStyle name="Обычный 5 2 162 2 2" xfId="57904"/>
    <cellStyle name="Процентный 5 2 162 2 2" xfId="57905"/>
    <cellStyle name="Обычный 6 159 2 2" xfId="57906"/>
    <cellStyle name="Процентный 6 159 2 2" xfId="57907"/>
    <cellStyle name="Обычный 7 129 2 2" xfId="57908"/>
    <cellStyle name="Процентный 7 129 2 2" xfId="57909"/>
    <cellStyle name="Обычный 4 3 121 2 2" xfId="57910"/>
    <cellStyle name="Процентный 4 3 121 2 2" xfId="57911"/>
    <cellStyle name="Обычный 5 3 121 2 2" xfId="57912"/>
    <cellStyle name="Процентный 5 3 121 2 2" xfId="57913"/>
    <cellStyle name="Обычный 4 2 2 121 2 2" xfId="57914"/>
    <cellStyle name="Процентный 4 2 2 121 2 2" xfId="57915"/>
    <cellStyle name="Обычный 5 2 2 121 2 2" xfId="57916"/>
    <cellStyle name="Процентный 5 2 2 121 2 2" xfId="57917"/>
    <cellStyle name="Обычный 6 2 121 2 2" xfId="57918"/>
    <cellStyle name="Процентный 6 2 121 2 2" xfId="57919"/>
    <cellStyle name="Обычный 7 2 121 2 2" xfId="57920"/>
    <cellStyle name="Процентный 7 2 121 2 2" xfId="57921"/>
    <cellStyle name="Обычный 8 117 2 2" xfId="57922"/>
    <cellStyle name="Процентный 8 117 2 2" xfId="57923"/>
    <cellStyle name="Обычный 9 83 2 2" xfId="57924"/>
    <cellStyle name="Процентный 9 84 2 2" xfId="57925"/>
    <cellStyle name="Обычный 10 76 2 2" xfId="57926"/>
    <cellStyle name="Процентный 10 76 2 2" xfId="57927"/>
    <cellStyle name="Обычный 11 64 2 2" xfId="57928"/>
    <cellStyle name="Процентный 11 64 2 2" xfId="57929"/>
    <cellStyle name="Обычный 4 176 2 2" xfId="57930"/>
    <cellStyle name="Процентный 4 176 2 2" xfId="57931"/>
    <cellStyle name="Обычный 5 169 2 2" xfId="57932"/>
    <cellStyle name="Процентный 5 169 2 2" xfId="57933"/>
    <cellStyle name="Обычный 4 2 163 2 2" xfId="57934"/>
    <cellStyle name="Процентный 4 2 163 2 2" xfId="57935"/>
    <cellStyle name="Обычный 5 2 163 2 2" xfId="57936"/>
    <cellStyle name="Процентный 5 2 163 2 2" xfId="57937"/>
    <cellStyle name="Обычный 6 160 2 2" xfId="57938"/>
    <cellStyle name="Процентный 6 160 2 2" xfId="57939"/>
    <cellStyle name="Обычный 7 130 2 2" xfId="57940"/>
    <cellStyle name="Процентный 7 130 2 2" xfId="57941"/>
    <cellStyle name="Обычный 4 3 122 2 2" xfId="57942"/>
    <cellStyle name="Процентный 4 3 122 2 2" xfId="57943"/>
    <cellStyle name="Обычный 5 3 122 2 2" xfId="57944"/>
    <cellStyle name="Процентный 5 3 122 2 2" xfId="57945"/>
    <cellStyle name="Обычный 4 2 2 122 2 2" xfId="57946"/>
    <cellStyle name="Процентный 4 2 2 122 2 2" xfId="57947"/>
    <cellStyle name="Обычный 5 2 2 122 2 2" xfId="57948"/>
    <cellStyle name="Процентный 5 2 2 122 2 2" xfId="57949"/>
    <cellStyle name="Обычный 6 2 122 2 2" xfId="57950"/>
    <cellStyle name="Процентный 6 2 122 2 2" xfId="57951"/>
    <cellStyle name="Обычный 7 2 122 2 2" xfId="57952"/>
    <cellStyle name="Процентный 7 2 122 2 2" xfId="57953"/>
    <cellStyle name="Обычный 8 118 2 2" xfId="57954"/>
    <cellStyle name="Процентный 8 118 2 2" xfId="57955"/>
    <cellStyle name="Обычный 9 84 2 2" xfId="57956"/>
    <cellStyle name="Процентный 9 85 2 2" xfId="57957"/>
    <cellStyle name="Обычный 10 77 2 2" xfId="57958"/>
    <cellStyle name="Процентный 10 77 2 2" xfId="57959"/>
    <cellStyle name="Обычный 11 65 2 2" xfId="57960"/>
    <cellStyle name="Процентный 11 65 2 2" xfId="57961"/>
    <cellStyle name="Обычный 4 177 2 2" xfId="57962"/>
    <cellStyle name="Процентный 4 177 2 2" xfId="57963"/>
    <cellStyle name="Обычный 5 170 2 2" xfId="57964"/>
    <cellStyle name="Процентный 5 170 2 2" xfId="57965"/>
    <cellStyle name="Обычный 4 2 164 2 2" xfId="57966"/>
    <cellStyle name="Процентный 4 2 164 2 2" xfId="57967"/>
    <cellStyle name="Обычный 5 2 164 2 2" xfId="57968"/>
    <cellStyle name="Процентный 5 2 164 2 2" xfId="57969"/>
    <cellStyle name="Обычный 6 161 2 2" xfId="57970"/>
    <cellStyle name="Процентный 6 161 2 2" xfId="57971"/>
    <cellStyle name="Обычный 7 131 2 2" xfId="57972"/>
    <cellStyle name="Процентный 7 131 2 2" xfId="57973"/>
    <cellStyle name="Обычный 4 3 123 2 2" xfId="57974"/>
    <cellStyle name="Процентный 4 3 123 2 2" xfId="57975"/>
    <cellStyle name="Обычный 5 3 123 2 2" xfId="57976"/>
    <cellStyle name="Процентный 5 3 123 2 2" xfId="57977"/>
    <cellStyle name="Обычный 4 2 2 123 2 2" xfId="57978"/>
    <cellStyle name="Процентный 4 2 2 123 2 2" xfId="57979"/>
    <cellStyle name="Обычный 5 2 2 123 2 2" xfId="57980"/>
    <cellStyle name="Процентный 5 2 2 123 2 2" xfId="57981"/>
    <cellStyle name="Обычный 6 2 123 2 2" xfId="57982"/>
    <cellStyle name="Процентный 6 2 123 2 2" xfId="57983"/>
    <cellStyle name="Обычный 7 2 123 2 2" xfId="57984"/>
    <cellStyle name="Процентный 7 2 123 2 2" xfId="57985"/>
    <cellStyle name="Обычный 8 119 2 2" xfId="57986"/>
    <cellStyle name="Процентный 8 119 2 2" xfId="57987"/>
    <cellStyle name="Обычный 9 85 2 2" xfId="57988"/>
    <cellStyle name="Процентный 9 86 2 2" xfId="57989"/>
    <cellStyle name="Обычный 10 78 2 2" xfId="57990"/>
    <cellStyle name="Процентный 10 78 2 2" xfId="57991"/>
    <cellStyle name="Обычный 11 66 2 2" xfId="57992"/>
    <cellStyle name="Процентный 11 66 2 2" xfId="57993"/>
    <cellStyle name="Обычный 4 178 2 2" xfId="57994"/>
    <cellStyle name="Процентный 4 178 2 2" xfId="57995"/>
    <cellStyle name="Обычный 5 171 2 2" xfId="57996"/>
    <cellStyle name="Процентный 5 171 2 2" xfId="57997"/>
    <cellStyle name="Обычный 4 2 165 2 2" xfId="57998"/>
    <cellStyle name="Процентный 4 2 165 2 2" xfId="57999"/>
    <cellStyle name="Обычный 5 2 165 2 2" xfId="58000"/>
    <cellStyle name="Процентный 5 2 165 2 2" xfId="58001"/>
    <cellStyle name="Обычный 6 162 2 2" xfId="58002"/>
    <cellStyle name="Процентный 6 162 2 2" xfId="58003"/>
    <cellStyle name="Обычный 7 132 2 2" xfId="58004"/>
    <cellStyle name="Процентный 7 132 2 2" xfId="58005"/>
    <cellStyle name="Обычный 4 3 124 2 2" xfId="58006"/>
    <cellStyle name="Процентный 4 3 124 2 2" xfId="58007"/>
    <cellStyle name="Обычный 5 3 124 2 2" xfId="58008"/>
    <cellStyle name="Процентный 5 3 124 2 2" xfId="58009"/>
    <cellStyle name="Обычный 4 2 2 124 2 2" xfId="58010"/>
    <cellStyle name="Процентный 4 2 2 124 2 2" xfId="58011"/>
    <cellStyle name="Обычный 5 2 2 124 2 2" xfId="58012"/>
    <cellStyle name="Процентный 5 2 2 124 2 2" xfId="58013"/>
    <cellStyle name="Обычный 6 2 124 2 2" xfId="58014"/>
    <cellStyle name="Процентный 6 2 124 2 2" xfId="58015"/>
    <cellStyle name="Обычный 7 2 124 2 2" xfId="58016"/>
    <cellStyle name="Процентный 7 2 124 2 2" xfId="58017"/>
    <cellStyle name="Обычный 8 120 2 2" xfId="58018"/>
    <cellStyle name="Процентный 8 120 2 2" xfId="58019"/>
    <cellStyle name="Обычный 9 86 2 2" xfId="58020"/>
    <cellStyle name="Процентный 9 87 2 2" xfId="58021"/>
    <cellStyle name="Обычный 10 79 2 2" xfId="58022"/>
    <cellStyle name="Процентный 10 79 2 2" xfId="58023"/>
    <cellStyle name="Обычный 11 67 2 2" xfId="58024"/>
    <cellStyle name="Процентный 11 67 2 2" xfId="58025"/>
    <cellStyle name="Обычный 4 179 2 2" xfId="58026"/>
    <cellStyle name="Процентный 4 179 2 2" xfId="58027"/>
    <cellStyle name="Обычный 5 172 2 2" xfId="58028"/>
    <cellStyle name="Процентный 5 172 2 2" xfId="58029"/>
    <cellStyle name="Обычный 4 2 166 2 2" xfId="58030"/>
    <cellStyle name="Процентный 4 2 166 2 2" xfId="58031"/>
    <cellStyle name="Обычный 5 2 166 2 2" xfId="58032"/>
    <cellStyle name="Процентный 5 2 166 2 2" xfId="58033"/>
    <cellStyle name="Обычный 6 163 2 2" xfId="58034"/>
    <cellStyle name="Процентный 6 163 2 2" xfId="58035"/>
    <cellStyle name="Обычный 7 133 2 2" xfId="58036"/>
    <cellStyle name="Процентный 7 133 2 2" xfId="58037"/>
    <cellStyle name="Обычный 4 3 125 2 2" xfId="58038"/>
    <cellStyle name="Процентный 4 3 125 2 2" xfId="58039"/>
    <cellStyle name="Обычный 5 3 125 2 2" xfId="58040"/>
    <cellStyle name="Процентный 5 3 125 2 2" xfId="58041"/>
    <cellStyle name="Обычный 4 2 2 125 2 2" xfId="58042"/>
    <cellStyle name="Процентный 4 2 2 125 2 2" xfId="58043"/>
    <cellStyle name="Обычный 5 2 2 125 2 2" xfId="58044"/>
    <cellStyle name="Процентный 5 2 2 125 2 2" xfId="58045"/>
    <cellStyle name="Обычный 6 2 125 2 2" xfId="58046"/>
    <cellStyle name="Процентный 6 2 125 2 2" xfId="58047"/>
    <cellStyle name="Обычный 7 2 125 2 2" xfId="58048"/>
    <cellStyle name="Процентный 7 2 125 2 2" xfId="58049"/>
    <cellStyle name="Обычный 8 121 2 2" xfId="58050"/>
    <cellStyle name="Процентный 8 121 2 2" xfId="58051"/>
    <cellStyle name="Обычный 9 87 2 2" xfId="58052"/>
    <cellStyle name="Процентный 9 88 2 2" xfId="58053"/>
    <cellStyle name="Обычный 10 80 2 2" xfId="58054"/>
    <cellStyle name="Процентный 10 80 2 2" xfId="58055"/>
    <cellStyle name="Обычный 11 68 2 2" xfId="58056"/>
    <cellStyle name="Процентный 11 68 2 2" xfId="58057"/>
    <cellStyle name="Обычный 4 180 2 2" xfId="58058"/>
    <cellStyle name="Процентный 4 180 2 2" xfId="58059"/>
    <cellStyle name="Обычный 5 173 2 2" xfId="58060"/>
    <cellStyle name="Процентный 5 173 2 2" xfId="58061"/>
    <cellStyle name="Обычный 4 2 167 2 2" xfId="58062"/>
    <cellStyle name="Процентный 4 2 167 2 2" xfId="58063"/>
    <cellStyle name="Обычный 5 2 167 2 2" xfId="58064"/>
    <cellStyle name="Процентный 5 2 167 2 2" xfId="58065"/>
    <cellStyle name="Обычный 6 164 2 2" xfId="58066"/>
    <cellStyle name="Процентный 6 164 2 2" xfId="58067"/>
    <cellStyle name="Обычный 7 134 2 2" xfId="58068"/>
    <cellStyle name="Процентный 7 134 2 2" xfId="58069"/>
    <cellStyle name="Обычный 4 3 126 2 2" xfId="58070"/>
    <cellStyle name="Процентный 4 3 126 2 2" xfId="58071"/>
    <cellStyle name="Обычный 5 3 126 2 2" xfId="58072"/>
    <cellStyle name="Процентный 5 3 126 2 2" xfId="58073"/>
    <cellStyle name="Обычный 4 2 2 126 2 2" xfId="58074"/>
    <cellStyle name="Процентный 4 2 2 126 2 2" xfId="58075"/>
    <cellStyle name="Обычный 5 2 2 126 2 2" xfId="58076"/>
    <cellStyle name="Процентный 5 2 2 126 2 2" xfId="58077"/>
    <cellStyle name="Обычный 6 2 126 2 2" xfId="58078"/>
    <cellStyle name="Процентный 6 2 126 2 2" xfId="58079"/>
    <cellStyle name="Обычный 7 2 126 2 2" xfId="58080"/>
    <cellStyle name="Процентный 7 2 126 2 2" xfId="58081"/>
    <cellStyle name="Обычный 8 122 2 2" xfId="58082"/>
    <cellStyle name="Процентный 8 122 2 2" xfId="58083"/>
    <cellStyle name="Обычный 9 88 2 2" xfId="58084"/>
    <cellStyle name="Процентный 9 89 2 2" xfId="58085"/>
    <cellStyle name="Обычный 10 81 2 2" xfId="58086"/>
    <cellStyle name="Процентный 10 81 2 2" xfId="58087"/>
    <cellStyle name="Обычный 11 69 2 2" xfId="58088"/>
    <cellStyle name="Процентный 11 69 2 2" xfId="58089"/>
    <cellStyle name="Обычный 4 181 2 2" xfId="58090"/>
    <cellStyle name="Процентный 4 181 2 2" xfId="58091"/>
    <cellStyle name="Обычный 5 174 2 2" xfId="58092"/>
    <cellStyle name="Процентный 5 174 2 2" xfId="58093"/>
    <cellStyle name="Обычный 4 2 168 2 2" xfId="58094"/>
    <cellStyle name="Процентный 4 2 168 2 2" xfId="58095"/>
    <cellStyle name="Обычный 5 2 168 2 2" xfId="58096"/>
    <cellStyle name="Процентный 5 2 168 2 2" xfId="58097"/>
    <cellStyle name="Обычный 6 165 2 2" xfId="58098"/>
    <cellStyle name="Процентный 6 165 2 2" xfId="58099"/>
    <cellStyle name="Обычный 7 135 2 2" xfId="58100"/>
    <cellStyle name="Процентный 7 135 2 2" xfId="58101"/>
    <cellStyle name="Обычный 4 3 127 2 2" xfId="58102"/>
    <cellStyle name="Процентный 4 3 127 2 2" xfId="58103"/>
    <cellStyle name="Обычный 5 3 127 2 2" xfId="58104"/>
    <cellStyle name="Процентный 5 3 127 2 2" xfId="58105"/>
    <cellStyle name="Обычный 4 2 2 127 2 2" xfId="58106"/>
    <cellStyle name="Процентный 4 2 2 127 2 2" xfId="58107"/>
    <cellStyle name="Обычный 5 2 2 127 2 2" xfId="58108"/>
    <cellStyle name="Процентный 5 2 2 127 2 2" xfId="58109"/>
    <cellStyle name="Обычный 6 2 127 2 2" xfId="58110"/>
    <cellStyle name="Процентный 6 2 127 2 2" xfId="58111"/>
    <cellStyle name="Обычный 7 2 127 2 2" xfId="58112"/>
    <cellStyle name="Процентный 7 2 127 2 2" xfId="58113"/>
    <cellStyle name="Обычный 8 123 2 2" xfId="58114"/>
    <cellStyle name="Процентный 8 123 2 2" xfId="58115"/>
    <cellStyle name="Обычный 9 89 2 2" xfId="58116"/>
    <cellStyle name="Процентный 9 90 2 2" xfId="58117"/>
    <cellStyle name="Обычный 10 82 2 2" xfId="58118"/>
    <cellStyle name="Процентный 10 82 2 2" xfId="58119"/>
    <cellStyle name="Обычный 11 70 2 2" xfId="58120"/>
    <cellStyle name="Процентный 11 70 2 2" xfId="58121"/>
    <cellStyle name="Обычный 14 2 2" xfId="58122"/>
    <cellStyle name="Процентный 14 2 2" xfId="58123"/>
    <cellStyle name="Обычный 4 182 2 2" xfId="58124"/>
    <cellStyle name="Процентный 4 182 2 2" xfId="58125"/>
    <cellStyle name="Обычный 5 175 2 2" xfId="58126"/>
    <cellStyle name="Процентный 5 175 2 2" xfId="58127"/>
    <cellStyle name="Обычный 4 2 169 2 2" xfId="58128"/>
    <cellStyle name="Процентный 4 2 169 2 2" xfId="58129"/>
    <cellStyle name="Обычный 5 2 169 2 2" xfId="58130"/>
    <cellStyle name="Процентный 5 2 169 2 2" xfId="58131"/>
    <cellStyle name="Обычный 6 166 2 2" xfId="58132"/>
    <cellStyle name="Процентный 6 166 2 2" xfId="58133"/>
    <cellStyle name="Обычный 7 136 2 2" xfId="58134"/>
    <cellStyle name="Процентный 7 136 2 2" xfId="58135"/>
    <cellStyle name="Обычный 4 3 128 2 2" xfId="58136"/>
    <cellStyle name="Процентный 4 3 128 2 2" xfId="58137"/>
    <cellStyle name="Обычный 5 3 128 2 2" xfId="58138"/>
    <cellStyle name="Процентный 5 3 128 2 2" xfId="58139"/>
    <cellStyle name="Обычный 4 2 2 128 2 2" xfId="58140"/>
    <cellStyle name="Процентный 4 2 2 128 2 2" xfId="58141"/>
    <cellStyle name="Обычный 5 2 2 128 2 2" xfId="58142"/>
    <cellStyle name="Процентный 5 2 2 128 2 2" xfId="58143"/>
    <cellStyle name="Обычный 6 2 128 2 2" xfId="58144"/>
    <cellStyle name="Процентный 6 2 128 2 2" xfId="58145"/>
    <cellStyle name="Обычный 7 2 128 2 2" xfId="58146"/>
    <cellStyle name="Процентный 7 2 128 2 2" xfId="58147"/>
    <cellStyle name="Обычный 8 124 2 2" xfId="58148"/>
    <cellStyle name="Процентный 8 124 2 2" xfId="58149"/>
    <cellStyle name="Обычный 9 90 2 2" xfId="58150"/>
    <cellStyle name="Процентный 9 91 2 2" xfId="58151"/>
    <cellStyle name="Обычный 10 83 2 2" xfId="58152"/>
    <cellStyle name="Процентный 10 83 2 2" xfId="58153"/>
    <cellStyle name="Обычный 11 71 2 2" xfId="58154"/>
    <cellStyle name="Процентный 11 71 2 2" xfId="58155"/>
    <cellStyle name="Обычный 4 183 2 2" xfId="58156"/>
    <cellStyle name="Процентный 4 183 2 2" xfId="58157"/>
    <cellStyle name="Обычный 5 176 2 2" xfId="58158"/>
    <cellStyle name="Процентный 5 176 2 2" xfId="58159"/>
    <cellStyle name="Обычный 4 2 170 2 2" xfId="58160"/>
    <cellStyle name="Процентный 4 2 170 2 2" xfId="58161"/>
    <cellStyle name="Обычный 5 2 170 2 2" xfId="58162"/>
    <cellStyle name="Процентный 5 2 170 2 2" xfId="58163"/>
    <cellStyle name="Обычный 6 167 2 2" xfId="58164"/>
    <cellStyle name="Процентный 6 167 2 2" xfId="58165"/>
    <cellStyle name="Обычный 7 137 2 2" xfId="58166"/>
    <cellStyle name="Процентный 7 137 2 2" xfId="58167"/>
    <cellStyle name="Обычный 4 3 129 2 2" xfId="58168"/>
    <cellStyle name="Процентный 4 3 129 2 2" xfId="58169"/>
    <cellStyle name="Обычный 5 3 129 2 2" xfId="58170"/>
    <cellStyle name="Процентный 5 3 129 2 2" xfId="58171"/>
    <cellStyle name="Обычный 4 2 2 129 2 2" xfId="58172"/>
    <cellStyle name="Процентный 4 2 2 129 2 2" xfId="58173"/>
    <cellStyle name="Обычный 5 2 2 129 2 2" xfId="58174"/>
    <cellStyle name="Процентный 5 2 2 129 2 2" xfId="58175"/>
    <cellStyle name="Обычный 6 2 129 2 2" xfId="58176"/>
    <cellStyle name="Процентный 6 2 129 2 2" xfId="58177"/>
    <cellStyle name="Обычный 7 2 129 2 2" xfId="58178"/>
    <cellStyle name="Процентный 7 2 129 2 2" xfId="58179"/>
    <cellStyle name="Обычный 8 125 2 2" xfId="58180"/>
    <cellStyle name="Процентный 8 125 2 2" xfId="58181"/>
    <cellStyle name="Обычный 9 91 2 2" xfId="58182"/>
    <cellStyle name="Процентный 9 92 2 2" xfId="58183"/>
    <cellStyle name="Обычный 10 84 2 2" xfId="58184"/>
    <cellStyle name="Процентный 10 84 2 2" xfId="58185"/>
    <cellStyle name="Обычный 11 72 2 2" xfId="58186"/>
    <cellStyle name="Процентный 11 72 2 2" xfId="58187"/>
    <cellStyle name="Обычный 4 184 2 2" xfId="58188"/>
    <cellStyle name="Процентный 4 184 2 2" xfId="58189"/>
    <cellStyle name="Обычный 5 177 2 2" xfId="58190"/>
    <cellStyle name="Процентный 5 177 2 2" xfId="58191"/>
    <cellStyle name="Обычный 4 2 171 2 2" xfId="58192"/>
    <cellStyle name="Процентный 4 2 171 2 2" xfId="58193"/>
    <cellStyle name="Обычный 5 2 171 2 2" xfId="58194"/>
    <cellStyle name="Процентный 5 2 171 2 2" xfId="58195"/>
    <cellStyle name="Обычный 6 168 2 2" xfId="58196"/>
    <cellStyle name="Процентный 6 168 2 2" xfId="58197"/>
    <cellStyle name="Обычный 7 138 2 2" xfId="58198"/>
    <cellStyle name="Процентный 7 138 2 2" xfId="58199"/>
    <cellStyle name="Обычный 4 3 130 2 2" xfId="58200"/>
    <cellStyle name="Процентный 4 3 130 2 2" xfId="58201"/>
    <cellStyle name="Обычный 5 3 130 2 2" xfId="58202"/>
    <cellStyle name="Процентный 5 3 130 2 2" xfId="58203"/>
    <cellStyle name="Обычный 4 2 2 130 2 2" xfId="58204"/>
    <cellStyle name="Процентный 4 2 2 130 2 2" xfId="58205"/>
    <cellStyle name="Обычный 5 2 2 130 2 2" xfId="58206"/>
    <cellStyle name="Процентный 5 2 2 130 2 2" xfId="58207"/>
    <cellStyle name="Обычный 6 2 130 2 2" xfId="58208"/>
    <cellStyle name="Процентный 6 2 130 2 2" xfId="58209"/>
    <cellStyle name="Обычный 7 2 130 2 2" xfId="58210"/>
    <cellStyle name="Процентный 7 2 130 2 2" xfId="58211"/>
    <cellStyle name="Обычный 8 126 2 2" xfId="58212"/>
    <cellStyle name="Процентный 8 126 2 2" xfId="58213"/>
    <cellStyle name="Обычный 9 92 2 2" xfId="58214"/>
    <cellStyle name="Процентный 9 93 2 2" xfId="58215"/>
    <cellStyle name="Обычный 10 85 2 2" xfId="58216"/>
    <cellStyle name="Процентный 10 85 2 2" xfId="58217"/>
    <cellStyle name="Обычный 11 73 2 2" xfId="58218"/>
    <cellStyle name="Процентный 11 73 2 2" xfId="58219"/>
    <cellStyle name="Обычный 4 185 2 2" xfId="58220"/>
    <cellStyle name="Процентный 4 185 2 2" xfId="58221"/>
    <cellStyle name="Обычный 5 178 2 2" xfId="58222"/>
    <cellStyle name="Процентный 5 178 2 2" xfId="58223"/>
    <cellStyle name="Обычный 4 2 172 2 2" xfId="58224"/>
    <cellStyle name="Процентный 4 2 172 2 2" xfId="58225"/>
    <cellStyle name="Обычный 5 2 172 2 2" xfId="58226"/>
    <cellStyle name="Процентный 5 2 172 2 2" xfId="58227"/>
    <cellStyle name="Обычный 6 169 2 2" xfId="58228"/>
    <cellStyle name="Процентный 6 169 2 2" xfId="58229"/>
    <cellStyle name="Обычный 7 139 2 2" xfId="58230"/>
    <cellStyle name="Процентный 7 139 2 2" xfId="58231"/>
    <cellStyle name="Обычный 4 3 131 2 2" xfId="58232"/>
    <cellStyle name="Процентный 4 3 131 2 2" xfId="58233"/>
    <cellStyle name="Обычный 5 3 131 2 2" xfId="58234"/>
    <cellStyle name="Процентный 5 3 131 2 2" xfId="58235"/>
    <cellStyle name="Обычный 4 2 2 131 2 2" xfId="58236"/>
    <cellStyle name="Процентный 4 2 2 131 2 2" xfId="58237"/>
    <cellStyle name="Обычный 5 2 2 131 2 2" xfId="58238"/>
    <cellStyle name="Процентный 5 2 2 131 2 2" xfId="58239"/>
    <cellStyle name="Обычный 6 2 131 2 2" xfId="58240"/>
    <cellStyle name="Процентный 6 2 131 2 2" xfId="58241"/>
    <cellStyle name="Обычный 7 2 131 2 2" xfId="58242"/>
    <cellStyle name="Процентный 7 2 131 2 2" xfId="58243"/>
    <cellStyle name="Обычный 8 127 2 2" xfId="58244"/>
    <cellStyle name="Процентный 8 127 2 2" xfId="58245"/>
    <cellStyle name="Обычный 9 93 2 2" xfId="58246"/>
    <cellStyle name="Процентный 9 94 2 2" xfId="58247"/>
    <cellStyle name="Обычный 10 86 2 2" xfId="58248"/>
    <cellStyle name="Процентный 10 86 2 2" xfId="58249"/>
    <cellStyle name="Обычный 11 74 2 2" xfId="58250"/>
    <cellStyle name="Процентный 11 74 2 2" xfId="58251"/>
    <cellStyle name="Обычный 4 186 2 2" xfId="58252"/>
    <cellStyle name="Процентный 4 186 2 2" xfId="58253"/>
    <cellStyle name="Обычный 5 179 2 2" xfId="58254"/>
    <cellStyle name="Процентный 5 179 2 2" xfId="58255"/>
    <cellStyle name="Обычный 4 2 173 2 2" xfId="58256"/>
    <cellStyle name="Процентный 4 2 173 2 2" xfId="58257"/>
    <cellStyle name="Обычный 5 2 173 2 2" xfId="58258"/>
    <cellStyle name="Процентный 5 2 173 2 2" xfId="58259"/>
    <cellStyle name="Обычный 6 170 2 2" xfId="58260"/>
    <cellStyle name="Процентный 6 170 2 2" xfId="58261"/>
    <cellStyle name="Обычный 7 140 2 2" xfId="58262"/>
    <cellStyle name="Процентный 7 140 2 2" xfId="58263"/>
    <cellStyle name="Обычный 4 3 132 2 2" xfId="58264"/>
    <cellStyle name="Процентный 4 3 132 2 2" xfId="58265"/>
    <cellStyle name="Обычный 5 3 132 2 2" xfId="58266"/>
    <cellStyle name="Процентный 5 3 132 2 2" xfId="58267"/>
    <cellStyle name="Обычный 4 2 2 132 2 2" xfId="58268"/>
    <cellStyle name="Процентный 4 2 2 132 2 2" xfId="58269"/>
    <cellStyle name="Обычный 5 2 2 132 2 2" xfId="58270"/>
    <cellStyle name="Процентный 5 2 2 132 2 2" xfId="58271"/>
    <cellStyle name="Обычный 6 2 132 2 2" xfId="58272"/>
    <cellStyle name="Процентный 6 2 132 2 2" xfId="58273"/>
    <cellStyle name="Обычный 7 2 132 2 2" xfId="58274"/>
    <cellStyle name="Процентный 7 2 132 2 2" xfId="58275"/>
    <cellStyle name="Обычный 8 128 2 2" xfId="58276"/>
    <cellStyle name="Процентный 8 128 2 2" xfId="58277"/>
    <cellStyle name="Обычный 9 94 2 2" xfId="58278"/>
    <cellStyle name="Процентный 9 95 2 2" xfId="58279"/>
    <cellStyle name="Обычный 10 87 2 2" xfId="58280"/>
    <cellStyle name="Процентный 10 87 2 2" xfId="58281"/>
    <cellStyle name="Обычный 11 75 2 2" xfId="58282"/>
    <cellStyle name="Процентный 11 75 2 2" xfId="58283"/>
    <cellStyle name="Обычный 4 187 2 2" xfId="58284"/>
    <cellStyle name="Процентный 4 187 2 2" xfId="58285"/>
    <cellStyle name="Обычный 5 180 2 2" xfId="58286"/>
    <cellStyle name="Процентный 5 180 2 2" xfId="58287"/>
    <cellStyle name="Обычный 4 2 174 2 2" xfId="58288"/>
    <cellStyle name="Процентный 4 2 174 2 2" xfId="58289"/>
    <cellStyle name="Обычный 5 2 174 2 2" xfId="58290"/>
    <cellStyle name="Процентный 5 2 174 2 2" xfId="58291"/>
    <cellStyle name="Обычный 6 171 2 2" xfId="58292"/>
    <cellStyle name="Процентный 6 171 2 2" xfId="58293"/>
    <cellStyle name="Обычный 7 141 2 2" xfId="58294"/>
    <cellStyle name="Процентный 7 141 2 2" xfId="58295"/>
    <cellStyle name="Обычный 4 3 133 2 2" xfId="58296"/>
    <cellStyle name="Процентный 4 3 133 2 2" xfId="58297"/>
    <cellStyle name="Обычный 5 3 133 2 2" xfId="58298"/>
    <cellStyle name="Процентный 5 3 133 2 2" xfId="58299"/>
    <cellStyle name="Обычный 4 2 2 133 2 2" xfId="58300"/>
    <cellStyle name="Процентный 4 2 2 133 2 2" xfId="58301"/>
    <cellStyle name="Обычный 5 2 2 133 2 2" xfId="58302"/>
    <cellStyle name="Процентный 5 2 2 133 2 2" xfId="58303"/>
    <cellStyle name="Обычный 6 2 133 2 2" xfId="58304"/>
    <cellStyle name="Процентный 6 2 133 2 2" xfId="58305"/>
    <cellStyle name="Обычный 7 2 133 2 2" xfId="58306"/>
    <cellStyle name="Процентный 7 2 133 2 2" xfId="58307"/>
    <cellStyle name="Обычный 8 129 2 2" xfId="58308"/>
    <cellStyle name="Процентный 8 129 2 2" xfId="58309"/>
    <cellStyle name="Обычный 9 95 2 2" xfId="58310"/>
    <cellStyle name="Процентный 9 96 2 2" xfId="58311"/>
    <cellStyle name="Обычный 10 88 2 2" xfId="58312"/>
    <cellStyle name="Процентный 10 88 2 2" xfId="58313"/>
    <cellStyle name="Обычный 11 76 2 2" xfId="58314"/>
    <cellStyle name="Процентный 11 76 2 2" xfId="58315"/>
    <cellStyle name="Обычный 4 188 2 2" xfId="58316"/>
    <cellStyle name="Процентный 4 188 2 2" xfId="58317"/>
    <cellStyle name="Обычный 5 181 2 2" xfId="58318"/>
    <cellStyle name="Процентный 5 181 2 2" xfId="58319"/>
    <cellStyle name="Обычный 4 2 175 2 2" xfId="58320"/>
    <cellStyle name="Процентный 4 2 175 2 2" xfId="58321"/>
    <cellStyle name="Обычный 5 2 175 2 2" xfId="58322"/>
    <cellStyle name="Процентный 5 2 175 2 2" xfId="58323"/>
    <cellStyle name="Обычный 6 172 2 2" xfId="58324"/>
    <cellStyle name="Процентный 6 172 2 2" xfId="58325"/>
    <cellStyle name="Обычный 7 142 2 2" xfId="58326"/>
    <cellStyle name="Процентный 7 142 2 2" xfId="58327"/>
    <cellStyle name="Обычный 4 3 134 2 2" xfId="58328"/>
    <cellStyle name="Процентный 4 3 134 2 2" xfId="58329"/>
    <cellStyle name="Обычный 5 3 134 2 2" xfId="58330"/>
    <cellStyle name="Процентный 5 3 134 2 2" xfId="58331"/>
    <cellStyle name="Обычный 4 2 2 134 2 2" xfId="58332"/>
    <cellStyle name="Процентный 4 2 2 134 2 2" xfId="58333"/>
    <cellStyle name="Обычный 5 2 2 134 2 2" xfId="58334"/>
    <cellStyle name="Процентный 5 2 2 134 2 2" xfId="58335"/>
    <cellStyle name="Обычный 6 2 134 2 2" xfId="58336"/>
    <cellStyle name="Процентный 6 2 134 2 2" xfId="58337"/>
    <cellStyle name="Обычный 7 2 134 2 2" xfId="58338"/>
    <cellStyle name="Процентный 7 2 134 2 2" xfId="58339"/>
    <cellStyle name="Обычный 8 130 2 2" xfId="58340"/>
    <cellStyle name="Процентный 8 130 2 2" xfId="58341"/>
    <cellStyle name="Обычный 9 96 2 2" xfId="58342"/>
    <cellStyle name="Процентный 9 97 2 2" xfId="58343"/>
    <cellStyle name="Обычный 10 89 2 2" xfId="58344"/>
    <cellStyle name="Процентный 10 89 2 2" xfId="58345"/>
    <cellStyle name="Обычный 11 77 2 2" xfId="58346"/>
    <cellStyle name="Процентный 11 77 2 2" xfId="58347"/>
    <cellStyle name="Обычный 4 189 2 2" xfId="58348"/>
    <cellStyle name="Процентный 4 189 2 2" xfId="58349"/>
    <cellStyle name="Обычный 5 182 2 2" xfId="58350"/>
    <cellStyle name="Процентный 5 182 2 2" xfId="58351"/>
    <cellStyle name="Обычный 4 2 176 2 2" xfId="58352"/>
    <cellStyle name="Процентный 4 2 176 2 2" xfId="58353"/>
    <cellStyle name="Обычный 5 2 176 2 2" xfId="58354"/>
    <cellStyle name="Процентный 5 2 176 2 2" xfId="58355"/>
    <cellStyle name="Обычный 6 173 2 2" xfId="58356"/>
    <cellStyle name="Процентный 6 173 2 2" xfId="58357"/>
    <cellStyle name="Обычный 7 143 2 2" xfId="58358"/>
    <cellStyle name="Процентный 7 143 2 2" xfId="58359"/>
    <cellStyle name="Обычный 4 3 135 2 2" xfId="58360"/>
    <cellStyle name="Процентный 4 3 135 2 2" xfId="58361"/>
    <cellStyle name="Обычный 5 3 135 2 2" xfId="58362"/>
    <cellStyle name="Процентный 5 3 135 2 2" xfId="58363"/>
    <cellStyle name="Обычный 4 2 2 135 2 2" xfId="58364"/>
    <cellStyle name="Процентный 4 2 2 135 2 2" xfId="58365"/>
    <cellStyle name="Обычный 5 2 2 135 2 2" xfId="58366"/>
    <cellStyle name="Процентный 5 2 2 135 2 2" xfId="58367"/>
    <cellStyle name="Обычный 6 2 135 2 2" xfId="58368"/>
    <cellStyle name="Процентный 6 2 135 2 2" xfId="58369"/>
    <cellStyle name="Обычный 7 2 135 2 2" xfId="58370"/>
    <cellStyle name="Процентный 7 2 135 2 2" xfId="58371"/>
    <cellStyle name="Обычный 8 131 2 2" xfId="58372"/>
    <cellStyle name="Процентный 8 131 2 2" xfId="58373"/>
    <cellStyle name="Обычный 9 97 2 2" xfId="58374"/>
    <cellStyle name="Процентный 9 98 2 2" xfId="58375"/>
    <cellStyle name="Обычный 10 90 2 2" xfId="58376"/>
    <cellStyle name="Процентный 10 90 2 2" xfId="58377"/>
    <cellStyle name="Обычный 11 78 2 2" xfId="58378"/>
    <cellStyle name="Процентный 11 78 2 2" xfId="58379"/>
    <cellStyle name="Обычный 4 190 2 2" xfId="58380"/>
    <cellStyle name="Процентный 4 190 2 2" xfId="58381"/>
    <cellStyle name="Обычный 5 183 2 2" xfId="58382"/>
    <cellStyle name="Процентный 5 183 2 2" xfId="58383"/>
    <cellStyle name="Обычный 4 2 177 2 2" xfId="58384"/>
    <cellStyle name="Процентный 4 2 177 2 2" xfId="58385"/>
    <cellStyle name="Обычный 5 2 177 2 2" xfId="58386"/>
    <cellStyle name="Процентный 5 2 177 2 2" xfId="58387"/>
    <cellStyle name="Обычный 6 174 2 2" xfId="58388"/>
    <cellStyle name="Процентный 6 174 2 2" xfId="58389"/>
    <cellStyle name="Обычный 7 144 2 2" xfId="58390"/>
    <cellStyle name="Процентный 7 144 2 2" xfId="58391"/>
    <cellStyle name="Обычный 4 3 136 2 2" xfId="58392"/>
    <cellStyle name="Процентный 4 3 136 2 2" xfId="58393"/>
    <cellStyle name="Обычный 5 3 136 2 2" xfId="58394"/>
    <cellStyle name="Процентный 5 3 136 2 2" xfId="58395"/>
    <cellStyle name="Обычный 4 2 2 136 2 2" xfId="58396"/>
    <cellStyle name="Процентный 4 2 2 136 2 2" xfId="58397"/>
    <cellStyle name="Обычный 5 2 2 136 2 2" xfId="58398"/>
    <cellStyle name="Процентный 5 2 2 136 2 2" xfId="58399"/>
    <cellStyle name="Обычный 6 2 136 2 2" xfId="58400"/>
    <cellStyle name="Процентный 6 2 136 2 2" xfId="58401"/>
    <cellStyle name="Обычный 7 2 136 2 2" xfId="58402"/>
    <cellStyle name="Процентный 7 2 136 2 2" xfId="58403"/>
    <cellStyle name="Обычный 8 132 2 2" xfId="58404"/>
    <cellStyle name="Процентный 8 132 2 2" xfId="58405"/>
    <cellStyle name="Обычный 9 98 2 2" xfId="58406"/>
    <cellStyle name="Процентный 9 99 2 2" xfId="58407"/>
    <cellStyle name="Обычный 10 91 2 2" xfId="58408"/>
    <cellStyle name="Процентный 10 91 2 2" xfId="58409"/>
    <cellStyle name="Обычный 11 79 2 2" xfId="58410"/>
    <cellStyle name="Процентный 11 79 2 2" xfId="58411"/>
    <cellStyle name="Обычный 4 191 2 2" xfId="58412"/>
    <cellStyle name="Процентный 4 191 2 2" xfId="58413"/>
    <cellStyle name="Обычный 5 184 2 2" xfId="58414"/>
    <cellStyle name="Процентный 5 184 2 2" xfId="58415"/>
    <cellStyle name="Обычный 4 2 178 2 2" xfId="58416"/>
    <cellStyle name="Процентный 4 2 178 2 2" xfId="58417"/>
    <cellStyle name="Обычный 5 2 178 2 2" xfId="58418"/>
    <cellStyle name="Процентный 5 2 178 2 2" xfId="58419"/>
    <cellStyle name="Обычный 6 175 2 2" xfId="58420"/>
    <cellStyle name="Процентный 6 175 2 2" xfId="58421"/>
    <cellStyle name="Обычный 7 145 2 2" xfId="58422"/>
    <cellStyle name="Процентный 7 145 2 2" xfId="58423"/>
    <cellStyle name="Обычный 4 3 137 2 2" xfId="58424"/>
    <cellStyle name="Процентный 4 3 137 2 2" xfId="58425"/>
    <cellStyle name="Обычный 5 3 137 2 2" xfId="58426"/>
    <cellStyle name="Процентный 5 3 137 2 2" xfId="58427"/>
    <cellStyle name="Обычный 4 2 2 137 2 2" xfId="58428"/>
    <cellStyle name="Процентный 4 2 2 137 2 2" xfId="58429"/>
    <cellStyle name="Обычный 5 2 2 137 2 2" xfId="58430"/>
    <cellStyle name="Процентный 5 2 2 137 2 2" xfId="58431"/>
    <cellStyle name="Обычный 6 2 137 2 2" xfId="58432"/>
    <cellStyle name="Процентный 6 2 137 2 2" xfId="58433"/>
    <cellStyle name="Обычный 7 2 137 2 2" xfId="58434"/>
    <cellStyle name="Процентный 7 2 137 2 2" xfId="58435"/>
    <cellStyle name="Обычный 8 133 2 2" xfId="58436"/>
    <cellStyle name="Процентный 8 133 2 2" xfId="58437"/>
    <cellStyle name="Обычный 9 99 2 2" xfId="58438"/>
    <cellStyle name="Процентный 9 100 2 2" xfId="58439"/>
    <cellStyle name="Обычный 10 92 2 2" xfId="58440"/>
    <cellStyle name="Процентный 10 92 2 2" xfId="58441"/>
    <cellStyle name="Обычный 11 80 2 2" xfId="58442"/>
    <cellStyle name="Процентный 11 80 2 2" xfId="58443"/>
    <cellStyle name="Обычный 4 192 2 2" xfId="58444"/>
    <cellStyle name="Процентный 4 192 2 2" xfId="58445"/>
    <cellStyle name="Обычный 5 185 2 2" xfId="58446"/>
    <cellStyle name="Процентный 5 185 2 2" xfId="58447"/>
    <cellStyle name="Обычный 4 2 179 2 2" xfId="58448"/>
    <cellStyle name="Процентный 4 2 179 2 2" xfId="58449"/>
    <cellStyle name="Обычный 5 2 179 2 2" xfId="58450"/>
    <cellStyle name="Процентный 5 2 179 2 2" xfId="58451"/>
    <cellStyle name="Обычный 6 176 2 2" xfId="58452"/>
    <cellStyle name="Процентный 6 176 2 2" xfId="58453"/>
    <cellStyle name="Обычный 7 146 2 2" xfId="58454"/>
    <cellStyle name="Процентный 7 146 2 2" xfId="58455"/>
    <cellStyle name="Обычный 4 3 138 2 2" xfId="58456"/>
    <cellStyle name="Процентный 4 3 138 2 2" xfId="58457"/>
    <cellStyle name="Обычный 5 3 138 2 2" xfId="58458"/>
    <cellStyle name="Процентный 5 3 138 2 2" xfId="58459"/>
    <cellStyle name="Обычный 4 2 2 138 2 2" xfId="58460"/>
    <cellStyle name="Процентный 4 2 2 138 2 2" xfId="58461"/>
    <cellStyle name="Обычный 5 2 2 138 2 2" xfId="58462"/>
    <cellStyle name="Процентный 5 2 2 138 2 2" xfId="58463"/>
    <cellStyle name="Обычный 6 2 138 2 2" xfId="58464"/>
    <cellStyle name="Процентный 6 2 138 2 2" xfId="58465"/>
    <cellStyle name="Обычный 7 2 138 2 2" xfId="58466"/>
    <cellStyle name="Процентный 7 2 138 2 2" xfId="58467"/>
    <cellStyle name="Обычный 8 134 2 2" xfId="58468"/>
    <cellStyle name="Процентный 8 134 2 2" xfId="58469"/>
    <cellStyle name="Обычный 9 100 2 2" xfId="58470"/>
    <cellStyle name="Процентный 9 101 2 2" xfId="58471"/>
    <cellStyle name="Обычный 10 93 2 2" xfId="58472"/>
    <cellStyle name="Процентный 10 93 2 2" xfId="58473"/>
    <cellStyle name="Обычный 11 81 2 2" xfId="58474"/>
    <cellStyle name="Процентный 11 81 2 2" xfId="58475"/>
    <cellStyle name="Обычный 4 193 2 2" xfId="58476"/>
    <cellStyle name="Процентный 4 193 2 2" xfId="58477"/>
    <cellStyle name="Обычный 5 186 2 2" xfId="58478"/>
    <cellStyle name="Процентный 5 186 2 2" xfId="58479"/>
    <cellStyle name="Обычный 4 2 180 2 2" xfId="58480"/>
    <cellStyle name="Процентный 4 2 180 2 2" xfId="58481"/>
    <cellStyle name="Обычный 5 2 180 2 2" xfId="58482"/>
    <cellStyle name="Процентный 5 2 180 2 2" xfId="58483"/>
    <cellStyle name="Обычный 6 177 2 2" xfId="58484"/>
    <cellStyle name="Процентный 6 177 2 2" xfId="58485"/>
    <cellStyle name="Обычный 7 147 2 2" xfId="58486"/>
    <cellStyle name="Процентный 7 147 2 2" xfId="58487"/>
    <cellStyle name="Обычный 4 3 139 2 2" xfId="58488"/>
    <cellStyle name="Процентный 4 3 139 2 2" xfId="58489"/>
    <cellStyle name="Обычный 5 3 139 2 2" xfId="58490"/>
    <cellStyle name="Процентный 5 3 139 2 2" xfId="58491"/>
    <cellStyle name="Обычный 4 2 2 139 2 2" xfId="58492"/>
    <cellStyle name="Процентный 4 2 2 139 2 2" xfId="58493"/>
    <cellStyle name="Обычный 5 2 2 139 2 2" xfId="58494"/>
    <cellStyle name="Процентный 5 2 2 139 2 2" xfId="58495"/>
    <cellStyle name="Обычный 6 2 139 2 2" xfId="58496"/>
    <cellStyle name="Процентный 6 2 139 2 2" xfId="58497"/>
    <cellStyle name="Обычный 7 2 139 2 2" xfId="58498"/>
    <cellStyle name="Процентный 7 2 139 2 2" xfId="58499"/>
    <cellStyle name="Обычный 8 135 2 2" xfId="58500"/>
    <cellStyle name="Процентный 8 135 2 2" xfId="58501"/>
    <cellStyle name="Обычный 9 101 2 2" xfId="58502"/>
    <cellStyle name="Процентный 9 102 2 2" xfId="58503"/>
    <cellStyle name="Обычный 10 94 2 2" xfId="58504"/>
    <cellStyle name="Процентный 10 94 2 2" xfId="58505"/>
    <cellStyle name="Обычный 11 82 2 2" xfId="58506"/>
    <cellStyle name="Процентный 11 82 2 2" xfId="58507"/>
    <cellStyle name="Обычный 4 194 2 2" xfId="58508"/>
    <cellStyle name="Процентный 4 194 2 2" xfId="58509"/>
    <cellStyle name="Обычный 5 187 2 2" xfId="58510"/>
    <cellStyle name="Процентный 5 187 2 2" xfId="58511"/>
    <cellStyle name="Обычный 4 2 181 2 2" xfId="58512"/>
    <cellStyle name="Процентный 4 2 181 2 2" xfId="58513"/>
    <cellStyle name="Обычный 5 2 181 2 2" xfId="58514"/>
    <cellStyle name="Процентный 5 2 181 2 2" xfId="58515"/>
    <cellStyle name="Обычный 6 178 2 2" xfId="58516"/>
    <cellStyle name="Процентный 6 178 2 2" xfId="58517"/>
    <cellStyle name="Обычный 7 148 2 2" xfId="58518"/>
    <cellStyle name="Процентный 7 148 2 2" xfId="58519"/>
    <cellStyle name="Обычный 4 3 140 2 2" xfId="58520"/>
    <cellStyle name="Процентный 4 3 140 2 2" xfId="58521"/>
    <cellStyle name="Обычный 5 3 140 2 2" xfId="58522"/>
    <cellStyle name="Процентный 5 3 140 2 2" xfId="58523"/>
    <cellStyle name="Обычный 4 2 2 140 2 2" xfId="58524"/>
    <cellStyle name="Процентный 4 2 2 140 2 2" xfId="58525"/>
    <cellStyle name="Обычный 5 2 2 140 2 2" xfId="58526"/>
    <cellStyle name="Процентный 5 2 2 140 2 2" xfId="58527"/>
    <cellStyle name="Обычный 6 2 140 2 2" xfId="58528"/>
    <cellStyle name="Процентный 6 2 140 2 2" xfId="58529"/>
    <cellStyle name="Обычный 7 2 140 2 2" xfId="58530"/>
    <cellStyle name="Процентный 7 2 140 2 2" xfId="58531"/>
    <cellStyle name="Обычный 8 136 2 2" xfId="58532"/>
    <cellStyle name="Процентный 8 136 2 2" xfId="58533"/>
    <cellStyle name="Обычный 9 102 2 2" xfId="58534"/>
    <cellStyle name="Процентный 9 103 2 2" xfId="58535"/>
    <cellStyle name="Обычный 10 95 2 2" xfId="58536"/>
    <cellStyle name="Процентный 10 95 2 2" xfId="58537"/>
    <cellStyle name="Обычный 11 83 2 2" xfId="58538"/>
    <cellStyle name="Процентный 11 83 2 2" xfId="58539"/>
    <cellStyle name="Обычный 4 195 2 2" xfId="58540"/>
    <cellStyle name="Процентный 4 195 2 2" xfId="58541"/>
    <cellStyle name="Обычный 5 188 2 2" xfId="58542"/>
    <cellStyle name="Процентный 5 188 2 2" xfId="58543"/>
    <cellStyle name="Обычный 4 2 182 2 2" xfId="58544"/>
    <cellStyle name="Процентный 4 2 182 2 2" xfId="58545"/>
    <cellStyle name="Обычный 5 2 182 2 2" xfId="58546"/>
    <cellStyle name="Процентный 5 2 182 2 2" xfId="58547"/>
    <cellStyle name="Обычный 6 179 2 2" xfId="58548"/>
    <cellStyle name="Процентный 6 179 2 2" xfId="58549"/>
    <cellStyle name="Обычный 7 149 2 2" xfId="58550"/>
    <cellStyle name="Процентный 7 149 2 2" xfId="58551"/>
    <cellStyle name="Обычный 4 3 141 2 2" xfId="58552"/>
    <cellStyle name="Процентный 4 3 141 2 2" xfId="58553"/>
    <cellStyle name="Обычный 5 3 141 2 2" xfId="58554"/>
    <cellStyle name="Процентный 5 3 141 2 2" xfId="58555"/>
    <cellStyle name="Обычный 4 2 2 141 2 2" xfId="58556"/>
    <cellStyle name="Процентный 4 2 2 141 2 2" xfId="58557"/>
    <cellStyle name="Обычный 5 2 2 141 2 2" xfId="58558"/>
    <cellStyle name="Процентный 5 2 2 141 2 2" xfId="58559"/>
    <cellStyle name="Обычный 6 2 141 2 2" xfId="58560"/>
    <cellStyle name="Процентный 6 2 141 2 2" xfId="58561"/>
    <cellStyle name="Обычный 7 2 141 2 2" xfId="58562"/>
    <cellStyle name="Процентный 7 2 141 2 2" xfId="58563"/>
    <cellStyle name="Обычный 8 137 2 2" xfId="58564"/>
    <cellStyle name="Процентный 8 137 2 2" xfId="58565"/>
    <cellStyle name="Обычный 9 103 2 2" xfId="58566"/>
    <cellStyle name="Процентный 9 104 2 2" xfId="58567"/>
    <cellStyle name="Обычный 10 96 2 2" xfId="58568"/>
    <cellStyle name="Процентный 10 96 2 2" xfId="58569"/>
    <cellStyle name="Обычный 11 84 2 2" xfId="58570"/>
    <cellStyle name="Процентный 11 84 2 2" xfId="58571"/>
    <cellStyle name="Обычный 4 196 2 2" xfId="58572"/>
    <cellStyle name="Процентный 4 196 2 2" xfId="58573"/>
    <cellStyle name="Обычный 5 189 2 2" xfId="58574"/>
    <cellStyle name="Процентный 5 189 2 2" xfId="58575"/>
    <cellStyle name="Обычный 4 2 183 2 2" xfId="58576"/>
    <cellStyle name="Процентный 4 2 183 2 2" xfId="58577"/>
    <cellStyle name="Обычный 5 2 183 2 2" xfId="58578"/>
    <cellStyle name="Процентный 5 2 183 2 2" xfId="58579"/>
    <cellStyle name="Обычный 6 180 2 2" xfId="58580"/>
    <cellStyle name="Процентный 6 180 2 2" xfId="58581"/>
    <cellStyle name="Обычный 7 150 2 2" xfId="58582"/>
    <cellStyle name="Процентный 7 150 2 2" xfId="58583"/>
    <cellStyle name="Обычный 4 3 142 2 2" xfId="58584"/>
    <cellStyle name="Процентный 4 3 142 2 2" xfId="58585"/>
    <cellStyle name="Обычный 5 3 142 2 2" xfId="58586"/>
    <cellStyle name="Процентный 5 3 142 2 2" xfId="58587"/>
    <cellStyle name="Обычный 4 2 2 142 2 2" xfId="58588"/>
    <cellStyle name="Процентный 4 2 2 142 2 2" xfId="58589"/>
    <cellStyle name="Обычный 5 2 2 142 2 2" xfId="58590"/>
    <cellStyle name="Процентный 5 2 2 142 2 2" xfId="58591"/>
    <cellStyle name="Обычный 6 2 142 2 2" xfId="58592"/>
    <cellStyle name="Процентный 6 2 142 2 2" xfId="58593"/>
    <cellStyle name="Обычный 7 2 142 2 2" xfId="58594"/>
    <cellStyle name="Процентный 7 2 142 2 2" xfId="58595"/>
    <cellStyle name="Обычный 8 138 2 2" xfId="58596"/>
    <cellStyle name="Процентный 8 138 2 2" xfId="58597"/>
    <cellStyle name="Обычный 9 104 2 2" xfId="58598"/>
    <cellStyle name="Процентный 9 105 2 2" xfId="58599"/>
    <cellStyle name="Обычный 10 97 2 2" xfId="58600"/>
    <cellStyle name="Процентный 10 97 2 2" xfId="58601"/>
    <cellStyle name="Обычный 11 85 2 2" xfId="58602"/>
    <cellStyle name="Процентный 11 85 2 2" xfId="58603"/>
    <cellStyle name="Обычный 4 197 2 2" xfId="58604"/>
    <cellStyle name="Процентный 4 197 2 2" xfId="58605"/>
    <cellStyle name="Обычный 5 190 2 2" xfId="58606"/>
    <cellStyle name="Процентный 5 190 2 2" xfId="58607"/>
    <cellStyle name="Обычный 4 2 184 2 2" xfId="58608"/>
    <cellStyle name="Процентный 4 2 184 2 2" xfId="58609"/>
    <cellStyle name="Обычный 5 2 184 2 2" xfId="58610"/>
    <cellStyle name="Процентный 5 2 184 2 2" xfId="58611"/>
    <cellStyle name="Обычный 6 181 2 2" xfId="58612"/>
    <cellStyle name="Процентный 6 181 2 2" xfId="58613"/>
    <cellStyle name="Обычный 7 151 2 2" xfId="58614"/>
    <cellStyle name="Процентный 7 151 2 2" xfId="58615"/>
    <cellStyle name="Обычный 4 3 143 2 2" xfId="58616"/>
    <cellStyle name="Процентный 4 3 143 2 2" xfId="58617"/>
    <cellStyle name="Обычный 5 3 143 2 2" xfId="58618"/>
    <cellStyle name="Процентный 5 3 143 2 2" xfId="58619"/>
    <cellStyle name="Обычный 4 2 2 143 2 2" xfId="58620"/>
    <cellStyle name="Процентный 4 2 2 143 2 2" xfId="58621"/>
    <cellStyle name="Обычный 5 2 2 143 2 2" xfId="58622"/>
    <cellStyle name="Процентный 5 2 2 143 2 2" xfId="58623"/>
    <cellStyle name="Обычный 6 2 143 2 2" xfId="58624"/>
    <cellStyle name="Процентный 6 2 143 2 2" xfId="58625"/>
    <cellStyle name="Обычный 7 2 143 2 2" xfId="58626"/>
    <cellStyle name="Процентный 7 2 143 2 2" xfId="58627"/>
    <cellStyle name="Обычный 8 139 2 2" xfId="58628"/>
    <cellStyle name="Процентный 8 139 2 2" xfId="58629"/>
    <cellStyle name="Обычный 9 105 2 2" xfId="58630"/>
    <cellStyle name="Процентный 9 106 2 2" xfId="58631"/>
    <cellStyle name="Обычный 10 98 2 2" xfId="58632"/>
    <cellStyle name="Процентный 10 98 2 2" xfId="58633"/>
    <cellStyle name="Обычный 11 86 2 2" xfId="58634"/>
    <cellStyle name="Процентный 11 86 2 2" xfId="58635"/>
    <cellStyle name="Обычный 4 198 2 2" xfId="58636"/>
    <cellStyle name="Процентный 4 198 2 2" xfId="58637"/>
    <cellStyle name="Обычный 5 191 2 2" xfId="58638"/>
    <cellStyle name="Процентный 5 191 2 2" xfId="58639"/>
    <cellStyle name="Обычный 4 2 185 2 2" xfId="58640"/>
    <cellStyle name="Процентный 4 2 185 2 2" xfId="58641"/>
    <cellStyle name="Обычный 5 2 185 2 2" xfId="58642"/>
    <cellStyle name="Процентный 5 2 185 2 2" xfId="58643"/>
    <cellStyle name="Обычный 6 182 2 2" xfId="58644"/>
    <cellStyle name="Процентный 6 182 2 2" xfId="58645"/>
    <cellStyle name="Обычный 7 152 2 2" xfId="58646"/>
    <cellStyle name="Процентный 7 152 2 2" xfId="58647"/>
    <cellStyle name="Обычный 4 3 144 2 2" xfId="58648"/>
    <cellStyle name="Процентный 4 3 144 2 2" xfId="58649"/>
    <cellStyle name="Обычный 5 3 144 2 2" xfId="58650"/>
    <cellStyle name="Процентный 5 3 144 2 2" xfId="58651"/>
    <cellStyle name="Обычный 4 2 2 144 2 2" xfId="58652"/>
    <cellStyle name="Процентный 4 2 2 144 2 2" xfId="58653"/>
    <cellStyle name="Обычный 5 2 2 144 2 2" xfId="58654"/>
    <cellStyle name="Процентный 5 2 2 144 2 2" xfId="58655"/>
    <cellStyle name="Обычный 6 2 144 2 2" xfId="58656"/>
    <cellStyle name="Процентный 6 2 144 2 2" xfId="58657"/>
    <cellStyle name="Обычный 7 2 144 2 2" xfId="58658"/>
    <cellStyle name="Процентный 7 2 144 2 2" xfId="58659"/>
    <cellStyle name="Обычный 8 140 2 2" xfId="58660"/>
    <cellStyle name="Процентный 8 140 2 2" xfId="58661"/>
    <cellStyle name="Обычный 9 106 2 2" xfId="58662"/>
    <cellStyle name="Процентный 9 107 2 2" xfId="58663"/>
    <cellStyle name="Обычный 10 99 2 2" xfId="58664"/>
    <cellStyle name="Процентный 10 99 2 2" xfId="58665"/>
    <cellStyle name="Обычный 11 87 2 2" xfId="58666"/>
    <cellStyle name="Процентный 11 87 2 2" xfId="58667"/>
    <cellStyle name="Обычный 4 199 2 2" xfId="58668"/>
    <cellStyle name="Процентный 4 199 2 2" xfId="58669"/>
    <cellStyle name="Обычный 5 192 2 2" xfId="58670"/>
    <cellStyle name="Процентный 5 192 2 2" xfId="58671"/>
    <cellStyle name="Обычный 4 2 186 2 2" xfId="58672"/>
    <cellStyle name="Процентный 4 2 186 2 2" xfId="58673"/>
    <cellStyle name="Обычный 5 2 186 2 2" xfId="58674"/>
    <cellStyle name="Процентный 5 2 186 2 2" xfId="58675"/>
    <cellStyle name="Обычный 6 183 2 2" xfId="58676"/>
    <cellStyle name="Процентный 6 183 2 2" xfId="58677"/>
    <cellStyle name="Обычный 7 153 2 2" xfId="58678"/>
    <cellStyle name="Процентный 7 153 2 2" xfId="58679"/>
    <cellStyle name="Обычный 4 3 145 2 2" xfId="58680"/>
    <cellStyle name="Процентный 4 3 145 2 2" xfId="58681"/>
    <cellStyle name="Обычный 5 3 145 2 2" xfId="58682"/>
    <cellStyle name="Процентный 5 3 145 2 2" xfId="58683"/>
    <cellStyle name="Обычный 4 2 2 145 2 2" xfId="58684"/>
    <cellStyle name="Процентный 4 2 2 145 2 2" xfId="58685"/>
    <cellStyle name="Обычный 5 2 2 145 2 2" xfId="58686"/>
    <cellStyle name="Процентный 5 2 2 145 2 2" xfId="58687"/>
    <cellStyle name="Обычный 6 2 145 2 2" xfId="58688"/>
    <cellStyle name="Процентный 6 2 145 2 2" xfId="58689"/>
    <cellStyle name="Обычный 7 2 145 2 2" xfId="58690"/>
    <cellStyle name="Процентный 7 2 145 2 2" xfId="58691"/>
    <cellStyle name="Обычный 8 141 2 2" xfId="58692"/>
    <cellStyle name="Процентный 8 141 2 2" xfId="58693"/>
    <cellStyle name="Обычный 9 107 2 2" xfId="58694"/>
    <cellStyle name="Процентный 9 108 2 2" xfId="58695"/>
    <cellStyle name="Обычный 10 100 2 2" xfId="58696"/>
    <cellStyle name="Процентный 10 100 2 2" xfId="58697"/>
    <cellStyle name="Обычный 11 88 2 2" xfId="58698"/>
    <cellStyle name="Процентный 11 88 2 2" xfId="58699"/>
    <cellStyle name="Обычный 4 200 2 2" xfId="58700"/>
    <cellStyle name="Процентный 4 200 2 2" xfId="58701"/>
    <cellStyle name="Обычный 5 193 2 2" xfId="58702"/>
    <cellStyle name="Процентный 5 193 2 2" xfId="58703"/>
    <cellStyle name="Обычный 4 2 187 2 2" xfId="58704"/>
    <cellStyle name="Процентный 4 2 187 2 2" xfId="58705"/>
    <cellStyle name="Обычный 5 2 187 2 2" xfId="58706"/>
    <cellStyle name="Процентный 5 2 187 2 2" xfId="58707"/>
    <cellStyle name="Обычный 6 184 2 2" xfId="58708"/>
    <cellStyle name="Процентный 6 184 2 2" xfId="58709"/>
    <cellStyle name="Обычный 7 154 2 2" xfId="58710"/>
    <cellStyle name="Процентный 7 154 2 2" xfId="58711"/>
    <cellStyle name="Обычный 4 3 146 2 2" xfId="58712"/>
    <cellStyle name="Процентный 4 3 146 2 2" xfId="58713"/>
    <cellStyle name="Обычный 5 3 146 2 2" xfId="58714"/>
    <cellStyle name="Процентный 5 3 146 2 2" xfId="58715"/>
    <cellStyle name="Обычный 4 2 2 146 2 2" xfId="58716"/>
    <cellStyle name="Процентный 4 2 2 146 2 2" xfId="58717"/>
    <cellStyle name="Обычный 5 2 2 146 2 2" xfId="58718"/>
    <cellStyle name="Процентный 5 2 2 146 2 2" xfId="58719"/>
    <cellStyle name="Обычный 6 2 146 2 2" xfId="58720"/>
    <cellStyle name="Процентный 6 2 146 2 2" xfId="58721"/>
    <cellStyle name="Обычный 7 2 146 2 2" xfId="58722"/>
    <cellStyle name="Процентный 7 2 146 2 2" xfId="58723"/>
    <cellStyle name="Обычный 8 142 2 2" xfId="58724"/>
    <cellStyle name="Процентный 8 142 2 2" xfId="58725"/>
    <cellStyle name="Обычный 9 108 2 2" xfId="58726"/>
    <cellStyle name="Процентный 9 109 2 2" xfId="58727"/>
    <cellStyle name="Обычный 10 101 2 2" xfId="58728"/>
    <cellStyle name="Процентный 10 101 2 2" xfId="58729"/>
    <cellStyle name="Обычный 11 89 2 2" xfId="58730"/>
    <cellStyle name="Процентный 11 89 2 2" xfId="58731"/>
    <cellStyle name="Обычный 4 201 2 2" xfId="58732"/>
    <cellStyle name="Процентный 4 201 2 2" xfId="58733"/>
    <cellStyle name="Обычный 5 194 2 2" xfId="58734"/>
    <cellStyle name="Процентный 5 194 2 2" xfId="58735"/>
    <cellStyle name="Обычный 4 2 188 2 2" xfId="58736"/>
    <cellStyle name="Процентный 4 2 188 2 2" xfId="58737"/>
    <cellStyle name="Обычный 5 2 188 2 2" xfId="58738"/>
    <cellStyle name="Процентный 5 2 188 2 2" xfId="58739"/>
    <cellStyle name="Обычный 6 185 2 2" xfId="58740"/>
    <cellStyle name="Процентный 6 185 2 2" xfId="58741"/>
    <cellStyle name="Обычный 7 155 2 2" xfId="58742"/>
    <cellStyle name="Процентный 7 155 2 2" xfId="58743"/>
    <cellStyle name="Обычный 4 3 147 2 2" xfId="58744"/>
    <cellStyle name="Процентный 4 3 147 2 2" xfId="58745"/>
    <cellStyle name="Обычный 5 3 147 2 2" xfId="58746"/>
    <cellStyle name="Процентный 5 3 147 2 2" xfId="58747"/>
    <cellStyle name="Обычный 4 2 2 147 2 2" xfId="58748"/>
    <cellStyle name="Процентный 4 2 2 147 2 2" xfId="58749"/>
    <cellStyle name="Обычный 5 2 2 147 2 2" xfId="58750"/>
    <cellStyle name="Процентный 5 2 2 147 2 2" xfId="58751"/>
    <cellStyle name="Обычный 6 2 147 2 2" xfId="58752"/>
    <cellStyle name="Процентный 6 2 147 2 2" xfId="58753"/>
    <cellStyle name="Обычный 7 2 147 2 2" xfId="58754"/>
    <cellStyle name="Процентный 7 2 147 2 2" xfId="58755"/>
    <cellStyle name="Обычный 8 143 2 2" xfId="58756"/>
    <cellStyle name="Процентный 8 143 2 2" xfId="58757"/>
    <cellStyle name="Обычный 9 109 2 2" xfId="58758"/>
    <cellStyle name="Процентный 9 110 2 2" xfId="58759"/>
    <cellStyle name="Обычный 10 102 2 2" xfId="58760"/>
    <cellStyle name="Процентный 10 102 2 2" xfId="58761"/>
    <cellStyle name="Обычный 11 90 2 2" xfId="58762"/>
    <cellStyle name="Процентный 11 90 2 2" xfId="58763"/>
    <cellStyle name="Обычный 4 202 2 2" xfId="58764"/>
    <cellStyle name="Процентный 4 202 2 2" xfId="58765"/>
    <cellStyle name="Обычный 5 195 2 2" xfId="58766"/>
    <cellStyle name="Процентный 5 195 2 2" xfId="58767"/>
    <cellStyle name="Обычный 4 2 189 2 2" xfId="58768"/>
    <cellStyle name="Процентный 4 2 189 2 2" xfId="58769"/>
    <cellStyle name="Обычный 5 2 189 2 2" xfId="58770"/>
    <cellStyle name="Процентный 5 2 189 2 2" xfId="58771"/>
    <cellStyle name="Обычный 6 186 2 2" xfId="58772"/>
    <cellStyle name="Процентный 6 186 2 2" xfId="58773"/>
    <cellStyle name="Обычный 7 156 2 2" xfId="58774"/>
    <cellStyle name="Процентный 7 156 2 2" xfId="58775"/>
    <cellStyle name="Обычный 4 3 148 2 2" xfId="58776"/>
    <cellStyle name="Процентный 4 3 148 2 2" xfId="58777"/>
    <cellStyle name="Обычный 5 3 148 2 2" xfId="58778"/>
    <cellStyle name="Процентный 5 3 148 2 2" xfId="58779"/>
    <cellStyle name="Обычный 4 2 2 148 2 2" xfId="58780"/>
    <cellStyle name="Процентный 4 2 2 148 2 2" xfId="58781"/>
    <cellStyle name="Обычный 5 2 2 148 2 2" xfId="58782"/>
    <cellStyle name="Процентный 5 2 2 148 2 2" xfId="58783"/>
    <cellStyle name="Обычный 6 2 148 2 2" xfId="58784"/>
    <cellStyle name="Процентный 6 2 148 2 2" xfId="58785"/>
    <cellStyle name="Обычный 7 2 148 2 2" xfId="58786"/>
    <cellStyle name="Процентный 7 2 148 2 2" xfId="58787"/>
    <cellStyle name="Обычный 8 144 2 2" xfId="58788"/>
    <cellStyle name="Процентный 8 144 2 2" xfId="58789"/>
    <cellStyle name="Обычный 9 110 2 2" xfId="58790"/>
    <cellStyle name="Процентный 9 111 2 2" xfId="58791"/>
    <cellStyle name="Обычный 10 103 2 2" xfId="58792"/>
    <cellStyle name="Процентный 10 103 2 2" xfId="58793"/>
    <cellStyle name="Обычный 11 91 2 2" xfId="58794"/>
    <cellStyle name="Процентный 11 91 2 2" xfId="58795"/>
    <cellStyle name="Обычный 15" xfId="58796"/>
    <cellStyle name="Процентный 15" xfId="58797"/>
    <cellStyle name="Обычный 16" xfId="58798"/>
    <cellStyle name="Процентный 16" xfId="58799"/>
    <cellStyle name="Финансовый 6" xfId="58800"/>
    <cellStyle name="Обычный 17" xfId="58801"/>
    <cellStyle name="Процентный 17" xfId="58802"/>
    <cellStyle name="Финансовый 7" xfId="58803"/>
    <cellStyle name="Percent 2" xfId="58804"/>
    <cellStyle name="Normal 2 2" xfId="58805"/>
    <cellStyle name="Comma 6" xfId="58806"/>
    <cellStyle name="Comma 3 2" xfId="58807"/>
    <cellStyle name="Comma 2 3" xfId="58808"/>
    <cellStyle name="Финансовый 8" xfId="58809"/>
    <cellStyle name="?" xfId="58810"/>
    <cellStyle name="??" xfId="58811"/>
    <cellStyle name="?? 1" xfId="58812"/>
    <cellStyle name="?? 2" xfId="58813"/>
    <cellStyle name="?? 3" xfId="58814"/>
    <cellStyle name="?? 4" xfId="58815"/>
    <cellStyle name="????" xfId="58816"/>
    <cellStyle name="?????" xfId="58817"/>
    <cellStyle name="????? 1" xfId="58818"/>
    <cellStyle name="??????" xfId="58819"/>
    <cellStyle name="?????? 1" xfId="58820"/>
    <cellStyle name="?????? 2" xfId="58821"/>
    <cellStyle name="?????? 3" xfId="58822"/>
    <cellStyle name="?????? 4" xfId="58823"/>
    <cellStyle name="?????? 5" xfId="58824"/>
    <cellStyle name="?????? 6" xfId="58825"/>
    <cellStyle name="????[0]_050978" xfId="58826"/>
    <cellStyle name="????[0]W11BB" xfId="58827"/>
    <cellStyle name="???[0]_laroux" xfId="58828"/>
    <cellStyle name="???_laroux" xfId="58829"/>
    <cellStyle name="??[0]_ ? ? ? ?" xfId="58830"/>
    <cellStyle name="??_ ? ? ? ?" xfId="58831"/>
    <cellStyle name="??1" xfId="58832"/>
    <cellStyle name="??2" xfId="58833"/>
    <cellStyle name="??3" xfId="58834"/>
    <cellStyle name="??4" xfId="58835"/>
    <cellStyle name="??5" xfId="58836"/>
    <cellStyle name="??6" xfId="58837"/>
    <cellStyle name="_~0128403" xfId="58838"/>
    <cellStyle name="_~2803727" xfId="58839"/>
    <cellStyle name="_~5685167" xfId="58840"/>
    <cellStyle name="_~5722987" xfId="58841"/>
    <cellStyle name="_~8077956" xfId="58842"/>
    <cellStyle name="_1213" xfId="58843"/>
    <cellStyle name="_2.แบบฟอร์ม SUP19_Q4_50-CPAI" xfId="58844"/>
    <cellStyle name="_BAP_FS17" xfId="58845"/>
    <cellStyle name="_BKF  Q1.52" xfId="58846"/>
    <cellStyle name="_BP_CPF0151 new-1" xfId="58847"/>
    <cellStyle name="_BP_CPF0151 new-1 2" xfId="58848"/>
    <cellStyle name="_BP_CPF0151 new-1 3" xfId="58849"/>
    <cellStyle name="_BP_CPF0151 new-1 4" xfId="58850"/>
    <cellStyle name="_CONSO_Q452_update(31.12.52) " xfId="58851"/>
    <cellStyle name="_Copy of sup19&amp;fs17(ไตรมาส 1ปี 52)" xfId="58852"/>
    <cellStyle name="_Copy of SUP19_Q4_50-BFP33" xfId="58853"/>
    <cellStyle name="_CP INDIA 2-51" xfId="58854"/>
    <cellStyle name="_CP INDIA 2-51 2" xfId="58855"/>
    <cellStyle name="_CP INDIA 2-51 3" xfId="58856"/>
    <cellStyle name="_CP INDIA เติ้ล" xfId="58857"/>
    <cellStyle name="_CPF Overseas-FS17_SUP19_23_25_23.10.08" xfId="58858"/>
    <cellStyle name="_CPFQ1_54_CF(16-4-54)" xfId="58859"/>
    <cellStyle name="_CPFQ2_52_FS" xfId="58860"/>
    <cellStyle name="_CPM SUP Q309 " xfId="58861"/>
    <cellStyle name="_CPM SUP Q309  2" xfId="58862"/>
    <cellStyle name="_CPM SUP Q310" xfId="58863"/>
    <cellStyle name="_CPM_conso_Q309" xfId="58864"/>
    <cellStyle name="_CPM_conso_Q310" xfId="58865"/>
    <cellStyle name="_File เกียว ไตรมาสรวมcpffp  Q3.51" xfId="58866"/>
    <cellStyle name="_File เกียว ไตรมาสรวมcpffp  Q3.51 2" xfId="58867"/>
    <cellStyle name="_File เกียว ไตรมาสรวมcpffp  Q3.51 3" xfId="58868"/>
    <cellStyle name="_File เกียว ไตรมาสรวมcpffp  Q3.51 4" xfId="58869"/>
    <cellStyle name="_FORM_conso_ปรับปรุง_Q1_52_update(31-3-52) " xfId="58870"/>
    <cellStyle name="_FORM_conso_ปรับปรุง_Q1_52_update(31-3-52)  2" xfId="58871"/>
    <cellStyle name="_FORM_conso_ปรับปรุง_Q1_52_update(31-3-52)  3" xfId="58872"/>
    <cellStyle name="_FORM_conso_ปรับปรุง_Q1_52_update(31-3-52)  4" xfId="58873"/>
    <cellStyle name="_FORM_conso_ปรับปรุง_Q1_54_update" xfId="58874"/>
    <cellStyle name="_FORM_conso_ปรับปรุง_Q1_54_update new" xfId="58875"/>
    <cellStyle name="_FORM_conso_ปรับปรุง_Q1_54_update new 2" xfId="58876"/>
    <cellStyle name="_FS17 ?_Q151c 17-4-51" xfId="58877"/>
    <cellStyle name="_FS17 ?_Q151c 17-4-51 10" xfId="58878"/>
    <cellStyle name="_FS17 ?_Q151c 17-4-51 11" xfId="58879"/>
    <cellStyle name="_FS17 ?_Q151c 17-4-51 12" xfId="58880"/>
    <cellStyle name="_FS17 ?_Q151c 17-4-51 13" xfId="58881"/>
    <cellStyle name="_FS17 ?_Q151c 17-4-51 14" xfId="58882"/>
    <cellStyle name="_FS17 ?_Q151c 17-4-51 15" xfId="58883"/>
    <cellStyle name="_FS17 ?_Q151c 17-4-51 16" xfId="58884"/>
    <cellStyle name="_FS17 ?_Q151c 17-4-51 17" xfId="58885"/>
    <cellStyle name="_FS17 ?_Q151c 17-4-51 18" xfId="58886"/>
    <cellStyle name="_FS17 ?_Q151c 17-4-51 19" xfId="58887"/>
    <cellStyle name="_FS17 ?_Q151c 17-4-51 2" xfId="58888"/>
    <cellStyle name="_FS17 ?_Q151c 17-4-51 20" xfId="58889"/>
    <cellStyle name="_FS17 ?_Q151c 17-4-51 21" xfId="58890"/>
    <cellStyle name="_FS17 ?_Q151c 17-4-51 22" xfId="58891"/>
    <cellStyle name="_FS17 ?_Q151c 17-4-51 23" xfId="58892"/>
    <cellStyle name="_FS17 ?_Q151c 17-4-51 24" xfId="58893"/>
    <cellStyle name="_FS17 ?_Q151c 17-4-51 3" xfId="58894"/>
    <cellStyle name="_FS17 ?_Q151c 17-4-51 4" xfId="58895"/>
    <cellStyle name="_FS17 ?_Q151c 17-4-51 5" xfId="58896"/>
    <cellStyle name="_FS17 ?_Q151c 17-4-51 6" xfId="58897"/>
    <cellStyle name="_FS17 ?_Q151c 17-4-51 7" xfId="58898"/>
    <cellStyle name="_FS17 ?_Q151c 17-4-51 8" xfId="58899"/>
    <cellStyle name="_FS17 ?_Q151c 17-4-51 9" xfId="58900"/>
    <cellStyle name="_FS17 ­_Q151c 17-4-51" xfId="58901"/>
    <cellStyle name="_FS17 ­_Q151c 17-4-51 10" xfId="58902"/>
    <cellStyle name="_FS17 ­_Q151c 17-4-51 11" xfId="58903"/>
    <cellStyle name="_FS17 ­_Q151c 17-4-51 12" xfId="58904"/>
    <cellStyle name="_FS17 ­_Q151c 17-4-51 13" xfId="58905"/>
    <cellStyle name="_FS17 ­_Q151c 17-4-51 14" xfId="58906"/>
    <cellStyle name="_FS17 ­_Q151c 17-4-51 15" xfId="58907"/>
    <cellStyle name="_FS17 ­_Q151c 17-4-51 16" xfId="58908"/>
    <cellStyle name="_FS17 ­_Q151c 17-4-51 17" xfId="58909"/>
    <cellStyle name="_FS17 ­_Q151c 17-4-51 18" xfId="58910"/>
    <cellStyle name="_FS17 ­_Q151c 17-4-51 19" xfId="58911"/>
    <cellStyle name="_FS17 ­_Q151c 17-4-51 2" xfId="58912"/>
    <cellStyle name="_FS17 ­_Q151c 17-4-51 20" xfId="58913"/>
    <cellStyle name="_FS17 ­_Q151c 17-4-51 21" xfId="58914"/>
    <cellStyle name="_FS17 ­_Q151c 17-4-51 22" xfId="58915"/>
    <cellStyle name="_FS17 ­_Q151c 17-4-51 23" xfId="58916"/>
    <cellStyle name="_FS17 ­_Q151c 17-4-51 24" xfId="58917"/>
    <cellStyle name="_FS17 ­_Q151c 17-4-51 3" xfId="58918"/>
    <cellStyle name="_FS17 ­_Q151c 17-4-51 4" xfId="58919"/>
    <cellStyle name="_FS17 ­_Q151c 17-4-51 5" xfId="58920"/>
    <cellStyle name="_FS17 ­_Q151c 17-4-51 6" xfId="58921"/>
    <cellStyle name="_FS17 ­_Q151c 17-4-51 7" xfId="58922"/>
    <cellStyle name="_FS17 ­_Q151c 17-4-51 8" xfId="58923"/>
    <cellStyle name="_FS17 ­_Q151c 17-4-51 9" xfId="58924"/>
    <cellStyle name="_NEWCpf-Q251_BA........" xfId="58925"/>
    <cellStyle name="_NEWCpf-Q251_BA........ 10" xfId="58926"/>
    <cellStyle name="_NEWCpf-Q251_BA........ 11" xfId="58927"/>
    <cellStyle name="_NEWCpf-Q251_BA........ 12" xfId="58928"/>
    <cellStyle name="_NEWCpf-Q251_BA........ 13" xfId="58929"/>
    <cellStyle name="_NEWCpf-Q251_BA........ 14" xfId="58930"/>
    <cellStyle name="_NEWCpf-Q251_BA........ 15" xfId="58931"/>
    <cellStyle name="_NEWCpf-Q251_BA........ 16" xfId="58932"/>
    <cellStyle name="_NEWCpf-Q251_BA........ 17" xfId="58933"/>
    <cellStyle name="_NEWCpf-Q251_BA........ 18" xfId="58934"/>
    <cellStyle name="_NEWCpf-Q251_BA........ 19" xfId="58935"/>
    <cellStyle name="_NEWCpf-Q251_BA........ 2" xfId="58936"/>
    <cellStyle name="_NEWCpf-Q251_BA........ 20" xfId="58937"/>
    <cellStyle name="_NEWCpf-Q251_BA........ 21" xfId="58938"/>
    <cellStyle name="_NEWCpf-Q251_BA........ 22" xfId="58939"/>
    <cellStyle name="_NEWCpf-Q251_BA........ 23" xfId="58940"/>
    <cellStyle name="_NEWCpf-Q251_BA........ 24" xfId="58941"/>
    <cellStyle name="_NEWCpf-Q251_BA........ 3" xfId="58942"/>
    <cellStyle name="_NEWCpf-Q251_BA........ 4" xfId="58943"/>
    <cellStyle name="_NEWCpf-Q251_BA........ 5" xfId="58944"/>
    <cellStyle name="_NEWCpf-Q251_BA........ 6" xfId="58945"/>
    <cellStyle name="_NEWCpf-Q251_BA........ 7" xfId="58946"/>
    <cellStyle name="_NEWCpf-Q251_BA........ 8" xfId="58947"/>
    <cellStyle name="_NEWCpf-Q251_BA........ 9" xfId="58948"/>
    <cellStyle name="_Sp-abc" xfId="58949"/>
    <cellStyle name="_Sp-abc 10" xfId="58950"/>
    <cellStyle name="_Sp-abc 11" xfId="58951"/>
    <cellStyle name="_Sp-abc 12" xfId="58952"/>
    <cellStyle name="_Sp-abc 13" xfId="58953"/>
    <cellStyle name="_Sp-abc 14" xfId="58954"/>
    <cellStyle name="_Sp-abc 15" xfId="58955"/>
    <cellStyle name="_Sp-abc 16" xfId="58956"/>
    <cellStyle name="_Sp-abc 17" xfId="58957"/>
    <cellStyle name="_Sp-abc 18" xfId="58958"/>
    <cellStyle name="_Sp-abc 19" xfId="58959"/>
    <cellStyle name="_Sp-abc 2" xfId="58960"/>
    <cellStyle name="_Sp-abc 2 2" xfId="58961"/>
    <cellStyle name="_Sp-abc 20" xfId="58962"/>
    <cellStyle name="_Sp-abc 21" xfId="58963"/>
    <cellStyle name="_Sp-abc 22" xfId="58964"/>
    <cellStyle name="_Sp-abc 23" xfId="58965"/>
    <cellStyle name="_Sp-abc 24" xfId="58966"/>
    <cellStyle name="_Sp-abc 25" xfId="58967"/>
    <cellStyle name="_Sp-abc 26" xfId="58968"/>
    <cellStyle name="_Sp-abc 3" xfId="58969"/>
    <cellStyle name="_Sp-abc 3 2" xfId="58970"/>
    <cellStyle name="_Sp-abc 4" xfId="58971"/>
    <cellStyle name="_Sp-abc 5" xfId="58972"/>
    <cellStyle name="_Sp-abc 6" xfId="58973"/>
    <cellStyle name="_Sp-abc 7" xfId="58974"/>
    <cellStyle name="_Sp-abc 8" xfId="58975"/>
    <cellStyle name="_Sp-abc 9" xfId="58976"/>
    <cellStyle name="_Sp-abc_TAX 4 -5  ม.ค.-มี.ค.54 j" xfId="58977"/>
    <cellStyle name="_sup 19" xfId="58978"/>
    <cellStyle name="_sup 19 2" xfId="58979"/>
    <cellStyle name="_sup19&amp;fs17" xfId="58980"/>
    <cellStyle name="_sup19&amp;fs17(ไตรมาส 3ปี 51)" xfId="58981"/>
    <cellStyle name="_sup19&amp;fs17(ไตรมาส 3ปี 52)" xfId="58982"/>
    <cellStyle name="_sup19&amp;fs17(ไตรมาส 3ปี 52)(1)" xfId="58983"/>
    <cellStyle name="_SUP19,FS17รวมQ253 New Form" xfId="58984"/>
    <cellStyle name="_SUP19.1_19.2รวม Q1ปี2553" xfId="58985"/>
    <cellStyle name="_SUP19.1สัญญาเช่าโกดัง-Q151-(From_Ya)" xfId="58986"/>
    <cellStyle name="_SUP19_Q1_51-CPF FOOD รวม" xfId="58987"/>
    <cellStyle name="_SUP19_Q1_51-PAT" xfId="58988"/>
    <cellStyle name="_SUP19_Q4_50-CPNE11" xfId="58989"/>
    <cellStyle name="_ttt" xfId="58990"/>
    <cellStyle name="_แบบฟอร์ม SUP19.2A" xfId="58991"/>
    <cellStyle name="_แบบฟอร์มที่มีการแก้ไขเพิ่มใน Q1-51" xfId="58992"/>
    <cellStyle name="_แบบฟอร์มที่มีการแก้ไขเพิ่มใน Q1-51 10" xfId="58993"/>
    <cellStyle name="_แบบฟอร์มที่มีการแก้ไขเพิ่มใน Q1-51 11" xfId="58994"/>
    <cellStyle name="_แบบฟอร์มที่มีการแก้ไขเพิ่มใน Q1-51 12" xfId="58995"/>
    <cellStyle name="_แบบฟอร์มที่มีการแก้ไขเพิ่มใน Q1-51 13" xfId="58996"/>
    <cellStyle name="_แบบฟอร์มที่มีการแก้ไขเพิ่มใน Q1-51 14" xfId="58997"/>
    <cellStyle name="_แบบฟอร์มที่มีการแก้ไขเพิ่มใน Q1-51 15" xfId="58998"/>
    <cellStyle name="_แบบฟอร์มที่มีการแก้ไขเพิ่มใน Q1-51 16" xfId="58999"/>
    <cellStyle name="_แบบฟอร์มที่มีการแก้ไขเพิ่มใน Q1-51 17" xfId="59000"/>
    <cellStyle name="_แบบฟอร์มที่มีการแก้ไขเพิ่มใน Q1-51 18" xfId="59001"/>
    <cellStyle name="_แบบฟอร์มที่มีการแก้ไขเพิ่มใน Q1-51 19" xfId="59002"/>
    <cellStyle name="_แบบฟอร์มที่มีการแก้ไขเพิ่มใน Q1-51 2" xfId="59003"/>
    <cellStyle name="_แบบฟอร์มที่มีการแก้ไขเพิ่มใน Q1-51 20" xfId="59004"/>
    <cellStyle name="_แบบฟอร์มที่มีการแก้ไขเพิ่มใน Q1-51 21" xfId="59005"/>
    <cellStyle name="_แบบฟอร์มที่มีการแก้ไขเพิ่มใน Q1-51 22" xfId="59006"/>
    <cellStyle name="_แบบฟอร์มที่มีการแก้ไขเพิ่มใน Q1-51 23" xfId="59007"/>
    <cellStyle name="_แบบฟอร์มที่มีการแก้ไขเพิ่มใน Q1-51 24" xfId="59008"/>
    <cellStyle name="_แบบฟอร์มที่มีการแก้ไขเพิ่มใน Q1-51 25" xfId="59009"/>
    <cellStyle name="_แบบฟอร์มที่มีการแก้ไขเพิ่มใน Q1-51 26" xfId="59010"/>
    <cellStyle name="_แบบฟอร์มที่มีการแก้ไขเพิ่มใน Q1-51 3" xfId="59011"/>
    <cellStyle name="_แบบฟอร์มที่มีการแก้ไขเพิ่มใน Q1-51 4" xfId="59012"/>
    <cellStyle name="_แบบฟอร์มที่มีการแก้ไขเพิ่มใน Q1-51 5" xfId="59013"/>
    <cellStyle name="_แบบฟอร์มที่มีการแก้ไขเพิ่มใน Q1-51 6" xfId="59014"/>
    <cellStyle name="_แบบฟอร์มที่มีการแก้ไขเพิ่มใน Q1-51 7" xfId="59015"/>
    <cellStyle name="_แบบฟอร์มที่มีการแก้ไขเพิ่มใน Q1-51 8" xfId="59016"/>
    <cellStyle name="_แบบฟอร์มที่มีการแก้ไขเพิ่มใน Q1-51 9" xfId="59017"/>
    <cellStyle name="_ตัวอย่างการกรอก Fs17   Sup 19 New16" xfId="59018"/>
    <cellStyle name="_ตัวอย่างการกรอก Fs17   Sup 19 New9" xfId="59019"/>
    <cellStyle name="_ตัวอย่างการตอบผลต่างภาระผูกพัน" xfId="59020"/>
    <cellStyle name="_ฟอร์ม FS17 เพิ่มเติม" xfId="59021"/>
    <cellStyle name="_รถยนต์" xfId="59022"/>
    <cellStyle name="_รถยนต์ 2" xfId="59023"/>
    <cellStyle name="_รถยนต์ 3" xfId="59024"/>
    <cellStyle name="_รถยนต์ 4" xfId="59025"/>
    <cellStyle name="_รวมสัญญาเช่า CPF Q1_53" xfId="59026"/>
    <cellStyle name="0,0_x000d__x000a_NA_x000d__x000a_" xfId="59027"/>
    <cellStyle name="0,0_x000d__x000a_NA_x000d__x000a_ 10" xfId="59028"/>
    <cellStyle name="0,0_x000d__x000a_NA_x000d__x000a_ 11" xfId="59029"/>
    <cellStyle name="0,0_x000d__x000a_NA_x000d__x000a_ 12" xfId="59030"/>
    <cellStyle name="0,0_x000d__x000a_NA_x000d__x000a_ 13" xfId="59031"/>
    <cellStyle name="0,0_x000d__x000a_NA_x000d__x000a_ 2" xfId="59032"/>
    <cellStyle name="0,0_x000d__x000a_NA_x000d__x000a_ 2 2" xfId="59033"/>
    <cellStyle name="0,0_x000d__x000a_NA_x000d__x000a_ 2 2 2" xfId="59034"/>
    <cellStyle name="0,0_x000d__x000a_NA_x000d__x000a_ 2 2 3" xfId="59035"/>
    <cellStyle name="0,0_x000d__x000a_NA_x000d__x000a_ 2 3" xfId="59036"/>
    <cellStyle name="0,0_x000d__x000a_NA_x000d__x000a_ 2 4" xfId="59037"/>
    <cellStyle name="0,0_x000d__x000a_NA_x000d__x000a_ 2 5" xfId="59038"/>
    <cellStyle name="0,0_x000d__x000a_NA_x000d__x000a_ 2 6" xfId="59039"/>
    <cellStyle name="0,0_x000d__x000a_NA_x000d__x000a_ 3" xfId="59040"/>
    <cellStyle name="0,0_x000d__x000a_NA_x000d__x000a_ 3 2" xfId="59041"/>
    <cellStyle name="0,0_x000d__x000a_NA_x000d__x000a_ 3 2 2" xfId="59042"/>
    <cellStyle name="0,0_x000d__x000a_NA_x000d__x000a_ 3 3" xfId="59043"/>
    <cellStyle name="0,0_x000d__x000a_NA_x000d__x000a_ 3 4" xfId="59044"/>
    <cellStyle name="0,0_x000d__x000a_NA_x000d__x000a_ 4" xfId="59045"/>
    <cellStyle name="0,0_x000d__x000a_NA_x000d__x000a_ 4 2" xfId="59046"/>
    <cellStyle name="0,0_x000d__x000a_NA_x000d__x000a_ 4 3" xfId="59047"/>
    <cellStyle name="0,0_x000d__x000a_NA_x000d__x000a_ 5" xfId="59048"/>
    <cellStyle name="0,0_x000d__x000a_NA_x000d__x000a_ 5 2" xfId="59049"/>
    <cellStyle name="0,0_x000d__x000a_NA_x000d__x000a_ 5 3" xfId="59050"/>
    <cellStyle name="0,0_x000d__x000a_NA_x000d__x000a_ 6" xfId="59051"/>
    <cellStyle name="0,0_x000d__x000a_NA_x000d__x000a_ 6 2" xfId="59052"/>
    <cellStyle name="0,0_x000d__x000a_NA_x000d__x000a_ 7" xfId="59053"/>
    <cellStyle name="0,0_x000d__x000a_NA_x000d__x000a_ 8" xfId="59054"/>
    <cellStyle name="0,0_x000d__x000a_NA_x000d__x000a_ 9" xfId="59055"/>
    <cellStyle name="0,0_x000d__x000a_NA_x000d__x000a__~2292832" xfId="59056"/>
    <cellStyle name="20% - ?????? 1" xfId="59057"/>
    <cellStyle name="20% - ?????? 2" xfId="59058"/>
    <cellStyle name="20% - ?????? 3" xfId="59059"/>
    <cellStyle name="20% - ?????? 4" xfId="59060"/>
    <cellStyle name="20% - ?????? 5" xfId="59061"/>
    <cellStyle name="20% - ?????? 6" xfId="59062"/>
    <cellStyle name="20% - ??1" xfId="59063"/>
    <cellStyle name="20% - ??2" xfId="59064"/>
    <cellStyle name="20% - ??3" xfId="59065"/>
    <cellStyle name="20% - ??4" xfId="59066"/>
    <cellStyle name="20% - ??5" xfId="59067"/>
    <cellStyle name="20% - ??6" xfId="59068"/>
    <cellStyle name="20% - Accent1 2 3" xfId="59069"/>
    <cellStyle name="20% - Accent1 2 2" xfId="59070"/>
    <cellStyle name="20% - Accent1 3" xfId="59071"/>
    <cellStyle name="20% - Accent1 4" xfId="59072"/>
    <cellStyle name="20% - Accent1 5" xfId="59073"/>
    <cellStyle name="20% - Accent2 2" xfId="59074"/>
    <cellStyle name="20% - Accent2 2 2" xfId="59075"/>
    <cellStyle name="20% - Accent2 3" xfId="59076"/>
    <cellStyle name="20% - Accent2 4" xfId="59077"/>
    <cellStyle name="20% - Accent2 5" xfId="59078"/>
    <cellStyle name="20% - Accent3 2" xfId="59079"/>
    <cellStyle name="20% - Accent3 2 2" xfId="59080"/>
    <cellStyle name="20% - Accent3 3" xfId="59081"/>
    <cellStyle name="20% - Accent3 4" xfId="59082"/>
    <cellStyle name="20% - Accent3 5" xfId="59083"/>
    <cellStyle name="20% - Accent4 2" xfId="59084"/>
    <cellStyle name="20% - Accent4 2 2" xfId="59085"/>
    <cellStyle name="20% - Accent4 3" xfId="59086"/>
    <cellStyle name="20% - Accent4 4" xfId="59087"/>
    <cellStyle name="20% - Accent4 5" xfId="59088"/>
    <cellStyle name="20% - Accent5 2" xfId="59089"/>
    <cellStyle name="20% - Accent5 2 2" xfId="59090"/>
    <cellStyle name="20% - Accent5 3" xfId="59091"/>
    <cellStyle name="20% - Accent5 4" xfId="59092"/>
    <cellStyle name="20% - Accent5 5" xfId="59093"/>
    <cellStyle name="20% - Accent6 2" xfId="59094"/>
    <cellStyle name="20% - Accent6 2 2" xfId="59095"/>
    <cellStyle name="20% - Accent6 3" xfId="59096"/>
    <cellStyle name="20% - Accent6 4" xfId="59097"/>
    <cellStyle name="20% - Accent6 5" xfId="59098"/>
    <cellStyle name="20% - Акцент1 2 2" xfId="59099"/>
    <cellStyle name="20% - Акцент2 2" xfId="59100"/>
    <cellStyle name="20% - Акцент3 2" xfId="59101"/>
    <cellStyle name="20% - Акцент4 2" xfId="59102"/>
    <cellStyle name="20% - Акцент5 2" xfId="59103"/>
    <cellStyle name="20% - Акцент6 2" xfId="59104"/>
    <cellStyle name="20% - ส่วนที่ถูกเน้น1" xfId="59105"/>
    <cellStyle name="20% - ส่วนที่ถูกเน้น1 2" xfId="59106"/>
    <cellStyle name="20% - ส่วนที่ถูกเน้น1 2 2" xfId="59107"/>
    <cellStyle name="20% - ส่วนที่ถูกเน้น2" xfId="59108"/>
    <cellStyle name="20% - ส่วนที่ถูกเน้น2 2" xfId="59109"/>
    <cellStyle name="20% - ส่วนที่ถูกเน้น2 2 2" xfId="59110"/>
    <cellStyle name="20% - ส่วนที่ถูกเน้น3" xfId="59111"/>
    <cellStyle name="20% - ส่วนที่ถูกเน้น3 2" xfId="59112"/>
    <cellStyle name="20% - ส่วนที่ถูกเน้น3 2 2" xfId="59113"/>
    <cellStyle name="20% - ส่วนที่ถูกเน้น4" xfId="59114"/>
    <cellStyle name="20% - ส่วนที่ถูกเน้น4 2" xfId="59115"/>
    <cellStyle name="20% - ส่วนที่ถูกเน้น4 2 2" xfId="59116"/>
    <cellStyle name="20% - ส่วนที่ถูกเน้น5" xfId="59117"/>
    <cellStyle name="20% - ส่วนที่ถูกเน้น5 2" xfId="59118"/>
    <cellStyle name="20% - ส่วนที่ถูกเน้น5 2 2" xfId="59119"/>
    <cellStyle name="20% - ส่วนที่ถูกเน้น6" xfId="59120"/>
    <cellStyle name="20% - ส่วนที่ถูกเน้น6 2" xfId="59121"/>
    <cellStyle name="20% - ส่วนที่ถูกเน้น6 2 2" xfId="59122"/>
    <cellStyle name="20% - 强调文字颜色 1" xfId="59123"/>
    <cellStyle name="20% - 强调文字颜色 1 2" xfId="59124"/>
    <cellStyle name="20% - 强调文字颜色 2" xfId="59125"/>
    <cellStyle name="20% - 强调文字颜色 2 2" xfId="59126"/>
    <cellStyle name="20% - 强调文字颜色 3" xfId="59127"/>
    <cellStyle name="20% - 强调文字颜色 3 2" xfId="59128"/>
    <cellStyle name="20% - 强调文字颜色 4" xfId="59129"/>
    <cellStyle name="20% - 强调文字颜色 4 2" xfId="59130"/>
    <cellStyle name="20% - 强调文字颜色 5" xfId="59131"/>
    <cellStyle name="20% - 强调文字颜色 5 2" xfId="59132"/>
    <cellStyle name="20% - 强调文字颜色 6" xfId="59133"/>
    <cellStyle name="20% - 强调文字颜色 6 2" xfId="59134"/>
    <cellStyle name="20% - 輔色1 2" xfId="59135"/>
    <cellStyle name="20% - 輔色1 3" xfId="59136"/>
    <cellStyle name="20% - 輔色2 2" xfId="59137"/>
    <cellStyle name="20% - 輔色2 3" xfId="59138"/>
    <cellStyle name="20% - 輔色3 2" xfId="59139"/>
    <cellStyle name="20% - 輔色3 3" xfId="59140"/>
    <cellStyle name="20% - 輔色4 2" xfId="59141"/>
    <cellStyle name="20% - 輔色4 3" xfId="59142"/>
    <cellStyle name="20% - 輔色5 2" xfId="59143"/>
    <cellStyle name="20% - 輔色5 3" xfId="59144"/>
    <cellStyle name="20% - 輔色6 2" xfId="59145"/>
    <cellStyle name="20% - 輔色6 3" xfId="59146"/>
    <cellStyle name="40% - ?????? 1" xfId="59147"/>
    <cellStyle name="40% - ?????? 2" xfId="59148"/>
    <cellStyle name="40% - ?????? 3" xfId="59149"/>
    <cellStyle name="40% - ?????? 4" xfId="59150"/>
    <cellStyle name="40% - ?????? 5" xfId="59151"/>
    <cellStyle name="40% - ?????? 6" xfId="59152"/>
    <cellStyle name="40% - ??1" xfId="59153"/>
    <cellStyle name="40% - ??2" xfId="59154"/>
    <cellStyle name="40% - ??3" xfId="59155"/>
    <cellStyle name="40% - ??4" xfId="59156"/>
    <cellStyle name="40% - ??5" xfId="59157"/>
    <cellStyle name="40% - ??6" xfId="59158"/>
    <cellStyle name="40% - Accent1 2" xfId="59159"/>
    <cellStyle name="40% - Accent1 2 2" xfId="59160"/>
    <cellStyle name="40% - Accent1 3" xfId="59161"/>
    <cellStyle name="40% - Accent1 4" xfId="59162"/>
    <cellStyle name="40% - Accent1 5" xfId="59163"/>
    <cellStyle name="40% - Accent2 2" xfId="59164"/>
    <cellStyle name="40% - Accent2 2 2" xfId="59165"/>
    <cellStyle name="40% - Accent2 3" xfId="59166"/>
    <cellStyle name="40% - Accent2 4" xfId="59167"/>
    <cellStyle name="40% - Accent2 5" xfId="59168"/>
    <cellStyle name="40% - Accent3 2" xfId="59169"/>
    <cellStyle name="40% - Accent3 2 2" xfId="59170"/>
    <cellStyle name="40% - Accent3 3" xfId="59171"/>
    <cellStyle name="40% - Accent3 4" xfId="59172"/>
    <cellStyle name="40% - Accent3 5" xfId="59173"/>
    <cellStyle name="40% - Accent4 2" xfId="59174"/>
    <cellStyle name="40% - Accent4 2 2" xfId="59175"/>
    <cellStyle name="40% - Accent4 3" xfId="59176"/>
    <cellStyle name="40% - Accent4 4" xfId="59177"/>
    <cellStyle name="40% - Accent4 5" xfId="59178"/>
    <cellStyle name="40% - Accent5 2" xfId="59179"/>
    <cellStyle name="40% - Accent5 2 2" xfId="59180"/>
    <cellStyle name="40% - Accent5 3" xfId="59181"/>
    <cellStyle name="40% - Accent5 4" xfId="59182"/>
    <cellStyle name="40% - Accent5 5" xfId="59183"/>
    <cellStyle name="40% - Accent6 2" xfId="59184"/>
    <cellStyle name="40% - Accent6 2 2" xfId="59185"/>
    <cellStyle name="40% - Accent6 3" xfId="59186"/>
    <cellStyle name="40% - Accent6 4" xfId="59187"/>
    <cellStyle name="40% - Accent6 5" xfId="59188"/>
    <cellStyle name="40% - Акцент1 2" xfId="59189"/>
    <cellStyle name="40% - Акцент2 2" xfId="59190"/>
    <cellStyle name="40% - Акцент3 2" xfId="59191"/>
    <cellStyle name="40% - Акцент4 2" xfId="59192"/>
    <cellStyle name="40% - Акцент5 2" xfId="59193"/>
    <cellStyle name="40% - Акцент6 2" xfId="59194"/>
    <cellStyle name="40% - ส่วนที่ถูกเน้น1" xfId="59195"/>
    <cellStyle name="40% - ส่วนที่ถูกเน้น1 2" xfId="59196"/>
    <cellStyle name="40% - ส่วนที่ถูกเน้น1 2 2" xfId="59197"/>
    <cellStyle name="40% - ส่วนที่ถูกเน้น2" xfId="59198"/>
    <cellStyle name="40% - ส่วนที่ถูกเน้น2 2" xfId="59199"/>
    <cellStyle name="40% - ส่วนที่ถูกเน้น2 2 2" xfId="59200"/>
    <cellStyle name="40% - ส่วนที่ถูกเน้น3" xfId="59201"/>
    <cellStyle name="40% - ส่วนที่ถูกเน้น3 2" xfId="59202"/>
    <cellStyle name="40% - ส่วนที่ถูกเน้น3 2 2" xfId="59203"/>
    <cellStyle name="40% - ส่วนที่ถูกเน้น4" xfId="59204"/>
    <cellStyle name="40% - ส่วนที่ถูกเน้น4 2" xfId="59205"/>
    <cellStyle name="40% - ส่วนที่ถูกเน้น4 2 2" xfId="59206"/>
    <cellStyle name="40% - ส่วนที่ถูกเน้น5" xfId="59207"/>
    <cellStyle name="40% - ส่วนที่ถูกเน้น5 2" xfId="59208"/>
    <cellStyle name="40% - ส่วนที่ถูกเน้น5 2 2" xfId="59209"/>
    <cellStyle name="40% - ส่วนที่ถูกเน้น6" xfId="59210"/>
    <cellStyle name="40% - ส่วนที่ถูกเน้น6 2" xfId="59211"/>
    <cellStyle name="40% - ส่วนที่ถูกเน้น6 2 2" xfId="59212"/>
    <cellStyle name="40% - 强调文字颜色 1" xfId="59213"/>
    <cellStyle name="40% - 强调文字颜色 1 2" xfId="59214"/>
    <cellStyle name="40% - 强调文字颜色 2" xfId="59215"/>
    <cellStyle name="40% - 强调文字颜色 2 2" xfId="59216"/>
    <cellStyle name="40% - 强调文字颜色 3" xfId="59217"/>
    <cellStyle name="40% - 强调文字颜色 3 2" xfId="59218"/>
    <cellStyle name="40% - 强调文字颜色 4" xfId="59219"/>
    <cellStyle name="40% - 强调文字颜色 4 2" xfId="59220"/>
    <cellStyle name="40% - 强调文字颜色 5" xfId="59221"/>
    <cellStyle name="40% - 强调文字颜色 5 2" xfId="59222"/>
    <cellStyle name="40% - 强调文字颜色 6" xfId="59223"/>
    <cellStyle name="40% - 强调文字颜色 6 2" xfId="59224"/>
    <cellStyle name="40% - 輔色1 2" xfId="59225"/>
    <cellStyle name="40% - 輔色1 3" xfId="59226"/>
    <cellStyle name="40% - 輔色2 2" xfId="59227"/>
    <cellStyle name="40% - 輔色2 3" xfId="59228"/>
    <cellStyle name="40% - 輔色3 2" xfId="59229"/>
    <cellStyle name="40% - 輔色3 3" xfId="59230"/>
    <cellStyle name="40% - 輔色4 2" xfId="59231"/>
    <cellStyle name="40% - 輔色4 3" xfId="59232"/>
    <cellStyle name="40% - 輔色5 2" xfId="59233"/>
    <cellStyle name="40% - 輔色5 3" xfId="59234"/>
    <cellStyle name="40% - 輔色6 2" xfId="59235"/>
    <cellStyle name="40% - 輔色6 3" xfId="59236"/>
    <cellStyle name="60% - ?????? 1" xfId="59237"/>
    <cellStyle name="60% - ?????? 2" xfId="59238"/>
    <cellStyle name="60% - ?????? 3" xfId="59239"/>
    <cellStyle name="60% - ?????? 4" xfId="59240"/>
    <cellStyle name="60% - ?????? 5" xfId="59241"/>
    <cellStyle name="60% - ?????? 6" xfId="59242"/>
    <cellStyle name="60% - ??1" xfId="59243"/>
    <cellStyle name="60% - ??2" xfId="59244"/>
    <cellStyle name="60% - ??3" xfId="59245"/>
    <cellStyle name="60% - ??4" xfId="59246"/>
    <cellStyle name="60% - ??5" xfId="59247"/>
    <cellStyle name="60% - ??6" xfId="59248"/>
    <cellStyle name="60% - Accent1 2" xfId="59249"/>
    <cellStyle name="60% - Accent1 2 2" xfId="59250"/>
    <cellStyle name="60% - Accent1 3" xfId="59251"/>
    <cellStyle name="60% - Accent1 4" xfId="59252"/>
    <cellStyle name="60% - Accent1 5" xfId="59253"/>
    <cellStyle name="60% - Accent2 2" xfId="59254"/>
    <cellStyle name="60% - Accent2 2 2" xfId="59255"/>
    <cellStyle name="60% - Accent2 3" xfId="59256"/>
    <cellStyle name="60% - Accent2 4" xfId="59257"/>
    <cellStyle name="60% - Accent2 5" xfId="59258"/>
    <cellStyle name="60% - Accent3 2" xfId="59259"/>
    <cellStyle name="60% - Accent3 2 2" xfId="59260"/>
    <cellStyle name="60% - Accent3 3" xfId="59261"/>
    <cellStyle name="60% - Accent3 4" xfId="59262"/>
    <cellStyle name="60% - Accent3 5" xfId="59263"/>
    <cellStyle name="60% - Accent4 2" xfId="59264"/>
    <cellStyle name="60% - Accent4 2 2" xfId="59265"/>
    <cellStyle name="60% - Accent4 3" xfId="59266"/>
    <cellStyle name="60% - Accent4 4" xfId="59267"/>
    <cellStyle name="60% - Accent4 5" xfId="59268"/>
    <cellStyle name="60% - Accent5 2" xfId="59269"/>
    <cellStyle name="60% - Accent5 2 2" xfId="59270"/>
    <cellStyle name="60% - Accent5 3" xfId="59271"/>
    <cellStyle name="60% - Accent5 4" xfId="59272"/>
    <cellStyle name="60% - Accent5 5" xfId="59273"/>
    <cellStyle name="60% - Accent6 2" xfId="59274"/>
    <cellStyle name="60% - Accent6 2 2" xfId="59275"/>
    <cellStyle name="60% - Accent6 3" xfId="59276"/>
    <cellStyle name="60% - Accent6 4" xfId="59277"/>
    <cellStyle name="60% - Accent6 5" xfId="59278"/>
    <cellStyle name="60% - ส่วนที่ถูกเน้น1" xfId="59279"/>
    <cellStyle name="60% - ส่วนที่ถูกเน้น1 2" xfId="59280"/>
    <cellStyle name="60% - ส่วนที่ถูกเน้น1 2 2" xfId="59281"/>
    <cellStyle name="60% - ส่วนที่ถูกเน้น2" xfId="59282"/>
    <cellStyle name="60% - ส่วนที่ถูกเน้น2 2" xfId="59283"/>
    <cellStyle name="60% - ส่วนที่ถูกเน้น2 2 2" xfId="59284"/>
    <cellStyle name="60% - ส่วนที่ถูกเน้น3" xfId="59285"/>
    <cellStyle name="60% - ส่วนที่ถูกเน้น3 2" xfId="59286"/>
    <cellStyle name="60% - ส่วนที่ถูกเน้น3 2 2" xfId="59287"/>
    <cellStyle name="60% - ส่วนที่ถูกเน้น4" xfId="59288"/>
    <cellStyle name="60% - ส่วนที่ถูกเน้น4 2" xfId="59289"/>
    <cellStyle name="60% - ส่วนที่ถูกเน้น4 2 2" xfId="59290"/>
    <cellStyle name="60% - ส่วนที่ถูกเน้น5" xfId="59291"/>
    <cellStyle name="60% - ส่วนที่ถูกเน้น5 2" xfId="59292"/>
    <cellStyle name="60% - ส่วนที่ถูกเน้น5 2 2" xfId="59293"/>
    <cellStyle name="60% - ส่วนที่ถูกเน้น6" xfId="59294"/>
    <cellStyle name="60% - ส่วนที่ถูกเน้น6 2" xfId="59295"/>
    <cellStyle name="60% - ส่วนที่ถูกเน้น6 2 2" xfId="59296"/>
    <cellStyle name="60% - 强调文字颜色 1" xfId="59297"/>
    <cellStyle name="60% - 强调文字颜色 1 2" xfId="59298"/>
    <cellStyle name="60% - 强调文字颜色 2" xfId="59299"/>
    <cellStyle name="60% - 强调文字颜色 2 2" xfId="59300"/>
    <cellStyle name="60% - 强调文字颜色 3" xfId="59301"/>
    <cellStyle name="60% - 强调文字颜色 3 2" xfId="59302"/>
    <cellStyle name="60% - 强调文字颜色 4" xfId="59303"/>
    <cellStyle name="60% - 强调文字颜色 4 2" xfId="59304"/>
    <cellStyle name="60% - 强调文字颜色 5" xfId="59305"/>
    <cellStyle name="60% - 强调文字颜色 5 2" xfId="59306"/>
    <cellStyle name="60% - 强调文字颜色 6" xfId="59307"/>
    <cellStyle name="60% - 强调文字颜色 6 2" xfId="59308"/>
    <cellStyle name="60% - 輔色1 2" xfId="59309"/>
    <cellStyle name="60% - 輔色1 3" xfId="59310"/>
    <cellStyle name="60% - 輔色2 2" xfId="59311"/>
    <cellStyle name="60% - 輔色2 3" xfId="59312"/>
    <cellStyle name="60% - 輔色3 2" xfId="59313"/>
    <cellStyle name="60% - 輔色3 3" xfId="59314"/>
    <cellStyle name="60% - 輔色4 2" xfId="59315"/>
    <cellStyle name="60% - 輔色4 3" xfId="59316"/>
    <cellStyle name="60% - 輔色5 2" xfId="59317"/>
    <cellStyle name="60% - 輔色5 3" xfId="59318"/>
    <cellStyle name="60% - 輔色6 2" xfId="59319"/>
    <cellStyle name="60% - 輔色6 3" xfId="59320"/>
    <cellStyle name="75" xfId="59321"/>
    <cellStyle name="75 10" xfId="59322"/>
    <cellStyle name="75 11" xfId="59323"/>
    <cellStyle name="75 12" xfId="59324"/>
    <cellStyle name="75 13" xfId="59325"/>
    <cellStyle name="75 14" xfId="59326"/>
    <cellStyle name="75 15" xfId="59327"/>
    <cellStyle name="75 16" xfId="59328"/>
    <cellStyle name="75 17" xfId="59329"/>
    <cellStyle name="75 18" xfId="59330"/>
    <cellStyle name="75 19" xfId="59331"/>
    <cellStyle name="75 2" xfId="59332"/>
    <cellStyle name="75 2 2" xfId="59333"/>
    <cellStyle name="75 2 3" xfId="59334"/>
    <cellStyle name="75 3" xfId="59335"/>
    <cellStyle name="75 4" xfId="59336"/>
    <cellStyle name="75 5" xfId="59337"/>
    <cellStyle name="75 6" xfId="59338"/>
    <cellStyle name="75 7" xfId="59339"/>
    <cellStyle name="75 8" xfId="59340"/>
    <cellStyle name="75 9" xfId="59341"/>
    <cellStyle name="75_1_FS10_10.1_เงินให้กู้ยืมและเงินให้กู้ยืม_Q254_2" xfId="59342"/>
    <cellStyle name="Accent1 2" xfId="59343"/>
    <cellStyle name="Accent1 2 2" xfId="59344"/>
    <cellStyle name="Accent1 3" xfId="59345"/>
    <cellStyle name="Accent1 4" xfId="59346"/>
    <cellStyle name="Accent1 5" xfId="59347"/>
    <cellStyle name="Accent2 2" xfId="59348"/>
    <cellStyle name="Accent2 2 2" xfId="59349"/>
    <cellStyle name="Accent2 3" xfId="59350"/>
    <cellStyle name="Accent2 4" xfId="59351"/>
    <cellStyle name="Accent2 5" xfId="59352"/>
    <cellStyle name="Accent3 2 3" xfId="59353"/>
    <cellStyle name="Accent3 2 2" xfId="59354"/>
    <cellStyle name="Accent3 3" xfId="59355"/>
    <cellStyle name="Accent3 4" xfId="59356"/>
    <cellStyle name="Accent3 5" xfId="59357"/>
    <cellStyle name="Accent4 2" xfId="59358"/>
    <cellStyle name="Accent4 2 2" xfId="59359"/>
    <cellStyle name="Accent4 3" xfId="59360"/>
    <cellStyle name="Accent4 4" xfId="59361"/>
    <cellStyle name="Accent4 5" xfId="59362"/>
    <cellStyle name="Accent5 2 3" xfId="59363"/>
    <cellStyle name="Accent5 2 2" xfId="59364"/>
    <cellStyle name="Accent5 3" xfId="59365"/>
    <cellStyle name="Accent5 4" xfId="59366"/>
    <cellStyle name="Accent5 5" xfId="59367"/>
    <cellStyle name="Accent6 2" xfId="59368"/>
    <cellStyle name="Accent6 2 2" xfId="59369"/>
    <cellStyle name="Accent6 3" xfId="59370"/>
    <cellStyle name="Accent6 4" xfId="59371"/>
    <cellStyle name="Accent6 5" xfId="59372"/>
    <cellStyle name="Bad 2" xfId="59373"/>
    <cellStyle name="Bad 2 2" xfId="59374"/>
    <cellStyle name="Bad 3" xfId="59375"/>
    <cellStyle name="Bad 4" xfId="59376"/>
    <cellStyle name="Bad 5" xfId="59377"/>
    <cellStyle name="brooklny" xfId="59378"/>
    <cellStyle name="Calculation 2" xfId="59379"/>
    <cellStyle name="Calculation 2 2" xfId="59380"/>
    <cellStyle name="Calculation 3" xfId="59381"/>
    <cellStyle name="Calculation 4" xfId="59382"/>
    <cellStyle name="Calculation 5" xfId="59383"/>
    <cellStyle name="Check Cell 2" xfId="59384"/>
    <cellStyle name="Check Cell 2 2" xfId="59385"/>
    <cellStyle name="Check Cell 3" xfId="59386"/>
    <cellStyle name="Check Cell 4" xfId="59387"/>
    <cellStyle name="Check Cell 5" xfId="59388"/>
    <cellStyle name="Comma [0] 2" xfId="59389"/>
    <cellStyle name="Comma [0] 3" xfId="59390"/>
    <cellStyle name="Comma [0] 4" xfId="59391"/>
    <cellStyle name="Comma 10" xfId="59392"/>
    <cellStyle name="Comma 10 2" xfId="59393"/>
    <cellStyle name="Comma 10 2 2" xfId="59394"/>
    <cellStyle name="Comma 10 2 3" xfId="59395"/>
    <cellStyle name="Comma 10 2 4" xfId="59396"/>
    <cellStyle name="Comma 10 3" xfId="59397"/>
    <cellStyle name="Comma 10 3 2" xfId="59398"/>
    <cellStyle name="Comma 10 4" xfId="59399"/>
    <cellStyle name="Comma 10 5" xfId="59400"/>
    <cellStyle name="Comma 10 6" xfId="59401"/>
    <cellStyle name="Comma 11" xfId="59402"/>
    <cellStyle name="Comma 11 2" xfId="59403"/>
    <cellStyle name="Comma 11 2 2" xfId="59404"/>
    <cellStyle name="Comma 11 2 2 2" xfId="59405"/>
    <cellStyle name="Comma 11 2 3" xfId="59406"/>
    <cellStyle name="Comma 11 2 4" xfId="59407"/>
    <cellStyle name="Comma 11 2 5" xfId="59408"/>
    <cellStyle name="Comma 11 3" xfId="59409"/>
    <cellStyle name="Comma 11 3 2" xfId="59410"/>
    <cellStyle name="Comma 11 4" xfId="59411"/>
    <cellStyle name="Comma 12" xfId="59412"/>
    <cellStyle name="Comma 12 2" xfId="59413"/>
    <cellStyle name="Comma 12 2 2" xfId="59414"/>
    <cellStyle name="Comma 12 3" xfId="59415"/>
    <cellStyle name="Comma 12 3 2" xfId="59416"/>
    <cellStyle name="Comma 12 4" xfId="59417"/>
    <cellStyle name="Comma 12 5" xfId="59418"/>
    <cellStyle name="Comma 13" xfId="59419"/>
    <cellStyle name="Comma 13 2" xfId="59420"/>
    <cellStyle name="Comma 13 3" xfId="59421"/>
    <cellStyle name="Comma 13 4" xfId="59422"/>
    <cellStyle name="Comma 13 5" xfId="59423"/>
    <cellStyle name="Comma 14" xfId="59424"/>
    <cellStyle name="Comma 14 10" xfId="59425"/>
    <cellStyle name="Comma 14 10 2" xfId="59426"/>
    <cellStyle name="Comma 14 10 2 2" xfId="59427"/>
    <cellStyle name="Comma 14 10 3" xfId="59428"/>
    <cellStyle name="Comma 14 11" xfId="59429"/>
    <cellStyle name="Comma 14 12" xfId="59430"/>
    <cellStyle name="Comma 14 2" xfId="59431"/>
    <cellStyle name="Comma 14 2 2" xfId="59432"/>
    <cellStyle name="Comma 14 2 2 2" xfId="59433"/>
    <cellStyle name="Comma 14 2 2 2 2" xfId="59434"/>
    <cellStyle name="Comma 14 2 2 3" xfId="59435"/>
    <cellStyle name="Comma 14 3" xfId="59436"/>
    <cellStyle name="Comma 14 4" xfId="59437"/>
    <cellStyle name="Comma 14 5" xfId="59438"/>
    <cellStyle name="Comma 14 6" xfId="59439"/>
    <cellStyle name="Comma 14 7" xfId="59440"/>
    <cellStyle name="Comma 14 8" xfId="59441"/>
    <cellStyle name="Comma 14 9" xfId="59442"/>
    <cellStyle name="Comma 15" xfId="59443"/>
    <cellStyle name="Comma 15 2" xfId="59444"/>
    <cellStyle name="Comma 15 2 2" xfId="59445"/>
    <cellStyle name="Comma 15 2 2 2" xfId="59446"/>
    <cellStyle name="Comma 15 3" xfId="59447"/>
    <cellStyle name="Comma 15 3 2" xfId="59448"/>
    <cellStyle name="Comma 15 4" xfId="59449"/>
    <cellStyle name="Comma 15 4 2" xfId="59450"/>
    <cellStyle name="Comma 16" xfId="59451"/>
    <cellStyle name="Comma 16 2" xfId="59452"/>
    <cellStyle name="Comma 17" xfId="59453"/>
    <cellStyle name="Comma 17 2" xfId="59454"/>
    <cellStyle name="Comma 18" xfId="59455"/>
    <cellStyle name="Comma 18 2" xfId="59456"/>
    <cellStyle name="Comma 19" xfId="59457"/>
    <cellStyle name="Comma 19 2" xfId="59458"/>
    <cellStyle name="Comma 19 3" xfId="59459"/>
    <cellStyle name="Comma 2 2 5" xfId="59460"/>
    <cellStyle name="Comma 2 2 2" xfId="59461"/>
    <cellStyle name="Comma 2 2 2 2" xfId="59462"/>
    <cellStyle name="Comma 2 2 2 3" xfId="59463"/>
    <cellStyle name="Comma 2 2 3" xfId="59464"/>
    <cellStyle name="Comma 2 2 4" xfId="59465"/>
    <cellStyle name="Comma 2 3 7" xfId="59466"/>
    <cellStyle name="Comma 2 3 2" xfId="59467"/>
    <cellStyle name="Comma 2 3 2 2" xfId="59468"/>
    <cellStyle name="Comma 2 3 3" xfId="59469"/>
    <cellStyle name="Comma 2 3 4" xfId="59470"/>
    <cellStyle name="Comma 2 3 5" xfId="59471"/>
    <cellStyle name="Comma 2 3 6" xfId="59472"/>
    <cellStyle name="Comma 2 4" xfId="59473"/>
    <cellStyle name="Comma 2 4 2" xfId="59474"/>
    <cellStyle name="Comma 2 4 2 2" xfId="59475"/>
    <cellStyle name="Comma 2 4 3" xfId="59476"/>
    <cellStyle name="Comma 2 4 4" xfId="59477"/>
    <cellStyle name="Comma 2 4 5" xfId="59478"/>
    <cellStyle name="Comma 2 5" xfId="59479"/>
    <cellStyle name="Comma 2 5 2" xfId="59480"/>
    <cellStyle name="Comma 2 5 2 2" xfId="59481"/>
    <cellStyle name="Comma 2 5 3" xfId="59482"/>
    <cellStyle name="Comma 2 5 4" xfId="59483"/>
    <cellStyle name="Comma 2 6" xfId="59484"/>
    <cellStyle name="Comma 2 6 2" xfId="59485"/>
    <cellStyle name="Comma 2 6 3" xfId="59486"/>
    <cellStyle name="Comma 2 7" xfId="59487"/>
    <cellStyle name="Comma 2_1_FS10_10.1_เงินให้กู้ยืมและเงินให้กู้ยืม_Q254_2" xfId="59488"/>
    <cellStyle name="Comma 20" xfId="59489"/>
    <cellStyle name="Comma 20 2" xfId="59490"/>
    <cellStyle name="Comma 20 3" xfId="59491"/>
    <cellStyle name="Comma 21" xfId="59492"/>
    <cellStyle name="Comma 21 2" xfId="59493"/>
    <cellStyle name="Comma 21 3" xfId="59494"/>
    <cellStyle name="Comma 22" xfId="59495"/>
    <cellStyle name="Comma 22 2" xfId="59496"/>
    <cellStyle name="Comma 22 3" xfId="59497"/>
    <cellStyle name="Comma 23" xfId="59498"/>
    <cellStyle name="Comma 23 2" xfId="59499"/>
    <cellStyle name="Comma 23 3 2" xfId="59500"/>
    <cellStyle name="Comma 24" xfId="59501"/>
    <cellStyle name="Comma 24 2" xfId="59502"/>
    <cellStyle name="Comma 24 3" xfId="59503"/>
    <cellStyle name="Comma 25" xfId="59504"/>
    <cellStyle name="Comma 25 2" xfId="59505"/>
    <cellStyle name="Comma 25 3" xfId="59506"/>
    <cellStyle name="Comma 26" xfId="59507"/>
    <cellStyle name="Comma 26 2" xfId="59508"/>
    <cellStyle name="Comma 26 3" xfId="59509"/>
    <cellStyle name="Comma 27" xfId="59510"/>
    <cellStyle name="Comma 27 2" xfId="59511"/>
    <cellStyle name="Comma 27 3" xfId="59512"/>
    <cellStyle name="Comma 28" xfId="59513"/>
    <cellStyle name="Comma 28 2" xfId="59514"/>
    <cellStyle name="Comma 29" xfId="59515"/>
    <cellStyle name="Comma 29 2" xfId="59516"/>
    <cellStyle name="Comma 3 9" xfId="59517"/>
    <cellStyle name="Comma 3 2 2" xfId="59518"/>
    <cellStyle name="Comma 3 2 2 2" xfId="59519"/>
    <cellStyle name="Comma 3 2 3" xfId="59520"/>
    <cellStyle name="Comma 3 2 4" xfId="59521"/>
    <cellStyle name="Comma 3 2 4 2" xfId="59522"/>
    <cellStyle name="Comma 3 2 5" xfId="59523"/>
    <cellStyle name="Comma 3 2 6" xfId="59524"/>
    <cellStyle name="Comma 3 2 7" xfId="59525"/>
    <cellStyle name="Comma 3 3" xfId="59526"/>
    <cellStyle name="Comma 3 3 2" xfId="59527"/>
    <cellStyle name="Comma 3 3 3" xfId="59528"/>
    <cellStyle name="Comma 3 4" xfId="59529"/>
    <cellStyle name="Comma 3 4 2" xfId="59530"/>
    <cellStyle name="Comma 3 5" xfId="59531"/>
    <cellStyle name="Comma 3 6" xfId="59532"/>
    <cellStyle name="Comma 3 7" xfId="59533"/>
    <cellStyle name="Comma 3 7 2" xfId="59534"/>
    <cellStyle name="Comma 3 8" xfId="59535"/>
    <cellStyle name="Comma 3_1_FS10B_Q154" xfId="59536"/>
    <cellStyle name="Comma 30" xfId="59537"/>
    <cellStyle name="Comma 30 2" xfId="59538"/>
    <cellStyle name="Comma 31" xfId="59539"/>
    <cellStyle name="Comma 31 2" xfId="59540"/>
    <cellStyle name="Comma 32" xfId="59541"/>
    <cellStyle name="Comma 32 2" xfId="59542"/>
    <cellStyle name="Comma 33" xfId="59543"/>
    <cellStyle name="Comma 33 2" xfId="59544"/>
    <cellStyle name="Comma 33 3" xfId="59545"/>
    <cellStyle name="Comma 34" xfId="59546"/>
    <cellStyle name="Comma 35" xfId="59547"/>
    <cellStyle name="Comma 36" xfId="59548"/>
    <cellStyle name="Comma 37" xfId="59549"/>
    <cellStyle name="Comma 38" xfId="59550"/>
    <cellStyle name="Comma 38 2" xfId="59551"/>
    <cellStyle name="Comma 39" xfId="59552"/>
    <cellStyle name="Comma 39 2" xfId="59553"/>
    <cellStyle name="Comma 39 2 2" xfId="59554"/>
    <cellStyle name="Comma 39 3" xfId="59555"/>
    <cellStyle name="Comma 4 6" xfId="59556"/>
    <cellStyle name="Comma 4 2" xfId="59557"/>
    <cellStyle name="Comma 4 2 2" xfId="59558"/>
    <cellStyle name="Comma 4 2 2 2" xfId="59559"/>
    <cellStyle name="Comma 4 2 2 3" xfId="59560"/>
    <cellStyle name="Comma 4 2 3" xfId="59561"/>
    <cellStyle name="Comma 4 2 3 2" xfId="59562"/>
    <cellStyle name="Comma 4 2 4" xfId="59563"/>
    <cellStyle name="Comma 4 2 4 2" xfId="59564"/>
    <cellStyle name="Comma 4 2 5" xfId="59565"/>
    <cellStyle name="Comma 4 2 5 2" xfId="59566"/>
    <cellStyle name="Comma 4 2 6" xfId="59567"/>
    <cellStyle name="Comma 4 2 6 2" xfId="59568"/>
    <cellStyle name="Comma 4 2 7" xfId="59569"/>
    <cellStyle name="Comma 4 2 8" xfId="59570"/>
    <cellStyle name="Comma 4 2 9" xfId="59571"/>
    <cellStyle name="Comma 4 3" xfId="59572"/>
    <cellStyle name="Comma 4 3 2" xfId="59573"/>
    <cellStyle name="Comma 4 4" xfId="59574"/>
    <cellStyle name="Comma 4 4 2" xfId="59575"/>
    <cellStyle name="Comma 4 4 3" xfId="59576"/>
    <cellStyle name="Comma 4 5" xfId="59577"/>
    <cellStyle name="Comma 4_FS8 (แก้ไข)" xfId="59578"/>
    <cellStyle name="Comma 40" xfId="59579"/>
    <cellStyle name="Comma 40 2" xfId="59580"/>
    <cellStyle name="Comma 41" xfId="59581"/>
    <cellStyle name="Comma 41 2" xfId="59582"/>
    <cellStyle name="Comma 42" xfId="59583"/>
    <cellStyle name="Comma 43" xfId="59584"/>
    <cellStyle name="Comma 44" xfId="59585"/>
    <cellStyle name="Comma 44 2" xfId="59586"/>
    <cellStyle name="Comma 45" xfId="59587"/>
    <cellStyle name="Comma 46" xfId="59588"/>
    <cellStyle name="Comma 47" xfId="59589"/>
    <cellStyle name="Comma 48" xfId="59590"/>
    <cellStyle name="Comma 5 6" xfId="59591"/>
    <cellStyle name="Comma 5 2" xfId="59592"/>
    <cellStyle name="Comma 5 2 2" xfId="59593"/>
    <cellStyle name="Comma 5 2 2 2" xfId="59594"/>
    <cellStyle name="Comma 5 2 3" xfId="59595"/>
    <cellStyle name="Comma 5 2 4" xfId="59596"/>
    <cellStyle name="Comma 5 3" xfId="59597"/>
    <cellStyle name="Comma 5 3 2" xfId="59598"/>
    <cellStyle name="Comma 5 3 2 2" xfId="59599"/>
    <cellStyle name="Comma 5 3 3" xfId="59600"/>
    <cellStyle name="Comma 5 3 4" xfId="59601"/>
    <cellStyle name="Comma 5 4" xfId="59602"/>
    <cellStyle name="Comma 5 4 2" xfId="59603"/>
    <cellStyle name="Comma 5 5" xfId="59604"/>
    <cellStyle name="Comma 5 5 2" xfId="59605"/>
    <cellStyle name="Comma 5_1_FS10_10.1_เงินให้กู้ยืมและเงินให้กู้ยืม_Q254_2" xfId="59606"/>
    <cellStyle name="Comma 6 5" xfId="59607"/>
    <cellStyle name="Comma 6 2" xfId="59608"/>
    <cellStyle name="Comma 6 2 2" xfId="59609"/>
    <cellStyle name="Comma 6 2 2 2" xfId="59610"/>
    <cellStyle name="Comma 6 2 3" xfId="59611"/>
    <cellStyle name="Comma 6 2 4" xfId="59612"/>
    <cellStyle name="Comma 6 2_เงินลงทุน&amp;เงินกู้-ให้กู้Q354" xfId="59613"/>
    <cellStyle name="Comma 6 3" xfId="59614"/>
    <cellStyle name="Comma 6 3 2" xfId="59615"/>
    <cellStyle name="Comma 6 4" xfId="59616"/>
    <cellStyle name="Comma 6 4 2" xfId="59617"/>
    <cellStyle name="Comma 6_1_FS10B_Q154" xfId="59618"/>
    <cellStyle name="Comma 7" xfId="59619"/>
    <cellStyle name="Comma 7 2" xfId="59620"/>
    <cellStyle name="Comma 7 2 2" xfId="59621"/>
    <cellStyle name="Comma 7 3" xfId="59622"/>
    <cellStyle name="Comma 7 3 2" xfId="59623"/>
    <cellStyle name="Comma 7 4" xfId="59624"/>
    <cellStyle name="Comma 8" xfId="59625"/>
    <cellStyle name="Comma 8 2" xfId="59626"/>
    <cellStyle name="Comma 8 2 2" xfId="59627"/>
    <cellStyle name="Comma 8 2 2 2" xfId="59628"/>
    <cellStyle name="Comma 8 2 3" xfId="59629"/>
    <cellStyle name="Comma 8 2 4" xfId="59630"/>
    <cellStyle name="Comma 8 3" xfId="59631"/>
    <cellStyle name="Comma 8 3 2" xfId="59632"/>
    <cellStyle name="Comma 8 4" xfId="59633"/>
    <cellStyle name="Comma 8 4 2" xfId="59634"/>
    <cellStyle name="Comma 8 5" xfId="59635"/>
    <cellStyle name="Comma 8 6" xfId="59636"/>
    <cellStyle name="Comma 8 7" xfId="59637"/>
    <cellStyle name="Comma 9" xfId="59638"/>
    <cellStyle name="Comma 9 2" xfId="59639"/>
    <cellStyle name="Comma 9 2 2" xfId="59640"/>
    <cellStyle name="Comma 9 2 3" xfId="59641"/>
    <cellStyle name="Comma 9 3" xfId="59642"/>
    <cellStyle name="Comma 9 4" xfId="59643"/>
    <cellStyle name="Comma 9 5" xfId="59644"/>
    <cellStyle name="Comma 9 6" xfId="59645"/>
    <cellStyle name="comma zerodec" xfId="59646"/>
    <cellStyle name="comma zerodec 10" xfId="59647"/>
    <cellStyle name="comma zerodec 11" xfId="59648"/>
    <cellStyle name="comma zerodec 12" xfId="59649"/>
    <cellStyle name="comma zerodec 13" xfId="59650"/>
    <cellStyle name="comma zerodec 14" xfId="59651"/>
    <cellStyle name="comma zerodec 15" xfId="59652"/>
    <cellStyle name="comma zerodec 16" xfId="59653"/>
    <cellStyle name="comma zerodec 17" xfId="59654"/>
    <cellStyle name="comma zerodec 18" xfId="59655"/>
    <cellStyle name="comma zerodec 19" xfId="59656"/>
    <cellStyle name="comma zerodec 2" xfId="59657"/>
    <cellStyle name="comma zerodec 2 2" xfId="59658"/>
    <cellStyle name="comma zerodec 2 3" xfId="59659"/>
    <cellStyle name="comma zerodec 20" xfId="59660"/>
    <cellStyle name="comma zerodec 3" xfId="59661"/>
    <cellStyle name="comma zerodec 4" xfId="59662"/>
    <cellStyle name="comma zerodec 5" xfId="59663"/>
    <cellStyle name="comma zerodec 6" xfId="59664"/>
    <cellStyle name="comma zerodec 7" xfId="59665"/>
    <cellStyle name="comma zerodec 8" xfId="59666"/>
    <cellStyle name="comma zerodec 9" xfId="59667"/>
    <cellStyle name="comma zerodec_1_FS10_10.1_เงินให้กู้ยืมและเงินให้กู้ยืม_Q254_2" xfId="59668"/>
    <cellStyle name="Comma0" xfId="59669"/>
    <cellStyle name="Comma0 2" xfId="59670"/>
    <cellStyle name="Comma0 3" xfId="59671"/>
    <cellStyle name="Currency 2" xfId="59672"/>
    <cellStyle name="Currency 2 2" xfId="59673"/>
    <cellStyle name="Currency 3" xfId="59674"/>
    <cellStyle name="Currency0" xfId="59675"/>
    <cellStyle name="Currency0 2" xfId="59676"/>
    <cellStyle name="Currency0 3" xfId="59677"/>
    <cellStyle name="Currency1" xfId="59678"/>
    <cellStyle name="Currency1 10" xfId="59679"/>
    <cellStyle name="Currency1 11" xfId="59680"/>
    <cellStyle name="Currency1 12" xfId="59681"/>
    <cellStyle name="Currency1 13" xfId="59682"/>
    <cellStyle name="Currency1 14" xfId="59683"/>
    <cellStyle name="Currency1 15" xfId="59684"/>
    <cellStyle name="Currency1 16" xfId="59685"/>
    <cellStyle name="Currency1 17" xfId="59686"/>
    <cellStyle name="Currency1 18" xfId="59687"/>
    <cellStyle name="Currency1 19" xfId="59688"/>
    <cellStyle name="Currency1 2" xfId="59689"/>
    <cellStyle name="Currency1 2 2" xfId="59690"/>
    <cellStyle name="Currency1 2 3" xfId="59691"/>
    <cellStyle name="Currency1 20" xfId="59692"/>
    <cellStyle name="Currency1 3" xfId="59693"/>
    <cellStyle name="Currency1 4" xfId="59694"/>
    <cellStyle name="Currency1 5" xfId="59695"/>
    <cellStyle name="Currency1 6" xfId="59696"/>
    <cellStyle name="Currency1 7" xfId="59697"/>
    <cellStyle name="Currency1 8" xfId="59698"/>
    <cellStyle name="Currency1 9" xfId="59699"/>
    <cellStyle name="Currency1_1_FS10_10.1_เงินให้กู้ยืมและเงินให้กู้ยืม_Q254_2" xfId="59700"/>
    <cellStyle name="Date" xfId="59701"/>
    <cellStyle name="Date 2" xfId="59702"/>
    <cellStyle name="Date 3" xfId="59703"/>
    <cellStyle name="Dollar (zero dec)" xfId="59704"/>
    <cellStyle name="Dollar (zero dec) 10" xfId="59705"/>
    <cellStyle name="Dollar (zero dec) 11" xfId="59706"/>
    <cellStyle name="Dollar (zero dec) 12" xfId="59707"/>
    <cellStyle name="Dollar (zero dec) 13" xfId="59708"/>
    <cellStyle name="Dollar (zero dec) 14" xfId="59709"/>
    <cellStyle name="Dollar (zero dec) 15" xfId="59710"/>
    <cellStyle name="Dollar (zero dec) 16" xfId="59711"/>
    <cellStyle name="Dollar (zero dec) 17" xfId="59712"/>
    <cellStyle name="Dollar (zero dec) 18" xfId="59713"/>
    <cellStyle name="Dollar (zero dec) 19" xfId="59714"/>
    <cellStyle name="Dollar (zero dec) 2" xfId="59715"/>
    <cellStyle name="Dollar (zero dec) 2 2" xfId="59716"/>
    <cellStyle name="Dollar (zero dec) 2 3" xfId="59717"/>
    <cellStyle name="Dollar (zero dec) 20" xfId="59718"/>
    <cellStyle name="Dollar (zero dec) 3" xfId="59719"/>
    <cellStyle name="Dollar (zero dec) 4" xfId="59720"/>
    <cellStyle name="Dollar (zero dec) 5" xfId="59721"/>
    <cellStyle name="Dollar (zero dec) 6" xfId="59722"/>
    <cellStyle name="Dollar (zero dec) 7" xfId="59723"/>
    <cellStyle name="Dollar (zero dec) 8" xfId="59724"/>
    <cellStyle name="Dollar (zero dec) 9" xfId="59725"/>
    <cellStyle name="Dollar (zero dec)_1_FS10_10.1_เงินให้กู้ยืมและเงินให้กู้ยืม_Q254_2" xfId="59726"/>
    <cellStyle name="er Staff (1)_pldt_2_pldt" xfId="59727"/>
    <cellStyle name="Excel Built-in Normal" xfId="59728"/>
    <cellStyle name="Excel Built-in Normal 2" xfId="59729"/>
    <cellStyle name="Explanatory Text 2 3" xfId="59730"/>
    <cellStyle name="Explanatory Text 2 2" xfId="59731"/>
    <cellStyle name="Explanatory Text 3" xfId="59732"/>
    <cellStyle name="Explanatory Text 4" xfId="59733"/>
    <cellStyle name="Explanatory Text 5" xfId="59734"/>
    <cellStyle name="F2" xfId="59735"/>
    <cellStyle name="Fixed" xfId="59736"/>
    <cellStyle name="Fixed 2" xfId="59737"/>
    <cellStyle name="Fixed 3" xfId="59738"/>
    <cellStyle name="Format Number Column" xfId="59739"/>
    <cellStyle name="Format Number Column 2" xfId="59740"/>
    <cellStyle name="Format Number Column 3" xfId="59741"/>
    <cellStyle name="Frame Relay Template" xfId="59742"/>
    <cellStyle name="Frame Relay Template 2" xfId="59743"/>
    <cellStyle name="Frame Relay Template 3" xfId="59744"/>
    <cellStyle name="Good 2" xfId="59745"/>
    <cellStyle name="Good 2 2" xfId="59746"/>
    <cellStyle name="Good 3" xfId="59747"/>
    <cellStyle name="Good 4" xfId="59748"/>
    <cellStyle name="Good 5" xfId="59749"/>
    <cellStyle name="Grey" xfId="59750"/>
    <cellStyle name="Grey 2" xfId="59751"/>
    <cellStyle name="Grey 2 2" xfId="59752"/>
    <cellStyle name="Grey 3" xfId="59753"/>
    <cellStyle name="Header1" xfId="59754"/>
    <cellStyle name="Header1 2" xfId="59755"/>
    <cellStyle name="Header1 3" xfId="59756"/>
    <cellStyle name="Header2" xfId="59757"/>
    <cellStyle name="Header2 2" xfId="59758"/>
    <cellStyle name="Header2 3" xfId="59759"/>
    <cellStyle name="Heading 1 2 3" xfId="59760"/>
    <cellStyle name="Heading 1 2 2" xfId="59761"/>
    <cellStyle name="Heading 1 3" xfId="59762"/>
    <cellStyle name="Heading 1 4" xfId="59763"/>
    <cellStyle name="Heading 1 5" xfId="59764"/>
    <cellStyle name="Heading 2 2" xfId="59765"/>
    <cellStyle name="Heading 2 2 2" xfId="59766"/>
    <cellStyle name="Heading 2 3" xfId="59767"/>
    <cellStyle name="Heading 2 4" xfId="59768"/>
    <cellStyle name="Heading 2 5" xfId="59769"/>
    <cellStyle name="Heading 3 2 3" xfId="59770"/>
    <cellStyle name="Heading 3 2 2" xfId="59771"/>
    <cellStyle name="Heading 3 3" xfId="59772"/>
    <cellStyle name="Heading 3 4" xfId="59773"/>
    <cellStyle name="Heading 3 5" xfId="59774"/>
    <cellStyle name="Heading 4 2 3" xfId="59775"/>
    <cellStyle name="Heading 4 2 2" xfId="59776"/>
    <cellStyle name="Heading 4 3" xfId="59777"/>
    <cellStyle name="Heading 4 4" xfId="59778"/>
    <cellStyle name="Heading 4 5" xfId="59779"/>
    <cellStyle name="Hyperlink 2" xfId="59780"/>
    <cellStyle name="Hyperlink 3" xfId="59781"/>
    <cellStyle name="Input [yellow]" xfId="59782"/>
    <cellStyle name="Input [yellow] 2" xfId="59783"/>
    <cellStyle name="Input [yellow] 2 2" xfId="59784"/>
    <cellStyle name="Input [yellow] 3" xfId="59785"/>
    <cellStyle name="Input 10" xfId="59786"/>
    <cellStyle name="Input 11" xfId="59787"/>
    <cellStyle name="Input 12" xfId="59788"/>
    <cellStyle name="Input 13" xfId="59789"/>
    <cellStyle name="Input 14" xfId="59790"/>
    <cellStyle name="Input 2" xfId="59791"/>
    <cellStyle name="Input 2 2" xfId="59792"/>
    <cellStyle name="Input 3" xfId="59793"/>
    <cellStyle name="Input 4" xfId="59794"/>
    <cellStyle name="Input 5" xfId="59795"/>
    <cellStyle name="Input 6" xfId="59796"/>
    <cellStyle name="Input 7" xfId="59797"/>
    <cellStyle name="Input 8" xfId="59798"/>
    <cellStyle name="Input 9" xfId="59799"/>
    <cellStyle name="Item" xfId="59800"/>
    <cellStyle name="Item 2" xfId="59801"/>
    <cellStyle name="JJJ" xfId="59802"/>
    <cellStyle name="JJJ 10" xfId="59803"/>
    <cellStyle name="JJJ 11" xfId="59804"/>
    <cellStyle name="JJJ 12" xfId="59805"/>
    <cellStyle name="JJJ 13" xfId="59806"/>
    <cellStyle name="JJJ 14" xfId="59807"/>
    <cellStyle name="JJJ 15" xfId="59808"/>
    <cellStyle name="JJJ 16" xfId="59809"/>
    <cellStyle name="JJJ 17" xfId="59810"/>
    <cellStyle name="JJJ 18" xfId="59811"/>
    <cellStyle name="JJJ 2" xfId="59812"/>
    <cellStyle name="JJJ 3" xfId="59813"/>
    <cellStyle name="JJJ 4" xfId="59814"/>
    <cellStyle name="JJJ 5" xfId="59815"/>
    <cellStyle name="JJJ 6" xfId="59816"/>
    <cellStyle name="JJJ 7" xfId="59817"/>
    <cellStyle name="JJJ 8" xfId="59818"/>
    <cellStyle name="JJJ 9" xfId="59819"/>
    <cellStyle name="JJJ_1_FS10_10.1_เงินให้กู้ยืมและเงินให้กู้ยืม_Q254_2" xfId="59820"/>
    <cellStyle name="Linked Cell 2" xfId="59821"/>
    <cellStyle name="Linked Cell 2 2" xfId="59822"/>
    <cellStyle name="Linked Cell 3" xfId="59823"/>
    <cellStyle name="Linked Cell 4" xfId="59824"/>
    <cellStyle name="Linked Cell 5" xfId="59825"/>
    <cellStyle name="Neutral 2" xfId="59826"/>
    <cellStyle name="Neutral 2 2" xfId="59827"/>
    <cellStyle name="Neutral 3" xfId="59828"/>
    <cellStyle name="Neutral 4" xfId="59829"/>
    <cellStyle name="Neutral 5" xfId="59830"/>
    <cellStyle name="no dec" xfId="59831"/>
    <cellStyle name="no dec 10" xfId="59832"/>
    <cellStyle name="no dec 11" xfId="59833"/>
    <cellStyle name="no dec 12" xfId="59834"/>
    <cellStyle name="no dec 13" xfId="59835"/>
    <cellStyle name="no dec 14" xfId="59836"/>
    <cellStyle name="no dec 15" xfId="59837"/>
    <cellStyle name="no dec 16" xfId="59838"/>
    <cellStyle name="no dec 17" xfId="59839"/>
    <cellStyle name="no dec 18" xfId="59840"/>
    <cellStyle name="no dec 2" xfId="59841"/>
    <cellStyle name="no dec 3" xfId="59842"/>
    <cellStyle name="no dec 4" xfId="59843"/>
    <cellStyle name="no dec 5" xfId="59844"/>
    <cellStyle name="no dec 6" xfId="59845"/>
    <cellStyle name="no dec 7" xfId="59846"/>
    <cellStyle name="no dec 8" xfId="59847"/>
    <cellStyle name="no dec 9" xfId="59848"/>
    <cellStyle name="no dec_1_FS10_10.1_เงินให้กู้ยืมและเงินให้กู้ยืม_Q254_2" xfId="59849"/>
    <cellStyle name="Normal - Style1" xfId="59850"/>
    <cellStyle name="Normal - Style1 2" xfId="59851"/>
    <cellStyle name="Normal - Style1 2 2" xfId="59852"/>
    <cellStyle name="Normal - Style1 3" xfId="59853"/>
    <cellStyle name="Normal 10" xfId="59854"/>
    <cellStyle name="Normal 10 2" xfId="59855"/>
    <cellStyle name="Normal 10 2 2" xfId="59856"/>
    <cellStyle name="Normal 10 2 3" xfId="59857"/>
    <cellStyle name="Normal 10 2 4" xfId="59858"/>
    <cellStyle name="Normal 10 3" xfId="59859"/>
    <cellStyle name="Normal 10 3 2" xfId="59860"/>
    <cellStyle name="Normal 10 3 3" xfId="59861"/>
    <cellStyle name="Normal 10 4" xfId="59862"/>
    <cellStyle name="Normal 10 4 2" xfId="59863"/>
    <cellStyle name="Normal 10 5" xfId="59864"/>
    <cellStyle name="Normal 11" xfId="59865"/>
    <cellStyle name="Normal 11 2" xfId="59866"/>
    <cellStyle name="Normal 11 3" xfId="59867"/>
    <cellStyle name="Normal 11 4" xfId="59868"/>
    <cellStyle name="Normal 12" xfId="59869"/>
    <cellStyle name="Normal 12 2" xfId="59870"/>
    <cellStyle name="Normal 12 3" xfId="59871"/>
    <cellStyle name="Normal 13" xfId="59872"/>
    <cellStyle name="Normal 13 2" xfId="59873"/>
    <cellStyle name="Normal 13 3" xfId="59874"/>
    <cellStyle name="Normal 13 4" xfId="59875"/>
    <cellStyle name="Normal 13_Interest Loan receivable-11" xfId="59876"/>
    <cellStyle name="Normal 14" xfId="59877"/>
    <cellStyle name="Normal 14 2" xfId="59878"/>
    <cellStyle name="Normal 15" xfId="59879"/>
    <cellStyle name="Normal 15 2" xfId="59880"/>
    <cellStyle name="Normal 15 3" xfId="59881"/>
    <cellStyle name="Normal 16" xfId="59882"/>
    <cellStyle name="Normal 16 2" xfId="59883"/>
    <cellStyle name="Normal 16 3" xfId="59884"/>
    <cellStyle name="Normal 16 3 2" xfId="59885"/>
    <cellStyle name="Normal 17" xfId="59886"/>
    <cellStyle name="Normal 17 2" xfId="59887"/>
    <cellStyle name="Normal 18" xfId="59888"/>
    <cellStyle name="Normal 18 2" xfId="59889"/>
    <cellStyle name="Normal 19" xfId="59890"/>
    <cellStyle name="Normal 19 2" xfId="59891"/>
    <cellStyle name="Normal 19 2 2" xfId="59892"/>
    <cellStyle name="Normal 19 2 2 2" xfId="59893"/>
    <cellStyle name="Normal 19 2 2 2 2" xfId="59894"/>
    <cellStyle name="Normal 19 2 2 3" xfId="59895"/>
    <cellStyle name="Normal 19 2 3" xfId="59896"/>
    <cellStyle name="Normal 2 16" xfId="59897"/>
    <cellStyle name="Normal 2 10" xfId="59898"/>
    <cellStyle name="Normal 2 11" xfId="59899"/>
    <cellStyle name="Normal 2 12" xfId="59900"/>
    <cellStyle name="Normal 2 13" xfId="59901"/>
    <cellStyle name="Normal 2 14" xfId="59902"/>
    <cellStyle name="Normal 2 15" xfId="59903"/>
    <cellStyle name="Normal 2 2 8" xfId="59904"/>
    <cellStyle name="Normal 2 2 2" xfId="59905"/>
    <cellStyle name="Normal 2 2 3" xfId="59906"/>
    <cellStyle name="Normal 2 2 4" xfId="59907"/>
    <cellStyle name="Normal 2 2 5" xfId="59908"/>
    <cellStyle name="Normal 2 2 6" xfId="59909"/>
    <cellStyle name="Normal 2 2 7" xfId="59910"/>
    <cellStyle name="Normal 2 3" xfId="59911"/>
    <cellStyle name="Normal 2 3 2" xfId="59912"/>
    <cellStyle name="Normal 2 4" xfId="59913"/>
    <cellStyle name="Normal 2 5" xfId="59914"/>
    <cellStyle name="Normal 2 6" xfId="59915"/>
    <cellStyle name="Normal 2 7" xfId="59916"/>
    <cellStyle name="Normal 2 8" xfId="59917"/>
    <cellStyle name="Normal 2 9" xfId="59918"/>
    <cellStyle name="Normal 2_117 (รวมทั้งบริษัท) Q2.54_2011.07.11 10.26" xfId="59919"/>
    <cellStyle name="Normal 20" xfId="59920"/>
    <cellStyle name="Normal 20 2" xfId="59921"/>
    <cellStyle name="Normal 21" xfId="59922"/>
    <cellStyle name="Normal 21 2" xfId="59923"/>
    <cellStyle name="Normal 22" xfId="59924"/>
    <cellStyle name="Normal 22 2" xfId="59925"/>
    <cellStyle name="Normal 23" xfId="59926"/>
    <cellStyle name="Normal 24" xfId="59927"/>
    <cellStyle name="Normal 25" xfId="59928"/>
    <cellStyle name="Normal 26" xfId="59929"/>
    <cellStyle name="Normal 27" xfId="59930"/>
    <cellStyle name="Normal 28" xfId="59931"/>
    <cellStyle name="Normal 29" xfId="59932"/>
    <cellStyle name="Normal 3 9" xfId="59933"/>
    <cellStyle name="Normal 3 2" xfId="59934"/>
    <cellStyle name="Normal 3 2 2" xfId="59935"/>
    <cellStyle name="Normal 3 3" xfId="59936"/>
    <cellStyle name="Normal 3 4" xfId="59937"/>
    <cellStyle name="Normal 3 5" xfId="59938"/>
    <cellStyle name="Normal 3 6" xfId="59939"/>
    <cellStyle name="Normal 3 6 2" xfId="59940"/>
    <cellStyle name="Normal 3 7" xfId="59941"/>
    <cellStyle name="Normal 3 8" xfId="59942"/>
    <cellStyle name="Normal 3_117 (รวมทั้งบริษัท) Q2.54_2011.07.11 10.26" xfId="59943"/>
    <cellStyle name="Normal 30" xfId="59944"/>
    <cellStyle name="Normal 31" xfId="59945"/>
    <cellStyle name="Normal 31 2" xfId="59946"/>
    <cellStyle name="Normal 32" xfId="59947"/>
    <cellStyle name="Normal 32 2" xfId="59948"/>
    <cellStyle name="Normal 32 3" xfId="59949"/>
    <cellStyle name="Normal 33" xfId="59950"/>
    <cellStyle name="Normal 33 2" xfId="59951"/>
    <cellStyle name="Normal 33 3" xfId="59952"/>
    <cellStyle name="Normal 34" xfId="59953"/>
    <cellStyle name="Normal 34 2" xfId="59954"/>
    <cellStyle name="Normal 34 3" xfId="59955"/>
    <cellStyle name="Normal 34_Q3-54-SUP" xfId="59956"/>
    <cellStyle name="Normal 35" xfId="59957"/>
    <cellStyle name="Normal 36" xfId="59958"/>
    <cellStyle name="Normal 37" xfId="59959"/>
    <cellStyle name="Normal 38" xfId="59960"/>
    <cellStyle name="Normal 39" xfId="59961"/>
    <cellStyle name="Normal 39 2" xfId="59962"/>
    <cellStyle name="Normal 4 7" xfId="59963"/>
    <cellStyle name="Normal 4 2" xfId="59964"/>
    <cellStyle name="Normal 4 2 2" xfId="59965"/>
    <cellStyle name="Normal 4 2 3" xfId="59966"/>
    <cellStyle name="Normal 4 3" xfId="59967"/>
    <cellStyle name="Normal 4 3 2" xfId="59968"/>
    <cellStyle name="Normal 4 4" xfId="59969"/>
    <cellStyle name="Normal 4 4 2" xfId="59970"/>
    <cellStyle name="Normal 4 5" xfId="59971"/>
    <cellStyle name="Normal 4 6" xfId="59972"/>
    <cellStyle name="Normal 4_1332" xfId="59973"/>
    <cellStyle name="Normal 40" xfId="59974"/>
    <cellStyle name="Normal 41" xfId="59975"/>
    <cellStyle name="Normal 42" xfId="59976"/>
    <cellStyle name="Normal 43" xfId="59977"/>
    <cellStyle name="Normal 44" xfId="59978"/>
    <cellStyle name="Normal 45" xfId="59979"/>
    <cellStyle name="Normal 46" xfId="59980"/>
    <cellStyle name="Normal 47" xfId="59981"/>
    <cellStyle name="Normal 48" xfId="59982"/>
    <cellStyle name="Normal 49" xfId="59983"/>
    <cellStyle name="Normal 5 7" xfId="59984"/>
    <cellStyle name="Normal 5 2" xfId="59985"/>
    <cellStyle name="Normal 5 2 2" xfId="59986"/>
    <cellStyle name="Normal 5 3" xfId="59987"/>
    <cellStyle name="Normal 5 3 2" xfId="59988"/>
    <cellStyle name="Normal 5 4" xfId="59989"/>
    <cellStyle name="Normal 5 4 2" xfId="59990"/>
    <cellStyle name="Normal 5 5" xfId="59991"/>
    <cellStyle name="Normal 5 6" xfId="59992"/>
    <cellStyle name="Normal 5_1332" xfId="59993"/>
    <cellStyle name="Normal 50" xfId="59994"/>
    <cellStyle name="Normal 51" xfId="59995"/>
    <cellStyle name="Normal 52" xfId="59996"/>
    <cellStyle name="Normal 53" xfId="59997"/>
    <cellStyle name="Normal 54" xfId="59998"/>
    <cellStyle name="Normal 55" xfId="59999"/>
    <cellStyle name="Normal 6" xfId="60000"/>
    <cellStyle name="Normal 6 2" xfId="60001"/>
    <cellStyle name="Normal 6 3" xfId="60002"/>
    <cellStyle name="Normal 6 4" xfId="60003"/>
    <cellStyle name="Normal 7" xfId="60004"/>
    <cellStyle name="Normal 7 2" xfId="60005"/>
    <cellStyle name="Normal 7_FORM_conso_ปรับปรุง_Q1_54_update" xfId="60006"/>
    <cellStyle name="Normal 8" xfId="60007"/>
    <cellStyle name="Normal 8 2" xfId="60008"/>
    <cellStyle name="Normal 8 2 2" xfId="60009"/>
    <cellStyle name="Normal 8 3" xfId="60010"/>
    <cellStyle name="Normal 8 3 2" xfId="60011"/>
    <cellStyle name="Normal 8 4" xfId="60012"/>
    <cellStyle name="Normal 8 5" xfId="60013"/>
    <cellStyle name="Normal 8_FS8 (แก้ไข)" xfId="60014"/>
    <cellStyle name="Normal 9" xfId="60015"/>
    <cellStyle name="Normal 9 2" xfId="60016"/>
    <cellStyle name="Normal 9 2 2" xfId="60017"/>
    <cellStyle name="Normal 9 2 3" xfId="60018"/>
    <cellStyle name="Normal 9 3" xfId="60019"/>
    <cellStyle name="Normal 9 3 2" xfId="60020"/>
    <cellStyle name="Normal 9 4" xfId="60021"/>
    <cellStyle name="Normal 9_Interest Loan receivable-11" xfId="60022"/>
    <cellStyle name="Note 2" xfId="60023"/>
    <cellStyle name="Note 2 2" xfId="60024"/>
    <cellStyle name="Note 2 3" xfId="60025"/>
    <cellStyle name="Note 3" xfId="60026"/>
    <cellStyle name="Note 4" xfId="60027"/>
    <cellStyle name="Note 5" xfId="60028"/>
    <cellStyle name="Note 6" xfId="60029"/>
    <cellStyle name="nuch" xfId="60030"/>
    <cellStyle name="nuch 10" xfId="60031"/>
    <cellStyle name="nuch 11" xfId="60032"/>
    <cellStyle name="nuch 12" xfId="60033"/>
    <cellStyle name="nuch 13" xfId="60034"/>
    <cellStyle name="nuch 14" xfId="60035"/>
    <cellStyle name="nuch 15" xfId="60036"/>
    <cellStyle name="nuch 16" xfId="60037"/>
    <cellStyle name="nuch 17" xfId="60038"/>
    <cellStyle name="nuch 18" xfId="60039"/>
    <cellStyle name="nuch 2" xfId="60040"/>
    <cellStyle name="nuch 3" xfId="60041"/>
    <cellStyle name="nuch 4" xfId="60042"/>
    <cellStyle name="nuch 5" xfId="60043"/>
    <cellStyle name="nuch 6" xfId="60044"/>
    <cellStyle name="nuch 7" xfId="60045"/>
    <cellStyle name="nuch 8" xfId="60046"/>
    <cellStyle name="nuch 9" xfId="60047"/>
    <cellStyle name="nuch_1_FS10_10.1_เงินให้กู้ยืมและเงินให้กู้ยืม_Q254_2" xfId="60048"/>
    <cellStyle name="Option" xfId="60049"/>
    <cellStyle name="Option 2" xfId="60050"/>
    <cellStyle name="Option 3" xfId="60051"/>
    <cellStyle name="Output 2" xfId="60052"/>
    <cellStyle name="Output 2 2" xfId="60053"/>
    <cellStyle name="Output 3" xfId="60054"/>
    <cellStyle name="Output 4" xfId="60055"/>
    <cellStyle name="Output 5" xfId="60056"/>
    <cellStyle name="Percent [2]" xfId="60057"/>
    <cellStyle name="Percent [2] 10" xfId="60058"/>
    <cellStyle name="Percent [2] 11" xfId="60059"/>
    <cellStyle name="Percent [2] 12" xfId="60060"/>
    <cellStyle name="Percent [2] 13" xfId="60061"/>
    <cellStyle name="Percent [2] 14" xfId="60062"/>
    <cellStyle name="Percent [2] 15" xfId="60063"/>
    <cellStyle name="Percent [2] 16" xfId="60064"/>
    <cellStyle name="Percent [2] 17" xfId="60065"/>
    <cellStyle name="Percent [2] 18" xfId="60066"/>
    <cellStyle name="Percent [2] 2" xfId="60067"/>
    <cellStyle name="Percent [2] 3" xfId="60068"/>
    <cellStyle name="Percent [2] 4" xfId="60069"/>
    <cellStyle name="Percent [2] 5" xfId="60070"/>
    <cellStyle name="Percent [2] 6" xfId="60071"/>
    <cellStyle name="Percent [2] 7" xfId="60072"/>
    <cellStyle name="Percent [2] 8" xfId="60073"/>
    <cellStyle name="Percent [2] 9" xfId="60074"/>
    <cellStyle name="Percent 10" xfId="60075"/>
    <cellStyle name="Percent 10 2" xfId="60076"/>
    <cellStyle name="Percent 11" xfId="60077"/>
    <cellStyle name="Percent 12" xfId="60078"/>
    <cellStyle name="Percent 13" xfId="60079"/>
    <cellStyle name="Percent 14" xfId="60080"/>
    <cellStyle name="Percent 14 2" xfId="60081"/>
    <cellStyle name="Percent 14 3" xfId="60082"/>
    <cellStyle name="Percent 14 4" xfId="60083"/>
    <cellStyle name="Percent 14 5" xfId="60084"/>
    <cellStyle name="Percent 15" xfId="60085"/>
    <cellStyle name="Percent 16" xfId="60086"/>
    <cellStyle name="Percent 2 3" xfId="60087"/>
    <cellStyle name="Percent 2 2" xfId="60088"/>
    <cellStyle name="Percent 3" xfId="60089"/>
    <cellStyle name="Percent 3 2" xfId="60090"/>
    <cellStyle name="Percent 3 3" xfId="60091"/>
    <cellStyle name="Percent 3 4" xfId="60092"/>
    <cellStyle name="Percent 4" xfId="60093"/>
    <cellStyle name="Percent 4 2" xfId="60094"/>
    <cellStyle name="Percent 5" xfId="60095"/>
    <cellStyle name="Percent 5 2" xfId="60096"/>
    <cellStyle name="Percent 6" xfId="60097"/>
    <cellStyle name="Percent 6 2" xfId="60098"/>
    <cellStyle name="Percent 7" xfId="60099"/>
    <cellStyle name="Percent 8" xfId="60100"/>
    <cellStyle name="Percent 8 2" xfId="60101"/>
    <cellStyle name="Percent 9" xfId="60102"/>
    <cellStyle name="Percent 9 2" xfId="60103"/>
    <cellStyle name="pldt" xfId="60104"/>
    <cellStyle name="pldt 10" xfId="60105"/>
    <cellStyle name="pldt 11" xfId="60106"/>
    <cellStyle name="pldt 12" xfId="60107"/>
    <cellStyle name="pldt 13" xfId="60108"/>
    <cellStyle name="pldt 14" xfId="60109"/>
    <cellStyle name="pldt 15" xfId="60110"/>
    <cellStyle name="pldt 16" xfId="60111"/>
    <cellStyle name="pldt 17" xfId="60112"/>
    <cellStyle name="pldt 18" xfId="60113"/>
    <cellStyle name="pldt 19" xfId="60114"/>
    <cellStyle name="pldt 2" xfId="60115"/>
    <cellStyle name="pldt 20" xfId="60116"/>
    <cellStyle name="pldt 21" xfId="60117"/>
    <cellStyle name="pldt 22" xfId="60118"/>
    <cellStyle name="pldt 23" xfId="60119"/>
    <cellStyle name="pldt 24" xfId="60120"/>
    <cellStyle name="pldt 25" xfId="60121"/>
    <cellStyle name="pldt 26" xfId="60122"/>
    <cellStyle name="pldt 3" xfId="60123"/>
    <cellStyle name="pldt 4" xfId="60124"/>
    <cellStyle name="pldt 5" xfId="60125"/>
    <cellStyle name="pldt 6" xfId="60126"/>
    <cellStyle name="pldt 7" xfId="60127"/>
    <cellStyle name="pldt 8" xfId="60128"/>
    <cellStyle name="pldt 9" xfId="60129"/>
    <cellStyle name="Quantity" xfId="60130"/>
    <cellStyle name="Quantity 10" xfId="60131"/>
    <cellStyle name="Quantity 11" xfId="60132"/>
    <cellStyle name="Quantity 12" xfId="60133"/>
    <cellStyle name="Quantity 13" xfId="60134"/>
    <cellStyle name="Quantity 14" xfId="60135"/>
    <cellStyle name="Quantity 15" xfId="60136"/>
    <cellStyle name="Quantity 16" xfId="60137"/>
    <cellStyle name="Quantity 17" xfId="60138"/>
    <cellStyle name="Quantity 18" xfId="60139"/>
    <cellStyle name="Quantity 2" xfId="60140"/>
    <cellStyle name="Quantity 3" xfId="60141"/>
    <cellStyle name="Quantity 4" xfId="60142"/>
    <cellStyle name="Quantity 5" xfId="60143"/>
    <cellStyle name="Quantity 6" xfId="60144"/>
    <cellStyle name="Quantity 7" xfId="60145"/>
    <cellStyle name="Quantity 8" xfId="60146"/>
    <cellStyle name="Quantity 9" xfId="60147"/>
    <cellStyle name="Quantity_1_FS10_10.1_เงินให้กู้ยืมและเงินให้กู้ยืม_Q254_2" xfId="60148"/>
    <cellStyle name="SAPBEXaggData" xfId="60149"/>
    <cellStyle name="SAPBEXaggDataEmph" xfId="60150"/>
    <cellStyle name="SAPBEXaggItem" xfId="60151"/>
    <cellStyle name="SAPBEXaggItemX" xfId="60152"/>
    <cellStyle name="SAPBEXchaText" xfId="60153"/>
    <cellStyle name="SAPBEXchaText 10" xfId="60154"/>
    <cellStyle name="SAPBEXchaText 11" xfId="60155"/>
    <cellStyle name="SAPBEXchaText 12" xfId="60156"/>
    <cellStyle name="SAPBEXchaText 13" xfId="60157"/>
    <cellStyle name="SAPBEXchaText 14" xfId="60158"/>
    <cellStyle name="SAPBEXchaText 15" xfId="60159"/>
    <cellStyle name="SAPBEXchaText 16" xfId="60160"/>
    <cellStyle name="SAPBEXchaText 17" xfId="60161"/>
    <cellStyle name="SAPBEXchaText 18" xfId="60162"/>
    <cellStyle name="SAPBEXchaText 2" xfId="60163"/>
    <cellStyle name="SAPBEXchaText 3" xfId="60164"/>
    <cellStyle name="SAPBEXchaText 4" xfId="60165"/>
    <cellStyle name="SAPBEXchaText 5" xfId="60166"/>
    <cellStyle name="SAPBEXchaText 6" xfId="60167"/>
    <cellStyle name="SAPBEXchaText 7" xfId="60168"/>
    <cellStyle name="SAPBEXchaText 8" xfId="60169"/>
    <cellStyle name="SAPBEXchaText 9" xfId="60170"/>
    <cellStyle name="SAPBEXchaText_1_FS10_10.1_เงินให้กู้ยืมและเงินให้กู้ยืม_Q254_2" xfId="60171"/>
    <cellStyle name="SAPBEXexcBad7" xfId="60172"/>
    <cellStyle name="SAPBEXexcBad8" xfId="60173"/>
    <cellStyle name="SAPBEXexcBad9" xfId="60174"/>
    <cellStyle name="SAPBEXexcCritical4" xfId="60175"/>
    <cellStyle name="SAPBEXexcCritical5" xfId="60176"/>
    <cellStyle name="SAPBEXexcCritical6" xfId="60177"/>
    <cellStyle name="SAPBEXexcGood1" xfId="60178"/>
    <cellStyle name="SAPBEXexcGood2" xfId="60179"/>
    <cellStyle name="SAPBEXexcGood3" xfId="60180"/>
    <cellStyle name="SAPBEXfilterDrill" xfId="60181"/>
    <cellStyle name="SAPBEXfilterItem" xfId="60182"/>
    <cellStyle name="SAPBEXfilterText" xfId="60183"/>
    <cellStyle name="SAPBEXfilterText 10" xfId="60184"/>
    <cellStyle name="SAPBEXfilterText 11" xfId="60185"/>
    <cellStyle name="SAPBEXfilterText 12" xfId="60186"/>
    <cellStyle name="SAPBEXfilterText 13" xfId="60187"/>
    <cellStyle name="SAPBEXfilterText 14" xfId="60188"/>
    <cellStyle name="SAPBEXfilterText 15" xfId="60189"/>
    <cellStyle name="SAPBEXfilterText 16" xfId="60190"/>
    <cellStyle name="SAPBEXfilterText 17" xfId="60191"/>
    <cellStyle name="SAPBEXfilterText 18" xfId="60192"/>
    <cellStyle name="SAPBEXfilterText 2" xfId="60193"/>
    <cellStyle name="SAPBEXfilterText 3" xfId="60194"/>
    <cellStyle name="SAPBEXfilterText 4" xfId="60195"/>
    <cellStyle name="SAPBEXfilterText 5" xfId="60196"/>
    <cellStyle name="SAPBEXfilterText 6" xfId="60197"/>
    <cellStyle name="SAPBEXfilterText 7" xfId="60198"/>
    <cellStyle name="SAPBEXfilterText 8" xfId="60199"/>
    <cellStyle name="SAPBEXfilterText 9" xfId="60200"/>
    <cellStyle name="SAPBEXfilterText_1_FS10_10.1_เงินให้กู้ยืมและเงินให้กู้ยืม_Q254_2" xfId="60201"/>
    <cellStyle name="SAPBEXformats" xfId="60202"/>
    <cellStyle name="SAPBEXformats 10" xfId="60203"/>
    <cellStyle name="SAPBEXformats 11" xfId="60204"/>
    <cellStyle name="SAPBEXformats 12" xfId="60205"/>
    <cellStyle name="SAPBEXformats 13" xfId="60206"/>
    <cellStyle name="SAPBEXformats 14" xfId="60207"/>
    <cellStyle name="SAPBEXformats 15" xfId="60208"/>
    <cellStyle name="SAPBEXformats 16" xfId="60209"/>
    <cellStyle name="SAPBEXformats 17" xfId="60210"/>
    <cellStyle name="SAPBEXformats 18" xfId="60211"/>
    <cellStyle name="SAPBEXformats 2" xfId="60212"/>
    <cellStyle name="SAPBEXformats 3" xfId="60213"/>
    <cellStyle name="SAPBEXformats 4" xfId="60214"/>
    <cellStyle name="SAPBEXformats 5" xfId="60215"/>
    <cellStyle name="SAPBEXformats 6" xfId="60216"/>
    <cellStyle name="SAPBEXformats 7" xfId="60217"/>
    <cellStyle name="SAPBEXformats 8" xfId="60218"/>
    <cellStyle name="SAPBEXformats 9" xfId="60219"/>
    <cellStyle name="SAPBEXformats_1_FS10_10.1_เงินให้กู้ยืมและเงินให้กู้ยืม_Q254_2" xfId="60220"/>
    <cellStyle name="SAPBEXheaderItem" xfId="60221"/>
    <cellStyle name="SAPBEXheaderItem 10" xfId="60222"/>
    <cellStyle name="SAPBEXheaderItem 11" xfId="60223"/>
    <cellStyle name="SAPBEXheaderItem 12" xfId="60224"/>
    <cellStyle name="SAPBEXheaderItem 13" xfId="60225"/>
    <cellStyle name="SAPBEXheaderItem 14" xfId="60226"/>
    <cellStyle name="SAPBEXheaderItem 15" xfId="60227"/>
    <cellStyle name="SAPBEXheaderItem 16" xfId="60228"/>
    <cellStyle name="SAPBEXheaderItem 17" xfId="60229"/>
    <cellStyle name="SAPBEXheaderItem 18" xfId="60230"/>
    <cellStyle name="SAPBEXheaderItem 19" xfId="60231"/>
    <cellStyle name="SAPBEXheaderItem 2" xfId="60232"/>
    <cellStyle name="SAPBEXheaderItem 20" xfId="60233"/>
    <cellStyle name="SAPBEXheaderItem 21" xfId="60234"/>
    <cellStyle name="SAPBEXheaderItem 22" xfId="60235"/>
    <cellStyle name="SAPBEXheaderItem 23" xfId="60236"/>
    <cellStyle name="SAPBEXheaderItem 24" xfId="60237"/>
    <cellStyle name="SAPBEXheaderItem 3" xfId="60238"/>
    <cellStyle name="SAPBEXheaderItem 4" xfId="60239"/>
    <cellStyle name="SAPBEXheaderItem 5" xfId="60240"/>
    <cellStyle name="SAPBEXheaderItem 6" xfId="60241"/>
    <cellStyle name="SAPBEXheaderItem 7" xfId="60242"/>
    <cellStyle name="SAPBEXheaderItem 8" xfId="60243"/>
    <cellStyle name="SAPBEXheaderItem 9" xfId="60244"/>
    <cellStyle name="SAPBEXheaderItem_1_FS10_10.1_เงินให้กู้ยืมและเงินให้กู้ยืม_Q254_2" xfId="60245"/>
    <cellStyle name="SAPBEXheaderText" xfId="60246"/>
    <cellStyle name="SAPBEXheaderText 10" xfId="60247"/>
    <cellStyle name="SAPBEXheaderText 11" xfId="60248"/>
    <cellStyle name="SAPBEXheaderText 12" xfId="60249"/>
    <cellStyle name="SAPBEXheaderText 13" xfId="60250"/>
    <cellStyle name="SAPBEXheaderText 14" xfId="60251"/>
    <cellStyle name="SAPBEXheaderText 15" xfId="60252"/>
    <cellStyle name="SAPBEXheaderText 16" xfId="60253"/>
    <cellStyle name="SAPBEXheaderText 17" xfId="60254"/>
    <cellStyle name="SAPBEXheaderText 18" xfId="60255"/>
    <cellStyle name="SAPBEXheaderText 19" xfId="60256"/>
    <cellStyle name="SAPBEXheaderText 2" xfId="60257"/>
    <cellStyle name="SAPBEXheaderText 20" xfId="60258"/>
    <cellStyle name="SAPBEXheaderText 21" xfId="60259"/>
    <cellStyle name="SAPBEXheaderText 22" xfId="60260"/>
    <cellStyle name="SAPBEXheaderText 23" xfId="60261"/>
    <cellStyle name="SAPBEXheaderText 24" xfId="60262"/>
    <cellStyle name="SAPBEXheaderText 3" xfId="60263"/>
    <cellStyle name="SAPBEXheaderText 4" xfId="60264"/>
    <cellStyle name="SAPBEXheaderText 5" xfId="60265"/>
    <cellStyle name="SAPBEXheaderText 6" xfId="60266"/>
    <cellStyle name="SAPBEXheaderText 7" xfId="60267"/>
    <cellStyle name="SAPBEXheaderText 8" xfId="60268"/>
    <cellStyle name="SAPBEXheaderText 9" xfId="60269"/>
    <cellStyle name="SAPBEXheaderText_1_FS10_10.1_เงินให้กู้ยืมและเงินให้กู้ยืม_Q254_2" xfId="60270"/>
    <cellStyle name="SAPBEXHLevel0" xfId="60271"/>
    <cellStyle name="SAPBEXHLevel0 10" xfId="60272"/>
    <cellStyle name="SAPBEXHLevel0 11" xfId="60273"/>
    <cellStyle name="SAPBEXHLevel0 12" xfId="60274"/>
    <cellStyle name="SAPBEXHLevel0 13" xfId="60275"/>
    <cellStyle name="SAPBEXHLevel0 14" xfId="60276"/>
    <cellStyle name="SAPBEXHLevel0 15" xfId="60277"/>
    <cellStyle name="SAPBEXHLevel0 16" xfId="60278"/>
    <cellStyle name="SAPBEXHLevel0 17" xfId="60279"/>
    <cellStyle name="SAPBEXHLevel0 18" xfId="60280"/>
    <cellStyle name="SAPBEXHLevel0 2" xfId="60281"/>
    <cellStyle name="SAPBEXHLevel0 3" xfId="60282"/>
    <cellStyle name="SAPBEXHLevel0 4" xfId="60283"/>
    <cellStyle name="SAPBEXHLevel0 5" xfId="60284"/>
    <cellStyle name="SAPBEXHLevel0 6" xfId="60285"/>
    <cellStyle name="SAPBEXHLevel0 7" xfId="60286"/>
    <cellStyle name="SAPBEXHLevel0 8" xfId="60287"/>
    <cellStyle name="SAPBEXHLevel0 9" xfId="60288"/>
    <cellStyle name="SAPBEXHLevel0_1_FS10_10.1_เงินให้กู้ยืมและเงินให้กู้ยืม_Q254_2" xfId="60289"/>
    <cellStyle name="SAPBEXHLevel0X" xfId="60290"/>
    <cellStyle name="SAPBEXHLevel0X 10" xfId="60291"/>
    <cellStyle name="SAPBEXHLevel0X 11" xfId="60292"/>
    <cellStyle name="SAPBEXHLevel0X 12" xfId="60293"/>
    <cellStyle name="SAPBEXHLevel0X 13" xfId="60294"/>
    <cellStyle name="SAPBEXHLevel0X 14" xfId="60295"/>
    <cellStyle name="SAPBEXHLevel0X 15" xfId="60296"/>
    <cellStyle name="SAPBEXHLevel0X 16" xfId="60297"/>
    <cellStyle name="SAPBEXHLevel0X 17" xfId="60298"/>
    <cellStyle name="SAPBEXHLevel0X 18" xfId="60299"/>
    <cellStyle name="SAPBEXHLevel0X 2" xfId="60300"/>
    <cellStyle name="SAPBEXHLevel0X 3" xfId="60301"/>
    <cellStyle name="SAPBEXHLevel0X 4" xfId="60302"/>
    <cellStyle name="SAPBEXHLevel0X 5" xfId="60303"/>
    <cellStyle name="SAPBEXHLevel0X 6" xfId="60304"/>
    <cellStyle name="SAPBEXHLevel0X 7" xfId="60305"/>
    <cellStyle name="SAPBEXHLevel0X 8" xfId="60306"/>
    <cellStyle name="SAPBEXHLevel0X 9" xfId="60307"/>
    <cellStyle name="SAPBEXHLevel0X_1_FS10_10.1_เงินให้กู้ยืมและเงินให้กู้ยืม_Q254_2" xfId="60308"/>
    <cellStyle name="SAPBEXHLevel1" xfId="60309"/>
    <cellStyle name="SAPBEXHLevel1 10" xfId="60310"/>
    <cellStyle name="SAPBEXHLevel1 11" xfId="60311"/>
    <cellStyle name="SAPBEXHLevel1 12" xfId="60312"/>
    <cellStyle name="SAPBEXHLevel1 13" xfId="60313"/>
    <cellStyle name="SAPBEXHLevel1 14" xfId="60314"/>
    <cellStyle name="SAPBEXHLevel1 15" xfId="60315"/>
    <cellStyle name="SAPBEXHLevel1 16" xfId="60316"/>
    <cellStyle name="SAPBEXHLevel1 17" xfId="60317"/>
    <cellStyle name="SAPBEXHLevel1 18" xfId="60318"/>
    <cellStyle name="SAPBEXHLevel1 2" xfId="60319"/>
    <cellStyle name="SAPBEXHLevel1 3" xfId="60320"/>
    <cellStyle name="SAPBEXHLevel1 4" xfId="60321"/>
    <cellStyle name="SAPBEXHLevel1 5" xfId="60322"/>
    <cellStyle name="SAPBEXHLevel1 6" xfId="60323"/>
    <cellStyle name="SAPBEXHLevel1 7" xfId="60324"/>
    <cellStyle name="SAPBEXHLevel1 8" xfId="60325"/>
    <cellStyle name="SAPBEXHLevel1 9" xfId="60326"/>
    <cellStyle name="SAPBEXHLevel1_1_FS10_10.1_เงินให้กู้ยืมและเงินให้กู้ยืม_Q254_2" xfId="60327"/>
    <cellStyle name="SAPBEXHLevel1X" xfId="60328"/>
    <cellStyle name="SAPBEXHLevel1X 10" xfId="60329"/>
    <cellStyle name="SAPBEXHLevel1X 11" xfId="60330"/>
    <cellStyle name="SAPBEXHLevel1X 12" xfId="60331"/>
    <cellStyle name="SAPBEXHLevel1X 13" xfId="60332"/>
    <cellStyle name="SAPBEXHLevel1X 14" xfId="60333"/>
    <cellStyle name="SAPBEXHLevel1X 15" xfId="60334"/>
    <cellStyle name="SAPBEXHLevel1X 16" xfId="60335"/>
    <cellStyle name="SAPBEXHLevel1X 17" xfId="60336"/>
    <cellStyle name="SAPBEXHLevel1X 18" xfId="60337"/>
    <cellStyle name="SAPBEXHLevel1X 2" xfId="60338"/>
    <cellStyle name="SAPBEXHLevel1X 3" xfId="60339"/>
    <cellStyle name="SAPBEXHLevel1X 4" xfId="60340"/>
    <cellStyle name="SAPBEXHLevel1X 5" xfId="60341"/>
    <cellStyle name="SAPBEXHLevel1X 6" xfId="60342"/>
    <cellStyle name="SAPBEXHLevel1X 7" xfId="60343"/>
    <cellStyle name="SAPBEXHLevel1X 8" xfId="60344"/>
    <cellStyle name="SAPBEXHLevel1X 9" xfId="60345"/>
    <cellStyle name="SAPBEXHLevel1X_1_FS10_10.1_เงินให้กู้ยืมและเงินให้กู้ยืม_Q254_2" xfId="60346"/>
    <cellStyle name="SAPBEXHLevel2" xfId="60347"/>
    <cellStyle name="SAPBEXHLevel2 10" xfId="60348"/>
    <cellStyle name="SAPBEXHLevel2 11" xfId="60349"/>
    <cellStyle name="SAPBEXHLevel2 12" xfId="60350"/>
    <cellStyle name="SAPBEXHLevel2 13" xfId="60351"/>
    <cellStyle name="SAPBEXHLevel2 14" xfId="60352"/>
    <cellStyle name="SAPBEXHLevel2 15" xfId="60353"/>
    <cellStyle name="SAPBEXHLevel2 16" xfId="60354"/>
    <cellStyle name="SAPBEXHLevel2 17" xfId="60355"/>
    <cellStyle name="SAPBEXHLevel2 18" xfId="60356"/>
    <cellStyle name="SAPBEXHLevel2 2" xfId="60357"/>
    <cellStyle name="SAPBEXHLevel2 3" xfId="60358"/>
    <cellStyle name="SAPBEXHLevel2 4" xfId="60359"/>
    <cellStyle name="SAPBEXHLevel2 5" xfId="60360"/>
    <cellStyle name="SAPBEXHLevel2 6" xfId="60361"/>
    <cellStyle name="SAPBEXHLevel2 7" xfId="60362"/>
    <cellStyle name="SAPBEXHLevel2 8" xfId="60363"/>
    <cellStyle name="SAPBEXHLevel2 9" xfId="60364"/>
    <cellStyle name="SAPBEXHLevel2_1_FS10_10.1_เงินให้กู้ยืมและเงินให้กู้ยืม_Q254_2" xfId="60365"/>
    <cellStyle name="SAPBEXHLevel2X" xfId="60366"/>
    <cellStyle name="SAPBEXHLevel2X 10" xfId="60367"/>
    <cellStyle name="SAPBEXHLevel2X 11" xfId="60368"/>
    <cellStyle name="SAPBEXHLevel2X 12" xfId="60369"/>
    <cellStyle name="SAPBEXHLevel2X 13" xfId="60370"/>
    <cellStyle name="SAPBEXHLevel2X 14" xfId="60371"/>
    <cellStyle name="SAPBEXHLevel2X 15" xfId="60372"/>
    <cellStyle name="SAPBEXHLevel2X 16" xfId="60373"/>
    <cellStyle name="SAPBEXHLevel2X 17" xfId="60374"/>
    <cellStyle name="SAPBEXHLevel2X 18" xfId="60375"/>
    <cellStyle name="SAPBEXHLevel2X 2" xfId="60376"/>
    <cellStyle name="SAPBEXHLevel2X 3" xfId="60377"/>
    <cellStyle name="SAPBEXHLevel2X 4" xfId="60378"/>
    <cellStyle name="SAPBEXHLevel2X 5" xfId="60379"/>
    <cellStyle name="SAPBEXHLevel2X 6" xfId="60380"/>
    <cellStyle name="SAPBEXHLevel2X 7" xfId="60381"/>
    <cellStyle name="SAPBEXHLevel2X 8" xfId="60382"/>
    <cellStyle name="SAPBEXHLevel2X 9" xfId="60383"/>
    <cellStyle name="SAPBEXHLevel2X_1_FS10_10.1_เงินให้กู้ยืมและเงินให้กู้ยืม_Q254_2" xfId="60384"/>
    <cellStyle name="SAPBEXHLevel3" xfId="60385"/>
    <cellStyle name="SAPBEXHLevel3 10" xfId="60386"/>
    <cellStyle name="SAPBEXHLevel3 11" xfId="60387"/>
    <cellStyle name="SAPBEXHLevel3 12" xfId="60388"/>
    <cellStyle name="SAPBEXHLevel3 13" xfId="60389"/>
    <cellStyle name="SAPBEXHLevel3 14" xfId="60390"/>
    <cellStyle name="SAPBEXHLevel3 15" xfId="60391"/>
    <cellStyle name="SAPBEXHLevel3 16" xfId="60392"/>
    <cellStyle name="SAPBEXHLevel3 17" xfId="60393"/>
    <cellStyle name="SAPBEXHLevel3 18" xfId="60394"/>
    <cellStyle name="SAPBEXHLevel3 2" xfId="60395"/>
    <cellStyle name="SAPBEXHLevel3 3" xfId="60396"/>
    <cellStyle name="SAPBEXHLevel3 4" xfId="60397"/>
    <cellStyle name="SAPBEXHLevel3 5" xfId="60398"/>
    <cellStyle name="SAPBEXHLevel3 6" xfId="60399"/>
    <cellStyle name="SAPBEXHLevel3 7" xfId="60400"/>
    <cellStyle name="SAPBEXHLevel3 8" xfId="60401"/>
    <cellStyle name="SAPBEXHLevel3 9" xfId="60402"/>
    <cellStyle name="SAPBEXHLevel3_1_FS10_10.1_เงินให้กู้ยืมและเงินให้กู้ยืม_Q254_2" xfId="60403"/>
    <cellStyle name="SAPBEXHLevel3X" xfId="60404"/>
    <cellStyle name="SAPBEXHLevel3X 10" xfId="60405"/>
    <cellStyle name="SAPBEXHLevel3X 11" xfId="60406"/>
    <cellStyle name="SAPBEXHLevel3X 12" xfId="60407"/>
    <cellStyle name="SAPBEXHLevel3X 13" xfId="60408"/>
    <cellStyle name="SAPBEXHLevel3X 14" xfId="60409"/>
    <cellStyle name="SAPBEXHLevel3X 15" xfId="60410"/>
    <cellStyle name="SAPBEXHLevel3X 16" xfId="60411"/>
    <cellStyle name="SAPBEXHLevel3X 17" xfId="60412"/>
    <cellStyle name="SAPBEXHLevel3X 18" xfId="60413"/>
    <cellStyle name="SAPBEXHLevel3X 2" xfId="60414"/>
    <cellStyle name="SAPBEXHLevel3X 3" xfId="60415"/>
    <cellStyle name="SAPBEXHLevel3X 4" xfId="60416"/>
    <cellStyle name="SAPBEXHLevel3X 5" xfId="60417"/>
    <cellStyle name="SAPBEXHLevel3X 6" xfId="60418"/>
    <cellStyle name="SAPBEXHLevel3X 7" xfId="60419"/>
    <cellStyle name="SAPBEXHLevel3X 8" xfId="60420"/>
    <cellStyle name="SAPBEXHLevel3X 9" xfId="60421"/>
    <cellStyle name="SAPBEXHLevel3X_1_FS10_10.1_เงินให้กู้ยืมและเงินให้กู้ยืม_Q254_2" xfId="60422"/>
    <cellStyle name="SAPBEXresData" xfId="60423"/>
    <cellStyle name="SAPBEXresDataEmph" xfId="60424"/>
    <cellStyle name="SAPBEXresItem" xfId="60425"/>
    <cellStyle name="SAPBEXresItemX" xfId="60426"/>
    <cellStyle name="SAPBEXstdData" xfId="60427"/>
    <cellStyle name="SAPBEXstdDataEmph" xfId="60428"/>
    <cellStyle name="SAPBEXstdItem" xfId="60429"/>
    <cellStyle name="SAPBEXstdItem 10" xfId="60430"/>
    <cellStyle name="SAPBEXstdItem 11" xfId="60431"/>
    <cellStyle name="SAPBEXstdItem 12" xfId="60432"/>
    <cellStyle name="SAPBEXstdItem 13" xfId="60433"/>
    <cellStyle name="SAPBEXstdItem 14" xfId="60434"/>
    <cellStyle name="SAPBEXstdItem 15" xfId="60435"/>
    <cellStyle name="SAPBEXstdItem 16" xfId="60436"/>
    <cellStyle name="SAPBEXstdItem 17" xfId="60437"/>
    <cellStyle name="SAPBEXstdItem 18" xfId="60438"/>
    <cellStyle name="SAPBEXstdItem 2" xfId="60439"/>
    <cellStyle name="SAPBEXstdItem 3" xfId="60440"/>
    <cellStyle name="SAPBEXstdItem 4" xfId="60441"/>
    <cellStyle name="SAPBEXstdItem 5" xfId="60442"/>
    <cellStyle name="SAPBEXstdItem 6" xfId="60443"/>
    <cellStyle name="SAPBEXstdItem 7" xfId="60444"/>
    <cellStyle name="SAPBEXstdItem 8" xfId="60445"/>
    <cellStyle name="SAPBEXstdItem 9" xfId="60446"/>
    <cellStyle name="SAPBEXstdItem_1_FS10_10.1_เงินให้กู้ยืมและเงินให้กู้ยืม_Q254_2" xfId="60447"/>
    <cellStyle name="SAPBEXstdItemX" xfId="60448"/>
    <cellStyle name="SAPBEXstdItemX 10" xfId="60449"/>
    <cellStyle name="SAPBEXstdItemX 11" xfId="60450"/>
    <cellStyle name="SAPBEXstdItemX 12" xfId="60451"/>
    <cellStyle name="SAPBEXstdItemX 13" xfId="60452"/>
    <cellStyle name="SAPBEXstdItemX 14" xfId="60453"/>
    <cellStyle name="SAPBEXstdItemX 15" xfId="60454"/>
    <cellStyle name="SAPBEXstdItemX 16" xfId="60455"/>
    <cellStyle name="SAPBEXstdItemX 17" xfId="60456"/>
    <cellStyle name="SAPBEXstdItemX 18" xfId="60457"/>
    <cellStyle name="SAPBEXstdItemX 2" xfId="60458"/>
    <cellStyle name="SAPBEXstdItemX 3" xfId="60459"/>
    <cellStyle name="SAPBEXstdItemX 4" xfId="60460"/>
    <cellStyle name="SAPBEXstdItemX 5" xfId="60461"/>
    <cellStyle name="SAPBEXstdItemX 6" xfId="60462"/>
    <cellStyle name="SAPBEXstdItemX 7" xfId="60463"/>
    <cellStyle name="SAPBEXstdItemX 8" xfId="60464"/>
    <cellStyle name="SAPBEXstdItemX 9" xfId="60465"/>
    <cellStyle name="SAPBEXstdItemX_1_FS10_10.1_เงินให้กู้ยืมและเงินให้กู้ยืม_Q254_2" xfId="60466"/>
    <cellStyle name="SAPBEXtitle" xfId="60467"/>
    <cellStyle name="SAPBEXtitle 10" xfId="60468"/>
    <cellStyle name="SAPBEXtitle 11" xfId="60469"/>
    <cellStyle name="SAPBEXtitle 12" xfId="60470"/>
    <cellStyle name="SAPBEXtitle 13" xfId="60471"/>
    <cellStyle name="SAPBEXtitle 14" xfId="60472"/>
    <cellStyle name="SAPBEXtitle 15" xfId="60473"/>
    <cellStyle name="SAPBEXtitle 16" xfId="60474"/>
    <cellStyle name="SAPBEXtitle 17" xfId="60475"/>
    <cellStyle name="SAPBEXtitle 18" xfId="60476"/>
    <cellStyle name="SAPBEXtitle 2" xfId="60477"/>
    <cellStyle name="SAPBEXtitle 3" xfId="60478"/>
    <cellStyle name="SAPBEXtitle 4" xfId="60479"/>
    <cellStyle name="SAPBEXtitle 5" xfId="60480"/>
    <cellStyle name="SAPBEXtitle 6" xfId="60481"/>
    <cellStyle name="SAPBEXtitle 7" xfId="60482"/>
    <cellStyle name="SAPBEXtitle 8" xfId="60483"/>
    <cellStyle name="SAPBEXtitle 9" xfId="60484"/>
    <cellStyle name="SAPBEXtitle_1_FS10_10.1_เงินให้กู้ยืมและเงินให้กู้ยืม_Q254_2" xfId="60485"/>
    <cellStyle name="SAPBEXundefined" xfId="60486"/>
    <cellStyle name="Section" xfId="60487"/>
    <cellStyle name="Section 2" xfId="60488"/>
    <cellStyle name="Style 1" xfId="60489"/>
    <cellStyle name="Style 1 10" xfId="60490"/>
    <cellStyle name="Style 1 2" xfId="60491"/>
    <cellStyle name="Style 1 3" xfId="60492"/>
    <cellStyle name="Style 1 4" xfId="60493"/>
    <cellStyle name="Style 1 5" xfId="60494"/>
    <cellStyle name="Style 1 6" xfId="60495"/>
    <cellStyle name="Style 1 7" xfId="60496"/>
    <cellStyle name="Style 1 8" xfId="60497"/>
    <cellStyle name="Style 1 9" xfId="60498"/>
    <cellStyle name="Title 2 3" xfId="60499"/>
    <cellStyle name="Title 2 2" xfId="60500"/>
    <cellStyle name="Title 3" xfId="60501"/>
    <cellStyle name="Title 4" xfId="60502"/>
    <cellStyle name="Title 5" xfId="60503"/>
    <cellStyle name="Total 2" xfId="60504"/>
    <cellStyle name="Total 2 2" xfId="60505"/>
    <cellStyle name="Total 3" xfId="60506"/>
    <cellStyle name="Total 4" xfId="60507"/>
    <cellStyle name="Total 5" xfId="60508"/>
    <cellStyle name="Warning Text 2" xfId="60509"/>
    <cellStyle name="Warning Text 2 2" xfId="60510"/>
    <cellStyle name="Warning Text 3" xfId="60511"/>
    <cellStyle name="Warning Text 4" xfId="60512"/>
    <cellStyle name="Warning Text 5" xfId="60513"/>
    <cellStyle name="Финансовый 9" xfId="60514"/>
    <cellStyle name="Обычный 3 13" xfId="60515"/>
    <cellStyle name="Примечание 2" xfId="60516"/>
    <cellStyle name="Примечание 3" xfId="60517"/>
    <cellStyle name="Стиль 1" xfId="60518"/>
    <cellStyle name="Финансовый [0] 2 2" xfId="60519"/>
    <cellStyle name="Финансовый 2 4" xfId="60520"/>
    <cellStyle name="เครื่องหมายจุลภาค [0]_defertax46q146" xfId="60521"/>
    <cellStyle name="เครื่องหมายจุลภาค 10" xfId="60522"/>
    <cellStyle name="เครื่องหมายจุลภาค 10 2" xfId="60523"/>
    <cellStyle name="เครื่องหมายจุลภาค 11" xfId="60524"/>
    <cellStyle name="เครื่องหมายจุลภาค 11 2" xfId="60525"/>
    <cellStyle name="เครื่องหมายจุลภาค 12" xfId="60526"/>
    <cellStyle name="เครื่องหมายจุลภาค 12 2" xfId="60527"/>
    <cellStyle name="เครื่องหมายจุลภาค 2" xfId="60528"/>
    <cellStyle name="เครื่องหมายจุลภาค 2 2" xfId="60529"/>
    <cellStyle name="เครื่องหมายจุลภาค 2 2 2" xfId="60530"/>
    <cellStyle name="เครื่องหมายจุลภาค 2 2 3" xfId="60531"/>
    <cellStyle name="เครื่องหมายจุลภาค 2 2 4" xfId="60532"/>
    <cellStyle name="เครื่องหมายจุลภาค 2 3" xfId="60533"/>
    <cellStyle name="เครื่องหมายจุลภาค 2 3 2" xfId="60534"/>
    <cellStyle name="เครื่องหมายจุลภาค 2 3 3" xfId="60535"/>
    <cellStyle name="เครื่องหมายจุลภาค 2 4" xfId="60536"/>
    <cellStyle name="เครื่องหมายจุลภาค 2 4 2" xfId="60537"/>
    <cellStyle name="เครื่องหมายจุลภาค 2 5" xfId="60538"/>
    <cellStyle name="เครื่องหมายจุลภาค 2 6" xfId="60539"/>
    <cellStyle name="เครื่องหมายจุลภาค 2 7" xfId="60540"/>
    <cellStyle name="เครื่องหมายจุลภาค 3" xfId="60541"/>
    <cellStyle name="เครื่องหมายจุลภาค 3 2" xfId="60542"/>
    <cellStyle name="เครื่องหมายจุลภาค 3 2 2" xfId="60543"/>
    <cellStyle name="เครื่องหมายจุลภาค 3 2 2 2" xfId="60544"/>
    <cellStyle name="เครื่องหมายจุลภาค 3 2 3" xfId="60545"/>
    <cellStyle name="เครื่องหมายจุลภาค 3 2 4" xfId="60546"/>
    <cellStyle name="เครื่องหมายจุลภาค 3 3" xfId="60547"/>
    <cellStyle name="เครื่องหมายจุลภาค 3 3 2" xfId="60548"/>
    <cellStyle name="เครื่องหมายจุลภาค 3 3 2 2" xfId="60549"/>
    <cellStyle name="เครื่องหมายจุลภาค 3 3 3" xfId="60550"/>
    <cellStyle name="เครื่องหมายจุลภาค 3 4" xfId="60551"/>
    <cellStyle name="เครื่องหมายจุลภาค 3 4 2" xfId="60552"/>
    <cellStyle name="เครื่องหมายจุลภาค 3 5" xfId="60553"/>
    <cellStyle name="เครื่องหมายจุลภาค 3 6" xfId="60554"/>
    <cellStyle name="เครื่องหมายจุลภาค 4" xfId="60555"/>
    <cellStyle name="เครื่องหมายจุลภาค 4 2" xfId="60556"/>
    <cellStyle name="เครื่องหมายจุลภาค 5" xfId="60557"/>
    <cellStyle name="เครื่องหมายจุลภาค 5 2" xfId="60558"/>
    <cellStyle name="เครื่องหมายจุลภาค 6" xfId="60559"/>
    <cellStyle name="เครื่องหมายจุลภาค 6 2" xfId="60560"/>
    <cellStyle name="เครื่องหมายจุลภาค 6 2 2" xfId="60561"/>
    <cellStyle name="เครื่องหมายจุลภาค 6 2 2 2" xfId="60562"/>
    <cellStyle name="เครื่องหมายจุลภาค 6 2 3" xfId="60563"/>
    <cellStyle name="เครื่องหมายจุลภาค 6 3" xfId="60564"/>
    <cellStyle name="เครื่องหมายจุลภาค 6 3 2" xfId="60565"/>
    <cellStyle name="เครื่องหมายจุลภาค 6 4" xfId="60566"/>
    <cellStyle name="เครื่องหมายจุลภาค 7" xfId="60567"/>
    <cellStyle name="เครื่องหมายจุลภาค 7 2" xfId="60568"/>
    <cellStyle name="เครื่องหมายจุลภาค 8" xfId="60569"/>
    <cellStyle name="เครื่องหมายจุลภาค 8 2" xfId="60570"/>
    <cellStyle name="เครื่องหมายจุลภาค 9" xfId="60571"/>
    <cellStyle name="เครื่องหมายจุลภาค 9 2" xfId="60572"/>
    <cellStyle name="เครื่องหมายจุลภาค_Adt-tax" xfId="60573"/>
    <cellStyle name="เครื่องหมายสกุลเงิน [0]_CPF Q1-46" xfId="60574"/>
    <cellStyle name="เครื่องหมายสกุลเงิน_CPF Q1-46" xfId="60575"/>
    <cellStyle name="เชื่อมโยงหลายมิติ" xfId="60576"/>
    <cellStyle name="เชื่อมโยงหลายมิติ 10" xfId="60577"/>
    <cellStyle name="เชื่อมโยงหลายมิติ 11" xfId="60578"/>
    <cellStyle name="เชื่อมโยงหลายมิติ 12" xfId="60579"/>
    <cellStyle name="เชื่อมโยงหลายมิติ 13" xfId="60580"/>
    <cellStyle name="เชื่อมโยงหลายมิติ 14" xfId="60581"/>
    <cellStyle name="เชื่อมโยงหลายมิติ 15" xfId="60582"/>
    <cellStyle name="เชื่อมโยงหลายมิติ 16" xfId="60583"/>
    <cellStyle name="เชื่อมโยงหลายมิติ 17" xfId="60584"/>
    <cellStyle name="เชื่อมโยงหลายมิติ 18" xfId="60585"/>
    <cellStyle name="เชื่อมโยงหลายมิติ 19" xfId="60586"/>
    <cellStyle name="เชื่อมโยงหลายมิติ 2" xfId="60587"/>
    <cellStyle name="เชื่อมโยงหลายมิติ 2 2" xfId="60588"/>
    <cellStyle name="เชื่อมโยงหลายมิติ 20" xfId="60589"/>
    <cellStyle name="เชื่อมโยงหลายมิติ 3" xfId="60590"/>
    <cellStyle name="เชื่อมโยงหลายมิติ 3 2" xfId="60591"/>
    <cellStyle name="เชื่อมโยงหลายมิติ 4" xfId="60592"/>
    <cellStyle name="เชื่อมโยงหลายมิติ 5" xfId="60593"/>
    <cellStyle name="เชื่อมโยงหลายมิติ 6" xfId="60594"/>
    <cellStyle name="เชื่อมโยงหลายมิติ 7" xfId="60595"/>
    <cellStyle name="เชื่อมโยงหลายมิติ 8" xfId="60596"/>
    <cellStyle name="เชื่อมโยงหลายมิติ 9" xfId="60597"/>
    <cellStyle name="เชื่อมโยงหลายมิติ_1_FS10_10.1_เงินให้กู้ยืมและเงินให้กู้ยืม_Q254_2" xfId="60598"/>
    <cellStyle name="เซลล์ตรวจสอบ" xfId="60599"/>
    <cellStyle name="เซลล์ตรวจสอบ 2" xfId="60600"/>
    <cellStyle name="เซลล์ตรวจสอบ 2 2" xfId="60601"/>
    <cellStyle name="เซลล์ที่มีการเชื่อมโยง" xfId="60602"/>
    <cellStyle name="เซลล์ที่มีการเชื่อมโยง 2" xfId="60603"/>
    <cellStyle name="เซลล์ที่มีการเชื่อมโยง 2 2" xfId="60604"/>
    <cellStyle name="เปอร์เซ็นต์ 10" xfId="60605"/>
    <cellStyle name="เปอร์เซ็นต์ 11" xfId="60606"/>
    <cellStyle name="เปอร์เซ็นต์ 2" xfId="60607"/>
    <cellStyle name="เปอร์เซ็นต์ 3" xfId="60608"/>
    <cellStyle name="เปอร์เซ็นต์ 4" xfId="60609"/>
    <cellStyle name="เปอร์เซ็นต์ 5" xfId="60610"/>
    <cellStyle name="เปอร์เซ็นต์ 6" xfId="60611"/>
    <cellStyle name="เปอร์เซ็นต์ 7" xfId="60612"/>
    <cellStyle name="เปอร์เซ็นต์ 8" xfId="60613"/>
    <cellStyle name="เปอร์เซ็นต์ 9" xfId="60614"/>
    <cellStyle name="แย่" xfId="60615"/>
    <cellStyle name="แย่ 2" xfId="60616"/>
    <cellStyle name="แย่ 2 2" xfId="60617"/>
    <cellStyle name="แสดงผล" xfId="60618"/>
    <cellStyle name="แสดงผล 2" xfId="60619"/>
    <cellStyle name="แสดงผล 2 2" xfId="60620"/>
    <cellStyle name="การคำนวณ" xfId="60621"/>
    <cellStyle name="การคำนวณ 2" xfId="60622"/>
    <cellStyle name="การคำนวณ 2 2" xfId="60623"/>
    <cellStyle name="ข้อความเตือน" xfId="60624"/>
    <cellStyle name="ข้อความเตือน 2" xfId="60625"/>
    <cellStyle name="ข้อความเตือน 2 2" xfId="60626"/>
    <cellStyle name="ข้อความอธิบาย" xfId="60627"/>
    <cellStyle name="ข้อความอธิบาย 2" xfId="60628"/>
    <cellStyle name="ข้อความอธิบาย 2 2" xfId="60629"/>
    <cellStyle name="ชื่อเรื่อง" xfId="60630"/>
    <cellStyle name="ชื่อเรื่อง 2" xfId="60631"/>
    <cellStyle name="ชื่อเรื่อง 2 2" xfId="60632"/>
    <cellStyle name="ดี" xfId="60633"/>
    <cellStyle name="ดี 2" xfId="60634"/>
    <cellStyle name="ดี 2 2" xfId="60635"/>
    <cellStyle name="ตามการเชื่อมโยงหลายมิติ" xfId="60636"/>
    <cellStyle name="ตามการเชื่อมโยงหลายมิติ 10" xfId="60637"/>
    <cellStyle name="ตามการเชื่อมโยงหลายมิติ 11" xfId="60638"/>
    <cellStyle name="ตามการเชื่อมโยงหลายมิติ 12" xfId="60639"/>
    <cellStyle name="ตามการเชื่อมโยงหลายมิติ 13" xfId="60640"/>
    <cellStyle name="ตามการเชื่อมโยงหลายมิติ 14" xfId="60641"/>
    <cellStyle name="ตามการเชื่อมโยงหลายมิติ 15" xfId="60642"/>
    <cellStyle name="ตามการเชื่อมโยงหลายมิติ 16" xfId="60643"/>
    <cellStyle name="ตามการเชื่อมโยงหลายมิติ 17" xfId="60644"/>
    <cellStyle name="ตามการเชื่อมโยงหลายมิติ 18" xfId="60645"/>
    <cellStyle name="ตามการเชื่อมโยงหลายมิติ 19" xfId="60646"/>
    <cellStyle name="ตามการเชื่อมโยงหลายมิติ 2" xfId="60647"/>
    <cellStyle name="ตามการเชื่อมโยงหลายมิติ 20" xfId="60648"/>
    <cellStyle name="ตามการเชื่อมโยงหลายมิติ 3" xfId="60649"/>
    <cellStyle name="ตามการเชื่อมโยงหลายมิติ 4" xfId="60650"/>
    <cellStyle name="ตามการเชื่อมโยงหลายมิติ 5" xfId="60651"/>
    <cellStyle name="ตามการเชื่อมโยงหลายมิติ 6" xfId="60652"/>
    <cellStyle name="ตามการเชื่อมโยงหลายมิติ 7" xfId="60653"/>
    <cellStyle name="ตามการเชื่อมโยงหลายมิติ 8" xfId="60654"/>
    <cellStyle name="ตามการเชื่อมโยงหลายมิติ 9" xfId="60655"/>
    <cellStyle name="ตามการเชื่อมโยงหลายมิติ_1_FS10_10.1_เงินให้กู้ยืมและเงินให้กู้ยืม_Q254_2" xfId="60656"/>
    <cellStyle name="น้บะภฒ_95" xfId="60657"/>
    <cellStyle name="ปกติ 10" xfId="60658"/>
    <cellStyle name="ปกติ 11" xfId="60659"/>
    <cellStyle name="ปกติ 12" xfId="60660"/>
    <cellStyle name="ปกติ 12 2" xfId="60661"/>
    <cellStyle name="ปกติ 12 3" xfId="60662"/>
    <cellStyle name="ปกติ 12 4" xfId="60663"/>
    <cellStyle name="ปกติ 12 5" xfId="60664"/>
    <cellStyle name="ปกติ 12 6" xfId="60665"/>
    <cellStyle name="ปกติ 12 7" xfId="60666"/>
    <cellStyle name="ปกติ 12 8" xfId="60667"/>
    <cellStyle name="ปกติ 12_4_FS4_SUP1_SUP2_เงินลงทุน_Q254" xfId="60668"/>
    <cellStyle name="ปกติ 13" xfId="60669"/>
    <cellStyle name="ปกติ 14" xfId="60670"/>
    <cellStyle name="ปกติ 14 2" xfId="60671"/>
    <cellStyle name="ปกติ 14 3" xfId="60672"/>
    <cellStyle name="ปกติ 14 4" xfId="60673"/>
    <cellStyle name="ปกติ 14 5" xfId="60674"/>
    <cellStyle name="ปกติ 14 6" xfId="60675"/>
    <cellStyle name="ปกติ 14 7" xfId="60676"/>
    <cellStyle name="ปกติ 14 8" xfId="60677"/>
    <cellStyle name="ปกติ 14_4_FS4_SUP1_SUP2_เงินลงทุน_Q254" xfId="60678"/>
    <cellStyle name="ปกติ 15" xfId="60679"/>
    <cellStyle name="ปกติ 16" xfId="60680"/>
    <cellStyle name="ปกติ 17" xfId="60681"/>
    <cellStyle name="ปกติ 17 2" xfId="60682"/>
    <cellStyle name="ปกติ 17 3" xfId="60683"/>
    <cellStyle name="ปกติ 17 4" xfId="60684"/>
    <cellStyle name="ปกติ 17 5" xfId="60685"/>
    <cellStyle name="ปกติ 17 6" xfId="60686"/>
    <cellStyle name="ปกติ 17 7" xfId="60687"/>
    <cellStyle name="ปกติ 17 8" xfId="60688"/>
    <cellStyle name="ปกติ 17_4_FS4_SUP1_SUP2_เงินลงทุน_Q254" xfId="60689"/>
    <cellStyle name="ปกติ 18" xfId="60690"/>
    <cellStyle name="ปกติ 18 2" xfId="60691"/>
    <cellStyle name="ปกติ 18 3" xfId="60692"/>
    <cellStyle name="ปกติ 18 4" xfId="60693"/>
    <cellStyle name="ปกติ 18 5" xfId="60694"/>
    <cellStyle name="ปกติ 18 6" xfId="60695"/>
    <cellStyle name="ปกติ 18 7" xfId="60696"/>
    <cellStyle name="ปกติ 18 8" xfId="60697"/>
    <cellStyle name="ปกติ 18_4_FS4_SUP1_SUP2_เงินลงทุน_Q254" xfId="60698"/>
    <cellStyle name="ปกติ 19" xfId="60699"/>
    <cellStyle name="ปกติ 2" xfId="60700"/>
    <cellStyle name="ปกติ 2 10" xfId="60701"/>
    <cellStyle name="ปกติ 2 11" xfId="60702"/>
    <cellStyle name="ปกติ 2 12" xfId="60703"/>
    <cellStyle name="ปกติ 2 13" xfId="60704"/>
    <cellStyle name="ปกติ 2 14" xfId="60705"/>
    <cellStyle name="ปกติ 2 15" xfId="60706"/>
    <cellStyle name="ปกติ 2 16" xfId="60707"/>
    <cellStyle name="ปกติ 2 2" xfId="60708"/>
    <cellStyle name="ปกติ 2 2 2" xfId="60709"/>
    <cellStyle name="ปกติ 2 2 3" xfId="60710"/>
    <cellStyle name="ปกติ 2 3" xfId="60711"/>
    <cellStyle name="ปกติ 2 4" xfId="60712"/>
    <cellStyle name="ปกติ 2 5" xfId="60713"/>
    <cellStyle name="ปกติ 2 6" xfId="60714"/>
    <cellStyle name="ปกติ 2 7" xfId="60715"/>
    <cellStyle name="ปกติ 2 8" xfId="60716"/>
    <cellStyle name="ปกติ 2 9" xfId="60717"/>
    <cellStyle name="ปกติ 2_1_FS10B_Q154" xfId="60718"/>
    <cellStyle name="ปกติ 20" xfId="60719"/>
    <cellStyle name="ปกติ 21" xfId="60720"/>
    <cellStyle name="ปกติ 21 2" xfId="60721"/>
    <cellStyle name="ปกติ 21 3" xfId="60722"/>
    <cellStyle name="ปกติ 21 4" xfId="60723"/>
    <cellStyle name="ปกติ 21 5" xfId="60724"/>
    <cellStyle name="ปกติ 21 6" xfId="60725"/>
    <cellStyle name="ปกติ 21 7" xfId="60726"/>
    <cellStyle name="ปกติ 21 8" xfId="60727"/>
    <cellStyle name="ปกติ 21_4_FS4_SUP1_SUP2_เงินลงทุน_Q254" xfId="60728"/>
    <cellStyle name="ปกติ 22" xfId="60729"/>
    <cellStyle name="ปกติ 22 2" xfId="60730"/>
    <cellStyle name="ปกติ 22 3" xfId="60731"/>
    <cellStyle name="ปกติ 22 4" xfId="60732"/>
    <cellStyle name="ปกติ 22 5" xfId="60733"/>
    <cellStyle name="ปกติ 22 6" xfId="60734"/>
    <cellStyle name="ปกติ 22 7" xfId="60735"/>
    <cellStyle name="ปกติ 22 8" xfId="60736"/>
    <cellStyle name="ปกติ 22_4_FS4_SUP1_SUP2_เงินลงทุน_Q254" xfId="60737"/>
    <cellStyle name="ปกติ 23" xfId="60738"/>
    <cellStyle name="ปกติ 23 2" xfId="60739"/>
    <cellStyle name="ปกติ 23 3" xfId="60740"/>
    <cellStyle name="ปกติ 23 4" xfId="60741"/>
    <cellStyle name="ปกติ 23 5" xfId="60742"/>
    <cellStyle name="ปกติ 23 6" xfId="60743"/>
    <cellStyle name="ปกติ 23 7" xfId="60744"/>
    <cellStyle name="ปกติ 23 8" xfId="60745"/>
    <cellStyle name="ปกติ 23_4_FS4_SUP1_SUP2_เงินลงทุน_Q254" xfId="60746"/>
    <cellStyle name="ปกติ 24" xfId="60747"/>
    <cellStyle name="ปกติ 24 2" xfId="60748"/>
    <cellStyle name="ปกติ 24 3" xfId="60749"/>
    <cellStyle name="ปกติ 24 4" xfId="60750"/>
    <cellStyle name="ปกติ 24 5" xfId="60751"/>
    <cellStyle name="ปกติ 24 6" xfId="60752"/>
    <cellStyle name="ปกติ 24 7" xfId="60753"/>
    <cellStyle name="ปกติ 24 8" xfId="60754"/>
    <cellStyle name="ปกติ 24_4_FS4_SUP1_SUP2_เงินลงทุน_Q254" xfId="60755"/>
    <cellStyle name="ปกติ 3" xfId="60756"/>
    <cellStyle name="ปกติ 3 2" xfId="60757"/>
    <cellStyle name="ปกติ 3 6" xfId="60758"/>
    <cellStyle name="ปกติ 3 7" xfId="60759"/>
    <cellStyle name="ปกติ 4" xfId="60760"/>
    <cellStyle name="ปกติ 5" xfId="60761"/>
    <cellStyle name="ปกติ 5 2" xfId="60762"/>
    <cellStyle name="ปกติ 6" xfId="60763"/>
    <cellStyle name="ปกติ 6 2" xfId="60764"/>
    <cellStyle name="ปกติ 6 3" xfId="60765"/>
    <cellStyle name="ปกติ 6 4" xfId="60766"/>
    <cellStyle name="ปกติ 6 5" xfId="60767"/>
    <cellStyle name="ปกติ 6 6" xfId="60768"/>
    <cellStyle name="ปกติ 6 7" xfId="60769"/>
    <cellStyle name="ปกติ 6 8" xfId="60770"/>
    <cellStyle name="ปกติ 6_4_FS4_SUP1_SUP2_เงินลงทุน_Q254" xfId="60771"/>
    <cellStyle name="ปกติ 7" xfId="60772"/>
    <cellStyle name="ปกติ 8" xfId="60773"/>
    <cellStyle name="ปกติ 8 2" xfId="60774"/>
    <cellStyle name="ปกติ 8 3" xfId="60775"/>
    <cellStyle name="ปกติ 8 4" xfId="60776"/>
    <cellStyle name="ปกติ 8 5" xfId="60777"/>
    <cellStyle name="ปกติ 8 6" xfId="60778"/>
    <cellStyle name="ปกติ 8 7" xfId="60779"/>
    <cellStyle name="ปกติ 8 8" xfId="60780"/>
    <cellStyle name="ปกติ 8_4_FS4_SUP1_SUP2_เงินลงทุน_Q254" xfId="60781"/>
    <cellStyle name="ปกติ 9" xfId="60782"/>
    <cellStyle name="ป้อนค่า" xfId="60783"/>
    <cellStyle name="ป้อนค่า 2" xfId="60784"/>
    <cellStyle name="ป้อนค่า 2 2" xfId="60785"/>
    <cellStyle name="ปานกลาง" xfId="60786"/>
    <cellStyle name="ปานกลาง 2" xfId="60787"/>
    <cellStyle name="ปานกลาง 2 2" xfId="60788"/>
    <cellStyle name="ผลรวม" xfId="60789"/>
    <cellStyle name="ผลรวม 2" xfId="60790"/>
    <cellStyle name="ผลรวม 2 2" xfId="60791"/>
    <cellStyle name="ฤธถ [0]_95" xfId="60792"/>
    <cellStyle name="ฤธถ_95" xfId="60793"/>
    <cellStyle name="ล๋ศญ [0]_95" xfId="60794"/>
    <cellStyle name="ล๋ศญ_95" xfId="60795"/>
    <cellStyle name="ลักษณะ 1" xfId="60796"/>
    <cellStyle name="ลักษณะ 1 2" xfId="60797"/>
    <cellStyle name="ลักษณะ 1 3" xfId="60798"/>
    <cellStyle name="ลักษณะ 1 4" xfId="60799"/>
    <cellStyle name="ลักษณะ 1 5" xfId="60800"/>
    <cellStyle name="ลักษณะ 1 6" xfId="60801"/>
    <cellStyle name="ลักษณะ 1 7" xfId="60802"/>
    <cellStyle name="ลักษณะ 1 8" xfId="60803"/>
    <cellStyle name="ลักษณะ 1 9" xfId="60804"/>
    <cellStyle name="วฅมุ_4ฟ๙ฝวภ๛" xfId="60805"/>
    <cellStyle name="ส่วนที่ถูกเน้น1" xfId="60806"/>
    <cellStyle name="ส่วนที่ถูกเน้น1 2" xfId="60807"/>
    <cellStyle name="ส่วนที่ถูกเน้น1 2 2" xfId="60808"/>
    <cellStyle name="ส่วนที่ถูกเน้น2" xfId="60809"/>
    <cellStyle name="ส่วนที่ถูกเน้น2 2" xfId="60810"/>
    <cellStyle name="ส่วนที่ถูกเน้น2 2 2" xfId="60811"/>
    <cellStyle name="ส่วนที่ถูกเน้น3" xfId="60812"/>
    <cellStyle name="ส่วนที่ถูกเน้น3 2" xfId="60813"/>
    <cellStyle name="ส่วนที่ถูกเน้น3 2 2" xfId="60814"/>
    <cellStyle name="ส่วนที่ถูกเน้น4" xfId="60815"/>
    <cellStyle name="ส่วนที่ถูกเน้น4 2" xfId="60816"/>
    <cellStyle name="ส่วนที่ถูกเน้น4 2 2" xfId="60817"/>
    <cellStyle name="ส่วนที่ถูกเน้น5" xfId="60818"/>
    <cellStyle name="ส่วนที่ถูกเน้น5 2" xfId="60819"/>
    <cellStyle name="ส่วนที่ถูกเน้น5 2 2" xfId="60820"/>
    <cellStyle name="ส่วนที่ถูกเน้น6" xfId="60821"/>
    <cellStyle name="ส่วนที่ถูกเน้น6 2" xfId="60822"/>
    <cellStyle name="ส่วนที่ถูกเน้น6 2 2" xfId="60823"/>
    <cellStyle name="หมายเหตุ" xfId="60824"/>
    <cellStyle name="หมายเหตุ 2" xfId="60825"/>
    <cellStyle name="หมายเหตุ 2 2" xfId="60826"/>
    <cellStyle name="หมายเหตุ 3" xfId="60827"/>
    <cellStyle name="หมายเหตุ 4" xfId="60828"/>
    <cellStyle name="หัวเรื่อง 1" xfId="60829"/>
    <cellStyle name="หัวเรื่อง 1 2" xfId="60830"/>
    <cellStyle name="หัวเรื่อง 1 2 2" xfId="60831"/>
    <cellStyle name="หัวเรื่อง 2" xfId="60832"/>
    <cellStyle name="หัวเรื่อง 2 2" xfId="60833"/>
    <cellStyle name="หัวเรื่อง 2 2 2" xfId="60834"/>
    <cellStyle name="หัวเรื่อง 3" xfId="60835"/>
    <cellStyle name="หัวเรื่อง 3 2" xfId="60836"/>
    <cellStyle name="หัวเรื่อง 3 2 2" xfId="60837"/>
    <cellStyle name="หัวเรื่อง 4" xfId="60838"/>
    <cellStyle name="หัวเรื่อง 4 2" xfId="60839"/>
    <cellStyle name="หัวเรื่อง 4 2 2" xfId="60840"/>
    <cellStyle name="籵_laroux" xfId="60841"/>
    <cellStyle name="弇[0]_laroux" xfId="60842"/>
    <cellStyle name="弇_laroux" xfId="60843"/>
    <cellStyle name="弇煦路[0]_050978" xfId="60844"/>
    <cellStyle name="弇煦路_050978" xfId="60845"/>
    <cellStyle name="煦弇[0]_laroux" xfId="60846"/>
    <cellStyle name="煦弇_laroux" xfId="60847"/>
    <cellStyle name="똿뗦먛귟 [0.00]_PRODUCT DETAIL Q1" xfId="60848"/>
    <cellStyle name="똿뗦먛귟_PRODUCT DETAIL Q1" xfId="60849"/>
    <cellStyle name="믅됞 [0.00]_PRODUCT DETAIL Q1" xfId="60850"/>
    <cellStyle name="믅됞_PRODUCT DETAIL Q1" xfId="60851"/>
    <cellStyle name="백분율_HOBONG" xfId="60852"/>
    <cellStyle name="뷭?_BOOKSHIP" xfId="60853"/>
    <cellStyle name="콤마 [0]_1202" xfId="60854"/>
    <cellStyle name="콤마_1202" xfId="60855"/>
    <cellStyle name="통화 [0]_1202" xfId="60856"/>
    <cellStyle name="통화_1202" xfId="60857"/>
    <cellStyle name="표준_(정보부문)월별인원계획" xfId="60858"/>
    <cellStyle name="一般 2" xfId="60859"/>
    <cellStyle name="一般 2 2" xfId="60860"/>
    <cellStyle name="一般 2 2 2" xfId="60861"/>
    <cellStyle name="一般 2 3" xfId="60862"/>
    <cellStyle name="一般 2_13-Taiwan-Classify transport costs to a part of cost of sales" xfId="60863"/>
    <cellStyle name="一般 3" xfId="60864"/>
    <cellStyle name="一般 3 2" xfId="60865"/>
    <cellStyle name="一般 4" xfId="60866"/>
    <cellStyle name="一般_10-LCT-FS Package" xfId="60867"/>
    <cellStyle name="中等 2" xfId="60868"/>
    <cellStyle name="中等 3" xfId="60869"/>
    <cellStyle name="備註 2" xfId="60870"/>
    <cellStyle name="億啟[0]_050978" xfId="60871"/>
    <cellStyle name="億啟_050978" xfId="60872"/>
    <cellStyle name="千位[0]_ 借 款 明 细" xfId="60873"/>
    <cellStyle name="千位_ 借 款 明 细" xfId="60874"/>
    <cellStyle name="千位分隔 2" xfId="60875"/>
    <cellStyle name="千位分隔 3" xfId="60876"/>
    <cellStyle name="千位分隔 4" xfId="60877"/>
    <cellStyle name="千位分隔 5" xfId="60878"/>
    <cellStyle name="千位分隔[0]W11BB" xfId="60879"/>
    <cellStyle name="千位分隔[0]W11BB 2" xfId="60880"/>
    <cellStyle name="千位分隔[0]W11BB 3" xfId="60881"/>
    <cellStyle name="千位分隔[0]W11BB 4" xfId="60882"/>
    <cellStyle name="千分位 2" xfId="60883"/>
    <cellStyle name="千分位 2 2" xfId="60884"/>
    <cellStyle name="千分位 3" xfId="60885"/>
    <cellStyle name="千分位 3 2" xfId="60886"/>
    <cellStyle name="千分位_Taiwan-SUP Package Form" xfId="60887"/>
    <cellStyle name="合計 2" xfId="60888"/>
    <cellStyle name="合計 3" xfId="60889"/>
    <cellStyle name="壞 2" xfId="60890"/>
    <cellStyle name="壞 3" xfId="60891"/>
    <cellStyle name="壞_10-LCT-EXP" xfId="60892"/>
    <cellStyle name="壞_SUP27" xfId="60893"/>
    <cellStyle name="好 2" xfId="60894"/>
    <cellStyle name="好 3" xfId="60895"/>
    <cellStyle name="好_10-LCT-EXP" xfId="60896"/>
    <cellStyle name="好_LCT-Trail Balance" xfId="60897"/>
    <cellStyle name="好_RESULTS" xfId="60898"/>
    <cellStyle name="好_SUP Package Form-LCT" xfId="60899"/>
    <cellStyle name="好_SUP27" xfId="60900"/>
    <cellStyle name="好_附表(二)之4" xfId="60901"/>
    <cellStyle name="好_附表(六)之2" xfId="60902"/>
    <cellStyle name="好_附表(六)之3" xfId="60903"/>
    <cellStyle name="差" xfId="60904"/>
    <cellStyle name="差 2" xfId="60905"/>
    <cellStyle name="差_10-LCT-EXP" xfId="60906"/>
    <cellStyle name="差_RESULTS" xfId="60907"/>
    <cellStyle name="差_附表(二)之4" xfId="60908"/>
    <cellStyle name="差_附表(六)之2" xfId="60909"/>
    <cellStyle name="差_附表(六)之3" xfId="60910"/>
    <cellStyle name="常规 2" xfId="60911"/>
    <cellStyle name="常规 2 2" xfId="60912"/>
    <cellStyle name="常规 3" xfId="60913"/>
    <cellStyle name="常规 3 2" xfId="60914"/>
    <cellStyle name="常规 4" xfId="60915"/>
    <cellStyle name="常规 4 2" xfId="60916"/>
    <cellStyle name="常规 5" xfId="60917"/>
    <cellStyle name="常规 6" xfId="60918"/>
    <cellStyle name="常规 7" xfId="60919"/>
    <cellStyle name="常规 8" xfId="60920"/>
    <cellStyle name="常规_2009.12负债及利润表(底表)(每月修改月份-并选择性粘贴数值)(勿忘打报表封面)" xfId="60921"/>
    <cellStyle name="强调文字颜色 1" xfId="60922"/>
    <cellStyle name="强调文字颜色 1 2" xfId="60923"/>
    <cellStyle name="强调文字颜色 2" xfId="60924"/>
    <cellStyle name="强调文字颜色 2 2" xfId="60925"/>
    <cellStyle name="强调文字颜色 3" xfId="60926"/>
    <cellStyle name="强调文字颜色 3 2" xfId="60927"/>
    <cellStyle name="强调文字颜色 4" xfId="60928"/>
    <cellStyle name="强调文字颜色 4 2" xfId="60929"/>
    <cellStyle name="强调文字颜色 5" xfId="60930"/>
    <cellStyle name="强调文字颜色 5 2" xfId="60931"/>
    <cellStyle name="强调文字颜色 6" xfId="60932"/>
    <cellStyle name="强调文字颜色 6 2" xfId="60933"/>
    <cellStyle name="普通_ 损益一览表" xfId="60934"/>
    <cellStyle name="标题" xfId="60935"/>
    <cellStyle name="标题 1" xfId="60936"/>
    <cellStyle name="标题 1 2" xfId="60937"/>
    <cellStyle name="标题 2" xfId="60938"/>
    <cellStyle name="标题 2 2" xfId="60939"/>
    <cellStyle name="标题 3" xfId="60940"/>
    <cellStyle name="标题 3 2" xfId="60941"/>
    <cellStyle name="标题 4" xfId="60942"/>
    <cellStyle name="标题 4 2" xfId="60943"/>
    <cellStyle name="标题 5" xfId="60944"/>
    <cellStyle name="标题_10-LCT-EXP" xfId="60945"/>
    <cellStyle name="样式 1" xfId="60946"/>
    <cellStyle name="检查单元格" xfId="60947"/>
    <cellStyle name="检查单元格 2" xfId="60948"/>
    <cellStyle name="標題 1 2" xfId="60949"/>
    <cellStyle name="標題 1 3" xfId="60950"/>
    <cellStyle name="標題 2 2" xfId="60951"/>
    <cellStyle name="標題 2 3" xfId="60952"/>
    <cellStyle name="標題 3 2" xfId="60953"/>
    <cellStyle name="標題 3 3" xfId="60954"/>
    <cellStyle name="標題 4 2" xfId="60955"/>
    <cellStyle name="標題 4 3" xfId="60956"/>
    <cellStyle name="標題 5" xfId="60957"/>
    <cellStyle name="標題 6" xfId="60958"/>
    <cellStyle name="樣式 1" xfId="60959"/>
    <cellStyle name="檢查儲存格 2" xfId="60960"/>
    <cellStyle name="檢查儲存格 3" xfId="60961"/>
    <cellStyle name="汇总" xfId="60962"/>
    <cellStyle name="汇总 2" xfId="60963"/>
    <cellStyle name="注释" xfId="60964"/>
    <cellStyle name="注释 2" xfId="60965"/>
    <cellStyle name="百分比 2" xfId="60966"/>
    <cellStyle name="百分比 2 2" xfId="60967"/>
    <cellStyle name="百分比 2 3" xfId="60968"/>
    <cellStyle name="百分比 3" xfId="60969"/>
    <cellStyle name="綴樟閉撰蟈諉" xfId="60970"/>
    <cellStyle name="綴樟閉撰蟈諉 2" xfId="60971"/>
    <cellStyle name="表头" xfId="60972"/>
    <cellStyle name="解释性文本" xfId="60973"/>
    <cellStyle name="解释性文本 2" xfId="60974"/>
    <cellStyle name="計算方式 2" xfId="60975"/>
    <cellStyle name="計算方式 3" xfId="60976"/>
    <cellStyle name="說明文字 2" xfId="60977"/>
    <cellStyle name="說明文字 3" xfId="60978"/>
    <cellStyle name="警告文字 2" xfId="60979"/>
    <cellStyle name="警告文字 3" xfId="60980"/>
    <cellStyle name="警告文本" xfId="60981"/>
    <cellStyle name="警告文本 2" xfId="60982"/>
    <cellStyle name="计算" xfId="60983"/>
    <cellStyle name="计算 2" xfId="60984"/>
    <cellStyle name="貨幣[0]_GVC0119A" xfId="60985"/>
    <cellStyle name="輔色1 2" xfId="60986"/>
    <cellStyle name="輔色1 3" xfId="60987"/>
    <cellStyle name="輔色2 2" xfId="60988"/>
    <cellStyle name="輔色2 3" xfId="60989"/>
    <cellStyle name="輔色3 2" xfId="60990"/>
    <cellStyle name="輔色3 3" xfId="60991"/>
    <cellStyle name="輔色4 2" xfId="60992"/>
    <cellStyle name="輔色4 3" xfId="60993"/>
    <cellStyle name="輔色5 2" xfId="60994"/>
    <cellStyle name="輔色5 3" xfId="60995"/>
    <cellStyle name="輔色6 2" xfId="60996"/>
    <cellStyle name="輔色6 3" xfId="60997"/>
    <cellStyle name="輸入 2" xfId="60998"/>
    <cellStyle name="輸入 3" xfId="60999"/>
    <cellStyle name="輸出 2" xfId="61000"/>
    <cellStyle name="輸出 3" xfId="61001"/>
    <cellStyle name="输入" xfId="61002"/>
    <cellStyle name="输入 2" xfId="61003"/>
    <cellStyle name="输出" xfId="61004"/>
    <cellStyle name="输出 2" xfId="61005"/>
    <cellStyle name="适中" xfId="61006"/>
    <cellStyle name="适中 2" xfId="61007"/>
    <cellStyle name="連結的儲存格 2" xfId="61008"/>
    <cellStyle name="連結的儲存格 3" xfId="61009"/>
    <cellStyle name="都寞_050978" xfId="61010"/>
    <cellStyle name="链接单元格" xfId="61011"/>
    <cellStyle name="链接单元格 2" xfId="61012"/>
    <cellStyle name="閉撰蟈諉" xfId="61013"/>
    <cellStyle name="閉撰蟈諉 2" xfId="61014"/>
    <cellStyle name="Comma 6 8" xfId="61015"/>
    <cellStyle name="Comma 6 6" xfId="61016"/>
    <cellStyle name="Comma 6 7" xfId="61017"/>
    <cellStyle name="Comma 6 9" xfId="61018"/>
    <cellStyle name="Финансовый 10" xfId="61019"/>
    <cellStyle name="Финансовый 11" xfId="61020"/>
    <cellStyle name="Финансовый 12" xfId="61021"/>
    <cellStyle name="Финансовый 13" xfId="61022"/>
    <cellStyle name="20% - Accent1 5 2" xfId="61023"/>
    <cellStyle name="20% - Accent2 5 2" xfId="61024"/>
    <cellStyle name="20% - Accent3 5 2" xfId="61025"/>
    <cellStyle name="20% - Accent4 5 2" xfId="61026"/>
    <cellStyle name="20% - Accent5 5 2" xfId="61027"/>
    <cellStyle name="20% - Accent6 5 2" xfId="61028"/>
    <cellStyle name="20% - Акцент1 2 3" xfId="61029"/>
    <cellStyle name="20% - Акцент2 2 2" xfId="61030"/>
    <cellStyle name="20% - Акцент3 2 2" xfId="61031"/>
    <cellStyle name="20% - Акцент4 2 2" xfId="61032"/>
    <cellStyle name="20% - Акцент5 2 2" xfId="61033"/>
    <cellStyle name="20% - Акцент6 2 2" xfId="61034"/>
    <cellStyle name="40% - Accent1 5 2" xfId="61035"/>
    <cellStyle name="40% - Accent2 5 2" xfId="61036"/>
    <cellStyle name="40% - Accent3 5 2" xfId="61037"/>
    <cellStyle name="40% - Accent4 5 2" xfId="61038"/>
    <cellStyle name="40% - Accent5 5 2" xfId="61039"/>
    <cellStyle name="40% - Accent6 5 2" xfId="61040"/>
    <cellStyle name="40% - Акцент1 2 2" xfId="61041"/>
    <cellStyle name="40% - Акцент2 2 2" xfId="61042"/>
    <cellStyle name="40% - Акцент3 2 2" xfId="61043"/>
    <cellStyle name="40% - Акцент4 2 2" xfId="61044"/>
    <cellStyle name="40% - Акцент5 2 2" xfId="61045"/>
    <cellStyle name="40% - Акцент6 2 2" xfId="61046"/>
    <cellStyle name="Comma [0] 2 2" xfId="61047"/>
    <cellStyle name="Comma 10 2 3 2" xfId="61048"/>
    <cellStyle name="Comma 10 3 2 2" xfId="61049"/>
    <cellStyle name="Comma 10 4 2" xfId="61050"/>
    <cellStyle name="Comma 10 6 2" xfId="61051"/>
    <cellStyle name="Comma 11 2 2 2 2" xfId="61052"/>
    <cellStyle name="Comma 11 2 3 2" xfId="61053"/>
    <cellStyle name="Comma 11 3 2 2" xfId="61054"/>
    <cellStyle name="Comma 11 4 2" xfId="61055"/>
    <cellStyle name="Comma 12 2 2 2" xfId="61056"/>
    <cellStyle name="Comma 12 3 2 2" xfId="61057"/>
    <cellStyle name="Comma 12 4 2" xfId="61058"/>
    <cellStyle name="Comma 13 4 2" xfId="61059"/>
    <cellStyle name="Comma 14 10 2 3" xfId="61060"/>
    <cellStyle name="Comma 14 10 2 2 2" xfId="61061"/>
    <cellStyle name="Comma 14 11 2" xfId="61062"/>
    <cellStyle name="Comma 14 2 2 2 3" xfId="61063"/>
    <cellStyle name="Comma 14 2 2 2 2 2" xfId="61064"/>
    <cellStyle name="Comma 15 2 2 3" xfId="61065"/>
    <cellStyle name="Comma 15 2 2 2 2" xfId="61066"/>
    <cellStyle name="Comma 15 3 2 2" xfId="61067"/>
    <cellStyle name="Comma 19 2 2" xfId="61068"/>
    <cellStyle name="Comma 2 2 6" xfId="61069"/>
    <cellStyle name="Comma 2 2 2 3 2" xfId="61070"/>
    <cellStyle name="Comma 2 5 5" xfId="61071"/>
    <cellStyle name="Comma 2 5 2 2 2" xfId="61072"/>
    <cellStyle name="Comma 2 5 3 2" xfId="61073"/>
    <cellStyle name="Comma 2 5 4 2" xfId="61074"/>
    <cellStyle name="Comma 2 6 2 2" xfId="61075"/>
    <cellStyle name="Comma 20 2 2" xfId="61076"/>
    <cellStyle name="Comma 21 2 2" xfId="61077"/>
    <cellStyle name="Comma 22 2 2" xfId="61078"/>
    <cellStyle name="Comma 23 2 2" xfId="61079"/>
    <cellStyle name="Comma 24 2 2" xfId="61080"/>
    <cellStyle name="Comma 25 2 2" xfId="61081"/>
    <cellStyle name="Comma 26 2 2" xfId="61082"/>
    <cellStyle name="Comma 27 2 2" xfId="61083"/>
    <cellStyle name="Comma 3 2 2 2 2" xfId="61084"/>
    <cellStyle name="Comma 3 2 4 2 2" xfId="61085"/>
    <cellStyle name="Comma 3 2 5 2" xfId="61086"/>
    <cellStyle name="Comma 3 2 6 2" xfId="61087"/>
    <cellStyle name="Comma 3 3 2 2" xfId="61088"/>
    <cellStyle name="Comma 3 3 3 2" xfId="61089"/>
    <cellStyle name="Comma 3 4 2 2" xfId="61090"/>
    <cellStyle name="Comma 3 7 2 2" xfId="61091"/>
    <cellStyle name="Comma 3 8 2" xfId="61092"/>
    <cellStyle name="Comma 33 4" xfId="61093"/>
    <cellStyle name="Comma 33 2 2" xfId="61094"/>
    <cellStyle name="Comma 38 2 2" xfId="61095"/>
    <cellStyle name="Comma 39 2 3" xfId="61096"/>
    <cellStyle name="Comma 39 2 2 2" xfId="61097"/>
    <cellStyle name="Comma 4 7" xfId="61098"/>
    <cellStyle name="Comma 4 2 2 3 2" xfId="61099"/>
    <cellStyle name="Comma 4 2 3 2 2" xfId="61100"/>
    <cellStyle name="Comma 4 2 4 2 2" xfId="61101"/>
    <cellStyle name="Comma 4 2 5 2 2" xfId="61102"/>
    <cellStyle name="Comma 4 2 7 2" xfId="61103"/>
    <cellStyle name="Comma 40 2 2" xfId="61104"/>
    <cellStyle name="Comma 41 2 2" xfId="61105"/>
    <cellStyle name="Comma 43 2" xfId="61106"/>
    <cellStyle name="Comma 44 3" xfId="61107"/>
    <cellStyle name="Comma 44 2 2" xfId="61108"/>
    <cellStyle name="Comma 5 2 2 2 2" xfId="61109"/>
    <cellStyle name="Comma 5 2 3 2" xfId="61110"/>
    <cellStyle name="Comma 5 3 2 2 2" xfId="61111"/>
    <cellStyle name="Comma 5 3 3 2" xfId="61112"/>
    <cellStyle name="Comma 5 3 4 2" xfId="61113"/>
    <cellStyle name="Comma 5 4 2 2" xfId="61114"/>
    <cellStyle name="Comma 5 5 2 2" xfId="61115"/>
    <cellStyle name="Comma 6 2 2 2 2" xfId="61116"/>
    <cellStyle name="Comma 6 2 3 2" xfId="61117"/>
    <cellStyle name="Comma 6 2 4 2" xfId="61118"/>
    <cellStyle name="Comma 6 3 2 2" xfId="61119"/>
    <cellStyle name="Comma 6 4 3" xfId="61120"/>
    <cellStyle name="Comma 6 4 2 2" xfId="61121"/>
    <cellStyle name="Comma 7 2 2 2" xfId="61122"/>
    <cellStyle name="Comma 7 3 3" xfId="61123"/>
    <cellStyle name="Comma 7 3 2 2" xfId="61124"/>
    <cellStyle name="Comma 7 4 2" xfId="61125"/>
    <cellStyle name="Comma 8 2 5" xfId="61126"/>
    <cellStyle name="Comma 8 2 2 2 2" xfId="61127"/>
    <cellStyle name="Comma 8 2 3 2" xfId="61128"/>
    <cellStyle name="Comma 8 3 3" xfId="61129"/>
    <cellStyle name="Comma 8 3 2 2" xfId="61130"/>
    <cellStyle name="Comma 8 4 2 2" xfId="61131"/>
    <cellStyle name="Comma 8 5 2" xfId="61132"/>
    <cellStyle name="Comma 9 2 4" xfId="61133"/>
    <cellStyle name="Comma 9 2 2 2" xfId="61134"/>
    <cellStyle name="Comma 9 4 2" xfId="61135"/>
    <cellStyle name="Примечание 2 2" xfId="61136"/>
    <cellStyle name="Примечание 3 2" xfId="61137"/>
    <cellStyle name="Финансовый [0] 2 3" xfId="61138"/>
    <cellStyle name="Финансовый 2 5" xfId="61139"/>
    <cellStyle name="เครื่องหมายจุลภาค 10 3" xfId="61140"/>
    <cellStyle name="เครื่องหมายจุลภาค 10 2 2" xfId="61141"/>
    <cellStyle name="เครื่องหมายจุลภาค 11 3" xfId="61142"/>
    <cellStyle name="เครื่องหมายจุลภาค 11 2 2" xfId="61143"/>
    <cellStyle name="เครื่องหมายจุลภาค 12 2 2" xfId="61144"/>
    <cellStyle name="เครื่องหมายจุลภาค 2 4 3" xfId="61145"/>
    <cellStyle name="เครื่องหมายจุลภาค 3 2 2 2 2" xfId="61146"/>
    <cellStyle name="เครื่องหมายจุลภาค 3 2 3 2" xfId="61147"/>
    <cellStyle name="เครื่องหมายจุลภาค 3 2 4 2" xfId="61148"/>
    <cellStyle name="เครื่องหมายจุลภาค 3 3 2 2 2" xfId="61149"/>
    <cellStyle name="เครื่องหมายจุลภาค 3 3 3 2" xfId="61150"/>
    <cellStyle name="เครื่องหมายจุลภาค 3 4 2 2" xfId="61151"/>
    <cellStyle name="เครื่องหมายจุลภาค 3 5 2" xfId="61152"/>
    <cellStyle name="เครื่องหมายจุลภาค 4 3" xfId="61153"/>
    <cellStyle name="เครื่องหมายจุลภาค 4 2 2" xfId="61154"/>
    <cellStyle name="เครื่องหมายจุลภาค 5 3" xfId="61155"/>
    <cellStyle name="เครื่องหมายจุลภาค 5 2 2" xfId="61156"/>
    <cellStyle name="เครื่องหมายจุลภาค 6 5" xfId="61157"/>
    <cellStyle name="เครื่องหมายจุลภาค 6 4 2" xfId="61158"/>
    <cellStyle name="เครื่องหมายจุลภาค 7 3" xfId="61159"/>
    <cellStyle name="เครื่องหมายจุลภาค 7 2 2" xfId="61160"/>
    <cellStyle name="เครื่องหมายจุลภาค 8 3" xfId="61161"/>
    <cellStyle name="เครื่องหมายจุลภาค 8 2 2" xfId="61162"/>
    <cellStyle name="เครื่องหมายจุลภาค 9 3" xfId="61163"/>
    <cellStyle name="เครื่องหมายจุลภาค 9 2 2" xfId="61164"/>
    <cellStyle name="千分位 2 2 2" xfId="61165"/>
    <cellStyle name="Финансовый 14" xfId="61166"/>
    <cellStyle name="Финансовый 15" xfId="61167"/>
    <cellStyle name="Финансовый 16" xfId="61168"/>
    <cellStyle name="20% - Accent1 5 3" xfId="61169"/>
    <cellStyle name="20% - Accent2 5 3" xfId="61170"/>
    <cellStyle name="20% - Accent3 5 3" xfId="61171"/>
    <cellStyle name="20% - Accent4 5 3" xfId="61172"/>
    <cellStyle name="20% - Accent5 5 3" xfId="61173"/>
    <cellStyle name="20% - Accent6 5 3" xfId="61174"/>
    <cellStyle name="20% - Акцент1 2 4" xfId="61175"/>
    <cellStyle name="20% - Акцент2 2 3" xfId="61176"/>
    <cellStyle name="20% - Акцент3 2 3" xfId="61177"/>
    <cellStyle name="20% - Акцент4 2 3" xfId="61178"/>
    <cellStyle name="20% - Акцент5 2 3" xfId="61179"/>
    <cellStyle name="20% - Акцент6 2 3" xfId="61180"/>
    <cellStyle name="40% - Accent1 5 3" xfId="61181"/>
    <cellStyle name="40% - Accent2 5 3" xfId="61182"/>
    <cellStyle name="40% - Accent3 5 3" xfId="61183"/>
    <cellStyle name="40% - Accent4 5 3" xfId="61184"/>
    <cellStyle name="40% - Accent5 5 3" xfId="61185"/>
    <cellStyle name="40% - Accent6 5 3" xfId="61186"/>
    <cellStyle name="40% - Акцент1 2 3" xfId="61187"/>
    <cellStyle name="40% - Акцент2 2 3" xfId="61188"/>
    <cellStyle name="40% - Акцент3 2 3" xfId="61189"/>
    <cellStyle name="40% - Акцент4 2 3" xfId="61190"/>
    <cellStyle name="40% - Акцент5 2 3" xfId="61191"/>
    <cellStyle name="40% - Акцент6 2 3" xfId="61192"/>
    <cellStyle name="Comma [0] 2 3" xfId="61193"/>
    <cellStyle name="Comma 10 2 3 3" xfId="61194"/>
    <cellStyle name="Comma 10 3 2 3" xfId="61195"/>
    <cellStyle name="Comma 10 4 3" xfId="61196"/>
    <cellStyle name="Comma 10 6 3" xfId="61197"/>
    <cellStyle name="Comma 11 2 2 2 3" xfId="61198"/>
    <cellStyle name="Comma 11 2 3 3" xfId="61199"/>
    <cellStyle name="Comma 11 3 2 3" xfId="61200"/>
    <cellStyle name="Comma 11 4 3" xfId="61201"/>
    <cellStyle name="Comma 12 2 2 3" xfId="61202"/>
    <cellStyle name="Comma 12 3 2 3" xfId="61203"/>
    <cellStyle name="Comma 12 4 3" xfId="61204"/>
    <cellStyle name="Comma 13 4 3" xfId="61205"/>
    <cellStyle name="Comma 14 10 2 4" xfId="61206"/>
    <cellStyle name="Comma 14 10 2 2 3" xfId="61207"/>
    <cellStyle name="Comma 14 11 3" xfId="61208"/>
    <cellStyle name="Comma 14 2 2 2 4" xfId="61209"/>
    <cellStyle name="Comma 14 2 2 2 2 3" xfId="61210"/>
    <cellStyle name="Comma 15 2 2 4" xfId="61211"/>
    <cellStyle name="Comma 15 2 2 2 3" xfId="61212"/>
    <cellStyle name="Comma 15 3 2 3" xfId="61213"/>
    <cellStyle name="Comma 19 2 3" xfId="61214"/>
    <cellStyle name="Comma 2 2 7" xfId="61215"/>
    <cellStyle name="Comma 2 2 2 3 3" xfId="61216"/>
    <cellStyle name="Comma 2 5 6" xfId="61217"/>
    <cellStyle name="Comma 2 5 2 2 3" xfId="61218"/>
    <cellStyle name="Comma 2 5 3 3" xfId="61219"/>
    <cellStyle name="Comma 2 5 4 3" xfId="61220"/>
    <cellStyle name="Comma 2 6 2 3" xfId="61221"/>
    <cellStyle name="Comma 20 2 3" xfId="61222"/>
    <cellStyle name="Comma 21 2 3" xfId="61223"/>
    <cellStyle name="Comma 22 2 3" xfId="61224"/>
    <cellStyle name="Comma 23 2 3" xfId="61225"/>
    <cellStyle name="Comma 24 2 3" xfId="61226"/>
    <cellStyle name="Comma 25 2 3" xfId="61227"/>
    <cellStyle name="Comma 26 2 3" xfId="61228"/>
    <cellStyle name="Comma 27 2 3" xfId="61229"/>
    <cellStyle name="Comma 3 2 2 2 3" xfId="61230"/>
    <cellStyle name="Comma 3 2 4 2 3" xfId="61231"/>
    <cellStyle name="Comma 3 2 5 3" xfId="61232"/>
    <cellStyle name="Comma 3 2 6 3" xfId="61233"/>
    <cellStyle name="Comma 3 3 2 3" xfId="61234"/>
    <cellStyle name="Comma 3 3 3 3" xfId="61235"/>
    <cellStyle name="Comma 3 4 2 3" xfId="61236"/>
    <cellStyle name="Comma 3 7 2 3" xfId="61237"/>
    <cellStyle name="Comma 3 8 3" xfId="61238"/>
    <cellStyle name="Comma 33 5" xfId="61239"/>
    <cellStyle name="Comma 33 2 3" xfId="61240"/>
    <cellStyle name="Comma 38 2 3" xfId="61241"/>
    <cellStyle name="Comma 39 2 4" xfId="61242"/>
    <cellStyle name="Comma 39 2 2 3" xfId="61243"/>
    <cellStyle name="Comma 4 8" xfId="61244"/>
    <cellStyle name="Comma 4 2 2 3 3" xfId="61245"/>
    <cellStyle name="Comma 4 2 3 2 3" xfId="61246"/>
    <cellStyle name="Comma 4 2 4 2 3" xfId="61247"/>
    <cellStyle name="Comma 4 2 5 2 3" xfId="61248"/>
    <cellStyle name="Comma 4 2 7 3" xfId="61249"/>
    <cellStyle name="Comma 40 2 3" xfId="61250"/>
    <cellStyle name="Comma 41 2 3" xfId="61251"/>
    <cellStyle name="Comma 43 3" xfId="61252"/>
    <cellStyle name="Comma 44 4" xfId="61253"/>
    <cellStyle name="Comma 44 2 3" xfId="61254"/>
    <cellStyle name="Comma 5 2 2 2 3" xfId="61255"/>
    <cellStyle name="Comma 5 2 3 3" xfId="61256"/>
    <cellStyle name="Comma 5 3 2 2 3" xfId="61257"/>
    <cellStyle name="Comma 5 3 3 3" xfId="61258"/>
    <cellStyle name="Comma 5 3 4 3" xfId="61259"/>
    <cellStyle name="Comma 5 4 2 3" xfId="61260"/>
    <cellStyle name="Comma 5 5 2 3" xfId="61261"/>
    <cellStyle name="Comma 6 2 2 2 3" xfId="61262"/>
    <cellStyle name="Comma 6 2 3 3" xfId="61263"/>
    <cellStyle name="Comma 6 2 4 3" xfId="61264"/>
    <cellStyle name="Comma 6 3 2 3" xfId="61265"/>
    <cellStyle name="Comma 6 4 4" xfId="61266"/>
    <cellStyle name="Comma 6 4 2 3" xfId="61267"/>
    <cellStyle name="Comma 7 2 2 3" xfId="61268"/>
    <cellStyle name="Comma 7 3 4" xfId="61269"/>
    <cellStyle name="Comma 7 3 2 3" xfId="61270"/>
    <cellStyle name="Comma 7 4 3" xfId="61271"/>
    <cellStyle name="Comma 8 2 6" xfId="61272"/>
    <cellStyle name="Comma 8 2 2 2 3" xfId="61273"/>
    <cellStyle name="Comma 8 2 3 3" xfId="61274"/>
    <cellStyle name="Comma 8 3 4" xfId="61275"/>
    <cellStyle name="Comma 8 3 2 3" xfId="61276"/>
    <cellStyle name="Comma 8 4 2 3" xfId="61277"/>
    <cellStyle name="Comma 8 5 3" xfId="61278"/>
    <cellStyle name="Comma 9 2 5" xfId="61279"/>
    <cellStyle name="Comma 9 2 2 3" xfId="61280"/>
    <cellStyle name="Comma 9 4 3" xfId="61281"/>
    <cellStyle name="Примечание 2 3" xfId="61282"/>
    <cellStyle name="Примечание 3 3" xfId="61283"/>
    <cellStyle name="Финансовый [0] 2 4" xfId="61284"/>
    <cellStyle name="Финансовый 2 6" xfId="61285"/>
    <cellStyle name="เครื่องหมายจุลภาค 10 4" xfId="61286"/>
    <cellStyle name="เครื่องหมายจุลภาค 10 2 3" xfId="61287"/>
    <cellStyle name="เครื่องหมายจุลภาค 11 4" xfId="61288"/>
    <cellStyle name="เครื่องหมายจุลภาค 11 2 3" xfId="61289"/>
    <cellStyle name="เครื่องหมายจุลภาค 12 2 3" xfId="61290"/>
    <cellStyle name="เครื่องหมายจุลภาค 2 4 4" xfId="61291"/>
    <cellStyle name="เครื่องหมายจุลภาค 3 2 2 2 3" xfId="61292"/>
    <cellStyle name="เครื่องหมายจุลภาค 3 2 3 3" xfId="61293"/>
    <cellStyle name="เครื่องหมายจุลภาค 3 2 4 3" xfId="61294"/>
    <cellStyle name="เครื่องหมายจุลภาค 3 3 2 2 3" xfId="61295"/>
    <cellStyle name="เครื่องหมายจุลภาค 3 3 3 3" xfId="61296"/>
    <cellStyle name="เครื่องหมายจุลภาค 3 4 2 3" xfId="61297"/>
    <cellStyle name="เครื่องหมายจุลภาค 3 5 3" xfId="61298"/>
    <cellStyle name="เครื่องหมายจุลภาค 4 4" xfId="61299"/>
    <cellStyle name="เครื่องหมายจุลภาค 4 2 3" xfId="61300"/>
    <cellStyle name="เครื่องหมายจุลภาค 5 4" xfId="61301"/>
    <cellStyle name="เครื่องหมายจุลภาค 5 2 3" xfId="61302"/>
    <cellStyle name="เครื่องหมายจุลภาค 6 6" xfId="61303"/>
    <cellStyle name="เครื่องหมายจุลภาค 6 4 3" xfId="61304"/>
    <cellStyle name="เครื่องหมายจุลภาค 7 4" xfId="61305"/>
    <cellStyle name="เครื่องหมายจุลภาค 7 2 3" xfId="61306"/>
    <cellStyle name="เครื่องหมายจุลภาค 8 4" xfId="61307"/>
    <cellStyle name="เครื่องหมายจุลภาค 8 2 3" xfId="61308"/>
    <cellStyle name="เครื่องหมายจุลภาค 9 4" xfId="61309"/>
    <cellStyle name="เครื่องหมายจุลภาค 9 2 3" xfId="61310"/>
    <cellStyle name="千分位 2 2 3" xfId="61311"/>
    <cellStyle name="Финансовый 17" xfId="61312"/>
    <cellStyle name="20% - Accent1 5 4" xfId="61313"/>
    <cellStyle name="20% - Accent2 5 4" xfId="61314"/>
    <cellStyle name="20% - Accent3 5 4" xfId="61315"/>
    <cellStyle name="20% - Accent4 5 4" xfId="61316"/>
    <cellStyle name="20% - Accent5 5 4" xfId="61317"/>
    <cellStyle name="20% - Accent6 5 4" xfId="61318"/>
    <cellStyle name="20% - Акцент1 2 5" xfId="61319"/>
    <cellStyle name="20% - Акцент2 2 4" xfId="61320"/>
    <cellStyle name="20% - Акцент3 2 4" xfId="61321"/>
    <cellStyle name="20% - Акцент4 2 4" xfId="61322"/>
    <cellStyle name="20% - Акцент5 2 4" xfId="61323"/>
    <cellStyle name="20% - Акцент6 2 4" xfId="61324"/>
    <cellStyle name="40% - Accent1 5 4" xfId="61325"/>
    <cellStyle name="40% - Accent2 5 4" xfId="61326"/>
    <cellStyle name="40% - Accent3 5 4" xfId="61327"/>
    <cellStyle name="40% - Accent4 5 4" xfId="61328"/>
    <cellStyle name="40% - Accent5 5 4" xfId="61329"/>
    <cellStyle name="40% - Accent6 5 4" xfId="61330"/>
    <cellStyle name="40% - Акцент1 2 4" xfId="61331"/>
    <cellStyle name="40% - Акцент2 2 4" xfId="61332"/>
    <cellStyle name="40% - Акцент3 2 4" xfId="61333"/>
    <cellStyle name="40% - Акцент4 2 4" xfId="61334"/>
    <cellStyle name="40% - Акцент5 2 4" xfId="61335"/>
    <cellStyle name="40% - Акцент6 2 4" xfId="61336"/>
    <cellStyle name="Comma [0] 2 4" xfId="61337"/>
    <cellStyle name="Comma 10 2 3 4" xfId="61338"/>
    <cellStyle name="Comma 10 3 2 4" xfId="61339"/>
    <cellStyle name="Comma 10 4 4" xfId="61340"/>
    <cellStyle name="Comma 10 6 4" xfId="61341"/>
    <cellStyle name="Comma 11 2 2 2 4" xfId="61342"/>
    <cellStyle name="Comma 11 2 3 4" xfId="61343"/>
    <cellStyle name="Comma 11 3 2 4" xfId="61344"/>
    <cellStyle name="Comma 11 4 4" xfId="61345"/>
    <cellStyle name="Comma 12 2 2 4" xfId="61346"/>
    <cellStyle name="Comma 12 3 2 4" xfId="61347"/>
    <cellStyle name="Comma 12 4 4" xfId="61348"/>
    <cellStyle name="Comma 13 4 4" xfId="61349"/>
    <cellStyle name="Comma 14 10 2 5" xfId="61350"/>
    <cellStyle name="Comma 14 10 2 2 4" xfId="61351"/>
    <cellStyle name="Comma 14 11 4" xfId="61352"/>
    <cellStyle name="Comma 14 2 2 2 5" xfId="61353"/>
    <cellStyle name="Comma 14 2 2 2 2 4" xfId="61354"/>
    <cellStyle name="Comma 15 2 2 5" xfId="61355"/>
    <cellStyle name="Comma 15 2 2 2 4" xfId="61356"/>
    <cellStyle name="Comma 15 3 2 4" xfId="61357"/>
    <cellStyle name="Comma 19 2 4" xfId="61358"/>
    <cellStyle name="Comma 2 2 8" xfId="61359"/>
    <cellStyle name="Comma 2 2 2 3 4" xfId="61360"/>
    <cellStyle name="Comma 2 5 7" xfId="61361"/>
    <cellStyle name="Comma 2 5 2 2 4" xfId="61362"/>
    <cellStyle name="Comma 2 5 3 4" xfId="61363"/>
    <cellStyle name="Comma 2 5 4 4" xfId="61364"/>
    <cellStyle name="Comma 2 6 2 4" xfId="61365"/>
    <cellStyle name="Comma 20 2 4" xfId="61366"/>
    <cellStyle name="Comma 21 2 4" xfId="61367"/>
    <cellStyle name="Comma 22 2 4" xfId="61368"/>
    <cellStyle name="Comma 23 2 4" xfId="61369"/>
    <cellStyle name="Comma 24 2 4" xfId="61370"/>
    <cellStyle name="Comma 25 2 4" xfId="61371"/>
    <cellStyle name="Comma 26 2 4" xfId="61372"/>
    <cellStyle name="Comma 27 2 4" xfId="61373"/>
    <cellStyle name="Comma 3 2 2 2 4" xfId="61374"/>
    <cellStyle name="Comma 3 2 4 2 4" xfId="61375"/>
    <cellStyle name="Comma 3 2 5 4" xfId="61376"/>
    <cellStyle name="Comma 3 2 6 4" xfId="61377"/>
    <cellStyle name="Comma 3 3 2 4" xfId="61378"/>
    <cellStyle name="Comma 3 3 3 4" xfId="61379"/>
    <cellStyle name="Comma 3 4 2 4" xfId="61380"/>
    <cellStyle name="Comma 3 7 2 4" xfId="61381"/>
    <cellStyle name="Comma 3 8 4" xfId="61382"/>
    <cellStyle name="Comma 33 6" xfId="61383"/>
    <cellStyle name="Comma 33 2 4" xfId="61384"/>
    <cellStyle name="Comma 38 2 4" xfId="61385"/>
    <cellStyle name="Comma 39 2 5" xfId="61386"/>
    <cellStyle name="Comma 39 2 2 4" xfId="61387"/>
    <cellStyle name="Comma 4 9" xfId="61388"/>
    <cellStyle name="Comma 4 2 2 3 4" xfId="61389"/>
    <cellStyle name="Comma 4 2 3 2 4" xfId="61390"/>
    <cellStyle name="Comma 4 2 4 2 4" xfId="61391"/>
    <cellStyle name="Comma 4 2 5 2 4" xfId="61392"/>
    <cellStyle name="Comma 4 2 7 4" xfId="61393"/>
    <cellStyle name="Comma 40 2 4" xfId="61394"/>
    <cellStyle name="Comma 41 2 4" xfId="61395"/>
    <cellStyle name="Comma 43 4" xfId="61396"/>
    <cellStyle name="Comma 44 5" xfId="61397"/>
    <cellStyle name="Comma 44 2 4" xfId="61398"/>
    <cellStyle name="Comma 5 2 2 2 4" xfId="61399"/>
    <cellStyle name="Comma 5 2 3 4" xfId="61400"/>
    <cellStyle name="Comma 5 3 2 2 4" xfId="61401"/>
    <cellStyle name="Comma 5 3 3 4" xfId="61402"/>
    <cellStyle name="Comma 5 3 4 4" xfId="61403"/>
    <cellStyle name="Comma 5 4 2 4" xfId="61404"/>
    <cellStyle name="Comma 5 5 2 4" xfId="61405"/>
    <cellStyle name="Comma 6 2 2 2 4" xfId="61406"/>
    <cellStyle name="Comma 6 2 3 4" xfId="61407"/>
    <cellStyle name="Comma 6 2 4 4" xfId="61408"/>
    <cellStyle name="Comma 6 3 2 4" xfId="61409"/>
    <cellStyle name="Comma 6 4 5" xfId="61410"/>
    <cellStyle name="Comma 6 4 2 4" xfId="61411"/>
    <cellStyle name="Comma 7 2 2 4" xfId="61412"/>
    <cellStyle name="Comma 7 3 5" xfId="61413"/>
    <cellStyle name="Comma 7 3 2 4" xfId="61414"/>
    <cellStyle name="Comma 7 4 4" xfId="61415"/>
    <cellStyle name="Comma 8 2 7" xfId="61416"/>
    <cellStyle name="Comma 8 2 2 2 4" xfId="61417"/>
    <cellStyle name="Comma 8 2 3 4" xfId="61418"/>
    <cellStyle name="Comma 8 3 5" xfId="61419"/>
    <cellStyle name="Comma 8 3 2 4" xfId="61420"/>
    <cellStyle name="Comma 8 4 2 4" xfId="61421"/>
    <cellStyle name="Comma 8 5 4" xfId="61422"/>
    <cellStyle name="Comma 9 2 6" xfId="61423"/>
    <cellStyle name="Comma 9 2 2 4" xfId="61424"/>
    <cellStyle name="Comma 9 4 4" xfId="61425"/>
    <cellStyle name="Примечание 2 4" xfId="61426"/>
    <cellStyle name="Примечание 3 4" xfId="61427"/>
    <cellStyle name="Финансовый [0] 2 5" xfId="61428"/>
    <cellStyle name="Финансовый 2 7" xfId="61429"/>
    <cellStyle name="เครื่องหมายจุลภาค 10 5" xfId="61430"/>
    <cellStyle name="เครื่องหมายจุลภาค 10 2 4" xfId="61431"/>
    <cellStyle name="เครื่องหมายจุลภาค 11 5" xfId="61432"/>
    <cellStyle name="เครื่องหมายจุลภาค 11 2 4" xfId="61433"/>
    <cellStyle name="เครื่องหมายจุลภาค 12 2 4" xfId="61434"/>
    <cellStyle name="เครื่องหมายจุลภาค 2 4 5" xfId="61435"/>
    <cellStyle name="เครื่องหมายจุลภาค 3 2 2 2 4" xfId="61436"/>
    <cellStyle name="เครื่องหมายจุลภาค 3 2 3 4" xfId="61437"/>
    <cellStyle name="เครื่องหมายจุลภาค 3 2 4 4" xfId="61438"/>
    <cellStyle name="เครื่องหมายจุลภาค 3 3 2 2 4" xfId="61439"/>
    <cellStyle name="เครื่องหมายจุลภาค 3 3 3 4" xfId="61440"/>
    <cellStyle name="เครื่องหมายจุลภาค 3 4 2 4" xfId="61441"/>
    <cellStyle name="เครื่องหมายจุลภาค 3 5 4" xfId="61442"/>
    <cellStyle name="เครื่องหมายจุลภาค 4 5" xfId="61443"/>
    <cellStyle name="เครื่องหมายจุลภาค 4 2 4" xfId="61444"/>
    <cellStyle name="เครื่องหมายจุลภาค 5 5" xfId="61445"/>
    <cellStyle name="เครื่องหมายจุลภาค 5 2 4" xfId="61446"/>
    <cellStyle name="เครื่องหมายจุลภาค 6 7" xfId="61447"/>
    <cellStyle name="เครื่องหมายจุลภาค 6 4 4" xfId="61448"/>
    <cellStyle name="เครื่องหมายจุลภาค 7 5" xfId="61449"/>
    <cellStyle name="เครื่องหมายจุลภาค 7 2 4" xfId="61450"/>
    <cellStyle name="เครื่องหมายจุลภาค 8 5" xfId="61451"/>
    <cellStyle name="เครื่องหมายจุลภาค 8 2 4" xfId="61452"/>
    <cellStyle name="เครื่องหมายจุลภาค 9 5" xfId="61453"/>
    <cellStyle name="เครื่องหมายจุลภาค 9 2 4" xfId="61454"/>
    <cellStyle name="千分位 2 2 4" xfId="61455"/>
    <cellStyle name="Финансовый 18" xfId="61456"/>
    <cellStyle name="20% - Accent1 5 5" xfId="61457"/>
    <cellStyle name="20% - Accent2 5 5" xfId="61458"/>
    <cellStyle name="20% - Accent3 5 5" xfId="61459"/>
    <cellStyle name="20% - Accent4 5 5" xfId="61460"/>
    <cellStyle name="20% - Accent5 5 5" xfId="61461"/>
    <cellStyle name="20% - Accent6 5 5" xfId="61462"/>
    <cellStyle name="20% - Акцент1 2 6" xfId="61463"/>
    <cellStyle name="20% - Акцент2 2 5" xfId="61464"/>
    <cellStyle name="20% - Акцент3 2 5" xfId="61465"/>
    <cellStyle name="20% - Акцент4 2 5" xfId="61466"/>
    <cellStyle name="20% - Акцент5 2 5" xfId="61467"/>
    <cellStyle name="20% - Акцент6 2 5" xfId="61468"/>
    <cellStyle name="40% - Accent1 5 5" xfId="61469"/>
    <cellStyle name="40% - Accent2 5 5" xfId="61470"/>
    <cellStyle name="40% - Accent3 5 5" xfId="61471"/>
    <cellStyle name="40% - Accent4 5 5" xfId="61472"/>
    <cellStyle name="40% - Accent5 5 5" xfId="61473"/>
    <cellStyle name="40% - Accent6 5 5" xfId="61474"/>
    <cellStyle name="40% - Акцент1 2 5" xfId="61475"/>
    <cellStyle name="40% - Акцент2 2 5" xfId="61476"/>
    <cellStyle name="40% - Акцент3 2 5" xfId="61477"/>
    <cellStyle name="40% - Акцент4 2 5" xfId="61478"/>
    <cellStyle name="40% - Акцент5 2 5" xfId="61479"/>
    <cellStyle name="40% - Акцент6 2 5" xfId="61480"/>
    <cellStyle name="Comma [0] 2 5" xfId="61481"/>
    <cellStyle name="Comma 10 2 3 5" xfId="61482"/>
    <cellStyle name="Comma 10 3 2 5" xfId="61483"/>
    <cellStyle name="Comma 10 4 5" xfId="61484"/>
    <cellStyle name="Comma 10 6 5" xfId="61485"/>
    <cellStyle name="Comma 11 2 2 2 5" xfId="61486"/>
    <cellStyle name="Comma 11 2 3 5" xfId="61487"/>
    <cellStyle name="Comma 11 3 2 5" xfId="61488"/>
    <cellStyle name="Comma 11 4 5" xfId="61489"/>
    <cellStyle name="Comma 12 2 2 5" xfId="61490"/>
    <cellStyle name="Comma 12 3 2 5" xfId="61491"/>
    <cellStyle name="Comma 12 4 5" xfId="61492"/>
    <cellStyle name="Comma 13 4 5" xfId="61493"/>
    <cellStyle name="Comma 14 10 2 6" xfId="61494"/>
    <cellStyle name="Comma 14 10 2 2 5" xfId="61495"/>
    <cellStyle name="Comma 14 11 5" xfId="61496"/>
    <cellStyle name="Comma 14 2 2 2 6" xfId="61497"/>
    <cellStyle name="Comma 14 2 2 2 2 5" xfId="61498"/>
    <cellStyle name="Comma 15 2 2 6" xfId="61499"/>
    <cellStyle name="Comma 15 2 2 2 5" xfId="61500"/>
    <cellStyle name="Comma 15 3 2 5" xfId="61501"/>
    <cellStyle name="Comma 19 2 5" xfId="61502"/>
    <cellStyle name="Comma 2 2 9" xfId="61503"/>
    <cellStyle name="Comma 2 2 2 3 5" xfId="61504"/>
    <cellStyle name="Comma 2 5 8" xfId="61505"/>
    <cellStyle name="Comma 2 5 2 2 5" xfId="61506"/>
    <cellStyle name="Comma 2 5 3 5" xfId="61507"/>
    <cellStyle name="Comma 2 5 4 5" xfId="61508"/>
    <cellStyle name="Comma 2 6 2 5" xfId="61509"/>
    <cellStyle name="Comma 20 2 5" xfId="61510"/>
    <cellStyle name="Comma 21 2 5" xfId="61511"/>
    <cellStyle name="Comma 22 2 5" xfId="61512"/>
    <cellStyle name="Comma 23 2 5" xfId="61513"/>
    <cellStyle name="Comma 24 2 5" xfId="61514"/>
    <cellStyle name="Comma 25 2 5" xfId="61515"/>
    <cellStyle name="Comma 26 2 5" xfId="61516"/>
    <cellStyle name="Comma 27 2 5" xfId="61517"/>
    <cellStyle name="Comma 3 2 2 2 5" xfId="61518"/>
    <cellStyle name="Comma 3 2 4 2 5" xfId="61519"/>
    <cellStyle name="Comma 3 2 5 5" xfId="61520"/>
    <cellStyle name="Comma 3 2 6 5" xfId="61521"/>
    <cellStyle name="Comma 3 3 2 5" xfId="61522"/>
    <cellStyle name="Comma 3 3 3 5" xfId="61523"/>
    <cellStyle name="Comma 3 4 2 5" xfId="61524"/>
    <cellStyle name="Comma 3 7 2 5" xfId="61525"/>
    <cellStyle name="Comma 3 8 5" xfId="61526"/>
    <cellStyle name="Comma 33 7" xfId="61527"/>
    <cellStyle name="Comma 33 2 5" xfId="61528"/>
    <cellStyle name="Comma 38 2 5" xfId="61529"/>
    <cellStyle name="Comma 39 2 6" xfId="61530"/>
    <cellStyle name="Comma 39 2 2 5" xfId="61531"/>
    <cellStyle name="Comma 4 10" xfId="61532"/>
    <cellStyle name="Comma 4 2 2 3 5" xfId="61533"/>
    <cellStyle name="Comma 4 2 3 2 5" xfId="61534"/>
    <cellStyle name="Comma 4 2 4 2 5" xfId="61535"/>
    <cellStyle name="Comma 4 2 5 2 5" xfId="61536"/>
    <cellStyle name="Comma 4 2 7 5" xfId="61537"/>
    <cellStyle name="Comma 40 2 5" xfId="61538"/>
    <cellStyle name="Comma 41 2 5" xfId="61539"/>
    <cellStyle name="Comma 43 5" xfId="61540"/>
    <cellStyle name="Comma 44 6" xfId="61541"/>
    <cellStyle name="Comma 44 2 5" xfId="61542"/>
    <cellStyle name="Comma 5 2 2 2 5" xfId="61543"/>
    <cellStyle name="Comma 5 2 3 5" xfId="61544"/>
    <cellStyle name="Comma 5 3 2 2 5" xfId="61545"/>
    <cellStyle name="Comma 5 3 3 5" xfId="61546"/>
    <cellStyle name="Comma 5 3 4 5" xfId="61547"/>
    <cellStyle name="Comma 5 4 2 5" xfId="61548"/>
    <cellStyle name="Comma 5 5 2 5" xfId="61549"/>
    <cellStyle name="Comma 6 2 2 2 5" xfId="61550"/>
    <cellStyle name="Comma 6 2 3 5" xfId="61551"/>
    <cellStyle name="Comma 6 2 4 5" xfId="61552"/>
    <cellStyle name="Comma 6 3 2 5" xfId="61553"/>
    <cellStyle name="Comma 6 4 6" xfId="61554"/>
    <cellStyle name="Comma 6 4 2 5" xfId="61555"/>
    <cellStyle name="Comma 7 2 2 5" xfId="61556"/>
    <cellStyle name="Comma 7 3 6" xfId="61557"/>
    <cellStyle name="Comma 7 3 2 5" xfId="61558"/>
    <cellStyle name="Comma 7 4 5" xfId="61559"/>
    <cellStyle name="Comma 8 2 8" xfId="61560"/>
    <cellStyle name="Comma 8 2 2 2 5" xfId="61561"/>
    <cellStyle name="Comma 8 2 3 5" xfId="61562"/>
    <cellStyle name="Comma 8 3 6" xfId="61563"/>
    <cellStyle name="Comma 8 3 2 5" xfId="61564"/>
    <cellStyle name="Comma 8 4 2 5" xfId="61565"/>
    <cellStyle name="Comma 8 5 5" xfId="61566"/>
    <cellStyle name="Comma 9 2 7" xfId="61567"/>
    <cellStyle name="Comma 9 2 2 5" xfId="61568"/>
    <cellStyle name="Comma 9 4 5" xfId="61569"/>
    <cellStyle name="Примечание 2 5" xfId="61570"/>
    <cellStyle name="Примечание 3 5" xfId="61571"/>
    <cellStyle name="Финансовый [0] 2 6" xfId="61572"/>
    <cellStyle name="Финансовый 2 8" xfId="61573"/>
    <cellStyle name="เครื่องหมายจุลภาค 10 6" xfId="61574"/>
    <cellStyle name="เครื่องหมายจุลภาค 10 2 5" xfId="61575"/>
    <cellStyle name="เครื่องหมายจุลภาค 11 6" xfId="61576"/>
    <cellStyle name="เครื่องหมายจุลภาค 11 2 5" xfId="61577"/>
    <cellStyle name="เครื่องหมายจุลภาค 12 2 5" xfId="61578"/>
    <cellStyle name="เครื่องหมายจุลภาค 2 4 6" xfId="61579"/>
    <cellStyle name="เครื่องหมายจุลภาค 3 2 2 2 5" xfId="61580"/>
    <cellStyle name="เครื่องหมายจุลภาค 3 2 3 5" xfId="61581"/>
    <cellStyle name="เครื่องหมายจุลภาค 3 2 4 5" xfId="61582"/>
    <cellStyle name="เครื่องหมายจุลภาค 3 3 2 2 5" xfId="61583"/>
    <cellStyle name="เครื่องหมายจุลภาค 3 3 3 5" xfId="61584"/>
    <cellStyle name="เครื่องหมายจุลภาค 3 4 2 5" xfId="61585"/>
    <cellStyle name="เครื่องหมายจุลภาค 3 5 5" xfId="61586"/>
    <cellStyle name="เครื่องหมายจุลภาค 4 6" xfId="61587"/>
    <cellStyle name="เครื่องหมายจุลภาค 4 2 5" xfId="61588"/>
    <cellStyle name="เครื่องหมายจุลภาค 5 6" xfId="61589"/>
    <cellStyle name="เครื่องหมายจุลภาค 5 2 5" xfId="61590"/>
    <cellStyle name="เครื่องหมายจุลภาค 6 8" xfId="61591"/>
    <cellStyle name="เครื่องหมายจุลภาค 6 4 5" xfId="61592"/>
    <cellStyle name="เครื่องหมายจุลภาค 7 6" xfId="61593"/>
    <cellStyle name="เครื่องหมายจุลภาค 7 2 5" xfId="61594"/>
    <cellStyle name="เครื่องหมายจุลภาค 8 6" xfId="61595"/>
    <cellStyle name="เครื่องหมายจุลภาค 8 2 5" xfId="61596"/>
    <cellStyle name="เครื่องหมายจุลภาค 9 6" xfId="61597"/>
    <cellStyle name="เครื่องหมายจุลภาค 9 2 5" xfId="61598"/>
    <cellStyle name="千分位 2 2 5" xfId="61599"/>
    <cellStyle name="Финансовый 19" xfId="61600"/>
    <cellStyle name="20% - Accent1 5 6" xfId="61601"/>
    <cellStyle name="20% - Accent2 5 6" xfId="61602"/>
    <cellStyle name="20% - Accent3 5 6" xfId="61603"/>
    <cellStyle name="20% - Accent4 5 6" xfId="61604"/>
    <cellStyle name="20% - Accent5 5 6" xfId="61605"/>
    <cellStyle name="20% - Accent6 5 6" xfId="61606"/>
    <cellStyle name="20% - Акцент1 2 7" xfId="61607"/>
    <cellStyle name="20% - Акцент2 2 6" xfId="61608"/>
    <cellStyle name="20% - Акцент3 2 6" xfId="61609"/>
    <cellStyle name="20% - Акцент4 2 6" xfId="61610"/>
    <cellStyle name="20% - Акцент5 2 6" xfId="61611"/>
    <cellStyle name="20% - Акцент6 2 6" xfId="61612"/>
    <cellStyle name="40% - Accent1 5 6" xfId="61613"/>
    <cellStyle name="40% - Accent2 5 6" xfId="61614"/>
    <cellStyle name="40% - Accent3 5 6" xfId="61615"/>
    <cellStyle name="40% - Accent4 5 6" xfId="61616"/>
    <cellStyle name="40% - Accent5 5 6" xfId="61617"/>
    <cellStyle name="40% - Accent6 5 6" xfId="61618"/>
    <cellStyle name="40% - Акцент1 2 6" xfId="61619"/>
    <cellStyle name="40% - Акцент2 2 6" xfId="61620"/>
    <cellStyle name="40% - Акцент3 2 6" xfId="61621"/>
    <cellStyle name="40% - Акцент4 2 6" xfId="61622"/>
    <cellStyle name="40% - Акцент5 2 6" xfId="61623"/>
    <cellStyle name="40% - Акцент6 2 6" xfId="61624"/>
    <cellStyle name="Comma [0] 2 6" xfId="61625"/>
    <cellStyle name="Comma 10 2 3 6" xfId="61626"/>
    <cellStyle name="Comma 10 3 2 6" xfId="61627"/>
    <cellStyle name="Comma 10 4 6" xfId="61628"/>
    <cellStyle name="Comma 10 6 6" xfId="61629"/>
    <cellStyle name="Comma 11 2 2 2 6" xfId="61630"/>
    <cellStyle name="Comma 11 2 3 6" xfId="61631"/>
    <cellStyle name="Comma 11 3 2 6" xfId="61632"/>
    <cellStyle name="Comma 11 4 6" xfId="61633"/>
    <cellStyle name="Comma 12 2 2 6" xfId="61634"/>
    <cellStyle name="Comma 12 3 2 6" xfId="61635"/>
    <cellStyle name="Comma 12 4 6" xfId="61636"/>
    <cellStyle name="Comma 13 4 6" xfId="61637"/>
    <cellStyle name="Comma 14 10 2 7" xfId="61638"/>
    <cellStyle name="Comma 14 10 2 2 6" xfId="61639"/>
    <cellStyle name="Comma 14 11 6" xfId="61640"/>
    <cellStyle name="Comma 14 2 2 2 7" xfId="61641"/>
    <cellStyle name="Comma 14 2 2 2 2 6" xfId="61642"/>
    <cellStyle name="Comma 15 2 2 7" xfId="61643"/>
    <cellStyle name="Comma 15 2 2 2 6" xfId="61644"/>
    <cellStyle name="Comma 15 3 2 6" xfId="61645"/>
    <cellStyle name="Comma 19 2 6" xfId="61646"/>
    <cellStyle name="Comma 2 2 10" xfId="61647"/>
    <cellStyle name="Comma 2 2 2 3 6" xfId="61648"/>
    <cellStyle name="Comma 2 5 9" xfId="61649"/>
    <cellStyle name="Comma 2 5 2 2 6" xfId="61650"/>
    <cellStyle name="Comma 2 5 3 6" xfId="61651"/>
    <cellStyle name="Comma 2 5 4 6" xfId="61652"/>
    <cellStyle name="Comma 2 6 2 6" xfId="61653"/>
    <cellStyle name="Comma 20 2 6" xfId="61654"/>
    <cellStyle name="Comma 21 2 6" xfId="61655"/>
    <cellStyle name="Comma 22 2 6" xfId="61656"/>
    <cellStyle name="Comma 23 2 6" xfId="61657"/>
    <cellStyle name="Comma 24 2 6" xfId="61658"/>
    <cellStyle name="Comma 25 2 6" xfId="61659"/>
    <cellStyle name="Comma 26 2 6" xfId="61660"/>
    <cellStyle name="Comma 27 2 6" xfId="61661"/>
    <cellStyle name="Comma 3 2 2 2 6" xfId="61662"/>
    <cellStyle name="Comma 3 2 4 2 6" xfId="61663"/>
    <cellStyle name="Comma 3 2 5 6" xfId="61664"/>
    <cellStyle name="Comma 3 2 6 6" xfId="61665"/>
    <cellStyle name="Comma 3 3 2 6" xfId="61666"/>
    <cellStyle name="Comma 3 3 3 6" xfId="61667"/>
    <cellStyle name="Comma 3 4 2 6" xfId="61668"/>
    <cellStyle name="Comma 3 7 2 6" xfId="61669"/>
    <cellStyle name="Comma 3 8 6" xfId="61670"/>
    <cellStyle name="Comma 33 8" xfId="61671"/>
    <cellStyle name="Comma 33 2 6" xfId="61672"/>
    <cellStyle name="Comma 38 2 6" xfId="61673"/>
    <cellStyle name="Comma 39 2 7" xfId="61674"/>
    <cellStyle name="Comma 39 2 2 6" xfId="61675"/>
    <cellStyle name="Comma 4 11" xfId="61676"/>
    <cellStyle name="Comma 4 2 2 3 6" xfId="61677"/>
    <cellStyle name="Comma 4 2 3 2 6" xfId="61678"/>
    <cellStyle name="Comma 4 2 4 2 6" xfId="61679"/>
    <cellStyle name="Comma 4 2 5 2 6" xfId="61680"/>
    <cellStyle name="Comma 4 2 7 6" xfId="61681"/>
    <cellStyle name="Comma 40 2 6" xfId="61682"/>
    <cellStyle name="Comma 41 2 6" xfId="61683"/>
    <cellStyle name="Comma 43 6" xfId="61684"/>
    <cellStyle name="Comma 44 7" xfId="61685"/>
    <cellStyle name="Comma 44 2 6" xfId="61686"/>
    <cellStyle name="Comma 5 2 2 2 6" xfId="61687"/>
    <cellStyle name="Comma 5 2 3 6" xfId="61688"/>
    <cellStyle name="Comma 5 3 2 2 6" xfId="61689"/>
    <cellStyle name="Comma 5 3 3 6" xfId="61690"/>
    <cellStyle name="Comma 5 3 4 6" xfId="61691"/>
    <cellStyle name="Comma 5 4 2 6" xfId="61692"/>
    <cellStyle name="Comma 5 5 2 6" xfId="61693"/>
    <cellStyle name="Comma 6 2 2 2 6" xfId="61694"/>
    <cellStyle name="Comma 6 2 3 6" xfId="61695"/>
    <cellStyle name="Comma 6 2 4 6" xfId="61696"/>
    <cellStyle name="Comma 6 3 2 6" xfId="61697"/>
    <cellStyle name="Comma 6 4 7" xfId="61698"/>
    <cellStyle name="Comma 6 4 2 6" xfId="61699"/>
    <cellStyle name="Comma 7 2 2 6" xfId="61700"/>
    <cellStyle name="Comma 7 3 7" xfId="61701"/>
    <cellStyle name="Comma 7 3 2 6" xfId="61702"/>
    <cellStyle name="Comma 7 4 6" xfId="61703"/>
    <cellStyle name="Comma 8 2 9" xfId="61704"/>
    <cellStyle name="Comma 8 2 2 2 6" xfId="61705"/>
    <cellStyle name="Comma 8 2 3 6" xfId="61706"/>
    <cellStyle name="Comma 8 3 7" xfId="61707"/>
    <cellStyle name="Comma 8 3 2 6" xfId="61708"/>
    <cellStyle name="Comma 8 4 2 6" xfId="61709"/>
    <cellStyle name="Comma 8 5 6" xfId="61710"/>
    <cellStyle name="Comma 9 2 8" xfId="61711"/>
    <cellStyle name="Comma 9 2 2 6" xfId="61712"/>
    <cellStyle name="Comma 9 4 6" xfId="61713"/>
    <cellStyle name="Примечание 2 6" xfId="61714"/>
    <cellStyle name="Примечание 3 6" xfId="61715"/>
    <cellStyle name="Финансовый [0] 2 7" xfId="61716"/>
    <cellStyle name="Финансовый 2 9" xfId="61717"/>
    <cellStyle name="เครื่องหมายจุลภาค 10 7" xfId="61718"/>
    <cellStyle name="เครื่องหมายจุลภาค 10 2 6" xfId="61719"/>
    <cellStyle name="เครื่องหมายจุลภาค 11 7" xfId="61720"/>
    <cellStyle name="เครื่องหมายจุลภาค 11 2 6" xfId="61721"/>
    <cellStyle name="เครื่องหมายจุลภาค 12 2 6" xfId="61722"/>
    <cellStyle name="เครื่องหมายจุลภาค 2 4 7" xfId="61723"/>
    <cellStyle name="เครื่องหมายจุลภาค 3 2 2 2 6" xfId="61724"/>
    <cellStyle name="เครื่องหมายจุลภาค 3 2 3 6" xfId="61725"/>
    <cellStyle name="เครื่องหมายจุลภาค 3 2 4 6" xfId="61726"/>
    <cellStyle name="เครื่องหมายจุลภาค 3 3 2 2 6" xfId="61727"/>
    <cellStyle name="เครื่องหมายจุลภาค 3 3 3 6" xfId="61728"/>
    <cellStyle name="เครื่องหมายจุลภาค 3 4 2 6" xfId="61729"/>
    <cellStyle name="เครื่องหมายจุลภาค 3 5 6" xfId="61730"/>
    <cellStyle name="เครื่องหมายจุลภาค 4 7" xfId="61731"/>
    <cellStyle name="เครื่องหมายจุลภาค 4 2 6" xfId="61732"/>
    <cellStyle name="เครื่องหมายจุลภาค 5 7" xfId="61733"/>
    <cellStyle name="เครื่องหมายจุลภาค 5 2 6" xfId="61734"/>
    <cellStyle name="เครื่องหมายจุลภาค 6 9" xfId="61735"/>
    <cellStyle name="เครื่องหมายจุลภาค 6 4 6" xfId="61736"/>
    <cellStyle name="เครื่องหมายจุลภาค 7 7" xfId="61737"/>
    <cellStyle name="เครื่องหมายจุลภาค 7 2 6" xfId="61738"/>
    <cellStyle name="เครื่องหมายจุลภาค 8 7" xfId="61739"/>
    <cellStyle name="เครื่องหมายจุลภาค 8 2 6" xfId="61740"/>
    <cellStyle name="เครื่องหมายจุลภาค 9 7" xfId="61741"/>
    <cellStyle name="เครื่องหมายจุลภาค 9 2 6" xfId="61742"/>
    <cellStyle name="千分位 2 2 6" xfId="61743"/>
    <cellStyle name="Финансовый 20" xfId="61744"/>
    <cellStyle name="20% - Accent1 5 7" xfId="61745"/>
    <cellStyle name="20% - Accent2 5 7" xfId="61746"/>
    <cellStyle name="20% - Accent3 5 7" xfId="61747"/>
    <cellStyle name="20% - Accent4 5 7" xfId="61748"/>
    <cellStyle name="20% - Accent5 5 7" xfId="61749"/>
    <cellStyle name="20% - Accent6 5 7" xfId="61750"/>
    <cellStyle name="20% - Акцент1 2 8" xfId="61751"/>
    <cellStyle name="20% - Акцент2 2 7" xfId="61752"/>
    <cellStyle name="20% - Акцент3 2 7" xfId="61753"/>
    <cellStyle name="20% - Акцент4 2 7" xfId="61754"/>
    <cellStyle name="20% - Акцент5 2 7" xfId="61755"/>
    <cellStyle name="20% - Акцент6 2 7" xfId="61756"/>
    <cellStyle name="40% - Accent1 5 7" xfId="61757"/>
    <cellStyle name="40% - Accent2 5 7" xfId="61758"/>
    <cellStyle name="40% - Accent3 5 7" xfId="61759"/>
    <cellStyle name="40% - Accent4 5 7" xfId="61760"/>
    <cellStyle name="40% - Accent5 5 7" xfId="61761"/>
    <cellStyle name="40% - Accent6 5 7" xfId="61762"/>
    <cellStyle name="40% - Акцент1 2 7" xfId="61763"/>
    <cellStyle name="40% - Акцент2 2 7" xfId="61764"/>
    <cellStyle name="40% - Акцент3 2 7" xfId="61765"/>
    <cellStyle name="40% - Акцент4 2 7" xfId="61766"/>
    <cellStyle name="40% - Акцент5 2 7" xfId="61767"/>
    <cellStyle name="40% - Акцент6 2 7" xfId="61768"/>
    <cellStyle name="Comma [0] 2 7" xfId="61769"/>
    <cellStyle name="Comma 10 2 3 7" xfId="61770"/>
    <cellStyle name="Comma 10 3 2 7" xfId="61771"/>
    <cellStyle name="Comma 10 4 7" xfId="61772"/>
    <cellStyle name="Comma 10 6 7" xfId="61773"/>
    <cellStyle name="Comma 11 2 2 2 7" xfId="61774"/>
    <cellStyle name="Comma 11 2 3 7" xfId="61775"/>
    <cellStyle name="Comma 11 3 2 7" xfId="61776"/>
    <cellStyle name="Comma 11 4 7" xfId="61777"/>
    <cellStyle name="Comma 12 2 2 7" xfId="61778"/>
    <cellStyle name="Comma 12 3 2 7" xfId="61779"/>
    <cellStyle name="Comma 12 4 7" xfId="61780"/>
    <cellStyle name="Comma 13 4 7" xfId="61781"/>
    <cellStyle name="Comma 14 10 2 8" xfId="61782"/>
    <cellStyle name="Comma 14 10 2 2 7" xfId="61783"/>
    <cellStyle name="Comma 14 11 7" xfId="61784"/>
    <cellStyle name="Comma 14 2 2 2 8" xfId="61785"/>
    <cellStyle name="Comma 14 2 2 2 2 7" xfId="61786"/>
    <cellStyle name="Comma 15 2 2 8" xfId="61787"/>
    <cellStyle name="Comma 15 2 2 2 7" xfId="61788"/>
    <cellStyle name="Comma 15 3 2 7" xfId="61789"/>
    <cellStyle name="Comma 19 2 7" xfId="61790"/>
    <cellStyle name="Comma 2 2 11" xfId="61791"/>
    <cellStyle name="Comma 2 2 2 3 7" xfId="61792"/>
    <cellStyle name="Comma 2 5 10" xfId="61793"/>
    <cellStyle name="Comma 2 5 2 2 7" xfId="61794"/>
    <cellStyle name="Comma 2 5 3 7" xfId="61795"/>
    <cellStyle name="Comma 2 5 4 7" xfId="61796"/>
    <cellStyle name="Comma 2 6 2 7" xfId="61797"/>
    <cellStyle name="Comma 20 2 7" xfId="61798"/>
    <cellStyle name="Comma 21 2 7" xfId="61799"/>
    <cellStyle name="Comma 22 2 7" xfId="61800"/>
    <cellStyle name="Comma 23 2 7" xfId="61801"/>
    <cellStyle name="Comma 24 2 7" xfId="61802"/>
    <cellStyle name="Comma 25 2 7" xfId="61803"/>
    <cellStyle name="Comma 26 2 7" xfId="61804"/>
    <cellStyle name="Comma 27 2 7" xfId="61805"/>
    <cellStyle name="Comma 3 2 2 2 7" xfId="61806"/>
    <cellStyle name="Comma 3 2 4 2 7" xfId="61807"/>
    <cellStyle name="Comma 3 2 5 7" xfId="61808"/>
    <cellStyle name="Comma 3 2 6 7" xfId="61809"/>
    <cellStyle name="Comma 3 3 2 7" xfId="61810"/>
    <cellStyle name="Comma 3 3 3 7" xfId="61811"/>
    <cellStyle name="Comma 3 4 2 7" xfId="61812"/>
    <cellStyle name="Comma 3 7 2 7" xfId="61813"/>
    <cellStyle name="Comma 3 8 7" xfId="61814"/>
    <cellStyle name="Comma 33 9" xfId="61815"/>
    <cellStyle name="Comma 33 2 7" xfId="61816"/>
    <cellStyle name="Comma 38 2 7" xfId="61817"/>
    <cellStyle name="Comma 39 2 8" xfId="61818"/>
    <cellStyle name="Comma 39 2 2 7" xfId="61819"/>
    <cellStyle name="Comma 4 12" xfId="61820"/>
    <cellStyle name="Comma 4 2 2 3 7" xfId="61821"/>
    <cellStyle name="Comma 4 2 3 2 7" xfId="61822"/>
    <cellStyle name="Comma 4 2 4 2 7" xfId="61823"/>
    <cellStyle name="Comma 4 2 5 2 7" xfId="61824"/>
    <cellStyle name="Comma 4 2 7 7" xfId="61825"/>
    <cellStyle name="Comma 40 2 7" xfId="61826"/>
    <cellStyle name="Comma 41 2 7" xfId="61827"/>
    <cellStyle name="Comma 43 7" xfId="61828"/>
    <cellStyle name="Comma 44 8" xfId="61829"/>
    <cellStyle name="Comma 44 2 7" xfId="61830"/>
    <cellStyle name="Comma 5 2 2 2 7" xfId="61831"/>
    <cellStyle name="Comma 5 2 3 7" xfId="61832"/>
    <cellStyle name="Comma 5 3 2 2 7" xfId="61833"/>
    <cellStyle name="Comma 5 3 3 7" xfId="61834"/>
    <cellStyle name="Comma 5 3 4 7" xfId="61835"/>
    <cellStyle name="Comma 5 4 2 7" xfId="61836"/>
    <cellStyle name="Comma 5 5 2 7" xfId="61837"/>
    <cellStyle name="Comma 6 2 2 2 7" xfId="61838"/>
    <cellStyle name="Comma 6 2 3 7" xfId="61839"/>
    <cellStyle name="Comma 6 2 4 7" xfId="61840"/>
    <cellStyle name="Comma 6 3 2 7" xfId="61841"/>
    <cellStyle name="Comma 6 4 8" xfId="61842"/>
    <cellStyle name="Comma 6 4 2 7" xfId="61843"/>
    <cellStyle name="Comma 7 2 2 7" xfId="61844"/>
    <cellStyle name="Comma 7 3 8" xfId="61845"/>
    <cellStyle name="Comma 7 3 2 7" xfId="61846"/>
    <cellStyle name="Comma 7 4 7" xfId="61847"/>
    <cellStyle name="Comma 8 2 10" xfId="61848"/>
    <cellStyle name="Comma 8 2 2 2 7" xfId="61849"/>
    <cellStyle name="Comma 8 2 3 7" xfId="61850"/>
    <cellStyle name="Comma 8 3 8" xfId="61851"/>
    <cellStyle name="Comma 8 3 2 7" xfId="61852"/>
    <cellStyle name="Comma 8 4 2 7" xfId="61853"/>
    <cellStyle name="Comma 8 5 7" xfId="61854"/>
    <cellStyle name="Comma 9 2 9" xfId="61855"/>
    <cellStyle name="Comma 9 2 2 7" xfId="61856"/>
    <cellStyle name="Comma 9 4 7" xfId="61857"/>
    <cellStyle name="Примечание 2 7" xfId="61858"/>
    <cellStyle name="Примечание 3 7" xfId="61859"/>
    <cellStyle name="Финансовый [0] 2 8" xfId="61860"/>
    <cellStyle name="Финансовый 2 10" xfId="61861"/>
    <cellStyle name="เครื่องหมายจุลภาค 10 8" xfId="61862"/>
    <cellStyle name="เครื่องหมายจุลภาค 10 2 7" xfId="61863"/>
    <cellStyle name="เครื่องหมายจุลภาค 11 8" xfId="61864"/>
    <cellStyle name="เครื่องหมายจุลภาค 11 2 7" xfId="61865"/>
    <cellStyle name="เครื่องหมายจุลภาค 12 2 7" xfId="61866"/>
    <cellStyle name="เครื่องหมายจุลภาค 2 4 8" xfId="61867"/>
    <cellStyle name="เครื่องหมายจุลภาค 3 2 2 2 7" xfId="61868"/>
    <cellStyle name="เครื่องหมายจุลภาค 3 2 3 7" xfId="61869"/>
    <cellStyle name="เครื่องหมายจุลภาค 3 2 4 7" xfId="61870"/>
    <cellStyle name="เครื่องหมายจุลภาค 3 3 2 2 7" xfId="61871"/>
    <cellStyle name="เครื่องหมายจุลภาค 3 3 3 7" xfId="61872"/>
    <cellStyle name="เครื่องหมายจุลภาค 3 4 2 7" xfId="61873"/>
    <cellStyle name="เครื่องหมายจุลภาค 3 5 7" xfId="61874"/>
    <cellStyle name="เครื่องหมายจุลภาค 4 8" xfId="61875"/>
    <cellStyle name="เครื่องหมายจุลภาค 4 2 7" xfId="61876"/>
    <cellStyle name="เครื่องหมายจุลภาค 5 8" xfId="61877"/>
    <cellStyle name="เครื่องหมายจุลภาค 5 2 7" xfId="61878"/>
    <cellStyle name="เครื่องหมายจุลภาค 6 10" xfId="61879"/>
    <cellStyle name="เครื่องหมายจุลภาค 6 4 7" xfId="61880"/>
    <cellStyle name="เครื่องหมายจุลภาค 7 8" xfId="61881"/>
    <cellStyle name="เครื่องหมายจุลภาค 7 2 7" xfId="61882"/>
    <cellStyle name="เครื่องหมายจุลภาค 8 8" xfId="61883"/>
    <cellStyle name="เครื่องหมายจุลภาค 8 2 7" xfId="61884"/>
    <cellStyle name="เครื่องหมายจุลภาค 9 8" xfId="61885"/>
    <cellStyle name="เครื่องหมายจุลภาค 9 2 7" xfId="61886"/>
    <cellStyle name="千分位 2 2 7" xfId="61887"/>
    <cellStyle name="Normal 2 17" xfId="61888"/>
    <cellStyle name="Normal 3 10" xfId="61889"/>
    <cellStyle name="Comma 3 10" xfId="61890"/>
    <cellStyle name="ปกติ 25" xfId="61891"/>
    <cellStyle name="จุลภาค 2" xfId="61892"/>
    <cellStyle name="Comma 6 10" xfId="61893"/>
    <cellStyle name="ปกติ 25 2" xfId="61894"/>
  </cellStyles>
  <dxfs count="1">
    <dxf>
      <font>
        <color theme="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pivotCacheDefinition" Target="/xl/pivotCache/pivotCacheDefinition1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comments/comment1.xml><?xml version="1.0" encoding="utf-8"?>
<comments xmlns="http://schemas.openxmlformats.org/spreadsheetml/2006/main">
  <authors>
    <author>User</author>
    <author>Surface</author>
    <author>Щербин Артур</author>
  </authors>
  <commentList>
    <comment ref="J11" authorId="0" shapeId="0">
      <text>
        <t>User:
Added APK DON cash</t>
      </text>
    </comment>
    <comment ref="F19" authorId="1" shapeId="0">
      <text>
        <t>Surface:
3.276 Euro
Current a/c for payment</t>
      </text>
    </comment>
    <comment ref="F23" authorId="1" shapeId="0">
      <text>
        <t>Surface:
3.276 Euro
Current a/c for payment</t>
      </text>
    </comment>
    <comment ref="TS23" authorId="2" shapeId="0">
      <text>
        <t>Щербин Артур:
From 31.05 it was CNY 330k less than stated for CPF Trading</t>
      </text>
    </comment>
  </commentList>
</comments>
</file>

<file path=xl/comments/comment2.xml><?xml version="1.0" encoding="utf-8"?>
<comments xmlns="http://schemas.openxmlformats.org/spreadsheetml/2006/main">
  <authors>
    <author>Щербин Артур</author>
    <author>Anuwat</author>
  </authors>
  <commentList>
    <comment ref="PZ15" authorId="0" shapeId="0">
      <text>
        <t>Щербин Артур:
Added new loan 200 M. RUB from Severnaya</t>
      </text>
    </comment>
    <comment ref="HC16" authorId="1" shapeId="0">
      <text>
        <t>Anuwat:
STL repayment</t>
      </text>
    </comment>
    <comment ref="PY27" authorId="0" shapeId="0">
      <text>
        <t>Щербин Артур:
Added 600 M.RUB new loan from Severnaya</t>
      </text>
    </comment>
  </commentList>
</comments>
</file>

<file path=xl/comments/comment3.xml><?xml version="1.0" encoding="utf-8"?>
<comments xmlns="http://schemas.openxmlformats.org/spreadsheetml/2006/main">
  <authors>
    <author>User</author>
  </authors>
  <commentList>
    <comment ref="I26" authorId="0" shapeId="0">
      <text>
        <t xml:space="preserve">User:
GPB WC200
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ARTUR" refreshedDate="45826.36858275463" createdVersion="8" refreshedVersion="8" minRefreshableVersion="3" recordCount="123" r:id="rId1">
  <cacheSource type="worksheet">
    <worksheetSource ref="A2:N1009" sheet="Bank loan table"/>
  </cacheSource>
  <cacheFields count="14">
    <cacheField name="Unit : M.Rub" uniqueList="1" numFmtId="0" sqlType="0" hierarchy="0" level="0" databaseField="1">
      <sharedItems count="0" containsBlank="1"/>
    </cacheField>
    <cacheField name="Company" uniqueList="1" numFmtId="0" sqlType="0" hierarchy="0" level="0" databaseField="1">
      <sharedItems count="5" containsBlank="1">
        <s v="CPFO"/>
        <m/>
        <s v="SW"/>
        <s v="APK"/>
        <s v="RBPI"/>
      </sharedItems>
    </cacheField>
    <cacheField name="Description" uniqueList="1" numFmtId="0" sqlType="0" hierarchy="0" level="0" databaseField="1">
      <sharedItems count="111" containsBlank="1">
        <s v="CPF Ryazan"/>
        <m/>
        <s v="Severnaya"/>
        <s v="Woyskovitsy"/>
        <s v="Sberbank  130B016F12LZMF ( AB  )"/>
        <s v="Sberbank  130B016FM2LZMF ( AB  )"/>
        <s v="Sberbank  130B018152LZMF ( DB  )"/>
        <s v="Sberbank  130B017JKMF ( AO  )"/>
        <s v="Sberbank  130B017IBMF ( AO  )"/>
        <s v="Sberbank  130B017AYАСРМMF ( Oskol  )"/>
        <s v="Sberbank  130B01763АСРМMF ( Oskol  )"/>
        <s v="Sberbank  550B017PHАСРМMF ( NNPP  )"/>
        <s v="Sberbank  130B014TY2LZMF ( DB  )"/>
        <s v="Sberbank  550COOOZK12LZMF  ( Kornevo  )"/>
        <s v="Bank SPb  7500-22-020286/25 ( PPP  )"/>
        <s v="Bank SPb  7500-24-018253/4  ( NNPP  )"/>
        <s v="Sberbank  130B018CKАСРМMF ( AB  )"/>
        <s v="Bank SPb  7500-22-020286/22 ( PPP  )"/>
        <s v="Sberbank  130B013BZMF ( AKZ  )"/>
        <s v="Bank SPb  7500-22-020286/26  ( PPP  )"/>
        <s v="Gasprombank  0124-031 ( PPP-2  )"/>
        <s v="Bank SPb  7500-22-020286/24  ( PPP  )"/>
        <s v="Bank SPb  7500-22-020286/27 ( PPP )"/>
        <s v="Sberbank  550B017B82LZMF ( NNPP  )"/>
        <s v="Sberbank  130B015SN2LZMF ( AB  )"/>
        <s v="Bank SPb  7500-24-018253/3 ( NNPP  )"/>
        <s v="Sberbank  130B018FGMF ( AKZ  )"/>
        <s v="Sberbank  130B015II2LZMF ( AO  )"/>
        <s v="Sberbank  550С010922LZMF  ( Kornevo  )"/>
        <s v="Bank SPb  7500-22-020286/28 ( PPP  )"/>
        <s v="Sberbank  130B018LHMF ( AKZ  )"/>
        <s v="Sberbank  550С00YFH2LZMF  ( Kornevo  )"/>
        <s v="Gasprombank  0124-034 ( PPP-2  )"/>
        <s v="Sberbank  130C00Z832LZMF ( AB  )"/>
        <s v="Bank SPb  7500-24-018253/1  ( NNPP  )"/>
        <s v="Sberbank  130B016EZ2LZMF ( AB  )"/>
        <s v="Sberbank  130B015WWMF ( Oskol  )"/>
        <s v="Sberbank  130B015Q02LZMF ( AB  )"/>
        <s v="Bank SPb  7500-22-020286/21  ( PPP  )"/>
        <s v="Sberbank  130C00ZY92LZMF ( AO  )"/>
        <s v="Bank SPb  7500-24-018253/7 ( NNPP )"/>
        <s v="Sberbank 550B018WIАСРМMF ( NNPP )"/>
        <s v="Sberbank  130C011H02LZMF ( AB  )"/>
        <s v="Sberbank  130C00ZOB2LZMF ( AB  )"/>
        <s v="Gasprombank  0124-023  ( PPP-2  )"/>
        <s v="VTB BANK   СВЛ/061225-163942 ( NNPP-2  )"/>
        <s v="Sberbank  130C00ZGI2LZMF ( Oskol  )"/>
        <s v="Gasprombank  0124-025  ( PPP-2  )"/>
        <s v="Sberbank   130B013FZMF ( AKZ  )"/>
        <s v="Sberbank  130B01A532LZMF ( DB  )"/>
        <s v="Sberbank   130C010142LZMF ( Oskol  )"/>
        <s v="Sberbank  130B0132S2LZMF ( Oskol  )"/>
        <s v="Bank SPb  7500-25-000001-1  ( Kornevo  )"/>
        <s v="Bank SPb  7500-24-018253/2 ( NNPP  )"/>
        <s v="Sberbank 130B016BF2LZMF ( DB  )"/>
        <s v="Sberbank 130B017BN2LZMF ( AKZ  )"/>
        <s v="Sberbank  130B01882MF ( AKZ  )"/>
        <s v="Bank SPb  7500-22-020286/34 ( PPP  )"/>
        <s v="Sberbank  130C011JG2LZMF ( AB  )"/>
        <s v="Sberbank 130B016UA2LZMF ( AKZ  )"/>
        <s v="Gasprombank  0124-033 ( PPP-2  )"/>
        <s v="Sberbank  130B013H0MF ( AKZ  )"/>
        <s v="Sberbank  130B016AT2LZMF ( DB  )"/>
        <s v="Gasprombank  0125-002 ( PPP-2  )"/>
        <s v="Gasprombank  0125-004 ( PPP-2  )"/>
        <s v="VTB BANK   СВЛ/061225-069229 ( NNPP-2  )"/>
        <s v="Bank SPb  7500-22-020286/33 ( PPP  )"/>
        <s v="Bank SPb  7500-22-020286/29 ( PPP )"/>
        <s v="Sberbank 130B017BA2LZMF ( AKZ  )"/>
        <s v="Bank SPb  7500-22-020286/41 ( PPP  )"/>
        <s v="Bank SPb  7500-22-020286/42 ( PPP  )"/>
        <s v="Sberbank  130B019CBАСРМMF ( AB  )"/>
        <s v="Bank SPb  7500-24-018253/6 ( NNPP )"/>
        <s v="Bank SPb  7500-24-018253/5 ( NNPP )"/>
        <s v="Bank SPb   7500-22-020286/30 ( PPP  )"/>
        <s v="Bank SPb  7500-22-020286/31 ( PPP )"/>
        <s v="Bank SPb  7500-22-020286/32 ( PPP )"/>
        <s v="Bank SPb  7500-22-020286/36 ( PPP )"/>
        <s v="Bank SPb  7500-22-020286/37 ( PPP )"/>
        <s v="Bank SPb  7500-22-020286/38 ( PPP )"/>
        <s v="Bank SPb  7500-22-020286/39 ( PPP )"/>
        <s v="Bank SPb  7500-22-020286/40 ( PPP )"/>
        <s v="Sberbank    601521249 ( RBPI Voronezh  )"/>
        <s v="Sberbank    601521222 ( RBPI Voronezh  )"/>
        <s v="VTB BANK   15/18  ( NNPP-2  )"/>
        <s v="Bank SPb  7500-24-003260  ( PPP  )"/>
        <s v="Bank SPb  7500-22-020286/14  ( PPP  )"/>
        <s v="Gasprombank  0117-053   ( PPP-2  )"/>
        <s v="Gasprombank  0118-046   ( PPP-2  )"/>
        <s v="Gasprombank  0118-045  ( PPP-2  )"/>
        <s v="Bank SPb  7500-22-020286/19 ( PPP  )"/>
        <s v="Bank SPb  7500-22-020286/15 ( PPP )"/>
        <s v="Bank SPb  7500-22-020286/35 ( PPP )"/>
        <s v="Bank SPb  7500-22-020286/4 ( PPP  )"/>
        <s v="Bank SPb  7500-22-020286/11  ( PPP  )"/>
        <s v="Bank SPb  7500-23-042170 ( PPP  )"/>
        <s v="Bank SPb  7500-22-003340  ( PPP  )"/>
        <s v="Gasprombank  0118-066 ( Rechnoe   )"/>
        <s v="Gasprombank  0121-014  ( NNPP  )"/>
        <s v="Gasprombank  0121-015  ( NNPP  )"/>
        <s v="Gasprombank  0121-018  ( PPP  )"/>
        <s v="Bank SPb  7500-22-020286/3  ( PPP  )"/>
        <s v="Bank SPb  7500-22-020286/23  ( PPP  )"/>
        <s v="Sberbank   550B00FYXMF  ( NNPP  )"/>
        <s v="Sberbank  550C00XSNMF  ( NNPP  )" u="1"/>
        <s v="Sberbank  130C00XNM2LZMF ( DB  )" u="1"/>
        <s v="Bank SPb  7500-22-020286/20 ( PPP  )" u="1"/>
        <s v="Sberbank   130C00WAI2LZMF ( AKZ  )" u="1"/>
        <s v="Sberbank   130C00WAW2LZMF ( AKZ  )" u="1"/>
        <s v="Gasprombank  0124-015 ( PPP-2  )" u="1"/>
        <s v="Gasprombank  0120-019  ( NNPP  )" u="1"/>
      </sharedItems>
    </cacheField>
    <cacheField name="Bank" uniqueList="1" numFmtId="0" sqlType="0" hierarchy="0" level="0" databaseField="1">
      <sharedItems count="0" containsBlank="1"/>
    </cacheField>
    <cacheField name="Preferable rate" uniqueList="1" numFmtId="0" sqlType="0" hierarchy="0" level="0" databaseField="1">
      <sharedItems count="0" containsBlank="1"/>
    </cacheField>
    <cacheField name="Credit" uniqueList="1" numFmtId="175" sqlType="0" hierarchy="0" level="0" databaseField="1">
      <sharedItems count="0" containsBlank="1" containsNumber="1" containsString="0" minValue="26.628" maxValue="33880.83802172"/>
    </cacheField>
    <cacheField name="Loan" uniqueList="1" numFmtId="0" sqlType="0" hierarchy="0" level="0" databaseField="1">
      <sharedItems count="0" containsBlank="1" containsNumber="1" containsString="0" minValue="26.628" maxValue="33605.20076456999"/>
    </cacheField>
    <cacheField name="Available credit" uniqueList="1" numFmtId="0" sqlType="0" hierarchy="0" level="0" databaseField="1">
      <sharedItems count="0" containsBlank="1" containsNumber="1" containsString="0" minValue="0" maxValue="275.63725715"/>
    </cacheField>
    <cacheField name="Interest rate" uniqueList="1" numFmtId="10" sqlType="0" hierarchy="0" level="0" databaseField="1">
      <sharedItems count="0" containsBlank="1" containsNumber="1" containsString="0" minValue="0.0442" maxValue="0.266"/>
    </cacheField>
    <cacheField name="Interest rate_x000a_Approved memo" uniqueList="1" numFmtId="10" sqlType="0" hierarchy="0" level="0" databaseField="1">
      <sharedItems count="0" containsBlank="1" containsInteger="1" containsNumber="1" containsString="0" minValue="0" maxValue="0"/>
    </cacheField>
    <cacheField name="Condition" uniqueList="1" numFmtId="0" sqlType="0" hierarchy="0" level="0" databaseField="1">
      <sharedItems count="0" containsBlank="1"/>
    </cacheField>
    <cacheField name="Int." uniqueList="1" numFmtId="0" sqlType="0" hierarchy="0" level="0" databaseField="1">
      <sharedItems count="0" containsBlank="1" containsNumber="1" containsString="0" minValue="0" maxValue="4509.811883304114"/>
    </cacheField>
    <cacheField name="Agreement _x000a_Date" uniqueList="1" numFmtId="0" sqlType="0" hierarchy="0" level="0" databaseField="1">
      <sharedItems count="0" containsBlank="1" containsDate="1" containsNonDate="0" containsString="0" minDate="2017-09-22T00:00:00" maxDate="2025-05-31T00:00:00"/>
    </cacheField>
    <cacheField name="Due Date" uniqueList="1" numFmtId="0" sqlType="0" hierarchy="0" level="0" databaseField="1">
      <sharedItems count="0" containsBlank="1" containsDate="1" containsNonDate="0" containsString="0" minDate="2025-06-04T00:00:00" maxDate="2031-11-26T00:00:00"/>
    </cacheField>
  </cacheFields>
</pivotCacheDefinition>
</file>

<file path=xl/pivotCache/pivotCacheRecords1.xml><?xml version="1.0" encoding="utf-8"?>
<pivotCacheRecords xmlns="http://schemas.openxmlformats.org/spreadsheetml/2006/main" count="123">
  <r>
    <s v="LTL"/>
    <x v="0"/>
    <x v="0"/>
    <s v="GPB"/>
    <s v="yes"/>
    <n v="899.60311588"/>
    <n v="899.60311588"/>
    <n v="0"/>
    <n v="0.105"/>
    <m/>
    <s v="Float"/>
    <n v="94.4583271674"/>
    <d v="2018-11-29T00:00:00"/>
    <d v="2026-11-27T00:00:00"/>
  </r>
  <r>
    <s v="STL"/>
    <x v="0"/>
    <x v="0"/>
    <s v="GPB"/>
    <s v="yes"/>
    <n v="500"/>
    <n v="500"/>
    <n v="0"/>
    <n v="0.125"/>
    <m/>
    <s v="Float"/>
    <n v="62.5"/>
    <d v="2024-12-23T00:00:00"/>
    <d v="2025-12-22T00:00:00"/>
  </r>
  <r>
    <m/>
    <x v="1"/>
    <x v="1"/>
    <m/>
    <m/>
    <m/>
    <m/>
    <m/>
    <m/>
    <m/>
    <m/>
    <n v="0"/>
    <m/>
    <m/>
  </r>
  <r>
    <s v="STL"/>
    <x v="2"/>
    <x v="2"/>
    <s v="RSHB"/>
    <s v="yes"/>
    <n v="300"/>
    <n v="300"/>
    <n v="0"/>
    <n v="0.125"/>
    <m/>
    <s v="Float"/>
    <n v="37.5"/>
    <d v="2024-11-29T00:00:00"/>
    <d v="2025-11-29T00:00:00"/>
  </r>
  <r>
    <s v="STL"/>
    <x v="2"/>
    <x v="2"/>
    <s v="SBER"/>
    <s v="yes"/>
    <n v="300"/>
    <n v="150"/>
    <n v="150"/>
    <n v="0.125"/>
    <m/>
    <s v="Float"/>
    <n v="18.75"/>
    <d v="2025-05-13T00:00:00"/>
    <d v="2026-05-13T00:00:00"/>
  </r>
  <r>
    <s v="LTL"/>
    <x v="2"/>
    <x v="2"/>
    <s v="RSHB"/>
    <s v="yes"/>
    <n v="729.1099999999996"/>
    <n v="729.1099999999996"/>
    <n v="0"/>
    <n v="0.105"/>
    <m/>
    <s v="Fix"/>
    <n v="76.55654999999994"/>
    <d v="2020-12-25T00:00:00"/>
    <d v="2025-12-24T00:00:00"/>
  </r>
  <r>
    <s v="STL"/>
    <x v="2"/>
    <x v="3"/>
    <s v="RSHB"/>
    <s v="yes"/>
    <n v="300"/>
    <n v="300"/>
    <n v="0"/>
    <n v="0.125"/>
    <m/>
    <s v="Float"/>
    <n v="37.5"/>
    <d v="2024-11-29T00:00:00"/>
    <d v="2025-11-29T00:00:00"/>
  </r>
  <r>
    <s v="STL"/>
    <x v="2"/>
    <x v="3"/>
    <s v="RSHB"/>
    <s v="yes"/>
    <n v="300"/>
    <n v="300"/>
    <n v="0"/>
    <n v="0.125"/>
    <m/>
    <s v="Float"/>
    <n v="37.5"/>
    <d v="2025-05-07T00:00:00"/>
    <d v="2026-05-07T00:00:00"/>
  </r>
  <r>
    <s v="LTL"/>
    <x v="2"/>
    <x v="3"/>
    <s v="SBER"/>
    <s v="yes"/>
    <n v="2080.60106313"/>
    <n v="2080.60106313"/>
    <n v="0"/>
    <n v="0.0442"/>
    <m/>
    <s v="Fix"/>
    <n v="91.96256699034599"/>
    <d v="2022-08-02T00:00:00"/>
    <d v="2029-08-01T00:00:00"/>
  </r>
  <r>
    <m/>
    <x v="1"/>
    <x v="1"/>
    <m/>
    <m/>
    <m/>
    <m/>
    <m/>
    <m/>
    <m/>
    <m/>
    <n v="0"/>
    <m/>
    <m/>
  </r>
  <r>
    <s v="STL"/>
    <x v="3"/>
    <x v="4"/>
    <s v="SBER"/>
    <s v="yes"/>
    <n v="100"/>
    <n v="100"/>
    <n v="0"/>
    <n v="0.125"/>
    <m/>
    <s v="Float"/>
    <n v="12.5"/>
    <d v="2025-03-10T00:00:00"/>
    <d v="2026-03-09T00:00:00"/>
  </r>
  <r>
    <s v="STL"/>
    <x v="3"/>
    <x v="5"/>
    <s v="SBER"/>
    <s v="no"/>
    <n v="100"/>
    <n v="100"/>
    <n v="0"/>
    <n v="0.25"/>
    <m/>
    <s v="Float"/>
    <n v="25"/>
    <d v="2025-03-10T00:00:00"/>
    <d v="2026-03-09T00:00:00"/>
  </r>
  <r>
    <s v="STL"/>
    <x v="3"/>
    <x v="6"/>
    <s v="SBER"/>
    <s v="yes"/>
    <n v="225"/>
    <n v="225"/>
    <n v="0"/>
    <n v="0.125"/>
    <m/>
    <s v="Float"/>
    <n v="28.125"/>
    <d v="2025-03-28T00:00:00"/>
    <d v="2026-03-27T00:00:00"/>
  </r>
  <r>
    <s v="STL"/>
    <x v="3"/>
    <x v="7"/>
    <s v="SBER"/>
    <s v="yes"/>
    <n v="50"/>
    <n v="50"/>
    <n v="0"/>
    <n v="0.08299999999999999"/>
    <m/>
    <s v="Float"/>
    <n v="4.149999999999999"/>
    <d v="2025-03-03T00:00:00"/>
    <d v="2026-03-02T00:00:00"/>
  </r>
  <r>
    <s v="STL"/>
    <x v="3"/>
    <x v="8"/>
    <s v="SBER"/>
    <s v="yes"/>
    <n v="100"/>
    <n v="100"/>
    <n v="0"/>
    <n v="0.08299999999999999"/>
    <m/>
    <s v="Float"/>
    <n v="8.299999999999999"/>
    <d v="2025-03-03T00:00:00"/>
    <d v="2026-03-02T00:00:00"/>
  </r>
  <r>
    <s v="STL"/>
    <x v="3"/>
    <x v="9"/>
    <s v="SBER"/>
    <s v="yes"/>
    <n v="200"/>
    <n v="200"/>
    <n v="0"/>
    <n v="0.08299999999999999"/>
    <m/>
    <s v="Float"/>
    <n v="16.6"/>
    <d v="2025-03-03T00:00:00"/>
    <d v="2026-03-02T00:00:00"/>
  </r>
  <r>
    <s v="STL"/>
    <x v="3"/>
    <x v="10"/>
    <s v="SBER"/>
    <s v="yes"/>
    <n v="100"/>
    <n v="100"/>
    <n v="0"/>
    <n v="0.08299999999999999"/>
    <m/>
    <s v="Float"/>
    <n v="8.299999999999999"/>
    <d v="2025-03-06T00:00:00"/>
    <d v="2026-03-05T00:00:00"/>
  </r>
  <r>
    <s v="STL"/>
    <x v="4"/>
    <x v="11"/>
    <s v="SBER"/>
    <s v="no"/>
    <n v="200"/>
    <n v="200"/>
    <n v="0"/>
    <n v="0.2577"/>
    <m/>
    <s v="Float"/>
    <n v="51.54"/>
    <d v="2025-03-06T00:00:00"/>
    <d v="2026-03-05T00:00:00"/>
  </r>
  <r>
    <s v="STL"/>
    <x v="3"/>
    <x v="12"/>
    <s v="SBER"/>
    <s v="yes"/>
    <n v="250"/>
    <n v="250"/>
    <n v="0"/>
    <n v="0.125"/>
    <m/>
    <s v="Float"/>
    <n v="31.25"/>
    <d v="2024-12-25T00:00:00"/>
    <d v="2025-12-24T00:00:00"/>
  </r>
  <r>
    <s v="STL"/>
    <x v="4"/>
    <x v="13"/>
    <s v="SPB"/>
    <s v="yes"/>
    <n v="75"/>
    <n v="75"/>
    <n v="0"/>
    <n v="0.125"/>
    <m/>
    <s v="Float"/>
    <n v="9.375"/>
    <d v="2024-07-24T00:00:00"/>
    <d v="2025-07-23T00:00:00"/>
  </r>
  <r>
    <s v="STL"/>
    <x v="4"/>
    <x v="14"/>
    <s v="SPB"/>
    <s v="no"/>
    <n v="95"/>
    <n v="95"/>
    <n v="0"/>
    <n v="0.125"/>
    <m/>
    <s v="Float"/>
    <n v="11.875"/>
    <d v="2024-11-22T00:00:00"/>
    <d v="2025-11-22T00:00:00"/>
  </r>
  <r>
    <s v="STL"/>
    <x v="4"/>
    <x v="15"/>
    <s v="SPB"/>
    <s v="no"/>
    <n v="51"/>
    <n v="48.90414473"/>
    <n v="2.095855270000001"/>
    <n v="0.255"/>
    <m/>
    <s v="Float"/>
    <n v="12.47055690615"/>
    <d v="2024-12-16T00:00:00"/>
    <d v="2025-12-15T00:00:00"/>
  </r>
  <r>
    <s v="STL"/>
    <x v="3"/>
    <x v="16"/>
    <s v="SBER"/>
    <s v="no"/>
    <n v="300"/>
    <n v="300"/>
    <n v="0"/>
    <n v="0.248"/>
    <m/>
    <s v="Float"/>
    <n v="74.40000000000001"/>
    <d v="2025-03-28T00:00:00"/>
    <d v="2026-03-27T00:00:00"/>
  </r>
  <r>
    <s v="STL"/>
    <x v="4"/>
    <x v="17"/>
    <s v="SPB"/>
    <s v="no"/>
    <n v="120"/>
    <n v="120"/>
    <n v="0"/>
    <n v="0.245"/>
    <m/>
    <s v="Float"/>
    <n v="29.4"/>
    <d v="2024-07-23T00:00:00"/>
    <d v="2025-07-22T00:00:00"/>
  </r>
  <r>
    <s v="STL"/>
    <x v="3"/>
    <x v="18"/>
    <s v="SBER"/>
    <s v="no"/>
    <n v="100"/>
    <n v="100"/>
    <n v="0"/>
    <n v="0.2565"/>
    <m/>
    <s v="Float"/>
    <n v="25.65"/>
    <d v="2024-10-29T00:00:00"/>
    <d v="2025-10-29T00:00:00"/>
  </r>
  <r>
    <s v="STL"/>
    <x v="4"/>
    <x v="19"/>
    <s v="SPB"/>
    <s v="no"/>
    <n v="85"/>
    <n v="85"/>
    <n v="0"/>
    <n v="0.245"/>
    <m/>
    <s v="Float"/>
    <n v="20.825"/>
    <d v="2024-12-03T00:00:00"/>
    <d v="2025-12-02T00:00:00"/>
  </r>
  <r>
    <s v="STL"/>
    <x v="4"/>
    <x v="20"/>
    <s v="GPB"/>
    <s v="no"/>
    <n v="250"/>
    <n v="250"/>
    <n v="0"/>
    <n v="0.2625"/>
    <m/>
    <s v="Float"/>
    <n v="65.625"/>
    <d v="2024-11-07T00:00:00"/>
    <d v="2025-11-06T00:00:00"/>
  </r>
  <r>
    <s v="STL"/>
    <x v="4"/>
    <x v="21"/>
    <s v="SPB"/>
    <s v="no"/>
    <n v="156.8"/>
    <n v="156.8"/>
    <n v="0"/>
    <n v="0.245"/>
    <m/>
    <s v="Float"/>
    <n v="38.416"/>
    <d v="2024-09-26T00:00:00"/>
    <d v="2025-09-25T00:00:00"/>
  </r>
  <r>
    <s v="STL"/>
    <x v="4"/>
    <x v="22"/>
    <s v="SPB"/>
    <s v="no"/>
    <n v="130"/>
    <n v="130"/>
    <n v="0"/>
    <n v="0.245"/>
    <m/>
    <s v="Float"/>
    <n v="31.85"/>
    <d v="2024-12-09T00:00:00"/>
    <d v="2025-12-08T00:00:00"/>
  </r>
  <r>
    <s v="STL"/>
    <x v="4"/>
    <x v="23"/>
    <s v="SBER"/>
    <s v="yes"/>
    <n v="100"/>
    <n v="100"/>
    <n v="0"/>
    <n v="0.083"/>
    <m/>
    <s v="Float"/>
    <n v="8.300000000000001"/>
    <d v="2025-03-06T00:00:00"/>
    <d v="2026-03-02T00:00:00"/>
  </r>
  <r>
    <s v="STL"/>
    <x v="3"/>
    <x v="24"/>
    <s v="SBER"/>
    <s v="no"/>
    <n v="100"/>
    <n v="100"/>
    <n v="0"/>
    <n v="0.2565"/>
    <m/>
    <s v="Float"/>
    <n v="25.65"/>
    <d v="2025-01-14T00:00:00"/>
    <d v="2026-01-13T00:00:00"/>
  </r>
  <r>
    <s v="STL"/>
    <x v="4"/>
    <x v="25"/>
    <s v="SPB"/>
    <s v="no"/>
    <n v="100"/>
    <n v="100"/>
    <n v="0"/>
    <n v="0.245"/>
    <m/>
    <s v="Float"/>
    <n v="24.5"/>
    <d v="2024-12-09T00:00:00"/>
    <d v="2025-12-13T00:00:00"/>
  </r>
  <r>
    <s v="STL"/>
    <x v="3"/>
    <x v="26"/>
    <s v="SBER"/>
    <s v="yes"/>
    <n v="300"/>
    <n v="300"/>
    <n v="0"/>
    <n v="0.125"/>
    <m/>
    <s v="Float"/>
    <n v="37.49999999999999"/>
    <d v="2025-05-29T00:00:00"/>
    <d v="2026-05-28T00:00:00"/>
  </r>
  <r>
    <s v="STL"/>
    <x v="3"/>
    <x v="27"/>
    <s v="SBER"/>
    <s v="yes"/>
    <n v="50"/>
    <n v="50"/>
    <n v="0"/>
    <n v="0.125"/>
    <m/>
    <s v="Float"/>
    <n v="6.249999999999999"/>
    <d v="2025-01-15T00:00:00"/>
    <d v="2026-01-14T00:00:00"/>
  </r>
  <r>
    <s v="STL"/>
    <x v="4"/>
    <x v="28"/>
    <s v="SBER"/>
    <s v="yes"/>
    <n v="60"/>
    <n v="60"/>
    <n v="0"/>
    <n v="0.125"/>
    <m/>
    <s v="Float"/>
    <n v="7.5"/>
    <d v="2024-08-12T00:00:00"/>
    <d v="2025-08-11T00:00:00"/>
  </r>
  <r>
    <s v="STL"/>
    <x v="4"/>
    <x v="29"/>
    <s v="SPB"/>
    <s v="no"/>
    <n v="90"/>
    <n v="90"/>
    <n v="0"/>
    <n v="0.255"/>
    <m/>
    <s v="Float"/>
    <n v="22.95"/>
    <d v="2024-12-26T00:00:00"/>
    <d v="2025-12-25T00:00:00"/>
  </r>
  <r>
    <s v="STL"/>
    <x v="3"/>
    <x v="30"/>
    <s v="SBER"/>
    <s v="yes"/>
    <n v="100"/>
    <n v="100"/>
    <n v="0"/>
    <n v="0.125"/>
    <m/>
    <s v="Float"/>
    <n v="12.5"/>
    <d v="2025-05-27T00:00:00"/>
    <d v="2026-05-26T00:00:00"/>
  </r>
  <r>
    <s v="STL"/>
    <x v="4"/>
    <x v="31"/>
    <s v="SBER"/>
    <s v="yes"/>
    <n v="65"/>
    <n v="65"/>
    <n v="0"/>
    <n v="0.125"/>
    <m/>
    <s v="Float"/>
    <n v="8.124999999999998"/>
    <d v="2024-06-21T00:00:00"/>
    <d v="2025-06-20T00:00:00"/>
  </r>
  <r>
    <s v="STL"/>
    <x v="4"/>
    <x v="32"/>
    <s v="GPB"/>
    <s v="yes"/>
    <n v="169"/>
    <n v="169"/>
    <n v="0"/>
    <n v="0.125"/>
    <m/>
    <s v="Float"/>
    <n v="21.125"/>
    <d v="2024-12-26T00:00:00"/>
    <d v="2025-12-25T00:00:00"/>
  </r>
  <r>
    <s v="STL"/>
    <x v="3"/>
    <x v="33"/>
    <s v="SBER"/>
    <s v="yes"/>
    <n v="150"/>
    <n v="150"/>
    <n v="0"/>
    <n v="0.125"/>
    <m/>
    <s v="Float"/>
    <n v="18.75"/>
    <d v="2024-07-12T00:00:00"/>
    <d v="2025-07-11T00:00:00"/>
  </r>
  <r>
    <s v="STL"/>
    <x v="4"/>
    <x v="34"/>
    <s v="SPB"/>
    <s v="no"/>
    <n v="40"/>
    <n v="40"/>
    <n v="0"/>
    <n v="0.245"/>
    <m/>
    <s v="Float"/>
    <n v="9.800000000000001"/>
    <d v="2024-08-02T00:00:00"/>
    <d v="2025-08-01T00:00:00"/>
  </r>
  <r>
    <s v="STL"/>
    <x v="3"/>
    <x v="35"/>
    <s v="SBER"/>
    <s v="no"/>
    <n v="200"/>
    <n v="200"/>
    <n v="0"/>
    <n v="0.2505"/>
    <m/>
    <s v="Float"/>
    <n v="50.1"/>
    <d v="2025-02-20T00:00:00"/>
    <d v="2026-02-19T00:00:00"/>
  </r>
  <r>
    <s v="STL"/>
    <x v="3"/>
    <x v="36"/>
    <s v="SBER"/>
    <s v="no"/>
    <n v="100"/>
    <n v="100"/>
    <n v="0"/>
    <n v="0.266"/>
    <m/>
    <s v="Float"/>
    <n v="26.6"/>
    <d v="2025-01-16T00:00:00"/>
    <d v="2026-01-16T00:00:00"/>
  </r>
  <r>
    <s v="STL"/>
    <x v="3"/>
    <x v="37"/>
    <s v="SBER"/>
    <s v="yes"/>
    <n v="100"/>
    <n v="100"/>
    <n v="0"/>
    <n v="0.125"/>
    <m/>
    <s v="Float"/>
    <n v="12.5"/>
    <d v="2025-01-14T00:00:00"/>
    <d v="2026-01-13T00:00:00"/>
  </r>
  <r>
    <s v="STL"/>
    <x v="4"/>
    <x v="38"/>
    <s v="SPB"/>
    <s v="no"/>
    <n v="50"/>
    <n v="50"/>
    <n v="0"/>
    <n v="0.245"/>
    <m/>
    <s v="Float"/>
    <n v="12.25"/>
    <d v="2024-06-05T00:00:00"/>
    <d v="2025-06-04T00:00:00"/>
  </r>
  <r>
    <s v="STL"/>
    <x v="3"/>
    <x v="39"/>
    <s v="SBER"/>
    <s v="yes"/>
    <n v="50"/>
    <n v="50"/>
    <n v="0"/>
    <n v="0.125"/>
    <m/>
    <s v="Float"/>
    <n v="6.249999999999999"/>
    <d v="2024-07-31T00:00:00"/>
    <d v="2025-07-30T00:00:00"/>
  </r>
  <r>
    <s v="STL"/>
    <x v="4"/>
    <x v="40"/>
    <s v="SPB"/>
    <s v="no"/>
    <n v="100"/>
    <n v="100"/>
    <n v="0"/>
    <n v="0.255"/>
    <m/>
    <s v="Float"/>
    <n v="25.5"/>
    <d v="2025-04-11T00:00:00"/>
    <d v="2026-04-10T00:00:00"/>
  </r>
  <r>
    <s v="STL"/>
    <x v="4"/>
    <x v="41"/>
    <s v="SBER"/>
    <s v="no"/>
    <n v="200"/>
    <n v="200"/>
    <n v="0"/>
    <n v="0.252"/>
    <m/>
    <s v="Float"/>
    <n v="50.4"/>
    <d v="2025-04-08T00:00:00"/>
    <d v="2026-04-07T00:00:00"/>
  </r>
  <r>
    <s v="STL"/>
    <x v="3"/>
    <x v="42"/>
    <s v="SBER"/>
    <s v="no"/>
    <n v="50"/>
    <n v="50"/>
    <n v="0"/>
    <n v="0.246"/>
    <m/>
    <s v="Float"/>
    <n v="12.3"/>
    <d v="2024-09-16T00:00:00"/>
    <d v="2025-09-15T00:00:00"/>
  </r>
  <r>
    <s v="STL"/>
    <x v="3"/>
    <x v="43"/>
    <s v="SBER"/>
    <s v="yes"/>
    <n v="100"/>
    <n v="100"/>
    <n v="0"/>
    <n v="0.125"/>
    <m/>
    <s v="Float"/>
    <n v="12.5"/>
    <d v="2024-08-27T00:00:00"/>
    <d v="2025-08-26T00:00:00"/>
  </r>
  <r>
    <s v="STL"/>
    <x v="4"/>
    <x v="44"/>
    <s v="GPB"/>
    <s v="yes"/>
    <n v="176.24999999"/>
    <n v="176.24999999"/>
    <n v="0"/>
    <n v="0.125"/>
    <m/>
    <s v="Float"/>
    <n v="22.03124999875"/>
    <d v="2024-08-06T00:00:00"/>
    <d v="2025-08-05T00:00:00"/>
  </r>
  <r>
    <s v="STL"/>
    <x v="4"/>
    <x v="45"/>
    <s v="VTB"/>
    <s v="no"/>
    <n v="200"/>
    <n v="200"/>
    <n v="0"/>
    <n v="0.255"/>
    <m/>
    <s v="Float"/>
    <n v="51"/>
    <d v="2025-03-31T00:00:00"/>
    <d v="2026-03-31T00:00:00"/>
  </r>
  <r>
    <s v="STL"/>
    <x v="3"/>
    <x v="46"/>
    <s v="SBER"/>
    <s v="no"/>
    <n v="150"/>
    <n v="150"/>
    <n v="0"/>
    <n v="0.1989"/>
    <m/>
    <s v="Fix"/>
    <n v="29.835"/>
    <d v="2024-07-18T00:00:00"/>
    <d v="2025-07-17T00:00:00"/>
  </r>
  <r>
    <s v="STL"/>
    <x v="4"/>
    <x v="47"/>
    <s v="GPB"/>
    <s v="no"/>
    <n v="250"/>
    <n v="250"/>
    <n v="0"/>
    <n v="0.2375"/>
    <m/>
    <s v="Float"/>
    <n v="59.375"/>
    <d v="2024-09-10T00:00:00"/>
    <d v="2025-09-09T00:00:00"/>
  </r>
  <r>
    <s v="STL"/>
    <x v="3"/>
    <x v="48"/>
    <s v="SBER"/>
    <s v="no"/>
    <n v="50"/>
    <n v="50"/>
    <n v="0"/>
    <n v="0.2565"/>
    <m/>
    <s v="Float"/>
    <n v="12.825"/>
    <d v="2024-10-30T00:00:00"/>
    <d v="2025-10-29T00:00:00"/>
  </r>
  <r>
    <s v="STL"/>
    <x v="3"/>
    <x v="49"/>
    <s v="SBER"/>
    <s v="yes"/>
    <n v="75"/>
    <n v="75"/>
    <n v="0"/>
    <n v="0.125"/>
    <m/>
    <s v="Float"/>
    <n v="9.374999999999998"/>
    <d v="2025-05-30T00:00:00"/>
    <d v="2026-05-25T00:00:00"/>
  </r>
  <r>
    <s v="STL"/>
    <x v="3"/>
    <x v="50"/>
    <s v="SBER"/>
    <s v="yes"/>
    <n v="100"/>
    <n v="100"/>
    <n v="0"/>
    <n v="0.125"/>
    <m/>
    <s v="Float"/>
    <n v="12.5"/>
    <d v="2024-08-05T00:00:00"/>
    <d v="2025-08-04T00:00:00"/>
  </r>
  <r>
    <s v="STL"/>
    <x v="3"/>
    <x v="51"/>
    <s v="SBER"/>
    <s v="no"/>
    <n v="50"/>
    <n v="50"/>
    <n v="0"/>
    <n v="0.2515"/>
    <m/>
    <s v="Float"/>
    <n v="12.575"/>
    <d v="2024-10-21T00:00:00"/>
    <d v="2025-10-20T00:00:00"/>
  </r>
  <r>
    <s v="STL"/>
    <x v="4"/>
    <x v="52"/>
    <s v="SPB"/>
    <s v="no"/>
    <n v="50"/>
    <n v="50"/>
    <n v="0"/>
    <n v="0.255"/>
    <m/>
    <s v="Fix"/>
    <n v="12.75"/>
    <d v="2025-01-28T00:00:00"/>
    <d v="2026-01-27T00:00:00"/>
  </r>
  <r>
    <s v="STL"/>
    <x v="4"/>
    <x v="53"/>
    <s v="SPB"/>
    <s v="no"/>
    <n v="200"/>
    <n v="200"/>
    <n v="0"/>
    <n v="0.245"/>
    <m/>
    <s v="Float"/>
    <n v="49"/>
    <d v="2024-11-19T00:00:00"/>
    <d v="2025-11-18T00:00:00"/>
  </r>
  <r>
    <s v="STL"/>
    <x v="3"/>
    <x v="54"/>
    <s v="SBER"/>
    <s v="yes"/>
    <n v="200"/>
    <n v="200"/>
    <n v="0"/>
    <n v="0.125"/>
    <m/>
    <s v="Float"/>
    <n v="25"/>
    <d v="2025-02-11T00:00:00"/>
    <d v="2026-02-10T00:00:00"/>
  </r>
  <r>
    <s v="STL"/>
    <x v="3"/>
    <x v="55"/>
    <s v="SBER"/>
    <s v="no"/>
    <n v="100"/>
    <n v="100"/>
    <n v="0"/>
    <n v="0.2505"/>
    <m/>
    <s v="Float"/>
    <n v="25.05"/>
    <d v="2025-02-26T00:00:00"/>
    <d v="2026-02-25T00:00:00"/>
  </r>
  <r>
    <s v="STL"/>
    <x v="3"/>
    <x v="56"/>
    <s v="SBER"/>
    <s v="no"/>
    <n v="300"/>
    <n v="300"/>
    <n v="0"/>
    <n v="0.245"/>
    <m/>
    <s v="Float"/>
    <n v="73.5"/>
    <d v="2025-04-04T00:00:00"/>
    <d v="2026-04-03T00:00:00"/>
  </r>
  <r>
    <s v="STL"/>
    <x v="4"/>
    <x v="57"/>
    <s v="SPB"/>
    <s v="no"/>
    <n v="80"/>
    <n v="80"/>
    <n v="0"/>
    <n v="0.26"/>
    <m/>
    <s v="Float"/>
    <n v="20.8"/>
    <d v="2025-03-06T00:00:00"/>
    <d v="2026-02-07T00:00:00"/>
  </r>
  <r>
    <s v="STL"/>
    <x v="3"/>
    <x v="58"/>
    <s v="SBER"/>
    <s v="yes"/>
    <n v="50"/>
    <n v="50"/>
    <n v="0"/>
    <n v="0.125"/>
    <m/>
    <s v="Float"/>
    <n v="6.249999999999999"/>
    <d v="2024-09-17T00:00:00"/>
    <d v="2025-09-16T00:00:00"/>
  </r>
  <r>
    <s v="STL"/>
    <x v="3"/>
    <x v="59"/>
    <s v="SBER"/>
    <s v="yes"/>
    <n v="200"/>
    <n v="200"/>
    <n v="0"/>
    <n v="0.125"/>
    <m/>
    <s v="Float"/>
    <n v="25"/>
    <d v="2025-02-17T00:00:00"/>
    <d v="2026-02-16T00:00:00"/>
  </r>
  <r>
    <s v="STL"/>
    <x v="4"/>
    <x v="60"/>
    <m/>
    <s v="no"/>
    <n v="170"/>
    <n v="170"/>
    <n v="0"/>
    <n v="0.125"/>
    <m/>
    <s v="Float"/>
    <n v="21.25"/>
    <d v="2024-12-26T00:00:00"/>
    <d v="2025-12-25T00:00:00"/>
  </r>
  <r>
    <s v="STL"/>
    <x v="3"/>
    <x v="61"/>
    <s v="SBER"/>
    <s v="no"/>
    <n v="50"/>
    <n v="50"/>
    <n v="0"/>
    <n v="0.2565"/>
    <m/>
    <s v="Float"/>
    <n v="12.825"/>
    <d v="2024-10-30T00:00:00"/>
    <d v="2025-10-29T00:00:00"/>
  </r>
  <r>
    <s v="STL"/>
    <x v="3"/>
    <x v="62"/>
    <s v="SBER"/>
    <s v="yes"/>
    <n v="100"/>
    <n v="100"/>
    <n v="0"/>
    <n v="0.125"/>
    <m/>
    <s v="Float"/>
    <n v="12.5"/>
    <d v="2025-02-11T00:00:00"/>
    <d v="2026-02-10T00:00:00"/>
  </r>
  <r>
    <s v="STL"/>
    <x v="4"/>
    <x v="63"/>
    <s v="GPB"/>
    <s v="no"/>
    <n v="300"/>
    <n v="300"/>
    <n v="0"/>
    <n v="0.255"/>
    <m/>
    <s v="Float"/>
    <n v="76.5"/>
    <d v="2025-02-13T00:00:00"/>
    <d v="2026-02-12T00:00:00"/>
  </r>
  <r>
    <s v="STL"/>
    <x v="4"/>
    <x v="64"/>
    <s v="GPB"/>
    <s v="no"/>
    <n v="300"/>
    <n v="300"/>
    <n v="0"/>
    <n v="0.255"/>
    <m/>
    <s v="Float"/>
    <n v="76.5"/>
    <d v="2025-03-18T00:00:00"/>
    <d v="2026-03-17T00:00:00"/>
  </r>
  <r>
    <s v="STL"/>
    <x v="4"/>
    <x v="65"/>
    <s v="VTB"/>
    <s v="no"/>
    <n v="200"/>
    <n v="200"/>
    <n v="0"/>
    <n v="0.2627"/>
    <m/>
    <s v="Float"/>
    <n v="52.54"/>
    <d v="2025-02-18T00:00:00"/>
    <d v="2026-02-18T00:00:00"/>
  </r>
  <r>
    <s v="STL"/>
    <x v="4"/>
    <x v="66"/>
    <s v="SPB"/>
    <s v="no"/>
    <n v="100"/>
    <n v="100"/>
    <n v="0"/>
    <n v="0.26"/>
    <m/>
    <s v="Float"/>
    <n v="26"/>
    <d v="2025-03-06T00:00:00"/>
    <d v="2026-03-05T00:00:00"/>
  </r>
  <r>
    <s v="STL"/>
    <x v="4"/>
    <x v="67"/>
    <s v="SPB"/>
    <s v="no"/>
    <n v="145"/>
    <n v="145"/>
    <n v="0"/>
    <n v="0.255"/>
    <m/>
    <s v="Float"/>
    <n v="36.975"/>
    <d v="2025-01-16T00:00:00"/>
    <d v="2026-01-15T00:00:00"/>
  </r>
  <r>
    <s v="STL"/>
    <x v="3"/>
    <x v="68"/>
    <s v="SBER"/>
    <s v="no"/>
    <n v="100"/>
    <n v="100"/>
    <n v="0"/>
    <n v="0.2505"/>
    <m/>
    <s v="Float"/>
    <n v="25.05"/>
    <d v="2025-02-26T00:00:00"/>
    <d v="2026-02-25T00:00:00"/>
  </r>
  <r>
    <s v="STL"/>
    <x v="4"/>
    <x v="69"/>
    <s v="SPB"/>
    <s v="no"/>
    <n v="50"/>
    <n v="50"/>
    <n v="0"/>
    <n v="0.25"/>
    <m/>
    <s v="Float"/>
    <n v="12.5"/>
    <d v="2025-05-06T00:00:00"/>
    <d v="2026-05-05T00:00:00"/>
  </r>
  <r>
    <s v="STL"/>
    <x v="4"/>
    <x v="70"/>
    <s v="SPB"/>
    <s v="no"/>
    <n v="110"/>
    <n v="69.70263571"/>
    <n v="40.29736429"/>
    <n v="0.25"/>
    <m/>
    <s v="Float"/>
    <n v="17.4256589275"/>
    <d v="2025-05-26T00:00:00"/>
    <d v="2026-05-25T00:00:00"/>
  </r>
  <r>
    <s v="STL"/>
    <x v="3"/>
    <x v="71"/>
    <s v="SBER"/>
    <s v="no"/>
    <n v="50"/>
    <n v="50"/>
    <n v="0"/>
    <n v="0.244"/>
    <m/>
    <s v="Float"/>
    <n v="12.2"/>
    <d v="2025-05-22T00:00:00"/>
    <d v="2026-05-21T00:00:00"/>
  </r>
  <r>
    <s v="STL"/>
    <x v="4"/>
    <x v="72"/>
    <s v="SPB"/>
    <s v="no"/>
    <n v="200"/>
    <n v="200"/>
    <n v="0"/>
    <n v="0.255"/>
    <m/>
    <s v="Float"/>
    <n v="51"/>
    <d v="2024-12-25T00:00:00"/>
    <d v="2025-12-24T00:00:00"/>
  </r>
  <r>
    <s v="STL"/>
    <x v="4"/>
    <x v="73"/>
    <s v="SPB"/>
    <s v="no"/>
    <n v="120"/>
    <n v="120"/>
    <n v="0"/>
    <n v="0.255"/>
    <m/>
    <s v="Float"/>
    <n v="30.6"/>
    <d v="2024-12-24T00:00:00"/>
    <d v="2025-12-23T00:00:00"/>
  </r>
  <r>
    <s v="STL"/>
    <x v="4"/>
    <x v="74"/>
    <s v="SPB"/>
    <s v="no"/>
    <n v="100"/>
    <n v="100"/>
    <n v="0"/>
    <n v="0.255"/>
    <m/>
    <s v="Float"/>
    <n v="25.5"/>
    <d v="2025-01-24T00:00:00"/>
    <d v="2026-01-23T00:00:00"/>
  </r>
  <r>
    <s v="STL"/>
    <x v="4"/>
    <x v="75"/>
    <s v="SPB"/>
    <s v="no"/>
    <n v="100"/>
    <n v="76.44085294"/>
    <n v="23.55914706"/>
    <n v="0.255"/>
    <m/>
    <s v="Float"/>
    <n v="19.4924174997"/>
    <d v="2025-02-06T00:00:00"/>
    <d v="2026-02-05T00:00:00"/>
  </r>
  <r>
    <s v="STL"/>
    <x v="4"/>
    <x v="76"/>
    <s v="SPB"/>
    <s v="yes"/>
    <n v="80"/>
    <n v="79.56781604000001"/>
    <n v="0.432183959999989"/>
    <n v="0.083"/>
    <m/>
    <s v="Float"/>
    <n v="6.604128731320001"/>
    <d v="2025-03-10T00:00:00"/>
    <d v="2026-03-09T00:00:00"/>
  </r>
  <r>
    <s v="STL"/>
    <x v="4"/>
    <x v="77"/>
    <s v="SPB"/>
    <s v="no"/>
    <n v="90"/>
    <n v="90"/>
    <n v="0"/>
    <n v="0.26"/>
    <m/>
    <s v="Float"/>
    <n v="23.4"/>
    <d v="2025-03-20T00:00:00"/>
    <d v="2026-03-19T00:00:00"/>
  </r>
  <r>
    <s v="STL"/>
    <x v="4"/>
    <x v="78"/>
    <s v="SPB"/>
    <s v="no"/>
    <n v="110"/>
    <n v="96.67387731000001"/>
    <n v="13.32612268999999"/>
    <n v="0.26"/>
    <m/>
    <s v="Float"/>
    <n v="25.1352081006"/>
    <d v="2025-03-25T00:00:00"/>
    <d v="2026-03-24T00:00:00"/>
  </r>
  <r>
    <s v="STL"/>
    <x v="4"/>
    <x v="79"/>
    <s v="SPB"/>
    <s v="no"/>
    <n v="80"/>
    <n v="80"/>
    <n v="0"/>
    <n v="0.26"/>
    <m/>
    <s v="Float"/>
    <n v="20.8"/>
    <d v="2025-04-07T00:00:00"/>
    <d v="2026-04-06T00:00:00"/>
  </r>
  <r>
    <s v="STL"/>
    <x v="4"/>
    <x v="80"/>
    <s v="SPB"/>
    <s v="no"/>
    <n v="100"/>
    <n v="100"/>
    <n v="0"/>
    <n v="0.26"/>
    <m/>
    <s v="Float"/>
    <n v="26"/>
    <d v="2025-04-07T00:00:00"/>
    <d v="2026-04-07T00:00:00"/>
  </r>
  <r>
    <s v="STL"/>
    <x v="4"/>
    <x v="81"/>
    <s v="SPB"/>
    <s v="no"/>
    <n v="110"/>
    <n v="110"/>
    <n v="0"/>
    <n v="0.25"/>
    <m/>
    <s v="Float"/>
    <n v="27.5"/>
    <d v="2025-04-24T00:00:00"/>
    <d v="2026-04-23T00:00:00"/>
  </r>
  <r>
    <s v="LTL"/>
    <x v="3"/>
    <x v="82"/>
    <s v="SBER"/>
    <s v="no"/>
    <n v="9393"/>
    <n v="9393"/>
    <n v="0"/>
    <n v="0.0985"/>
    <m/>
    <s v="Fix"/>
    <n v="925.2105"/>
    <d v="2021-11-26T00:00:00"/>
    <d v="2031-11-25T00:00:00"/>
  </r>
  <r>
    <s v="LTL"/>
    <x v="3"/>
    <x v="83"/>
    <s v="SBER"/>
    <s v="no"/>
    <n v="4055.5"/>
    <n v="4055.5"/>
    <n v="0"/>
    <n v="0.1201"/>
    <m/>
    <s v="Fix"/>
    <n v="487.06555"/>
    <d v="2021-11-26T00:00:00"/>
    <d v="2031-11-25T00:00:00"/>
  </r>
  <r>
    <s v="LTL"/>
    <x v="4"/>
    <x v="84"/>
    <s v="VTB"/>
    <s v="yes"/>
    <n v="26.628"/>
    <n v="26.628"/>
    <n v="0"/>
    <n v="0.105"/>
    <m/>
    <s v="Float"/>
    <n v="2.79594"/>
    <d v="2018-07-26T00:00:00"/>
    <d v="2025-07-24T00:00:00"/>
  </r>
  <r>
    <s v="LTL"/>
    <x v="4"/>
    <x v="85"/>
    <s v="SPB"/>
    <s v="no"/>
    <n v="63.83130667"/>
    <n v="63.83130667"/>
    <n v="0"/>
    <n v="0.2385"/>
    <m/>
    <s v="Fix"/>
    <n v="15.223766640795"/>
    <d v="2024-02-01T00:00:00"/>
    <d v="2029-01-31T00:00:00"/>
  </r>
  <r>
    <s v="LTL"/>
    <x v="4"/>
    <x v="86"/>
    <s v="SPB"/>
    <s v="no"/>
    <n v="131.249999"/>
    <n v="131.249999"/>
    <n v="0"/>
    <n v="0.2388"/>
    <m/>
    <s v="Fix"/>
    <n v="31.3424997612"/>
    <d v="2024-03-04T00:00:00"/>
    <d v="2029-03-02T00:00:00"/>
  </r>
  <r>
    <s v="LTL"/>
    <x v="4"/>
    <x v="87"/>
    <s v="GPB"/>
    <s v="yes"/>
    <n v="180.00067144"/>
    <n v="180.00067144"/>
    <n v="0"/>
    <n v="0.105"/>
    <m/>
    <s v="Fix"/>
    <n v="18.9000705012"/>
    <d v="2017-09-22T00:00:00"/>
    <d v="2025-09-19T00:00:00"/>
  </r>
  <r>
    <s v="LTL"/>
    <x v="4"/>
    <x v="88"/>
    <s v="GPB"/>
    <s v="yes"/>
    <n v="1511.02234977"/>
    <n v="1511.02234977"/>
    <n v="0"/>
    <n v="0.105"/>
    <m/>
    <s v="Fix"/>
    <n v="158.65734672585"/>
    <d v="2018-07-23T00:00:00"/>
    <d v="2026-07-22T00:00:00"/>
  </r>
  <r>
    <s v="LTL"/>
    <x v="4"/>
    <x v="89"/>
    <s v="GPB"/>
    <s v="yes"/>
    <n v="1514.4561277"/>
    <n v="1514.4561277"/>
    <n v="0"/>
    <n v="0.105"/>
    <m/>
    <s v="Fix"/>
    <n v="159.0178934085"/>
    <d v="2018-07-23T00:00:00"/>
    <d v="2026-07-22T00:00:00"/>
  </r>
  <r>
    <s v="LTL"/>
    <x v="4"/>
    <x v="90"/>
    <s v="SPB"/>
    <s v="no"/>
    <n v="65"/>
    <n v="64.65220646"/>
    <n v="0.3477935399999978"/>
    <n v="0.245"/>
    <m/>
    <s v="Float"/>
    <n v="15.8397905827"/>
    <d v="2024-05-24T00:00:00"/>
    <d v="2029-05-23T00:00:00"/>
  </r>
  <r>
    <s v="LTL"/>
    <x v="4"/>
    <x v="91"/>
    <s v="SPB"/>
    <s v="no"/>
    <n v="76.66666600000001"/>
    <n v="76.66666600000001"/>
    <n v="0"/>
    <n v="0.2388"/>
    <m/>
    <s v="Fix"/>
    <n v="18.3079998408"/>
    <d v="2024-03-19T00:00:00"/>
    <d v="2029-03-16T00:00:00"/>
  </r>
  <r>
    <s v="LTL"/>
    <x v="4"/>
    <x v="92"/>
    <s v="SPB"/>
    <s v="no"/>
    <n v="80"/>
    <n v="36.46255052"/>
    <n v="43.53744948"/>
    <n v="0.265"/>
    <m/>
    <s v="Float"/>
    <n v="9.662575887800001"/>
    <d v="2025-03-06T00:00:00"/>
    <d v="2029-03-16T00:00:00"/>
  </r>
  <r>
    <s v="LTL"/>
    <x v="4"/>
    <x v="93"/>
    <s v="SPB"/>
    <s v="no"/>
    <n v="43.328"/>
    <n v="43.328"/>
    <n v="0"/>
    <n v="0.2354"/>
    <m/>
    <s v="Fix"/>
    <n v="10.1994112"/>
    <d v="2023-05-04T00:00:00"/>
    <d v="2027-04-30T00:00:00"/>
  </r>
  <r>
    <s v="LTL"/>
    <x v="4"/>
    <x v="94"/>
    <s v="SPB"/>
    <s v="no"/>
    <n v="54.44"/>
    <n v="54.44"/>
    <n v="0"/>
    <n v="0.2385"/>
    <m/>
    <s v="Fix"/>
    <n v="12.98394"/>
    <d v="2023-09-28T00:00:00"/>
    <d v="2027-09-27T00:00:00"/>
  </r>
  <r>
    <s v="LTL"/>
    <x v="4"/>
    <x v="95"/>
    <s v="SPB"/>
    <s v="no"/>
    <n v="241.875"/>
    <n v="241.875"/>
    <n v="0"/>
    <n v="0.2465"/>
    <m/>
    <s v="Fix"/>
    <n v="59.6221875"/>
    <d v="2023-12-11T00:00:00"/>
    <d v="2028-12-08T00:00:00"/>
  </r>
  <r>
    <s v="LTL"/>
    <x v="4"/>
    <x v="96"/>
    <s v="SPB"/>
    <s v="no"/>
    <n v="61.32119746"/>
    <n v="61.32119746"/>
    <n v="0"/>
    <n v="0.2424"/>
    <m/>
    <s v="Fix"/>
    <n v="14.864258264304"/>
    <d v="2022-02-24T00:00:00"/>
    <d v="2026-12-30T00:00:00"/>
  </r>
  <r>
    <s v="LTL"/>
    <x v="4"/>
    <x v="97"/>
    <s v="GPB"/>
    <s v="yes"/>
    <n v="157.86416386"/>
    <n v="157.86416386"/>
    <n v="0"/>
    <n v="0.105"/>
    <m/>
    <s v="Fix"/>
    <n v="16.5757372053"/>
    <d v="2018-11-30T00:00:00"/>
    <d v="2026-11-27T00:00:00"/>
  </r>
  <r>
    <s v="LTL"/>
    <x v="4"/>
    <x v="98"/>
    <s v="GPB"/>
    <s v="yes"/>
    <n v="80.87470777"/>
    <n v="80.87470777"/>
    <n v="0"/>
    <n v="0.105"/>
    <m/>
    <s v="Fix"/>
    <n v="8.491844315849999"/>
    <d v="2021-05-25T00:00:00"/>
    <d v="2026-05-22T00:00:00"/>
  </r>
  <r>
    <s v="LTL"/>
    <x v="4"/>
    <x v="99"/>
    <s v="GPB"/>
    <s v="no"/>
    <n v="39.33398608"/>
    <n v="39.33398608"/>
    <n v="0"/>
    <n v="0.24"/>
    <m/>
    <s v="Float"/>
    <n v="9.440156659199998"/>
    <d v="2021-05-06T00:00:00"/>
    <d v="2026-05-05T00:00:00"/>
  </r>
  <r>
    <s v="LTL"/>
    <x v="4"/>
    <x v="100"/>
    <s v="GPB"/>
    <s v="yes"/>
    <n v="416.6666669700001"/>
    <n v="416.6666669700001"/>
    <n v="0"/>
    <n v="0.105"/>
    <m/>
    <s v="Fix"/>
    <n v="43.75000003185001"/>
    <d v="2021-07-07T00:00:00"/>
    <d v="2029-07-06T00:00:00"/>
  </r>
  <r>
    <s v="LTL"/>
    <x v="4"/>
    <x v="101"/>
    <s v="SPB"/>
    <s v="no"/>
    <n v="55.415"/>
    <n v="55.415"/>
    <n v="0"/>
    <n v="0.2345"/>
    <m/>
    <s v="Fix"/>
    <n v="12.9948175"/>
    <d v="2023-02-02T00:00:00"/>
    <d v="2027-02-01T00:00:00"/>
  </r>
  <r>
    <s v="LTL"/>
    <x v="4"/>
    <x v="102"/>
    <s v="SPB"/>
    <s v="no"/>
    <n v="35"/>
    <n v="35"/>
    <n v="0"/>
    <n v="0.245"/>
    <m/>
    <s v="Float"/>
    <n v="8.574999999999999"/>
    <d v="2024-07-30T00:00:00"/>
    <d v="2029-07-27T00:00:00"/>
  </r>
  <r>
    <s v="LTL"/>
    <x v="4"/>
    <x v="103"/>
    <s v="SBER"/>
    <s v="yes"/>
    <n v="230"/>
    <n v="227.95865914"/>
    <n v="2.04134086000002"/>
    <n v="0.05"/>
    <m/>
    <s v="Fix"/>
    <n v="11.397932957"/>
    <d v="2023-03-21T00:00:00"/>
    <d v="2028-03-20T00:00:00"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n v="33880.83802172"/>
    <n v="33605.20076456999"/>
    <n v="275.63725715"/>
    <n v="0.1341998196915644"/>
    <n v="0"/>
    <m/>
    <n v="4509.811883304114"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  <r>
    <m/>
    <x v="1"/>
    <x v="1"/>
    <m/>
    <m/>
    <m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B104" firstHeaderRow="1" firstDataRow="1" firstDataCol="1" rowPageCount="1" colPageCount="1"/>
  <pivotFields count="14"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6">
        <item t="data" sd="1" x="3"/>
        <item t="data" h="1" sd="1" x="0"/>
        <item t="data" sd="1" x="4"/>
        <item t="data" h="1" sd="1" x="2"/>
        <item t="data" h="1" sd="1" x="1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12">
        <item t="data" sd="1" x="74"/>
        <item t="data" sd="1" x="96"/>
        <item t="data" sd="1" x="94"/>
        <item t="data" sd="1" x="86"/>
        <item t="data" sd="1" x="91"/>
        <item t="data" sd="1" x="90"/>
        <item t="data" sd="1" m="1" x="106"/>
        <item t="data" sd="1" x="38"/>
        <item t="data" sd="1" x="17"/>
        <item t="data" sd="1" x="102"/>
        <item t="data" sd="1" x="21"/>
        <item t="data" sd="1" x="14"/>
        <item t="data" sd="1" x="19"/>
        <item t="data" sd="1" x="22"/>
        <item t="data" sd="1" x="29"/>
        <item t="data" sd="1" x="67"/>
        <item t="data" sd="1" x="75"/>
        <item t="data" sd="1" x="76"/>
        <item t="data" sd="1" x="66"/>
        <item t="data" sd="1" x="57"/>
        <item t="data" sd="1" x="92"/>
        <item t="data" sd="1" x="77"/>
        <item t="data" sd="1" x="78"/>
        <item t="data" sd="1" x="93"/>
        <item t="data" sd="1" x="95"/>
        <item t="data" sd="1" x="85"/>
        <item t="data" sd="1" x="34"/>
        <item t="data" sd="1" x="53"/>
        <item t="data" sd="1" x="25"/>
        <item t="data" sd="1" x="15"/>
        <item t="data" sd="1" x="73"/>
        <item t="data" sd="1" x="72"/>
        <item t="data" sd="1" x="40"/>
        <item t="data" sd="1" x="52"/>
        <item t="data" sd="1" x="0"/>
        <item t="data" sd="1" x="87"/>
        <item t="data" sd="1" x="89"/>
        <item t="data" sd="1" x="88"/>
        <item t="data" sd="1" x="97"/>
        <item t="data" sd="1" m="1" x="110"/>
        <item t="data" sd="1" x="98"/>
        <item t="data" sd="1" x="99"/>
        <item t="data" sd="1" x="100"/>
        <item t="data" sd="1" m="1" x="109"/>
        <item t="data" sd="1" x="44"/>
        <item t="data" sd="1" x="47"/>
        <item t="data" sd="1" x="20"/>
        <item t="data" sd="1" x="60"/>
        <item t="data" sd="1" x="32"/>
        <item t="data" sd="1" x="63"/>
        <item t="data" sd="1" x="64"/>
        <item t="data" sd="1" x="83"/>
        <item t="data" sd="1" x="82"/>
        <item t="data" sd="1" x="103"/>
        <item t="data" sd="1" x="48"/>
        <item t="data" sd="1" m="1" x="107"/>
        <item t="data" sd="1" m="1" x="108"/>
        <item t="data" sd="1" x="50"/>
        <item t="data" sd="1" x="51"/>
        <item t="data" sd="1" x="18"/>
        <item t="data" sd="1" x="61"/>
        <item t="data" sd="1" x="12"/>
        <item t="data" sd="1" x="27"/>
        <item t="data" sd="1" x="37"/>
        <item t="data" sd="1" x="24"/>
        <item t="data" sd="1" x="36"/>
        <item t="data" sd="1" x="62"/>
        <item t="data" sd="1" x="35"/>
        <item t="data" sd="1" x="4"/>
        <item t="data" sd="1" x="5"/>
        <item t="data" sd="1" x="10"/>
        <item t="data" sd="1" x="9"/>
        <item t="data" sd="1" x="8"/>
        <item t="data" sd="1" x="7"/>
        <item t="data" sd="1" x="6"/>
        <item t="data" sd="1" x="56"/>
        <item t="data" sd="1" x="16"/>
        <item t="data" sd="1" m="1" x="105"/>
        <item t="data" sd="1" x="33"/>
        <item t="data" sd="1" x="46"/>
        <item t="data" sd="1" x="43"/>
        <item t="data" sd="1" x="39"/>
        <item t="data" sd="1" x="42"/>
        <item t="data" sd="1" x="58"/>
        <item t="data" sd="1" x="23"/>
        <item t="data" sd="1" x="11"/>
        <item t="data" sd="1" m="1" x="104"/>
        <item t="data" sd="1" x="13"/>
        <item t="data" sd="1" x="31"/>
        <item t="data" sd="1" x="28"/>
        <item t="data" sd="1" x="54"/>
        <item t="data" sd="1" x="59"/>
        <item t="data" sd="1" x="68"/>
        <item t="data" sd="1" x="55"/>
        <item t="data" sd="1" x="41"/>
        <item t="data" sd="1" x="2"/>
        <item t="data" sd="1" x="84"/>
        <item t="data" sd="1" x="65"/>
        <item t="data" sd="1" x="45"/>
        <item t="data" sd="1" x="3"/>
        <item t="data" sd="1" x="1"/>
        <item t="data" sd="1" x="79"/>
        <item t="data" sd="1" x="80"/>
        <item t="data" sd="1" x="81"/>
        <item t="data" sd="1" x="101"/>
        <item t="data" sd="1" x="26"/>
        <item t="data" sd="1" x="30"/>
        <item t="data" sd="1" x="49"/>
        <item t="data" sd="1" x="69"/>
        <item t="data" sd="1" x="70"/>
        <item t="data" sd="1" x="7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2"/>
  </rowFields>
  <rowItems count="10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5"/>
    </i>
    <i t="data" r="0" i="0">
      <x v="36"/>
    </i>
    <i t="data" r="0" i="0">
      <x v="37"/>
    </i>
    <i t="data" r="0" i="0">
      <x v="38"/>
    </i>
    <i t="data" r="0" i="0">
      <x v="40"/>
    </i>
    <i t="data" r="0" i="0">
      <x v="41"/>
    </i>
    <i t="data" r="0" i="0">
      <x v="42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6"/>
    </i>
    <i t="data" r="0" i="0">
      <x v="97"/>
    </i>
    <i t="data" r="0" i="0">
      <x v="98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grand" r="0" i="0">
      <x v="0"/>
    </i>
  </rowItems>
  <colItems count="1">
    <i t="data" r="0" i="0"/>
  </colItems>
  <pageFields count="1">
    <pageField fld="1" hier="-1"/>
  </pageFields>
  <dataFields count="1">
    <dataField name="Count of Loan" fld="6" subtotal="count" showDataAs="normal" baseField="2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cbr.ru/eng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21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26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tabColor theme="9" tint="0.5999938962981048"/>
    <outlinePr summaryBelow="1" summaryRight="1"/>
    <pageSetUpPr/>
  </sheetPr>
  <dimension ref="A1:ZI64"/>
  <sheetViews>
    <sheetView showGridLines="0" tabSelected="1" zoomScale="90" zoomScaleNormal="90" workbookViewId="0">
      <pane xSplit="228" ySplit="3" topLeftCell="ZC23" activePane="bottomRight" state="frozen"/>
      <selection activeCell="A43" sqref="A43:XFD43"/>
      <selection pane="topRight" activeCell="A43" sqref="A43:XFD43"/>
      <selection pane="bottomLeft" activeCell="A43" sqref="A43:XFD43"/>
      <selection pane="bottomRight" activeCell="D46" sqref="D46"/>
    </sheetView>
  </sheetViews>
  <sheetFormatPr baseColWidth="8" defaultColWidth="13.77734375" defaultRowHeight="13.2"/>
  <cols>
    <col width="14.21875" customWidth="1" style="1" min="1" max="1"/>
    <col width="18.6640625" customWidth="1" style="1" min="2" max="2"/>
    <col width="19.6640625" customWidth="1" style="1" min="3" max="3"/>
    <col width="13.77734375" customWidth="1" style="1" min="4" max="4"/>
    <col hidden="1" outlineLevel="1" width="13.77734375" customWidth="1" style="1" min="5" max="46"/>
    <col hidden="1" outlineLevel="1" style="1" min="47" max="48"/>
    <col hidden="1" outlineLevel="1" width="15.21875" customWidth="1" style="1" min="49" max="72"/>
    <col hidden="1" outlineLevel="1" width="18" customWidth="1" style="1" min="73" max="116"/>
    <col hidden="1" outlineLevel="1" width="18.21875" customWidth="1" style="1" min="117" max="161"/>
    <col hidden="1" outlineLevel="1" width="18.6640625" customWidth="1" style="1" min="162" max="194"/>
    <col hidden="1" outlineLevel="1" width="15.21875" customWidth="1" style="1" min="195" max="210"/>
    <col hidden="1" outlineLevel="1" collapsed="1" width="15.21875" customWidth="1" style="1" min="211" max="211"/>
    <col hidden="1" outlineLevel="1" width="15.21875" customWidth="1" style="1" min="212" max="212"/>
    <col hidden="1" outlineLevel="1" collapsed="1" width="15.21875" customWidth="1" style="1" min="213" max="213"/>
    <col hidden="1" outlineLevel="1" width="15.21875" customWidth="1" style="1" min="214" max="216"/>
    <col hidden="1" outlineLevel="1" collapsed="1" width="15.21875" customWidth="1" style="1" min="217" max="217"/>
    <col hidden="1" outlineLevel="1" width="15.21875" customWidth="1" style="1" min="218" max="223"/>
    <col hidden="1" outlineLevel="1" collapsed="1" width="15.21875" customWidth="1" style="1" min="224" max="224"/>
    <col hidden="1" outlineLevel="1" width="15.21875" customWidth="1" style="1" min="225" max="227"/>
    <col hidden="1" collapsed="1" width="12.21875" customWidth="1" style="1" min="228" max="228"/>
    <col hidden="1" outlineLevel="1" width="15.21875" customWidth="1" style="1" min="229" max="340"/>
    <col hidden="1" outlineLevel="1" width="13.77734375" customWidth="1" style="1" min="341" max="534"/>
    <col hidden="1" outlineLevel="1" collapsed="1" width="13.77734375" customWidth="1" style="1" min="535" max="535"/>
    <col hidden="1" outlineLevel="1" width="13.77734375" customWidth="1" style="1" min="536" max="562"/>
    <col hidden="1" outlineLevel="1" collapsed="1" width="13.77734375" customWidth="1" style="1" min="563" max="563"/>
    <col hidden="1" outlineLevel="1" width="13.77734375" customWidth="1" style="1" min="564" max="564"/>
    <col hidden="1" outlineLevel="1" collapsed="1" width="12.6640625" customWidth="1" style="1" min="565" max="565"/>
    <col hidden="1" outlineLevel="1" width="12.6640625" customWidth="1" style="1" min="566" max="566"/>
    <col hidden="1" outlineLevel="1" width="13.77734375" customWidth="1" style="1" min="567" max="568"/>
    <col collapsed="1" width="13.77734375" customWidth="1" style="1" min="569" max="569"/>
    <col width="13.77734375" customWidth="1" style="1" min="570" max="682"/>
    <col width="13" customWidth="1" min="681" max="681"/>
    <col width="13" customWidth="1" min="682" max="682"/>
    <col width="13.77734375" customWidth="1" style="1" min="683" max="16384"/>
  </cols>
  <sheetData>
    <row r="1" ht="21.45" customHeight="1">
      <c r="A1" s="11" t="inlineStr">
        <is>
          <t>Russia Group - Daily Financial Report</t>
        </is>
      </c>
    </row>
    <row r="2">
      <c r="J2" s="1" t="inlineStr">
        <is>
          <t>*7-8/3/22 เป็นวันหยุดราชการ</t>
        </is>
      </c>
    </row>
    <row r="3" customFormat="1" s="3">
      <c r="A3" s="1324" t="n"/>
      <c r="B3" s="1424" t="n"/>
      <c r="C3" s="1425" t="n"/>
      <c r="D3" s="9" t="n">
        <v>44617</v>
      </c>
      <c r="E3" s="9" t="n">
        <v>44620</v>
      </c>
      <c r="F3" s="9" t="n">
        <v>44621</v>
      </c>
      <c r="G3" s="9" t="n">
        <v>44622</v>
      </c>
      <c r="H3" s="9" t="n">
        <v>44623</v>
      </c>
      <c r="I3" s="9" t="n">
        <v>44624</v>
      </c>
      <c r="J3" s="9" t="n">
        <v>44629</v>
      </c>
      <c r="K3" s="9" t="n">
        <v>44630</v>
      </c>
      <c r="L3" s="9" t="n">
        <v>44631</v>
      </c>
      <c r="M3" s="9" t="n">
        <v>44634</v>
      </c>
      <c r="N3" s="9">
        <f>+M3+1</f>
        <v/>
      </c>
      <c r="O3" s="9">
        <f>+N3+1</f>
        <v/>
      </c>
      <c r="P3" s="9">
        <f>+O3+1</f>
        <v/>
      </c>
      <c r="Q3" s="9">
        <f>+P3+1</f>
        <v/>
      </c>
      <c r="R3" s="9" t="n">
        <v>44642</v>
      </c>
      <c r="S3" s="9">
        <f>+R3+1</f>
        <v/>
      </c>
      <c r="T3" s="9">
        <f>+S3+1</f>
        <v/>
      </c>
      <c r="U3" s="9">
        <f>+T3+1</f>
        <v/>
      </c>
      <c r="V3" s="9" t="n">
        <v>44648</v>
      </c>
      <c r="W3" s="9">
        <f>+V3+1</f>
        <v/>
      </c>
      <c r="X3" s="9">
        <f>+W3+1</f>
        <v/>
      </c>
      <c r="Y3" s="9">
        <f>+X3+1</f>
        <v/>
      </c>
      <c r="Z3" s="9" t="n">
        <v>44652</v>
      </c>
      <c r="AA3" s="9" t="n">
        <v>44655</v>
      </c>
      <c r="AB3" s="9" t="n">
        <v>44656</v>
      </c>
      <c r="AC3" s="9" t="n">
        <v>44657</v>
      </c>
      <c r="AD3" s="9" t="n">
        <v>44658</v>
      </c>
      <c r="AE3" s="9" t="n">
        <v>44659</v>
      </c>
      <c r="AF3" s="9" t="n">
        <v>44662</v>
      </c>
      <c r="AG3" s="9" t="n">
        <v>44663</v>
      </c>
      <c r="AH3" s="9" t="n">
        <v>44664</v>
      </c>
      <c r="AI3" s="9" t="n">
        <v>44665</v>
      </c>
      <c r="AJ3" s="9">
        <f>+AI3+1</f>
        <v/>
      </c>
      <c r="AK3" s="9">
        <f>+AJ3+3</f>
        <v/>
      </c>
      <c r="AL3" s="9">
        <f>+AK3+1</f>
        <v/>
      </c>
      <c r="AM3" s="9">
        <f>+AL3+1</f>
        <v/>
      </c>
      <c r="AN3" s="9">
        <f>+AM3+1</f>
        <v/>
      </c>
      <c r="AO3" s="9">
        <f>+AN3+1</f>
        <v/>
      </c>
      <c r="AP3" s="9">
        <f>+AO3+3</f>
        <v/>
      </c>
      <c r="AQ3" s="9">
        <f>+AP3+1</f>
        <v/>
      </c>
      <c r="AR3" s="9">
        <f>+AQ3+1</f>
        <v/>
      </c>
      <c r="AS3" s="9">
        <f>+AR3+1</f>
        <v/>
      </c>
      <c r="AT3" s="9">
        <f>+AS3+1</f>
        <v/>
      </c>
      <c r="AU3" s="9">
        <f>+AT3+5</f>
        <v/>
      </c>
      <c r="AV3" s="9">
        <f>+AU3+1</f>
        <v/>
      </c>
      <c r="AW3" s="9">
        <f>+AV3+1</f>
        <v/>
      </c>
      <c r="AX3" s="9">
        <f>+AW3+5</f>
        <v/>
      </c>
      <c r="AY3" s="9">
        <f>+AX3+1</f>
        <v/>
      </c>
      <c r="AZ3" s="9">
        <f>+AY3+1</f>
        <v/>
      </c>
      <c r="BA3" s="9">
        <f>+AZ3+3</f>
        <v/>
      </c>
      <c r="BB3" s="9">
        <f>+BA3+1</f>
        <v/>
      </c>
      <c r="BC3" s="9">
        <f>+BB3+1</f>
        <v/>
      </c>
      <c r="BD3" s="9">
        <f>+BC3+1</f>
        <v/>
      </c>
      <c r="BE3" s="9">
        <f>+BD3+1</f>
        <v/>
      </c>
      <c r="BF3" s="9">
        <f>+BE3+3</f>
        <v/>
      </c>
      <c r="BG3" s="9">
        <f>+BF3+1</f>
        <v/>
      </c>
      <c r="BH3" s="9">
        <f>+BG3+1</f>
        <v/>
      </c>
      <c r="BI3" s="9">
        <f>+BH3+1</f>
        <v/>
      </c>
      <c r="BJ3" s="9">
        <f>+BI3+1</f>
        <v/>
      </c>
      <c r="BK3" s="9">
        <f>+BJ3+3</f>
        <v/>
      </c>
      <c r="BL3" s="9">
        <f>+BK3+1</f>
        <v/>
      </c>
      <c r="BM3" s="9">
        <f>+BL3+1</f>
        <v/>
      </c>
      <c r="BN3" s="9">
        <f>+BM3+1</f>
        <v/>
      </c>
      <c r="BO3" s="9">
        <f>+BN3+1</f>
        <v/>
      </c>
      <c r="BP3" s="9">
        <f>+BO3+3</f>
        <v/>
      </c>
      <c r="BQ3" s="9">
        <f>+BP3+1</f>
        <v/>
      </c>
      <c r="BR3" s="9">
        <f>+BQ3+1</f>
        <v/>
      </c>
      <c r="BS3" s="9">
        <f>+BR3+1</f>
        <v/>
      </c>
      <c r="BT3" s="9">
        <f>+BS3+1</f>
        <v/>
      </c>
      <c r="BU3" s="9">
        <f>+BT3+4</f>
        <v/>
      </c>
      <c r="BV3" s="9">
        <f>+BU3+1</f>
        <v/>
      </c>
      <c r="BW3" s="9">
        <f>+BV3+1</f>
        <v/>
      </c>
      <c r="BX3" s="9">
        <f>+BW3+1</f>
        <v/>
      </c>
      <c r="BY3" s="9">
        <f>+BX3+3</f>
        <v/>
      </c>
      <c r="BZ3" s="9">
        <f>+BY3+1</f>
        <v/>
      </c>
      <c r="CA3" s="9">
        <f>+BZ3+1</f>
        <v/>
      </c>
      <c r="CB3" s="9">
        <f>+CA3+1</f>
        <v/>
      </c>
      <c r="CC3" s="9">
        <f>+CB3+1</f>
        <v/>
      </c>
      <c r="CD3" s="9">
        <f>+CC3+3</f>
        <v/>
      </c>
      <c r="CE3" s="9">
        <f>+CD3+1</f>
        <v/>
      </c>
      <c r="CF3" s="9">
        <f>+CE3+1</f>
        <v/>
      </c>
      <c r="CG3" s="9">
        <f>+CF3+1</f>
        <v/>
      </c>
      <c r="CH3" s="9">
        <f>+CG3+1</f>
        <v/>
      </c>
      <c r="CI3" s="9">
        <f>+CH3+3</f>
        <v/>
      </c>
      <c r="CJ3" s="9">
        <f>+CI3+1</f>
        <v/>
      </c>
      <c r="CK3" s="9">
        <f>+CJ3+1</f>
        <v/>
      </c>
      <c r="CL3" s="9">
        <f>+CK3+1</f>
        <v/>
      </c>
      <c r="CM3" s="9">
        <f>+CL3+1</f>
        <v/>
      </c>
      <c r="CN3" s="9">
        <f>+CM3+3</f>
        <v/>
      </c>
      <c r="CO3" s="9">
        <f>+CN3+1</f>
        <v/>
      </c>
      <c r="CP3" s="9">
        <f>+CO3+1</f>
        <v/>
      </c>
      <c r="CQ3" s="9">
        <f>+CP3+1</f>
        <v/>
      </c>
      <c r="CR3" s="9">
        <f>+CQ3+1</f>
        <v/>
      </c>
      <c r="CS3" s="9">
        <f>+CR3+3</f>
        <v/>
      </c>
      <c r="CT3" s="9">
        <f>+CS3+1</f>
        <v/>
      </c>
      <c r="CU3" s="9">
        <f>+CT3+1</f>
        <v/>
      </c>
      <c r="CV3" s="9">
        <f>+CU3+1</f>
        <v/>
      </c>
      <c r="CW3" s="9">
        <f>+CV3+1</f>
        <v/>
      </c>
      <c r="CX3" s="9">
        <f>+CW3+3</f>
        <v/>
      </c>
      <c r="CY3" s="9">
        <f>+CX3+1</f>
        <v/>
      </c>
      <c r="CZ3" s="9">
        <f>+CY3+1</f>
        <v/>
      </c>
      <c r="DA3" s="9">
        <f>+CZ3+1</f>
        <v/>
      </c>
      <c r="DB3" s="9">
        <f>+DA3+1</f>
        <v/>
      </c>
      <c r="DC3" s="9">
        <f>+DB3+3</f>
        <v/>
      </c>
      <c r="DD3" s="9">
        <f>+DC3+1</f>
        <v/>
      </c>
      <c r="DE3" s="9">
        <f>+DD3+1</f>
        <v/>
      </c>
      <c r="DF3" s="9">
        <f>+DE3+1</f>
        <v/>
      </c>
      <c r="DG3" s="9">
        <f>+DF3+1</f>
        <v/>
      </c>
      <c r="DH3" s="9">
        <f>+DG3+3</f>
        <v/>
      </c>
      <c r="DI3" s="9">
        <f>DH3+1</f>
        <v/>
      </c>
      <c r="DJ3" s="9">
        <f>DI3+1</f>
        <v/>
      </c>
      <c r="DK3" s="9">
        <f>DJ3+1</f>
        <v/>
      </c>
      <c r="DL3" s="9">
        <f>DK3+1</f>
        <v/>
      </c>
      <c r="DM3" s="9">
        <f>DL3+3</f>
        <v/>
      </c>
      <c r="DN3" s="9">
        <f>DM3+1</f>
        <v/>
      </c>
      <c r="DO3" s="9">
        <f>DN3+1</f>
        <v/>
      </c>
      <c r="DP3" s="9">
        <f>DO3+1</f>
        <v/>
      </c>
      <c r="DQ3" s="9">
        <f>DP3+1</f>
        <v/>
      </c>
      <c r="DR3" s="9">
        <f>DQ3+3</f>
        <v/>
      </c>
      <c r="DS3" s="9">
        <f>DR3+1</f>
        <v/>
      </c>
      <c r="DT3" s="9">
        <f>DS3+1</f>
        <v/>
      </c>
      <c r="DU3" s="9">
        <f>DT3+1</f>
        <v/>
      </c>
      <c r="DV3" s="9">
        <f>DU3+1</f>
        <v/>
      </c>
      <c r="DW3" s="9">
        <f>DV3+3</f>
        <v/>
      </c>
      <c r="DX3" s="9">
        <f>DW3+1</f>
        <v/>
      </c>
      <c r="DY3" s="9">
        <f>DX3+1</f>
        <v/>
      </c>
      <c r="DZ3" s="9">
        <f>DY3+1</f>
        <v/>
      </c>
      <c r="EA3" s="9">
        <f>DZ3+1</f>
        <v/>
      </c>
      <c r="EB3" s="9">
        <f>EA3+3</f>
        <v/>
      </c>
      <c r="EC3" s="9">
        <f>EB3+1</f>
        <v/>
      </c>
      <c r="ED3" s="9">
        <f>EC3+1</f>
        <v/>
      </c>
      <c r="EE3" s="9">
        <f>ED3+1</f>
        <v/>
      </c>
      <c r="EF3" s="9">
        <f>EE3+1</f>
        <v/>
      </c>
      <c r="EG3" s="9">
        <f>EF3+3</f>
        <v/>
      </c>
      <c r="EH3" s="9">
        <f>EG3+1</f>
        <v/>
      </c>
      <c r="EI3" s="9">
        <f>EH3+1</f>
        <v/>
      </c>
      <c r="EJ3" s="9">
        <f>EI3+1</f>
        <v/>
      </c>
      <c r="EK3" s="9">
        <f>EJ3+1</f>
        <v/>
      </c>
      <c r="EL3" s="9">
        <f>EK3+3</f>
        <v/>
      </c>
      <c r="EM3" s="9">
        <f>EL3+1</f>
        <v/>
      </c>
      <c r="EN3" s="9">
        <f>EM3+1</f>
        <v/>
      </c>
      <c r="EO3" s="9">
        <f>EN3+1</f>
        <v/>
      </c>
      <c r="EP3" s="9">
        <f>EO3+1</f>
        <v/>
      </c>
      <c r="EQ3" s="9">
        <f>EP3+3</f>
        <v/>
      </c>
      <c r="ER3" s="9">
        <f>EQ3+1</f>
        <v/>
      </c>
      <c r="ES3" s="9">
        <f>ER3+1</f>
        <v/>
      </c>
      <c r="ET3" s="9">
        <f>ES3+1</f>
        <v/>
      </c>
      <c r="EU3" s="9">
        <f>ET3+1</f>
        <v/>
      </c>
      <c r="EV3" s="9">
        <f>EU3+3</f>
        <v/>
      </c>
      <c r="EW3" s="9">
        <f>EV3+1</f>
        <v/>
      </c>
      <c r="EX3" s="9">
        <f>EW3+1</f>
        <v/>
      </c>
      <c r="EY3" s="9">
        <f>EX3+1</f>
        <v/>
      </c>
      <c r="EZ3" s="9">
        <f>EY3+1</f>
        <v/>
      </c>
      <c r="FA3" s="9">
        <f>EZ3+3</f>
        <v/>
      </c>
      <c r="FB3" s="9">
        <f>FA3+1</f>
        <v/>
      </c>
      <c r="FC3" s="9">
        <f>FB3+1</f>
        <v/>
      </c>
      <c r="FD3" s="9">
        <f>FC3+1</f>
        <v/>
      </c>
      <c r="FE3" s="9">
        <f>FD3+1</f>
        <v/>
      </c>
      <c r="FF3" s="9">
        <f>FE3+3</f>
        <v/>
      </c>
      <c r="FG3" s="9">
        <f>FF3+1</f>
        <v/>
      </c>
      <c r="FH3" s="9">
        <f>FG3+1</f>
        <v/>
      </c>
      <c r="FI3" s="9">
        <f>FH3+1</f>
        <v/>
      </c>
      <c r="FJ3" s="9">
        <f>FI3+1</f>
        <v/>
      </c>
      <c r="FK3" s="9">
        <f>FJ3+3</f>
        <v/>
      </c>
      <c r="FL3" s="9">
        <f>FK3+1</f>
        <v/>
      </c>
      <c r="FM3" s="9">
        <f>FL3+1</f>
        <v/>
      </c>
      <c r="FN3" s="9">
        <f>FM3+1</f>
        <v/>
      </c>
      <c r="FO3" s="9">
        <f>FN3+1</f>
        <v/>
      </c>
      <c r="FP3" s="9">
        <f>FO3+3</f>
        <v/>
      </c>
      <c r="FQ3" s="9">
        <f>FP3+1</f>
        <v/>
      </c>
      <c r="FR3" s="9">
        <f>FQ3+1</f>
        <v/>
      </c>
      <c r="FS3" s="9">
        <f>FR3+1</f>
        <v/>
      </c>
      <c r="FT3" s="9">
        <f>FS3+4</f>
        <v/>
      </c>
      <c r="FU3" s="9">
        <f>FT3+1</f>
        <v/>
      </c>
      <c r="FV3" s="9">
        <f>FU3+1</f>
        <v/>
      </c>
      <c r="FW3" s="9">
        <f>FV3+1</f>
        <v/>
      </c>
      <c r="FX3" s="9">
        <f>FW3+1</f>
        <v/>
      </c>
      <c r="FY3" s="9">
        <f>FX3+3</f>
        <v/>
      </c>
      <c r="FZ3" s="9">
        <f>FY3+1</f>
        <v/>
      </c>
      <c r="GA3" s="9">
        <f>FZ3+1</f>
        <v/>
      </c>
      <c r="GB3" s="9">
        <f>GA3+1</f>
        <v/>
      </c>
      <c r="GC3" s="9">
        <f>GB3+1</f>
        <v/>
      </c>
      <c r="GD3" s="9">
        <f>GC3+3</f>
        <v/>
      </c>
      <c r="GE3" s="9">
        <f>GD3+1</f>
        <v/>
      </c>
      <c r="GF3" s="9">
        <f>GE3+1</f>
        <v/>
      </c>
      <c r="GG3" s="9">
        <f>GF3+1</f>
        <v/>
      </c>
      <c r="GH3" s="9">
        <f>GG3+1</f>
        <v/>
      </c>
      <c r="GI3" s="9">
        <f>GH3+3</f>
        <v/>
      </c>
      <c r="GJ3" s="9">
        <f>GI3+1</f>
        <v/>
      </c>
      <c r="GK3" s="9">
        <f>GJ3+1</f>
        <v/>
      </c>
      <c r="GL3" s="9">
        <f>GK3+1</f>
        <v/>
      </c>
      <c r="GM3" s="9">
        <f>GL3+1</f>
        <v/>
      </c>
      <c r="GN3" s="9">
        <f>GM3+3</f>
        <v/>
      </c>
      <c r="GO3" s="9">
        <f>GN3+1</f>
        <v/>
      </c>
      <c r="GP3" s="9">
        <f>GO3+1</f>
        <v/>
      </c>
      <c r="GQ3" s="9">
        <f>GP3+1</f>
        <v/>
      </c>
      <c r="GR3" s="9">
        <f>GQ3+1</f>
        <v/>
      </c>
      <c r="GS3" s="9">
        <f>GR3+3</f>
        <v/>
      </c>
      <c r="GT3" s="9">
        <f>GS3+1</f>
        <v/>
      </c>
      <c r="GU3" s="9">
        <f>GT3+1</f>
        <v/>
      </c>
      <c r="GV3" s="9">
        <f>GU3+1</f>
        <v/>
      </c>
      <c r="GW3" s="9">
        <f>GV3+1</f>
        <v/>
      </c>
      <c r="GX3" s="9">
        <f>GW3+3</f>
        <v/>
      </c>
      <c r="GY3" s="9">
        <f>GX3+1</f>
        <v/>
      </c>
      <c r="GZ3" s="9">
        <f>GY3+1</f>
        <v/>
      </c>
      <c r="HA3" s="9">
        <f>GZ3+1</f>
        <v/>
      </c>
      <c r="HB3" s="9">
        <f>HA3+1</f>
        <v/>
      </c>
      <c r="HC3" s="9">
        <f>HB3+3</f>
        <v/>
      </c>
      <c r="HD3" s="9">
        <f>HC3+1</f>
        <v/>
      </c>
      <c r="HE3" s="9" t="n">
        <v>44937</v>
      </c>
      <c r="HF3" s="9" t="n">
        <v>44938</v>
      </c>
      <c r="HG3" s="9" t="n">
        <v>44943</v>
      </c>
      <c r="HH3" s="9" t="n">
        <v>44944</v>
      </c>
      <c r="HI3" s="9" t="n">
        <v>44945</v>
      </c>
      <c r="HJ3" s="9" t="n">
        <v>44949</v>
      </c>
      <c r="HK3" s="9" t="n">
        <v>44950</v>
      </c>
      <c r="HL3" s="9" t="n">
        <v>44951</v>
      </c>
      <c r="HM3" s="9" t="n">
        <v>44952</v>
      </c>
      <c r="HN3" s="9" t="n">
        <v>44953</v>
      </c>
      <c r="HO3" s="9" t="n">
        <v>44956</v>
      </c>
      <c r="HP3" s="9" t="n">
        <v>44958</v>
      </c>
      <c r="HQ3" s="9" t="n">
        <v>44960</v>
      </c>
      <c r="HR3" s="9" t="n">
        <v>44963</v>
      </c>
      <c r="HS3" s="9" t="n">
        <v>44964</v>
      </c>
      <c r="HT3" s="9" t="n">
        <v>44966</v>
      </c>
      <c r="HU3" s="9" t="n">
        <v>44970</v>
      </c>
      <c r="HV3" s="9" t="n">
        <v>44972</v>
      </c>
      <c r="HW3" s="9" t="n">
        <v>44973</v>
      </c>
      <c r="HX3" s="9" t="n">
        <v>44977</v>
      </c>
      <c r="HY3" s="9" t="n">
        <v>44979</v>
      </c>
      <c r="HZ3" s="9" t="n">
        <v>44984</v>
      </c>
      <c r="IA3" s="9" t="n">
        <v>44985</v>
      </c>
      <c r="IB3" s="9" t="n">
        <v>44986</v>
      </c>
      <c r="IC3" s="9" t="n">
        <v>44988</v>
      </c>
      <c r="ID3" s="9" t="n">
        <v>44991</v>
      </c>
      <c r="IE3" s="9" t="n">
        <v>44992</v>
      </c>
      <c r="IF3" s="9" t="n">
        <v>44995</v>
      </c>
      <c r="IG3" s="9" t="n">
        <v>44998</v>
      </c>
      <c r="IH3" s="9" t="n">
        <v>45000</v>
      </c>
      <c r="II3" s="9" t="n">
        <v>45001</v>
      </c>
      <c r="IJ3" s="9" t="n">
        <v>45002</v>
      </c>
      <c r="IK3" s="9" t="n">
        <v>45006</v>
      </c>
      <c r="IL3" s="9" t="n">
        <v>45007</v>
      </c>
      <c r="IM3" s="9" t="n">
        <v>45009</v>
      </c>
      <c r="IN3" s="9" t="n">
        <v>45013</v>
      </c>
      <c r="IO3" s="9" t="n">
        <v>45014</v>
      </c>
      <c r="IP3" s="9" t="n">
        <v>45015</v>
      </c>
      <c r="IQ3" s="9" t="n">
        <v>45016</v>
      </c>
      <c r="IR3" s="9" t="n">
        <v>45019</v>
      </c>
      <c r="IS3" s="9" t="n">
        <v>45020</v>
      </c>
      <c r="IT3" s="9" t="n">
        <v>45021</v>
      </c>
      <c r="IU3" s="9" t="n">
        <v>45022</v>
      </c>
      <c r="IV3" s="9" t="n">
        <v>45023</v>
      </c>
      <c r="IW3" s="9" t="n">
        <v>45026</v>
      </c>
      <c r="IX3" s="9" t="n">
        <v>45027</v>
      </c>
      <c r="IY3" s="9" t="n">
        <v>45028</v>
      </c>
      <c r="IZ3" s="9" t="n">
        <v>45029</v>
      </c>
      <c r="JA3" s="9" t="n">
        <v>45030</v>
      </c>
      <c r="JB3" s="9" t="n">
        <v>45033</v>
      </c>
      <c r="JC3" s="9" t="n">
        <v>45034</v>
      </c>
      <c r="JD3" s="9" t="n">
        <v>45035</v>
      </c>
      <c r="JE3" s="9" t="n">
        <v>45036</v>
      </c>
      <c r="JF3" s="9" t="n">
        <v>45037</v>
      </c>
      <c r="JG3" s="9" t="n">
        <v>45040</v>
      </c>
      <c r="JH3" s="9" t="n">
        <v>45041</v>
      </c>
      <c r="JI3" s="9" t="n">
        <v>45042</v>
      </c>
      <c r="JJ3" s="9" t="n">
        <v>45043</v>
      </c>
      <c r="JK3" s="9" t="n">
        <v>45044</v>
      </c>
      <c r="JL3" s="9" t="n">
        <v>45048</v>
      </c>
      <c r="JM3" s="9" t="n">
        <v>45049</v>
      </c>
      <c r="JN3" s="9" t="n">
        <v>45050</v>
      </c>
      <c r="JO3" s="9" t="n">
        <v>45051</v>
      </c>
      <c r="JP3" s="9" t="n">
        <v>45056</v>
      </c>
      <c r="JQ3" s="9" t="n">
        <v>45057</v>
      </c>
      <c r="JR3" s="9" t="n">
        <v>45058</v>
      </c>
      <c r="JS3" s="9" t="n">
        <v>45061</v>
      </c>
      <c r="JT3" s="9" t="n">
        <v>45062</v>
      </c>
      <c r="JU3" s="9" t="n">
        <v>45063</v>
      </c>
      <c r="JV3" s="9" t="n">
        <v>45065</v>
      </c>
      <c r="JW3" s="9" t="n">
        <v>45068</v>
      </c>
      <c r="JX3" s="9" t="n">
        <v>45069</v>
      </c>
      <c r="JY3" s="9" t="n">
        <v>45070</v>
      </c>
      <c r="JZ3" s="9" t="n">
        <v>45071</v>
      </c>
      <c r="KA3" s="9" t="n">
        <v>45072</v>
      </c>
      <c r="KB3" s="9" t="n">
        <v>45075</v>
      </c>
      <c r="KC3" s="9" t="n">
        <v>45076</v>
      </c>
      <c r="KD3" s="9" t="n">
        <v>45077</v>
      </c>
      <c r="KE3" s="9" t="n">
        <v>45078</v>
      </c>
      <c r="KF3" s="9" t="n">
        <v>45079</v>
      </c>
      <c r="KG3" s="9" t="n">
        <v>45082</v>
      </c>
      <c r="KH3" s="9" t="n">
        <v>45083</v>
      </c>
      <c r="KI3" s="9" t="n">
        <v>45084</v>
      </c>
      <c r="KJ3" s="9" t="n">
        <v>45085</v>
      </c>
      <c r="KK3" s="9" t="n">
        <v>45086</v>
      </c>
      <c r="KL3" s="9" t="n">
        <v>45090</v>
      </c>
      <c r="KM3" s="9" t="n">
        <v>45091</v>
      </c>
      <c r="KN3" s="9" t="n">
        <v>45092</v>
      </c>
      <c r="KO3" s="9" t="n">
        <v>45093</v>
      </c>
      <c r="KP3" s="9" t="n">
        <v>45096</v>
      </c>
      <c r="KQ3" s="9" t="n">
        <v>45097</v>
      </c>
      <c r="KR3" s="9" t="n">
        <v>45098</v>
      </c>
      <c r="KS3" s="9" t="n">
        <v>45099</v>
      </c>
      <c r="KT3" s="9" t="n">
        <v>45100</v>
      </c>
      <c r="KU3" s="9" t="n">
        <v>45103</v>
      </c>
      <c r="KV3" s="9" t="n">
        <v>45104</v>
      </c>
      <c r="KW3" s="9" t="n">
        <v>45105</v>
      </c>
      <c r="KX3" s="9" t="n">
        <v>45106</v>
      </c>
      <c r="KY3" s="9" t="n">
        <v>45107</v>
      </c>
      <c r="KZ3" s="9" t="n">
        <v>45110</v>
      </c>
      <c r="LA3" s="9" t="n">
        <v>45111</v>
      </c>
      <c r="LB3" s="9" t="n">
        <v>45112</v>
      </c>
      <c r="LC3" s="9" t="n">
        <v>45113</v>
      </c>
      <c r="LD3" s="9" t="n">
        <v>45114</v>
      </c>
      <c r="LE3" s="9" t="n">
        <v>45117</v>
      </c>
      <c r="LF3" s="9" t="n">
        <v>45118</v>
      </c>
      <c r="LG3" s="9" t="n">
        <v>45119</v>
      </c>
      <c r="LH3" s="9" t="n">
        <v>45120</v>
      </c>
      <c r="LI3" s="9" t="n">
        <v>45121</v>
      </c>
      <c r="LJ3" s="9" t="n">
        <v>45124</v>
      </c>
      <c r="LK3" s="9" t="n">
        <v>45125</v>
      </c>
      <c r="LL3" s="9" t="n">
        <v>45126</v>
      </c>
      <c r="LM3" s="9" t="n">
        <v>45127</v>
      </c>
      <c r="LN3" s="9" t="n">
        <v>45128</v>
      </c>
      <c r="LO3" s="9" t="n">
        <v>45131</v>
      </c>
      <c r="LP3" s="9" t="n">
        <v>45132</v>
      </c>
      <c r="LQ3" s="9" t="n">
        <v>45133</v>
      </c>
      <c r="LR3" s="9" t="n">
        <v>45138</v>
      </c>
      <c r="LS3" s="9" t="n">
        <v>45141</v>
      </c>
      <c r="LT3" s="9" t="n">
        <v>45142</v>
      </c>
      <c r="LU3" s="963" t="n">
        <v>45145</v>
      </c>
      <c r="LV3" s="963" t="n">
        <v>45146</v>
      </c>
      <c r="LW3" s="963" t="n">
        <v>45147</v>
      </c>
      <c r="LX3" s="963" t="n">
        <v>45148</v>
      </c>
      <c r="LY3" s="963" t="n">
        <v>45149</v>
      </c>
      <c r="LZ3" s="963" t="n">
        <v>45152</v>
      </c>
      <c r="MA3" s="963" t="n">
        <v>45153</v>
      </c>
      <c r="MB3" s="963" t="n">
        <v>45154</v>
      </c>
      <c r="MC3" s="963" t="n">
        <v>45155</v>
      </c>
      <c r="MD3" s="963" t="n">
        <v>45156</v>
      </c>
      <c r="ME3" s="963" t="n">
        <v>45159</v>
      </c>
      <c r="MF3" s="963" t="n">
        <v>45160</v>
      </c>
      <c r="MG3" s="963" t="n">
        <v>45161</v>
      </c>
      <c r="MH3" s="963" t="n">
        <v>45162</v>
      </c>
      <c r="MI3" s="963" t="n">
        <v>45163</v>
      </c>
      <c r="MJ3" s="963" t="n">
        <v>45166</v>
      </c>
      <c r="MK3" s="963" t="n">
        <v>45167</v>
      </c>
      <c r="ML3" s="963" t="n">
        <v>45168</v>
      </c>
      <c r="MM3" s="963" t="n">
        <v>45169</v>
      </c>
      <c r="MN3" s="963" t="n">
        <v>45170</v>
      </c>
      <c r="MO3" s="963" t="n">
        <v>45173</v>
      </c>
      <c r="MP3" s="963" t="n">
        <v>45174</v>
      </c>
      <c r="MQ3" s="963" t="n">
        <v>45175</v>
      </c>
      <c r="MR3" s="963" t="n">
        <v>45176</v>
      </c>
      <c r="MS3" s="963" t="n">
        <v>45177</v>
      </c>
      <c r="MT3" s="963" t="n">
        <v>45180</v>
      </c>
      <c r="MU3" s="963" t="n">
        <v>45181</v>
      </c>
      <c r="MV3" s="963" t="n">
        <v>45182</v>
      </c>
      <c r="MW3" s="963" t="n">
        <v>45183</v>
      </c>
      <c r="MX3" s="963" t="n">
        <v>45184</v>
      </c>
      <c r="MY3" s="963" t="n">
        <v>45187</v>
      </c>
      <c r="MZ3" s="963" t="n">
        <v>45188</v>
      </c>
      <c r="NA3" s="963" t="n">
        <v>45189</v>
      </c>
      <c r="NB3" s="963" t="n">
        <v>45190</v>
      </c>
      <c r="NC3" s="963" t="n">
        <v>45191</v>
      </c>
      <c r="ND3" s="963" t="n">
        <v>45194</v>
      </c>
      <c r="NE3" s="963" t="n">
        <v>45195</v>
      </c>
      <c r="NF3" s="963" t="n">
        <v>45196</v>
      </c>
      <c r="NG3" s="963" t="n">
        <v>45197</v>
      </c>
      <c r="NH3" s="963" t="n">
        <v>45198</v>
      </c>
      <c r="NI3" s="963" t="n">
        <v>45201</v>
      </c>
      <c r="NJ3" s="963" t="n">
        <v>45202</v>
      </c>
      <c r="NK3" s="963" t="n">
        <v>45203</v>
      </c>
      <c r="NL3" s="963" t="n">
        <v>45204</v>
      </c>
      <c r="NM3" s="963" t="n">
        <v>45205</v>
      </c>
      <c r="NN3" s="963" t="n">
        <v>45208</v>
      </c>
      <c r="NO3" s="963" t="n">
        <v>45209</v>
      </c>
      <c r="NP3" s="963" t="n">
        <v>45210</v>
      </c>
      <c r="NQ3" s="963" t="n">
        <v>45211</v>
      </c>
      <c r="NR3" s="963" t="n">
        <v>45212</v>
      </c>
      <c r="NS3" s="963" t="n">
        <v>45215</v>
      </c>
      <c r="NT3" s="963" t="n">
        <v>45216</v>
      </c>
      <c r="NU3" s="963" t="n">
        <v>45217</v>
      </c>
      <c r="NV3" s="963" t="n">
        <v>45218</v>
      </c>
      <c r="NW3" s="963" t="n">
        <v>45219</v>
      </c>
      <c r="NX3" s="963" t="n">
        <v>45222</v>
      </c>
      <c r="NY3" s="963" t="n">
        <v>45223</v>
      </c>
      <c r="NZ3" s="963" t="n">
        <v>45224</v>
      </c>
      <c r="OA3" s="963" t="n">
        <v>45225</v>
      </c>
      <c r="OB3" s="963" t="n">
        <v>45226</v>
      </c>
      <c r="OC3" s="963" t="n">
        <v>45229</v>
      </c>
      <c r="OD3" s="963" t="n">
        <v>45230</v>
      </c>
      <c r="OE3" s="963" t="n">
        <v>45231</v>
      </c>
      <c r="OF3" s="963" t="n">
        <v>45232</v>
      </c>
      <c r="OG3" s="963" t="n">
        <v>45233</v>
      </c>
      <c r="OH3" s="963" t="n">
        <v>45237</v>
      </c>
      <c r="OI3" s="963" t="n">
        <v>45238</v>
      </c>
      <c r="OJ3" s="963" t="n">
        <v>45239</v>
      </c>
      <c r="OK3" s="963" t="n">
        <v>45240</v>
      </c>
      <c r="OL3" s="963" t="n">
        <v>45243</v>
      </c>
      <c r="OM3" s="963" t="n">
        <v>45244</v>
      </c>
      <c r="ON3" s="963" t="n">
        <v>45245</v>
      </c>
      <c r="OO3" s="963" t="n">
        <v>45246</v>
      </c>
      <c r="OP3" s="963" t="n">
        <v>45247</v>
      </c>
      <c r="OQ3" s="963" t="n">
        <v>45250</v>
      </c>
      <c r="OR3" s="963" t="n">
        <v>45251</v>
      </c>
      <c r="OS3" s="963" t="n">
        <v>45252</v>
      </c>
      <c r="OT3" s="963" t="n">
        <v>45253</v>
      </c>
      <c r="OU3" s="963" t="n">
        <v>45254</v>
      </c>
      <c r="OV3" s="963" t="n">
        <v>45257</v>
      </c>
      <c r="OW3" s="963" t="n">
        <v>45258</v>
      </c>
      <c r="OX3" s="963" t="n">
        <v>45259</v>
      </c>
      <c r="OY3" s="963" t="n">
        <v>45260</v>
      </c>
      <c r="OZ3" s="963" t="n">
        <v>45261</v>
      </c>
      <c r="PA3" s="963" t="n">
        <v>45264</v>
      </c>
      <c r="PB3" s="963" t="n">
        <v>45265</v>
      </c>
      <c r="PC3" s="963" t="n">
        <v>45266</v>
      </c>
      <c r="PD3" s="963" t="n">
        <v>45267</v>
      </c>
      <c r="PE3" s="963" t="n">
        <v>45268</v>
      </c>
      <c r="PF3" s="963" t="n">
        <v>45271</v>
      </c>
      <c r="PG3" s="963" t="n">
        <v>45272</v>
      </c>
      <c r="PH3" s="963" t="n">
        <v>45273</v>
      </c>
      <c r="PI3" s="963" t="n">
        <v>45274</v>
      </c>
      <c r="PJ3" s="963" t="n">
        <v>45275</v>
      </c>
      <c r="PK3" s="963" t="n">
        <v>45278</v>
      </c>
      <c r="PL3" s="963" t="n">
        <v>45279</v>
      </c>
      <c r="PM3" s="963" t="n">
        <v>45280</v>
      </c>
      <c r="PN3" s="963" t="n">
        <v>45281</v>
      </c>
      <c r="PO3" s="963" t="n">
        <v>45282</v>
      </c>
      <c r="PP3" s="963" t="n">
        <v>45285</v>
      </c>
      <c r="PQ3" s="963" t="n">
        <v>45286</v>
      </c>
      <c r="PR3" s="963" t="n">
        <v>45287</v>
      </c>
      <c r="PS3" s="963" t="n">
        <v>45288</v>
      </c>
      <c r="PT3" s="963" t="n">
        <v>45289</v>
      </c>
      <c r="PU3" s="963" t="n">
        <v>45300</v>
      </c>
      <c r="PV3" s="963" t="n">
        <v>45301</v>
      </c>
      <c r="PW3" s="963" t="n">
        <v>45302</v>
      </c>
      <c r="PX3" s="963" t="n">
        <v>45303</v>
      </c>
      <c r="PY3" s="963" t="n">
        <v>45306</v>
      </c>
      <c r="PZ3" s="963" t="n">
        <v>45307</v>
      </c>
      <c r="QA3" s="963" t="n">
        <v>45308</v>
      </c>
      <c r="QB3" s="963" t="n">
        <v>45309</v>
      </c>
      <c r="QC3" s="963" t="n">
        <v>45310</v>
      </c>
      <c r="QD3" s="963" t="n">
        <v>45313</v>
      </c>
      <c r="QE3" s="963" t="n">
        <v>45314</v>
      </c>
      <c r="QF3" s="963" t="n">
        <v>45315</v>
      </c>
      <c r="QG3" s="963" t="n">
        <v>45316</v>
      </c>
      <c r="QH3" s="963" t="n">
        <v>45317</v>
      </c>
      <c r="QI3" s="9" t="n">
        <v>45320</v>
      </c>
      <c r="QJ3" s="9" t="n">
        <v>45321</v>
      </c>
      <c r="QK3" s="9" t="n">
        <v>45322</v>
      </c>
      <c r="QL3" s="9" t="n">
        <v>45323</v>
      </c>
      <c r="QM3" s="9" t="n">
        <v>45324</v>
      </c>
      <c r="QN3" s="9" t="n">
        <v>45327</v>
      </c>
      <c r="QO3" s="9" t="n">
        <v>45328</v>
      </c>
      <c r="QP3" s="9" t="n">
        <v>45329</v>
      </c>
      <c r="QQ3" s="9" t="n">
        <v>45330</v>
      </c>
      <c r="QR3" s="9" t="n">
        <v>45331</v>
      </c>
      <c r="QS3" s="9" t="n">
        <v>45334</v>
      </c>
      <c r="QT3" s="9" t="n">
        <v>45335</v>
      </c>
      <c r="QU3" s="9" t="n">
        <v>45336</v>
      </c>
      <c r="QV3" s="9" t="n">
        <v>45337</v>
      </c>
      <c r="QW3" s="9" t="n">
        <v>45338</v>
      </c>
      <c r="QX3" s="9" t="n">
        <v>45341</v>
      </c>
      <c r="QY3" s="9" t="n">
        <v>45342</v>
      </c>
      <c r="QZ3" s="9" t="n">
        <v>45343</v>
      </c>
      <c r="RA3" s="9" t="n">
        <v>45344</v>
      </c>
      <c r="RB3" s="9" t="n">
        <v>45348</v>
      </c>
      <c r="RC3" s="9" t="n">
        <v>45349</v>
      </c>
      <c r="RD3" s="9" t="n">
        <v>45350</v>
      </c>
      <c r="RE3" s="9" t="n">
        <v>45351</v>
      </c>
      <c r="RF3" s="9" t="n">
        <v>45352</v>
      </c>
      <c r="RG3" s="9" t="n">
        <v>45355</v>
      </c>
      <c r="RH3" s="9" t="n">
        <v>45356</v>
      </c>
      <c r="RI3" s="9" t="n">
        <v>45357</v>
      </c>
      <c r="RJ3" s="9" t="n">
        <v>45358</v>
      </c>
      <c r="RK3" s="9" t="n">
        <v>45362</v>
      </c>
      <c r="RL3" s="9" t="n">
        <v>45363</v>
      </c>
      <c r="RM3" s="9" t="n">
        <v>45364</v>
      </c>
      <c r="RN3" s="9" t="n">
        <v>45365</v>
      </c>
      <c r="RO3" s="9" t="n">
        <v>45366</v>
      </c>
      <c r="RP3" s="9" t="n">
        <v>45369</v>
      </c>
      <c r="RQ3" s="9" t="n">
        <v>45370</v>
      </c>
      <c r="RR3" s="9" t="n">
        <v>45371</v>
      </c>
      <c r="RS3" s="9" t="n">
        <v>45372</v>
      </c>
      <c r="RT3" s="9" t="n">
        <v>45373</v>
      </c>
      <c r="RU3" s="9" t="n">
        <v>45376</v>
      </c>
      <c r="RV3" s="9" t="n">
        <v>45377</v>
      </c>
      <c r="RW3" s="9" t="n">
        <v>45378</v>
      </c>
      <c r="RX3" s="9" t="n">
        <v>45379</v>
      </c>
      <c r="RY3" s="9" t="n">
        <v>45380</v>
      </c>
      <c r="RZ3" s="9" t="n">
        <v>45383</v>
      </c>
      <c r="SA3" s="9" t="n">
        <v>45384</v>
      </c>
      <c r="SB3" s="9" t="n">
        <v>45385</v>
      </c>
      <c r="SC3" s="9" t="n">
        <v>45386</v>
      </c>
      <c r="SD3" s="9" t="n">
        <v>45387</v>
      </c>
      <c r="SE3" s="9" t="n">
        <v>45390</v>
      </c>
      <c r="SF3" s="9" t="n">
        <v>45391</v>
      </c>
      <c r="SG3" s="9" t="n">
        <v>45392</v>
      </c>
      <c r="SH3" s="9" t="n">
        <v>45393</v>
      </c>
      <c r="SI3" s="9" t="n">
        <v>45394</v>
      </c>
      <c r="SJ3" s="9" t="n">
        <v>45397</v>
      </c>
      <c r="SK3" s="9" t="n">
        <v>45398</v>
      </c>
      <c r="SL3" s="9" t="n">
        <v>45399</v>
      </c>
      <c r="SM3" s="9" t="n">
        <v>45400</v>
      </c>
      <c r="SN3" s="9" t="n">
        <v>45401</v>
      </c>
      <c r="SO3" s="9" t="n">
        <v>45404</v>
      </c>
      <c r="SP3" s="9" t="n">
        <v>45405</v>
      </c>
      <c r="SQ3" s="9" t="n">
        <v>45406</v>
      </c>
      <c r="SR3" s="9" t="n">
        <v>45407</v>
      </c>
      <c r="SS3" s="9" t="n">
        <v>45408</v>
      </c>
      <c r="ST3" s="9" t="n">
        <v>45409</v>
      </c>
      <c r="SU3" s="9" t="n">
        <v>45414</v>
      </c>
      <c r="SV3" s="9" t="n">
        <v>45415</v>
      </c>
      <c r="SW3" s="9" t="n">
        <v>45418</v>
      </c>
      <c r="SX3" s="9" t="n">
        <v>45419</v>
      </c>
      <c r="SY3" s="9" t="n">
        <v>45420</v>
      </c>
      <c r="SZ3" s="9" t="n">
        <v>45425</v>
      </c>
      <c r="TA3" s="9" t="n">
        <v>45426</v>
      </c>
      <c r="TB3" s="9" t="n">
        <v>45427</v>
      </c>
      <c r="TC3" s="9" t="n">
        <v>45428</v>
      </c>
      <c r="TD3" s="9" t="n">
        <v>45429</v>
      </c>
      <c r="TE3" s="9" t="n">
        <v>45432</v>
      </c>
      <c r="TF3" s="9" t="n">
        <v>45433</v>
      </c>
      <c r="TG3" s="9" t="n">
        <v>45434</v>
      </c>
      <c r="TH3" s="9" t="n">
        <v>45435</v>
      </c>
      <c r="TI3" s="9" t="n">
        <v>45436</v>
      </c>
      <c r="TJ3" s="9" t="n">
        <v>45439</v>
      </c>
      <c r="TK3" s="9" t="n">
        <v>45440</v>
      </c>
      <c r="TL3" s="9" t="n">
        <v>45441</v>
      </c>
      <c r="TM3" s="9" t="n">
        <v>45442</v>
      </c>
      <c r="TN3" s="9" t="n">
        <v>45443</v>
      </c>
      <c r="TO3" s="9" t="n">
        <v>45446</v>
      </c>
      <c r="TP3" s="9" t="n">
        <v>45447</v>
      </c>
      <c r="TQ3" s="9" t="n">
        <v>45448</v>
      </c>
      <c r="TR3" s="9" t="n">
        <v>45449</v>
      </c>
      <c r="TS3" s="9" t="n">
        <v>45450</v>
      </c>
      <c r="TT3" s="9" t="n">
        <v>45453</v>
      </c>
      <c r="TU3" s="9" t="n">
        <v>45454</v>
      </c>
      <c r="TV3" s="9" t="n">
        <v>45456</v>
      </c>
      <c r="TW3" s="9" t="n">
        <v>45457</v>
      </c>
      <c r="TX3" s="9" t="n">
        <v>45460</v>
      </c>
      <c r="TY3" s="9" t="n">
        <v>45461</v>
      </c>
      <c r="TZ3" s="9" t="n">
        <v>45462</v>
      </c>
      <c r="UA3" s="9" t="n">
        <v>45463</v>
      </c>
      <c r="UB3" s="9" t="n">
        <v>45469</v>
      </c>
      <c r="UC3" s="9" t="n">
        <v>45475</v>
      </c>
      <c r="UD3" s="9" t="n">
        <v>45482</v>
      </c>
      <c r="UE3" s="9" t="n">
        <v>45488</v>
      </c>
      <c r="UF3" s="9" t="n">
        <v>45489</v>
      </c>
      <c r="UG3" s="9" t="n">
        <v>45491</v>
      </c>
      <c r="UH3" s="9" t="n">
        <v>45496</v>
      </c>
      <c r="UI3" s="9" t="n">
        <v>45502</v>
      </c>
      <c r="UJ3" s="9" t="n">
        <v>45504</v>
      </c>
      <c r="UK3" s="9" t="n">
        <v>45509</v>
      </c>
      <c r="UL3" s="9" t="n">
        <v>45513</v>
      </c>
      <c r="UM3" s="9" t="n">
        <v>45517</v>
      </c>
      <c r="UN3" s="9" t="n">
        <v>45525</v>
      </c>
      <c r="UO3" s="9" t="n">
        <v>45526</v>
      </c>
      <c r="UP3" s="9" t="n">
        <v>45527</v>
      </c>
      <c r="UQ3" s="9" t="n">
        <v>45531</v>
      </c>
      <c r="UR3" s="9" t="n">
        <v>45532</v>
      </c>
      <c r="US3" s="9" t="n">
        <v>45537</v>
      </c>
      <c r="UT3" s="9" t="n">
        <v>45539</v>
      </c>
      <c r="UU3" s="9" t="n">
        <v>45540</v>
      </c>
      <c r="UV3" s="9" t="n">
        <v>45546</v>
      </c>
      <c r="UW3" s="9" t="n">
        <v>45548</v>
      </c>
      <c r="UX3" s="9" t="n">
        <v>45552</v>
      </c>
      <c r="UY3" s="9" t="n">
        <v>45553</v>
      </c>
      <c r="UZ3" s="9" t="n">
        <v>45555</v>
      </c>
      <c r="VA3" s="9" t="n">
        <v>45559</v>
      </c>
      <c r="VB3" s="9" t="n">
        <v>45561</v>
      </c>
      <c r="VC3" s="9" t="n">
        <v>45565</v>
      </c>
      <c r="VD3" s="9" t="n">
        <v>45566</v>
      </c>
      <c r="VE3" s="9" t="n">
        <v>45567</v>
      </c>
      <c r="VF3" s="9" t="n">
        <v>45576</v>
      </c>
      <c r="VG3" s="9" t="n">
        <v>45579</v>
      </c>
      <c r="VH3" s="9" t="n">
        <v>45580</v>
      </c>
      <c r="VI3" s="9" t="n">
        <v>45583</v>
      </c>
      <c r="VJ3" s="9" t="n">
        <v>45588</v>
      </c>
      <c r="VK3" s="9" t="n">
        <v>45589</v>
      </c>
      <c r="VL3" s="9" t="n">
        <v>45590</v>
      </c>
      <c r="VM3" s="9" t="n">
        <v>45595</v>
      </c>
      <c r="VN3" s="9" t="n">
        <v>45597</v>
      </c>
      <c r="VO3" s="9" t="n">
        <v>45598</v>
      </c>
      <c r="VP3" s="9" t="n">
        <v>45601</v>
      </c>
      <c r="VQ3" s="9" t="n">
        <v>45604</v>
      </c>
      <c r="VR3" s="9" t="n">
        <v>45608</v>
      </c>
      <c r="VS3" s="9" t="n">
        <v>45609</v>
      </c>
      <c r="VT3" s="9" t="n">
        <v>45610</v>
      </c>
      <c r="VU3" s="9" t="n">
        <v>45614</v>
      </c>
      <c r="VV3" s="9" t="n">
        <v>45616</v>
      </c>
      <c r="VW3" s="9" t="n">
        <v>45617</v>
      </c>
      <c r="VX3" s="9" t="n">
        <v>45622</v>
      </c>
      <c r="VY3" s="9" t="n">
        <v>45625</v>
      </c>
      <c r="VZ3" s="9" t="n">
        <v>45628</v>
      </c>
      <c r="WA3" s="9" t="n">
        <v>45629</v>
      </c>
      <c r="WB3" s="9" t="n">
        <v>45632</v>
      </c>
      <c r="WC3" s="9" t="n">
        <v>45638</v>
      </c>
      <c r="WD3" s="9" t="n">
        <v>45642</v>
      </c>
      <c r="WE3" s="9" t="n">
        <v>45645</v>
      </c>
      <c r="WF3" s="9" t="n">
        <v>45649</v>
      </c>
      <c r="WG3" s="9" t="n">
        <v>45652</v>
      </c>
      <c r="WH3" s="9" t="n">
        <v>45666</v>
      </c>
      <c r="WI3" s="9" t="n">
        <v>45670</v>
      </c>
      <c r="WJ3" s="9" t="n">
        <v>45671</v>
      </c>
      <c r="WK3" s="9" t="n">
        <v>45674</v>
      </c>
      <c r="WL3" s="9" t="n">
        <v>45677</v>
      </c>
      <c r="WM3" s="9" t="n">
        <v>45679</v>
      </c>
      <c r="WN3" s="9" t="n">
        <v>45684</v>
      </c>
      <c r="WO3" s="9" t="n">
        <v>45687</v>
      </c>
      <c r="WP3" s="9" t="n">
        <v>45692</v>
      </c>
      <c r="WQ3" s="9" t="n">
        <v>45693</v>
      </c>
      <c r="WR3" s="9" t="n">
        <v>45695</v>
      </c>
      <c r="WS3" s="9" t="n">
        <v>45698</v>
      </c>
      <c r="WT3" s="9" t="n">
        <v>45702</v>
      </c>
      <c r="WU3" s="9" t="n">
        <v>45706</v>
      </c>
      <c r="WV3" s="9" t="n">
        <v>45708</v>
      </c>
      <c r="WW3" s="9" t="n">
        <v>45712</v>
      </c>
      <c r="WX3" s="9" t="n">
        <v>45714</v>
      </c>
      <c r="WY3" s="9" t="n">
        <v>45716</v>
      </c>
      <c r="WZ3" s="9" t="n">
        <v>45721</v>
      </c>
      <c r="XA3" s="9" t="n">
        <v>45727</v>
      </c>
      <c r="XB3" s="9" t="n">
        <v>45728</v>
      </c>
      <c r="XC3" s="9" t="n">
        <v>45733</v>
      </c>
      <c r="XD3" s="9" t="n">
        <v>45735</v>
      </c>
      <c r="XE3" s="9" t="n">
        <v>45736</v>
      </c>
      <c r="XF3" s="9" t="n">
        <v>45740</v>
      </c>
      <c r="XG3" s="9" t="n">
        <v>45742</v>
      </c>
      <c r="XH3" s="9" t="n">
        <v>45743</v>
      </c>
      <c r="XI3" s="9" t="n">
        <v>45744</v>
      </c>
      <c r="XJ3" s="9" t="n">
        <v>45748</v>
      </c>
      <c r="XK3" s="9" t="n">
        <v>45750</v>
      </c>
      <c r="XL3" s="9" t="n">
        <v>45754</v>
      </c>
      <c r="XM3" s="9" t="n">
        <v>45756</v>
      </c>
      <c r="XN3" s="9" t="n">
        <v>45761</v>
      </c>
      <c r="XO3" s="9" t="n">
        <v>45769</v>
      </c>
      <c r="XP3" s="9" t="n">
        <v>45770</v>
      </c>
      <c r="XQ3" s="9" t="n">
        <v>45771</v>
      </c>
      <c r="XR3" s="9" t="n">
        <v>45772</v>
      </c>
      <c r="XS3" s="9" t="n">
        <v>45775</v>
      </c>
      <c r="XT3" s="9" t="n">
        <v>45777</v>
      </c>
      <c r="XU3" s="9" t="n">
        <v>45782</v>
      </c>
      <c r="XV3" s="9" t="n">
        <v>45783</v>
      </c>
      <c r="XW3" s="9" t="n">
        <v>45784</v>
      </c>
      <c r="XX3" s="9" t="n">
        <v>45789</v>
      </c>
      <c r="XY3" s="9" t="n">
        <v>45790</v>
      </c>
      <c r="XZ3" s="9" t="n">
        <v>45792</v>
      </c>
      <c r="YA3" s="9" t="n">
        <v>45797</v>
      </c>
      <c r="YB3" s="9" t="n">
        <v>45799</v>
      </c>
      <c r="YC3" s="9" t="n">
        <v>45803</v>
      </c>
      <c r="YD3" s="9" t="n">
        <v>45804</v>
      </c>
      <c r="YE3" s="9" t="n">
        <v>45811</v>
      </c>
      <c r="YF3" s="9" t="n">
        <v>45812</v>
      </c>
      <c r="YG3" s="9" t="n">
        <v>45814</v>
      </c>
      <c r="YH3" s="9" t="n">
        <v>45817</v>
      </c>
      <c r="YI3" s="9" t="n">
        <v>45824</v>
      </c>
      <c r="YJ3" s="9" t="n">
        <v>45825</v>
      </c>
      <c r="YK3" s="9" t="n">
        <v>45826</v>
      </c>
      <c r="YL3" s="9" t="n">
        <v>45832</v>
      </c>
      <c r="YM3" s="9" t="n">
        <v>45838</v>
      </c>
      <c r="YN3" s="9" t="n">
        <v>45840</v>
      </c>
      <c r="YO3" s="9" t="n">
        <v>45842</v>
      </c>
      <c r="YP3" s="9" t="n">
        <v>45845</v>
      </c>
      <c r="YQ3" s="9" t="n">
        <v>45846</v>
      </c>
      <c r="YR3" s="9" t="n">
        <v>45847</v>
      </c>
      <c r="YS3" s="9" t="n">
        <v>45848</v>
      </c>
      <c r="YT3" s="9" t="n">
        <v>45849</v>
      </c>
      <c r="YU3" s="9" t="n">
        <v>45853</v>
      </c>
      <c r="YV3" s="9" t="n">
        <v>45856</v>
      </c>
      <c r="YW3" s="9" t="n">
        <v>45859</v>
      </c>
      <c r="YX3" s="9" t="n">
        <v>45861</v>
      </c>
      <c r="YY3" s="9" t="n">
        <v>45863</v>
      </c>
      <c r="YZ3" s="9" t="n">
        <v>45868</v>
      </c>
      <c r="ZA3" s="9" t="n">
        <v>45870</v>
      </c>
      <c r="ZB3" s="9" t="n">
        <v>45875</v>
      </c>
      <c r="ZC3" s="9" t="n">
        <v>45876</v>
      </c>
      <c r="ZD3" s="9" t="n">
        <v>45880</v>
      </c>
      <c r="ZE3" s="9" t="n">
        <v>45882</v>
      </c>
      <c r="ZF3" s="9" t="n">
        <v>45884</v>
      </c>
      <c r="ZG3" s="1" t="n"/>
      <c r="ZH3" s="1" t="n"/>
      <c r="ZI3" s="1" t="n"/>
    </row>
    <row r="4">
      <c r="A4" s="1426" t="inlineStr">
        <is>
          <t xml:space="preserve">Key Rate </t>
        </is>
      </c>
      <c r="B4" s="1424" t="n"/>
      <c r="C4" s="1425" t="n"/>
      <c r="D4" s="4" t="n">
        <v>0.095</v>
      </c>
      <c r="E4" s="136" t="n">
        <v>0.2</v>
      </c>
      <c r="F4" s="136" t="n">
        <v>0.2</v>
      </c>
      <c r="G4" s="136" t="n">
        <v>0.2</v>
      </c>
      <c r="H4" s="136" t="n">
        <v>0.2</v>
      </c>
      <c r="I4" s="136" t="n">
        <v>0.2</v>
      </c>
      <c r="J4" s="136" t="n">
        <v>0.2</v>
      </c>
      <c r="K4" s="136" t="n">
        <v>0.2</v>
      </c>
      <c r="L4" s="136" t="n">
        <v>0.2</v>
      </c>
      <c r="M4" s="136" t="n">
        <v>0.2</v>
      </c>
      <c r="N4" s="136" t="n">
        <v>0.2</v>
      </c>
      <c r="O4" s="136" t="n">
        <v>0.2</v>
      </c>
      <c r="P4" s="136" t="n">
        <v>0.2</v>
      </c>
      <c r="Q4" s="136" t="n">
        <v>0.2</v>
      </c>
      <c r="R4" s="136" t="n">
        <v>0.2</v>
      </c>
      <c r="S4" s="136" t="n">
        <v>0.2</v>
      </c>
      <c r="T4" s="136" t="n">
        <v>0.2</v>
      </c>
      <c r="U4" s="136" t="n">
        <v>0.2</v>
      </c>
      <c r="V4" s="136" t="n">
        <v>0.2</v>
      </c>
      <c r="W4" s="136" t="n">
        <v>0.2</v>
      </c>
      <c r="X4" s="136" t="n">
        <v>0.2</v>
      </c>
      <c r="Y4" s="136" t="n">
        <v>0.2</v>
      </c>
      <c r="Z4" s="136" t="n">
        <v>0.2</v>
      </c>
      <c r="AA4" s="136" t="n">
        <v>0.2</v>
      </c>
      <c r="AB4" s="136" t="n">
        <v>0.2</v>
      </c>
      <c r="AC4" s="136" t="n">
        <v>0.2</v>
      </c>
      <c r="AD4" s="136" t="n">
        <v>0.2</v>
      </c>
      <c r="AE4" s="136" t="n">
        <v>0.2</v>
      </c>
      <c r="AF4" s="136" t="n">
        <v>0.17</v>
      </c>
      <c r="AG4" s="136" t="n">
        <v>0.17</v>
      </c>
      <c r="AH4" s="136" t="n">
        <v>0.17</v>
      </c>
      <c r="AI4" s="136" t="n">
        <v>0.17</v>
      </c>
      <c r="AJ4" s="136" t="n">
        <v>0.17</v>
      </c>
      <c r="AK4" s="136" t="n">
        <v>0.17</v>
      </c>
      <c r="AL4" s="136" t="n">
        <v>0.17</v>
      </c>
      <c r="AM4" s="136" t="n">
        <v>0.17</v>
      </c>
      <c r="AN4" s="136" t="n">
        <v>0.17</v>
      </c>
      <c r="AO4" s="136" t="n">
        <v>0.17</v>
      </c>
      <c r="AP4" s="136" t="n">
        <v>0.17</v>
      </c>
      <c r="AQ4" s="136" t="n">
        <v>0.17</v>
      </c>
      <c r="AR4" s="136" t="n">
        <v>0.17</v>
      </c>
      <c r="AS4" s="136" t="n">
        <v>0.17</v>
      </c>
      <c r="AT4" s="136" t="n">
        <v>0.17</v>
      </c>
      <c r="AU4" s="136" t="n">
        <v>0.14</v>
      </c>
      <c r="AV4" s="136" t="n">
        <v>0.14</v>
      </c>
      <c r="AW4" s="136" t="n">
        <v>0.14</v>
      </c>
      <c r="AX4" s="136" t="n">
        <v>0.14</v>
      </c>
      <c r="AY4" s="136" t="n">
        <v>0.14</v>
      </c>
      <c r="AZ4" s="136" t="n">
        <v>0.14</v>
      </c>
      <c r="BA4" s="136" t="n">
        <v>0.14</v>
      </c>
      <c r="BB4" s="136" t="n">
        <v>0.14</v>
      </c>
      <c r="BC4" s="136" t="n">
        <v>0.14</v>
      </c>
      <c r="BD4" s="136" t="n">
        <v>0.14</v>
      </c>
      <c r="BE4" s="136" t="n">
        <v>0.14</v>
      </c>
      <c r="BF4" s="136" t="n">
        <v>0.14</v>
      </c>
      <c r="BG4" s="136" t="n">
        <v>0.14</v>
      </c>
      <c r="BH4" s="136" t="n">
        <v>0.14</v>
      </c>
      <c r="BI4" s="136" t="n">
        <v>0.14</v>
      </c>
      <c r="BJ4" s="136" t="n">
        <v>0.11</v>
      </c>
      <c r="BK4" s="136" t="n">
        <v>0.11</v>
      </c>
      <c r="BL4" s="136" t="n">
        <v>0.11</v>
      </c>
      <c r="BM4" s="136" t="n">
        <v>0.11</v>
      </c>
      <c r="BN4" s="136" t="n">
        <v>0.11</v>
      </c>
      <c r="BO4" s="136" t="n">
        <v>0.11</v>
      </c>
      <c r="BP4" s="136" t="n">
        <v>0.11</v>
      </c>
      <c r="BQ4" s="136" t="n">
        <v>0.11</v>
      </c>
      <c r="BR4" s="136" t="n">
        <v>0.11</v>
      </c>
      <c r="BS4" s="136" t="n">
        <v>0.11</v>
      </c>
      <c r="BT4" s="136" t="n">
        <v>0.11</v>
      </c>
      <c r="BU4" s="1427" t="n">
        <v>0.095</v>
      </c>
      <c r="BV4" s="1427" t="n">
        <v>0.095</v>
      </c>
      <c r="BW4" s="1427" t="n">
        <v>0.095</v>
      </c>
      <c r="BX4" s="1427" t="n">
        <v>0.095</v>
      </c>
      <c r="BY4" s="1427" t="n">
        <v>0.095</v>
      </c>
      <c r="BZ4" s="1427" t="n">
        <v>0.095</v>
      </c>
      <c r="CA4" s="1427" t="n">
        <v>0.095</v>
      </c>
      <c r="CB4" s="1427" t="n">
        <v>0.095</v>
      </c>
      <c r="CC4" s="1427" t="n">
        <v>0.095</v>
      </c>
      <c r="CD4" s="1427" t="n">
        <v>0.095</v>
      </c>
      <c r="CE4" s="1427" t="n">
        <v>0.095</v>
      </c>
      <c r="CF4" s="1427" t="n">
        <v>0.095</v>
      </c>
      <c r="CG4" s="1427" t="n">
        <v>0.095</v>
      </c>
      <c r="CH4" s="1427" t="n">
        <v>0.095</v>
      </c>
      <c r="CI4" s="1427" t="n">
        <v>0.095</v>
      </c>
      <c r="CJ4" s="1427" t="n">
        <v>0.095</v>
      </c>
      <c r="CK4" s="1427" t="n">
        <v>0.095</v>
      </c>
      <c r="CL4" s="1427" t="n">
        <v>0.095</v>
      </c>
      <c r="CM4" s="1427" t="n">
        <v>0.095</v>
      </c>
      <c r="CN4" s="1427" t="n">
        <v>0.095</v>
      </c>
      <c r="CO4" s="1427" t="n">
        <v>0.095</v>
      </c>
      <c r="CP4" s="1427" t="n">
        <v>0.095</v>
      </c>
      <c r="CQ4" s="1427" t="n">
        <v>0.095</v>
      </c>
      <c r="CR4" s="1427" t="n">
        <v>0.095</v>
      </c>
      <c r="CS4" s="1427" t="n">
        <v>0.095</v>
      </c>
      <c r="CT4" s="1427" t="n">
        <v>0.095</v>
      </c>
      <c r="CU4" s="1427" t="n">
        <v>0.095</v>
      </c>
      <c r="CV4" s="1427" t="n">
        <v>0.095</v>
      </c>
      <c r="CW4" s="1427" t="n">
        <v>0.095</v>
      </c>
      <c r="CX4" s="1427" t="n">
        <v>0.08</v>
      </c>
      <c r="CY4" s="1427" t="n">
        <v>0.08</v>
      </c>
      <c r="CZ4" s="1427" t="n">
        <v>0.08</v>
      </c>
      <c r="DA4" s="1427" t="n">
        <v>0.08</v>
      </c>
      <c r="DB4" s="1427" t="n">
        <v>0.08</v>
      </c>
      <c r="DC4" s="1427" t="n">
        <v>0.08</v>
      </c>
      <c r="DD4" s="1427" t="n">
        <v>0.08</v>
      </c>
      <c r="DE4" s="1427" t="n">
        <v>0.08</v>
      </c>
      <c r="DF4" s="1427" t="n">
        <v>0.08</v>
      </c>
      <c r="DG4" s="1427" t="n">
        <v>0.08</v>
      </c>
      <c r="DH4" s="1427" t="n">
        <v>0.08</v>
      </c>
      <c r="DI4" s="1427" t="n">
        <v>0.08</v>
      </c>
      <c r="DJ4" s="1427" t="n">
        <v>0.08</v>
      </c>
      <c r="DK4" s="1427" t="n">
        <v>0.08</v>
      </c>
      <c r="DL4" s="1427" t="n">
        <v>0.08</v>
      </c>
      <c r="DM4" s="1427" t="n">
        <v>0.08</v>
      </c>
      <c r="DN4" s="1427" t="n">
        <v>0.08</v>
      </c>
      <c r="DO4" s="1427" t="n">
        <v>0.08</v>
      </c>
      <c r="DP4" s="1427" t="n">
        <v>0.08</v>
      </c>
      <c r="DQ4" s="1427" t="n">
        <v>0.08</v>
      </c>
      <c r="DR4" s="1427" t="n">
        <v>0.08</v>
      </c>
      <c r="DS4" s="1427" t="n">
        <v>0.08</v>
      </c>
      <c r="DT4" s="1427" t="n">
        <v>0.08</v>
      </c>
      <c r="DU4" s="1427" t="n">
        <v>0.08</v>
      </c>
      <c r="DV4" s="1427" t="n">
        <v>0.08</v>
      </c>
      <c r="DW4" s="1427" t="n">
        <v>0.08</v>
      </c>
      <c r="DX4" s="1427" t="n">
        <v>0.08</v>
      </c>
      <c r="DY4" s="1427" t="n">
        <v>0.08</v>
      </c>
      <c r="DZ4" s="1427" t="n">
        <v>0.08</v>
      </c>
      <c r="EA4" s="1427" t="n">
        <v>0.08</v>
      </c>
      <c r="EB4" s="1427" t="n">
        <v>0.08</v>
      </c>
      <c r="EC4" s="1427" t="n">
        <v>0.08</v>
      </c>
      <c r="ED4" s="1427" t="n">
        <v>0.08</v>
      </c>
      <c r="EE4" s="1427" t="n">
        <v>0.08</v>
      </c>
      <c r="EF4" s="1427" t="n">
        <v>0.08</v>
      </c>
      <c r="EG4" s="1427" t="n">
        <v>0.08</v>
      </c>
      <c r="EH4" s="1427" t="n">
        <v>0.08</v>
      </c>
      <c r="EI4" s="1427" t="n">
        <v>0.08</v>
      </c>
      <c r="EJ4" s="1427" t="n">
        <v>0.08</v>
      </c>
      <c r="EK4" s="1427" t="n">
        <v>0.08</v>
      </c>
      <c r="EL4" s="1427" t="n">
        <v>0.075</v>
      </c>
      <c r="EM4" s="1427" t="n">
        <v>0.075</v>
      </c>
      <c r="EN4" s="1427" t="n">
        <v>0.075</v>
      </c>
      <c r="EO4" s="1427" t="n">
        <v>0.075</v>
      </c>
      <c r="EP4" s="1427" t="n">
        <v>0.075</v>
      </c>
      <c r="EQ4" s="1427" t="n">
        <v>0.075</v>
      </c>
      <c r="ER4" s="1427" t="n">
        <v>0.075</v>
      </c>
      <c r="ES4" s="1427" t="n">
        <v>0.075</v>
      </c>
      <c r="ET4" s="1427" t="n">
        <v>0.075</v>
      </c>
      <c r="EU4" s="1427" t="n">
        <v>0.075</v>
      </c>
      <c r="EV4" s="1427" t="n">
        <v>0.075</v>
      </c>
      <c r="EW4" s="1427" t="n">
        <v>0.075</v>
      </c>
      <c r="EX4" s="1427" t="n">
        <v>0.075</v>
      </c>
      <c r="EY4" s="1427" t="n">
        <v>0.075</v>
      </c>
      <c r="EZ4" s="1427" t="n">
        <v>0.075</v>
      </c>
      <c r="FA4" s="1427" t="n">
        <v>0.075</v>
      </c>
      <c r="FB4" s="1427" t="n">
        <v>0.075</v>
      </c>
      <c r="FC4" s="1427" t="n">
        <v>0.075</v>
      </c>
      <c r="FD4" s="1427" t="n">
        <v>0.075</v>
      </c>
      <c r="FE4" s="1427" t="n">
        <v>0.075</v>
      </c>
      <c r="FF4" s="1427" t="n">
        <v>0.075</v>
      </c>
      <c r="FG4" s="1427" t="n">
        <v>0.075</v>
      </c>
      <c r="FH4" s="1427" t="n">
        <v>0.075</v>
      </c>
      <c r="FI4" s="1427" t="n">
        <v>0.075</v>
      </c>
      <c r="FJ4" s="1427" t="n">
        <v>0.075</v>
      </c>
      <c r="FK4" s="1427" t="n">
        <v>0.075</v>
      </c>
      <c r="FL4" s="1427" t="n">
        <v>0.075</v>
      </c>
      <c r="FM4" s="1427" t="n">
        <v>0.075</v>
      </c>
      <c r="FN4" s="1427" t="n">
        <v>0.075</v>
      </c>
      <c r="FO4" s="1427" t="n">
        <v>0.075</v>
      </c>
      <c r="FP4" s="1427" t="n">
        <v>0.075</v>
      </c>
      <c r="FQ4" s="1427" t="n">
        <v>0.075</v>
      </c>
      <c r="FR4" s="1427" t="n">
        <v>0.075</v>
      </c>
      <c r="FS4" s="1427" t="n">
        <v>0.075</v>
      </c>
      <c r="FT4" s="1427" t="n">
        <v>0.075</v>
      </c>
      <c r="FU4" s="1427" t="n">
        <v>0.075</v>
      </c>
      <c r="FV4" s="1427" t="n">
        <v>0.075</v>
      </c>
      <c r="FW4" s="1427" t="n">
        <v>0.075</v>
      </c>
      <c r="FX4" s="1427" t="n">
        <v>0.075</v>
      </c>
      <c r="FY4" s="1427" t="n">
        <v>0.075</v>
      </c>
      <c r="FZ4" s="1427" t="n">
        <v>0.075</v>
      </c>
      <c r="GA4" s="1427" t="n">
        <v>0.075</v>
      </c>
      <c r="GB4" s="1427" t="n">
        <v>0.075</v>
      </c>
      <c r="GC4" s="1427" t="n">
        <v>0.075</v>
      </c>
      <c r="GD4" s="1427" t="n">
        <v>0.075</v>
      </c>
      <c r="GE4" s="1427" t="n">
        <v>0.075</v>
      </c>
      <c r="GF4" s="1427" t="n">
        <v>0.075</v>
      </c>
      <c r="GG4" s="1427" t="n">
        <v>0.075</v>
      </c>
      <c r="GH4" s="1427" t="n">
        <v>0.075</v>
      </c>
      <c r="GI4" s="1427" t="n">
        <v>0.075</v>
      </c>
      <c r="GJ4" s="1427" t="n">
        <v>0.075</v>
      </c>
      <c r="GK4" s="1427" t="n">
        <v>0.075</v>
      </c>
      <c r="GL4" s="1427" t="n">
        <v>0.075</v>
      </c>
      <c r="GM4" s="1427" t="n">
        <v>0.075</v>
      </c>
      <c r="GN4" s="1427" t="n">
        <v>0.075</v>
      </c>
      <c r="GO4" s="1427" t="n">
        <v>0.075</v>
      </c>
      <c r="GP4" s="1427" t="n">
        <v>0.075</v>
      </c>
      <c r="GQ4" s="1427" t="n">
        <v>0.075</v>
      </c>
      <c r="GR4" s="1427" t="n">
        <v>0.075</v>
      </c>
      <c r="GS4" s="1427" t="n">
        <v>0.075</v>
      </c>
      <c r="GT4" s="1427" t="n">
        <v>0.075</v>
      </c>
      <c r="GU4" s="1427" t="n">
        <v>0.075</v>
      </c>
      <c r="GV4" s="1427" t="n">
        <v>0.075</v>
      </c>
      <c r="GW4" s="1427" t="n">
        <v>0.075</v>
      </c>
      <c r="GX4" s="1427" t="n">
        <v>0.075</v>
      </c>
      <c r="GY4" s="1427" t="n">
        <v>0.075</v>
      </c>
      <c r="GZ4" s="1427" t="n">
        <v>0.075</v>
      </c>
      <c r="HA4" s="1427" t="n">
        <v>0.075</v>
      </c>
      <c r="HB4" s="1427" t="n">
        <v>0.075</v>
      </c>
      <c r="HC4" s="1427" t="n">
        <v>0.075</v>
      </c>
      <c r="HD4" s="1427" t="n">
        <v>0.075</v>
      </c>
      <c r="HE4" s="1427" t="n">
        <v>0.075</v>
      </c>
      <c r="HF4" s="1427" t="n">
        <v>0.075</v>
      </c>
      <c r="HG4" s="1427" t="n">
        <v>0.075</v>
      </c>
      <c r="HH4" s="1427" t="n">
        <v>0.075</v>
      </c>
      <c r="HI4" s="1427" t="n">
        <v>0.075</v>
      </c>
      <c r="HJ4" s="1427" t="n">
        <v>0.075</v>
      </c>
      <c r="HK4" s="1427" t="n">
        <v>0.075</v>
      </c>
      <c r="HL4" s="1427" t="n">
        <v>0.075</v>
      </c>
      <c r="HM4" s="1427" t="n">
        <v>0.075</v>
      </c>
      <c r="HN4" s="1427" t="n">
        <v>0.075</v>
      </c>
      <c r="HO4" s="1427" t="n">
        <v>0.075</v>
      </c>
      <c r="HP4" s="1427" t="n">
        <v>0.075</v>
      </c>
      <c r="HQ4" s="1427" t="n">
        <v>0.075</v>
      </c>
      <c r="HR4" s="1427" t="n">
        <v>0.075</v>
      </c>
      <c r="HS4" s="1427" t="n">
        <v>0.075</v>
      </c>
      <c r="HT4" s="1427" t="n">
        <v>0.075</v>
      </c>
      <c r="HU4" s="1427" t="n">
        <v>0.075</v>
      </c>
      <c r="HV4" s="1427" t="n">
        <v>0.075</v>
      </c>
      <c r="HW4" s="1427" t="n">
        <v>0.075</v>
      </c>
      <c r="HX4" s="1427" t="n">
        <v>0.075</v>
      </c>
      <c r="HY4" s="1427" t="n">
        <v>0.075</v>
      </c>
      <c r="HZ4" s="1427" t="n">
        <v>0.075</v>
      </c>
      <c r="IA4" s="1427" t="n">
        <v>0.075</v>
      </c>
      <c r="IB4" s="1427" t="n">
        <v>0.075</v>
      </c>
      <c r="IC4" s="1427" t="n">
        <v>0.075</v>
      </c>
      <c r="ID4" s="1427" t="n">
        <v>0.075</v>
      </c>
      <c r="IE4" s="1427" t="n">
        <v>0.075</v>
      </c>
      <c r="IF4" s="1427" t="n">
        <v>0.075</v>
      </c>
      <c r="IG4" s="1427" t="n">
        <v>0.075</v>
      </c>
      <c r="IH4" s="1427" t="n">
        <v>0.075</v>
      </c>
      <c r="II4" s="1427" t="n">
        <v>0.075</v>
      </c>
      <c r="IJ4" s="1427" t="n">
        <v>0.075</v>
      </c>
      <c r="IK4" s="1427" t="n">
        <v>0.075</v>
      </c>
      <c r="IL4" s="1427" t="n">
        <v>0.075</v>
      </c>
      <c r="IM4" s="1427" t="n">
        <v>0.075</v>
      </c>
      <c r="IN4" s="1427" t="n">
        <v>0.075</v>
      </c>
      <c r="IO4" s="1427" t="n">
        <v>0.075</v>
      </c>
      <c r="IP4" s="1427" t="n">
        <v>0.075</v>
      </c>
      <c r="IQ4" s="1427" t="n">
        <v>0.075</v>
      </c>
      <c r="IR4" s="1427" t="n">
        <v>0.075</v>
      </c>
      <c r="IS4" s="1427" t="n">
        <v>0.075</v>
      </c>
      <c r="IT4" s="1427" t="n">
        <v>0.075</v>
      </c>
      <c r="IU4" s="1427" t="n">
        <v>0.075</v>
      </c>
      <c r="IV4" s="1427" t="n">
        <v>0.075</v>
      </c>
      <c r="IW4" s="1427" t="n">
        <v>0.075</v>
      </c>
      <c r="IX4" s="1427" t="n">
        <v>0.075</v>
      </c>
      <c r="IY4" s="1427" t="n">
        <v>0.075</v>
      </c>
      <c r="IZ4" s="1427" t="n">
        <v>0.075</v>
      </c>
      <c r="JA4" s="1427" t="n">
        <v>0.075</v>
      </c>
      <c r="JB4" s="1427" t="n">
        <v>0.075</v>
      </c>
      <c r="JC4" s="1427" t="n">
        <v>0.075</v>
      </c>
      <c r="JD4" s="1427" t="n">
        <v>0.075</v>
      </c>
      <c r="JE4" s="1427" t="n">
        <v>0.075</v>
      </c>
      <c r="JF4" s="1427" t="n">
        <v>0.075</v>
      </c>
      <c r="JG4" s="1427" t="n">
        <v>0.075</v>
      </c>
      <c r="JH4" s="1427" t="n">
        <v>0.075</v>
      </c>
      <c r="JI4" s="1427" t="n">
        <v>0.075</v>
      </c>
      <c r="JJ4" s="1427" t="n">
        <v>0.075</v>
      </c>
      <c r="JK4" s="1427" t="n">
        <v>0.075</v>
      </c>
      <c r="JL4" s="1427" t="n">
        <v>0.075</v>
      </c>
      <c r="JM4" s="1427" t="n">
        <v>0.075</v>
      </c>
      <c r="JN4" s="1427" t="n">
        <v>0.075</v>
      </c>
      <c r="JO4" s="1427" t="n">
        <v>0.075</v>
      </c>
      <c r="JP4" s="1427" t="n">
        <v>0.075</v>
      </c>
      <c r="JQ4" s="1427" t="n">
        <v>0.075</v>
      </c>
      <c r="JR4" s="1427" t="n">
        <v>0.075</v>
      </c>
      <c r="JS4" s="1427" t="n">
        <v>0.075</v>
      </c>
      <c r="JT4" s="1427" t="n">
        <v>0.075</v>
      </c>
      <c r="JU4" s="1427" t="n">
        <v>0.075</v>
      </c>
      <c r="JV4" s="1427" t="n">
        <v>0.075</v>
      </c>
      <c r="JW4" s="1427" t="n">
        <v>0.075</v>
      </c>
      <c r="JX4" s="1427" t="n">
        <v>0.075</v>
      </c>
      <c r="JY4" s="1427" t="n">
        <v>0.075</v>
      </c>
      <c r="JZ4" s="1427" t="n">
        <v>0.075</v>
      </c>
      <c r="KA4" s="1427" t="n">
        <v>0.075</v>
      </c>
      <c r="KB4" s="1427" t="n">
        <v>0.075</v>
      </c>
      <c r="KC4" s="1427" t="n">
        <v>0.075</v>
      </c>
      <c r="KD4" s="1427" t="n">
        <v>0.075</v>
      </c>
      <c r="KE4" s="1427" t="n">
        <v>0.075</v>
      </c>
      <c r="KF4" s="1427" t="n">
        <v>0.075</v>
      </c>
      <c r="KG4" s="1427" t="n">
        <v>0.075</v>
      </c>
      <c r="KH4" s="1427" t="n">
        <v>0.075</v>
      </c>
      <c r="KI4" s="1427" t="n">
        <v>0.075</v>
      </c>
      <c r="KJ4" s="1427" t="n">
        <v>0.075</v>
      </c>
      <c r="KK4" s="1427" t="n">
        <v>0.075</v>
      </c>
      <c r="KL4" s="1427" t="n">
        <v>0.075</v>
      </c>
      <c r="KM4" s="1427" t="n">
        <v>0.075</v>
      </c>
      <c r="KN4" s="1427" t="n">
        <v>0.075</v>
      </c>
      <c r="KO4" s="1427" t="n">
        <v>0.075</v>
      </c>
      <c r="KP4" s="1427" t="n">
        <v>0.075</v>
      </c>
      <c r="KQ4" s="1427" t="n">
        <v>0.075</v>
      </c>
      <c r="KR4" s="1427" t="n">
        <v>0.075</v>
      </c>
      <c r="KS4" s="1427" t="n">
        <v>0.075</v>
      </c>
      <c r="KT4" s="1427" t="n">
        <v>0.075</v>
      </c>
      <c r="KU4" s="1427" t="n">
        <v>0.075</v>
      </c>
      <c r="KV4" s="1427" t="n">
        <v>0.075</v>
      </c>
      <c r="KW4" s="1427" t="n">
        <v>0.075</v>
      </c>
      <c r="KX4" s="1427" t="n">
        <v>0.075</v>
      </c>
      <c r="KY4" s="1427" t="n">
        <v>0.075</v>
      </c>
      <c r="KZ4" s="1427" t="n">
        <v>0.075</v>
      </c>
      <c r="LA4" s="1427" t="n">
        <v>0.075</v>
      </c>
      <c r="LB4" s="1427" t="n">
        <v>0.075</v>
      </c>
      <c r="LC4" s="1427" t="n">
        <v>0.075</v>
      </c>
      <c r="LD4" s="1427" t="n">
        <v>0.075</v>
      </c>
      <c r="LE4" s="1427" t="n">
        <v>0.075</v>
      </c>
      <c r="LF4" s="1427" t="n">
        <v>0.075</v>
      </c>
      <c r="LG4" s="1427" t="n">
        <v>0.075</v>
      </c>
      <c r="LH4" s="1427" t="n">
        <v>0.075</v>
      </c>
      <c r="LI4" s="1427" t="n">
        <v>0.075</v>
      </c>
      <c r="LJ4" s="1427" t="n">
        <v>0.075</v>
      </c>
      <c r="LK4" s="1427" t="n">
        <v>0.075</v>
      </c>
      <c r="LL4" s="1427" t="n">
        <v>0.075</v>
      </c>
      <c r="LM4" s="1427" t="n">
        <v>0.075</v>
      </c>
      <c r="LN4" s="1427" t="n">
        <v>0.075</v>
      </c>
      <c r="LO4" s="1427" t="n">
        <v>0.08500000000000001</v>
      </c>
      <c r="LP4" s="1427" t="n">
        <v>0.08500000000000001</v>
      </c>
      <c r="LQ4" s="1427" t="n">
        <v>0.08500000000000001</v>
      </c>
      <c r="LR4" s="1427" t="n">
        <v>0.08500000000000001</v>
      </c>
      <c r="LS4" s="1427" t="n">
        <v>0.08500000000000001</v>
      </c>
      <c r="LT4" s="1427" t="n">
        <v>0.08500000000000001</v>
      </c>
      <c r="LU4" s="1427" t="n">
        <v>0.08500000000000001</v>
      </c>
      <c r="LV4" s="1427" t="n">
        <v>0.08500000000000001</v>
      </c>
      <c r="LW4" s="1427" t="n">
        <v>0.08500000000000001</v>
      </c>
      <c r="LX4" s="1427" t="n">
        <v>0.08500000000000001</v>
      </c>
      <c r="LY4" s="1427" t="n">
        <v>0.08500000000000001</v>
      </c>
      <c r="LZ4" s="1427" t="n">
        <v>0.08500000000000001</v>
      </c>
      <c r="MA4" s="1427" t="n">
        <v>0.12</v>
      </c>
      <c r="MB4" s="1427" t="n">
        <v>0.12</v>
      </c>
      <c r="MC4" s="1427" t="n">
        <v>0.12</v>
      </c>
      <c r="MD4" s="1427" t="n">
        <v>0.12</v>
      </c>
      <c r="ME4" s="1427" t="n">
        <v>0.12</v>
      </c>
      <c r="MF4" s="1427" t="n">
        <v>0.12</v>
      </c>
      <c r="MG4" s="1427" t="n">
        <v>0.12</v>
      </c>
      <c r="MH4" s="1427" t="n">
        <v>0.12</v>
      </c>
      <c r="MI4" s="1427" t="n">
        <v>0.12</v>
      </c>
      <c r="MJ4" s="1427" t="n">
        <v>0.12</v>
      </c>
      <c r="MK4" s="1427" t="n">
        <v>0.12</v>
      </c>
      <c r="ML4" s="1427" t="n">
        <v>0.12</v>
      </c>
      <c r="MM4" s="1427" t="n">
        <v>0.12</v>
      </c>
      <c r="MN4" s="1427" t="n">
        <v>0.12</v>
      </c>
      <c r="MO4" s="1427" t="n">
        <v>0.12</v>
      </c>
      <c r="MP4" s="1427" t="n">
        <v>0.12</v>
      </c>
      <c r="MQ4" s="1427" t="n">
        <v>0.12</v>
      </c>
      <c r="MR4" s="1427" t="n">
        <v>0.12</v>
      </c>
      <c r="MS4" s="1427" t="n">
        <v>0.12</v>
      </c>
      <c r="MT4" s="1427" t="n">
        <v>0.12</v>
      </c>
      <c r="MU4" s="1427" t="n">
        <v>0.12</v>
      </c>
      <c r="MV4" s="1427" t="n">
        <v>0.12</v>
      </c>
      <c r="MW4" s="1427" t="n">
        <v>0.12</v>
      </c>
      <c r="MX4" s="1427" t="n">
        <v>0.13</v>
      </c>
      <c r="MY4" s="1427">
        <f>+MX4</f>
        <v/>
      </c>
      <c r="MZ4" s="1427">
        <f>+MY4</f>
        <v/>
      </c>
      <c r="NA4" s="1427">
        <f>+MZ4</f>
        <v/>
      </c>
      <c r="NB4" s="1427">
        <f>+NA4</f>
        <v/>
      </c>
      <c r="NC4" s="1427">
        <f>+NB4</f>
        <v/>
      </c>
      <c r="ND4" s="1427" t="n">
        <v>0.13</v>
      </c>
      <c r="NE4" s="1427" t="n">
        <v>0.13</v>
      </c>
      <c r="NF4" s="1427" t="n">
        <v>0.13</v>
      </c>
      <c r="NG4" s="1427" t="n">
        <v>0.13</v>
      </c>
      <c r="NH4" s="1427" t="n">
        <v>0.13</v>
      </c>
      <c r="NI4" s="1427" t="n">
        <v>0.13</v>
      </c>
      <c r="NJ4" s="1427" t="n">
        <v>0.13</v>
      </c>
      <c r="NK4" s="1427" t="n">
        <v>0.13</v>
      </c>
      <c r="NL4" s="1427" t="n">
        <v>0.13</v>
      </c>
      <c r="NM4" s="1427" t="n">
        <v>0.13</v>
      </c>
      <c r="NN4" s="1427" t="n">
        <v>0.13</v>
      </c>
      <c r="NO4" s="1427" t="n">
        <v>0.13</v>
      </c>
      <c r="NP4" s="1427" t="n">
        <v>0.13</v>
      </c>
      <c r="NQ4" s="1427" t="n">
        <v>0.13</v>
      </c>
      <c r="NR4" s="1427" t="n">
        <v>0.13</v>
      </c>
      <c r="NS4" s="1427" t="n">
        <v>0.13</v>
      </c>
      <c r="NT4" s="1427" t="n">
        <v>0.13</v>
      </c>
      <c r="NU4" s="1427" t="n">
        <v>0.13</v>
      </c>
      <c r="NV4" s="1427" t="n">
        <v>0.13</v>
      </c>
      <c r="NW4" s="1427" t="n">
        <v>0.13</v>
      </c>
      <c r="NX4" s="1427" t="n">
        <v>0.13</v>
      </c>
      <c r="NY4" s="1427" t="n">
        <v>0.13</v>
      </c>
      <c r="NZ4" s="1427" t="n">
        <v>0.13</v>
      </c>
      <c r="OA4" s="1427" t="n">
        <v>0.13</v>
      </c>
      <c r="OB4" s="1427" t="n">
        <v>0.13</v>
      </c>
      <c r="OC4" s="1427" t="n">
        <v>0.15</v>
      </c>
      <c r="OD4" s="1427" t="n">
        <v>0.15</v>
      </c>
      <c r="OE4" s="1427" t="n">
        <v>0.15</v>
      </c>
      <c r="OF4" s="1427" t="n">
        <v>0.15</v>
      </c>
      <c r="OG4" s="1427" t="n">
        <v>0.15</v>
      </c>
      <c r="OH4" s="1427" t="n">
        <v>0.15</v>
      </c>
      <c r="OI4" s="1427" t="n">
        <v>0.15</v>
      </c>
      <c r="OJ4" s="1427" t="n">
        <v>0.15</v>
      </c>
      <c r="OK4" s="1427" t="n">
        <v>0.15</v>
      </c>
      <c r="OL4" s="1427" t="n">
        <v>0.15</v>
      </c>
      <c r="OM4" s="1427" t="n">
        <v>0.15</v>
      </c>
      <c r="ON4" s="1427" t="n">
        <v>0.15</v>
      </c>
      <c r="OO4" s="1427" t="n">
        <v>0.15</v>
      </c>
      <c r="OP4" s="1427" t="n">
        <v>0.15</v>
      </c>
      <c r="OQ4" s="1427" t="n">
        <v>0.15</v>
      </c>
      <c r="OR4" s="1427" t="n">
        <v>0.15</v>
      </c>
      <c r="OS4" s="1427" t="n">
        <v>0.15</v>
      </c>
      <c r="OT4" s="1427" t="n">
        <v>0.15</v>
      </c>
      <c r="OU4" s="1427" t="n">
        <v>0.15</v>
      </c>
      <c r="OV4" s="1427" t="n">
        <v>0.15</v>
      </c>
      <c r="OW4" s="1427" t="n">
        <v>0.15</v>
      </c>
      <c r="OX4" s="1427" t="n">
        <v>0.15</v>
      </c>
      <c r="OY4" s="1427" t="n">
        <v>0.15</v>
      </c>
      <c r="OZ4" s="1427" t="n">
        <v>0.15</v>
      </c>
      <c r="PA4" s="1427" t="n">
        <v>0.15</v>
      </c>
      <c r="PB4" s="1427" t="n">
        <v>0.15</v>
      </c>
      <c r="PC4" s="1427" t="n">
        <v>0.15</v>
      </c>
      <c r="PD4" s="1427" t="n">
        <v>0.15</v>
      </c>
      <c r="PE4" s="1427" t="n">
        <v>0.15</v>
      </c>
      <c r="PF4" s="1427" t="n">
        <v>0.15</v>
      </c>
      <c r="PG4" s="1427" t="n">
        <v>0.15</v>
      </c>
      <c r="PH4" s="1427" t="n">
        <v>0.15</v>
      </c>
      <c r="PI4" s="1427" t="n">
        <v>0.15</v>
      </c>
      <c r="PJ4" s="1427" t="n">
        <v>0.15</v>
      </c>
      <c r="PK4" s="1427" t="n">
        <v>0.16</v>
      </c>
      <c r="PL4" s="1427" t="n">
        <v>0.16</v>
      </c>
      <c r="PM4" s="1427" t="n">
        <v>0.16</v>
      </c>
      <c r="PN4" s="1427" t="n">
        <v>0.16</v>
      </c>
      <c r="PO4" s="1427" t="n">
        <v>0.16</v>
      </c>
      <c r="PP4" s="1427" t="n">
        <v>0.16</v>
      </c>
      <c r="PQ4" s="1427" t="n">
        <v>0.16</v>
      </c>
      <c r="PR4" s="1427" t="n">
        <v>0.16</v>
      </c>
      <c r="PS4" s="1427" t="n">
        <v>0.16</v>
      </c>
      <c r="PT4" s="1427" t="n">
        <v>0.16</v>
      </c>
      <c r="PU4" s="1427" t="n">
        <v>0.16</v>
      </c>
      <c r="PV4" s="1427" t="n">
        <v>0.16</v>
      </c>
      <c r="PW4" s="1427" t="n">
        <v>0.16</v>
      </c>
      <c r="PX4" s="1427" t="n">
        <v>0.16</v>
      </c>
      <c r="PY4" s="1427" t="n">
        <v>0.16</v>
      </c>
      <c r="PZ4" s="1427" t="n">
        <v>0.16</v>
      </c>
      <c r="QA4" s="1427" t="n">
        <v>0.16</v>
      </c>
      <c r="QB4" s="1427" t="n">
        <v>0.16</v>
      </c>
      <c r="QC4" s="1427" t="n">
        <v>0.16</v>
      </c>
      <c r="QD4" s="1427" t="n">
        <v>0.16</v>
      </c>
      <c r="QE4" s="1427" t="n">
        <v>0.16</v>
      </c>
      <c r="QF4" s="1427" t="n">
        <v>0.16</v>
      </c>
      <c r="QG4" s="1427" t="n">
        <v>0.16</v>
      </c>
      <c r="QH4" s="1427" t="n">
        <v>0.16</v>
      </c>
      <c r="QI4" s="1427" t="n">
        <v>0.16</v>
      </c>
      <c r="QJ4" s="1427" t="n">
        <v>0.16</v>
      </c>
      <c r="QK4" s="1427" t="n">
        <v>0.16</v>
      </c>
      <c r="QL4" s="1427" t="n">
        <v>0.16</v>
      </c>
      <c r="QM4" s="1427" t="n">
        <v>0.16</v>
      </c>
      <c r="QN4" s="1427" t="n">
        <v>0.16</v>
      </c>
      <c r="QO4" s="1427" t="n">
        <v>0.16</v>
      </c>
      <c r="QP4" s="1427" t="n">
        <v>0.16</v>
      </c>
      <c r="QQ4" s="1427" t="n">
        <v>0.16</v>
      </c>
      <c r="QR4" s="1427" t="n">
        <v>0.16</v>
      </c>
      <c r="QS4" s="1427" t="n">
        <v>0.16</v>
      </c>
      <c r="QT4" s="1427" t="n">
        <v>0.16</v>
      </c>
      <c r="QU4" s="1427" t="n">
        <v>0.16</v>
      </c>
      <c r="QV4" s="1427" t="n">
        <v>0.16</v>
      </c>
      <c r="QW4" s="1427" t="n">
        <v>0.16</v>
      </c>
      <c r="QX4" s="1427" t="n">
        <v>0.16</v>
      </c>
      <c r="QY4" s="1427" t="n">
        <v>0.16</v>
      </c>
      <c r="QZ4" s="1427" t="n">
        <v>0.16</v>
      </c>
      <c r="RA4" s="1427" t="n">
        <v>0.16</v>
      </c>
      <c r="RB4" s="1427" t="n">
        <v>0.16</v>
      </c>
      <c r="RC4" s="1427" t="n">
        <v>0.16</v>
      </c>
      <c r="RD4" s="1427" t="n">
        <v>0.16</v>
      </c>
      <c r="RE4" s="1427" t="n">
        <v>0.16</v>
      </c>
      <c r="RF4" s="1427" t="n">
        <v>0.16</v>
      </c>
      <c r="RG4" s="1427" t="n">
        <v>0.16</v>
      </c>
      <c r="RH4" s="1427" t="n">
        <v>0.16</v>
      </c>
      <c r="RI4" s="1427" t="n">
        <v>0.16</v>
      </c>
      <c r="RJ4" s="1427" t="n">
        <v>0.16</v>
      </c>
      <c r="RK4" s="1427" t="n">
        <v>0.16</v>
      </c>
      <c r="RL4" s="1427" t="n">
        <v>0.16</v>
      </c>
      <c r="RM4" s="1427" t="n">
        <v>0.16</v>
      </c>
      <c r="RN4" s="1427" t="n">
        <v>0.16</v>
      </c>
      <c r="RO4" s="1427" t="n">
        <v>0.16</v>
      </c>
      <c r="RP4" s="1427" t="n">
        <v>0.16</v>
      </c>
      <c r="RQ4" s="1427" t="n">
        <v>0.16</v>
      </c>
      <c r="RR4" s="1427" t="n">
        <v>0.16</v>
      </c>
      <c r="RS4" s="1427" t="n">
        <v>0.16</v>
      </c>
      <c r="RT4" s="1427" t="n">
        <v>0.16</v>
      </c>
      <c r="RU4" s="1427" t="n">
        <v>0.16</v>
      </c>
      <c r="RV4" s="1427" t="n">
        <v>0.16</v>
      </c>
      <c r="RW4" s="1427" t="n">
        <v>0.16</v>
      </c>
      <c r="RX4" s="1427" t="n">
        <v>0.16</v>
      </c>
      <c r="RY4" s="1427" t="n">
        <v>0.16</v>
      </c>
      <c r="RZ4" s="1427" t="n">
        <v>0.16</v>
      </c>
      <c r="SA4" s="1427" t="n">
        <v>0.16</v>
      </c>
      <c r="SB4" s="1427" t="n">
        <v>0.16</v>
      </c>
      <c r="SC4" s="1427" t="n">
        <v>0.16</v>
      </c>
      <c r="SD4" s="1427" t="n">
        <v>0.16</v>
      </c>
      <c r="SE4" s="1427" t="n">
        <v>0.16</v>
      </c>
      <c r="SF4" s="1427" t="n">
        <v>0.16</v>
      </c>
      <c r="SG4" s="1427" t="n">
        <v>0.16</v>
      </c>
      <c r="SH4" s="1427" t="n">
        <v>0.16</v>
      </c>
      <c r="SI4" s="1427" t="n">
        <v>0.16</v>
      </c>
      <c r="SJ4" s="1427" t="n">
        <v>0.16</v>
      </c>
      <c r="SK4" s="1427" t="n">
        <v>0.16</v>
      </c>
      <c r="SL4" s="1427" t="n">
        <v>0.16</v>
      </c>
      <c r="SM4" s="1427" t="n">
        <v>0.16</v>
      </c>
      <c r="SN4" s="1427" t="n">
        <v>0.16</v>
      </c>
      <c r="SO4" s="1427" t="n">
        <v>0.16</v>
      </c>
      <c r="SP4" s="1427" t="n">
        <v>0.16</v>
      </c>
      <c r="SQ4" s="1427" t="n">
        <v>0.16</v>
      </c>
      <c r="SR4" s="1427" t="n">
        <v>0.16</v>
      </c>
      <c r="SS4" s="1427" t="n">
        <v>0.16</v>
      </c>
      <c r="ST4" s="1427" t="n">
        <v>0.16</v>
      </c>
      <c r="SU4" s="1427" t="n">
        <v>0.16</v>
      </c>
      <c r="SV4" s="1427" t="n">
        <v>0.16</v>
      </c>
      <c r="SW4" s="1427" t="n">
        <v>0.16</v>
      </c>
      <c r="SX4" s="1427" t="n">
        <v>0.16</v>
      </c>
      <c r="SY4" s="1427" t="n">
        <v>0.16</v>
      </c>
      <c r="SZ4" s="1427" t="n">
        <v>0.16</v>
      </c>
      <c r="TA4" s="1427" t="n">
        <v>0.16</v>
      </c>
      <c r="TB4" s="1427" t="n">
        <v>0.16</v>
      </c>
      <c r="TC4" s="1427" t="n">
        <v>0.16</v>
      </c>
      <c r="TD4" s="1427" t="n">
        <v>0.16</v>
      </c>
      <c r="TE4" s="1427" t="n">
        <v>0.16</v>
      </c>
      <c r="TF4" s="1427" t="n">
        <v>0.16</v>
      </c>
      <c r="TG4" s="1427" t="n">
        <v>0.16</v>
      </c>
      <c r="TH4" s="1427" t="n">
        <v>0.16</v>
      </c>
      <c r="TI4" s="1427" t="n">
        <v>0.16</v>
      </c>
      <c r="TJ4" s="1427" t="n">
        <v>0.16</v>
      </c>
      <c r="TK4" s="1427" t="n">
        <v>0.16</v>
      </c>
      <c r="TL4" s="1427" t="n">
        <v>0.16</v>
      </c>
      <c r="TM4" s="1427" t="n">
        <v>0.16</v>
      </c>
      <c r="TN4" s="1427" t="n">
        <v>0.16</v>
      </c>
      <c r="TO4" s="1427" t="n">
        <v>0.16</v>
      </c>
      <c r="TP4" s="1427" t="n">
        <v>0.16</v>
      </c>
      <c r="TQ4" s="1427" t="n">
        <v>0.16</v>
      </c>
      <c r="TR4" s="1427" t="n">
        <v>0.16</v>
      </c>
      <c r="TS4" s="1427" t="n">
        <v>0.16</v>
      </c>
      <c r="TT4" s="1427" t="n">
        <v>0.16</v>
      </c>
      <c r="TU4" s="1427" t="n">
        <v>0.16</v>
      </c>
      <c r="TV4" s="1427" t="n">
        <v>0.16</v>
      </c>
      <c r="TW4" s="1427" t="n">
        <v>0.16</v>
      </c>
      <c r="TX4" s="1427" t="n">
        <v>0.16</v>
      </c>
      <c r="TY4" s="1427" t="n">
        <v>0.16</v>
      </c>
      <c r="TZ4" s="1427" t="n">
        <v>0.16</v>
      </c>
      <c r="UA4" s="1427" t="n">
        <v>0.16</v>
      </c>
      <c r="UB4" s="1427" t="n">
        <v>0.16</v>
      </c>
      <c r="UC4" s="1427" t="n">
        <v>0.16</v>
      </c>
      <c r="UD4" s="1427" t="n">
        <v>0.16</v>
      </c>
      <c r="UE4" s="1427" t="n">
        <v>0.16</v>
      </c>
      <c r="UF4" s="1427" t="n">
        <v>0.16</v>
      </c>
      <c r="UG4" s="1427" t="n">
        <v>0.16</v>
      </c>
      <c r="UH4" s="1427" t="n">
        <v>0.16</v>
      </c>
      <c r="UI4" s="1427" t="n">
        <v>0.18</v>
      </c>
      <c r="UJ4" s="1427" t="n">
        <v>0.18</v>
      </c>
      <c r="UK4" s="1427" t="n">
        <v>0.18</v>
      </c>
      <c r="UL4" s="1427" t="n">
        <v>0.18</v>
      </c>
      <c r="UM4" s="1427" t="n">
        <v>0.18</v>
      </c>
      <c r="UN4" s="1427" t="n">
        <v>0.18</v>
      </c>
      <c r="UO4" s="1427" t="n">
        <v>0.18</v>
      </c>
      <c r="UP4" s="1427" t="n">
        <v>0.18</v>
      </c>
      <c r="UQ4" s="1427" t="n">
        <v>0.18</v>
      </c>
      <c r="UR4" s="1427" t="n">
        <v>0.18</v>
      </c>
      <c r="US4" s="1427" t="n">
        <v>0.18</v>
      </c>
      <c r="UT4" s="1427" t="n">
        <v>0.18</v>
      </c>
      <c r="UU4" s="1427" t="n">
        <v>0.18</v>
      </c>
      <c r="UV4" s="1427" t="n">
        <v>0.18</v>
      </c>
      <c r="UW4" s="1427" t="n">
        <v>0.18</v>
      </c>
      <c r="UX4" s="1427" t="n">
        <v>0.19</v>
      </c>
      <c r="UY4" s="1427" t="n">
        <v>0.19</v>
      </c>
      <c r="UZ4" s="1427" t="n">
        <v>0.19</v>
      </c>
      <c r="VA4" s="1427" t="n">
        <v>0.19</v>
      </c>
      <c r="VB4" s="1427" t="n">
        <v>0.19</v>
      </c>
      <c r="VC4" s="1427" t="n">
        <v>0.19</v>
      </c>
      <c r="VD4" s="1427" t="n">
        <v>0.19</v>
      </c>
      <c r="VE4" s="1427" t="n">
        <v>0.19</v>
      </c>
      <c r="VF4" s="1427" t="n">
        <v>0.19</v>
      </c>
      <c r="VG4" s="1427" t="n">
        <v>0.19</v>
      </c>
      <c r="VH4" s="1427" t="n">
        <v>0.19</v>
      </c>
      <c r="VI4" s="1427" t="n">
        <v>0.19</v>
      </c>
      <c r="VJ4" s="1427" t="n">
        <v>0.19</v>
      </c>
      <c r="VK4" s="1427" t="n">
        <v>0.19</v>
      </c>
      <c r="VL4" s="1427" t="n">
        <v>0.19</v>
      </c>
      <c r="VM4" s="1427" t="n">
        <v>0.21</v>
      </c>
      <c r="VN4" s="1427" t="n">
        <v>0.21</v>
      </c>
      <c r="VO4" s="1427" t="n">
        <v>0.21</v>
      </c>
      <c r="VP4" s="1427" t="n">
        <v>0.21</v>
      </c>
      <c r="VQ4" s="1427" t="n">
        <v>0.21</v>
      </c>
      <c r="VR4" s="1427" t="n">
        <v>0.21</v>
      </c>
      <c r="VS4" s="1427" t="n">
        <v>0.21</v>
      </c>
      <c r="VT4" s="1427" t="n">
        <v>0.21</v>
      </c>
      <c r="VU4" s="1427" t="n">
        <v>0.21</v>
      </c>
      <c r="VV4" s="1427" t="n">
        <v>0.21</v>
      </c>
      <c r="VW4" s="1427" t="n">
        <v>0.21</v>
      </c>
      <c r="VX4" s="1427" t="n">
        <v>0.21</v>
      </c>
      <c r="VY4" s="1427" t="n">
        <v>0.21</v>
      </c>
      <c r="VZ4" s="1427" t="n">
        <v>0.21</v>
      </c>
      <c r="WA4" s="1427" t="n">
        <v>0.21</v>
      </c>
      <c r="WB4" s="1427" t="n">
        <v>0.21</v>
      </c>
      <c r="WC4" s="1427" t="n">
        <v>0.21</v>
      </c>
      <c r="WD4" s="1427" t="n">
        <v>0.21</v>
      </c>
      <c r="WE4" s="1427" t="n">
        <v>0.21</v>
      </c>
      <c r="WF4" s="1427" t="n">
        <v>0.21</v>
      </c>
      <c r="WG4" s="1427" t="n">
        <v>0.21</v>
      </c>
      <c r="WH4" s="1427" t="n">
        <v>0.21</v>
      </c>
      <c r="WI4" s="1427" t="n">
        <v>0.21</v>
      </c>
      <c r="WJ4" s="1427" t="n">
        <v>0.21</v>
      </c>
      <c r="WK4" s="1427" t="n">
        <v>0.21</v>
      </c>
      <c r="WL4" s="1427" t="n">
        <v>0.21</v>
      </c>
      <c r="WM4" s="1427" t="n">
        <v>0.21</v>
      </c>
      <c r="WN4" s="1427" t="n">
        <v>0.21</v>
      </c>
      <c r="WO4" s="1427" t="n">
        <v>0.21</v>
      </c>
      <c r="WP4" s="1427" t="n">
        <v>0.21</v>
      </c>
      <c r="WQ4" s="1427" t="n">
        <v>0.21</v>
      </c>
      <c r="WR4" s="1427" t="n">
        <v>0.21</v>
      </c>
      <c r="WS4" s="1427" t="n">
        <v>0.21</v>
      </c>
      <c r="WT4" s="1427" t="n">
        <v>0.21</v>
      </c>
      <c r="WU4" s="1427" t="n">
        <v>0.21</v>
      </c>
      <c r="WV4" s="1427" t="n">
        <v>0.21</v>
      </c>
      <c r="WW4" s="1427" t="n">
        <v>0.21</v>
      </c>
      <c r="WX4" s="1427" t="n">
        <v>0.21</v>
      </c>
      <c r="WY4" s="1427" t="n">
        <v>0.21</v>
      </c>
      <c r="WZ4" s="1427" t="n">
        <v>0.21</v>
      </c>
      <c r="XA4" s="1427" t="n">
        <v>0.21</v>
      </c>
      <c r="XB4" s="1427" t="n">
        <v>0.21</v>
      </c>
      <c r="XC4" s="1427" t="n">
        <v>0.21</v>
      </c>
      <c r="XD4" s="1427" t="n">
        <v>0.21</v>
      </c>
      <c r="XE4" s="1427" t="n">
        <v>0.21</v>
      </c>
      <c r="XF4" s="1427" t="n">
        <v>0.21</v>
      </c>
      <c r="XG4" s="1427" t="n">
        <v>0.21</v>
      </c>
      <c r="XH4" s="1427" t="n">
        <v>0.21</v>
      </c>
      <c r="XI4" s="1427" t="n">
        <v>0.21</v>
      </c>
      <c r="XJ4" s="1427" t="n">
        <v>0.21</v>
      </c>
      <c r="XK4" s="1427" t="n">
        <v>0.21</v>
      </c>
      <c r="XL4" s="1427" t="n">
        <v>0.21</v>
      </c>
      <c r="XM4" s="1427" t="n">
        <v>0.21</v>
      </c>
      <c r="XN4" s="1427" t="n">
        <v>0.21</v>
      </c>
      <c r="XO4" s="1427" t="n">
        <v>0.21</v>
      </c>
      <c r="XP4" s="1427" t="n">
        <v>0.21</v>
      </c>
      <c r="XQ4" s="1427" t="n">
        <v>0.21</v>
      </c>
      <c r="XR4" s="1427" t="n">
        <v>0.21</v>
      </c>
      <c r="XS4" s="1427" t="n">
        <v>0.21</v>
      </c>
      <c r="XT4" s="1427" t="n">
        <v>0.21</v>
      </c>
      <c r="XU4" s="1427" t="n">
        <v>0.21</v>
      </c>
      <c r="XV4" s="1427" t="n">
        <v>0.21</v>
      </c>
      <c r="XW4" s="1427" t="n">
        <v>0.21</v>
      </c>
      <c r="XX4" s="1427" t="n">
        <v>0.21</v>
      </c>
      <c r="XY4" s="1427" t="n">
        <v>0.21</v>
      </c>
      <c r="XZ4" s="1427" t="n">
        <v>0.21</v>
      </c>
      <c r="YA4" s="1427" t="n">
        <v>0.21</v>
      </c>
      <c r="YB4" s="1427" t="n">
        <v>0.21</v>
      </c>
      <c r="YC4" s="1427" t="n">
        <v>0.21</v>
      </c>
      <c r="YD4" s="1427" t="n">
        <v>0.21</v>
      </c>
      <c r="YE4" s="1427" t="n">
        <v>0.21</v>
      </c>
      <c r="YF4" s="1427" t="n">
        <v>0.21</v>
      </c>
      <c r="YG4" s="1427" t="n">
        <v>0.21</v>
      </c>
      <c r="YH4" s="1428" t="n">
        <v>0.2</v>
      </c>
      <c r="YI4" s="1427" t="n">
        <v>0.2</v>
      </c>
      <c r="YJ4" s="1427" t="n">
        <v>0.2</v>
      </c>
      <c r="YK4" s="1427" t="n">
        <v>0.2</v>
      </c>
      <c r="YL4" s="1427" t="n">
        <v>0.2</v>
      </c>
      <c r="YM4" s="1427" t="n">
        <v>0.2</v>
      </c>
      <c r="YN4" s="1427" t="n">
        <v>0.2</v>
      </c>
      <c r="YO4" s="1427" t="n">
        <v>0.2</v>
      </c>
      <c r="YP4" s="1427" t="n">
        <v>0.2</v>
      </c>
      <c r="YQ4" s="1427" t="n">
        <v>0.2</v>
      </c>
      <c r="YR4" s="1427" t="n">
        <v>0.2</v>
      </c>
      <c r="YS4" s="1427" t="n">
        <v>0.2</v>
      </c>
      <c r="YT4" s="1427" t="n">
        <v>0.2</v>
      </c>
      <c r="YU4" s="1427" t="n">
        <v>0.2</v>
      </c>
      <c r="YV4" s="1427" t="n">
        <v>0.2</v>
      </c>
      <c r="YW4" s="1427" t="n">
        <v>0.2</v>
      </c>
      <c r="YX4" s="1427" t="n">
        <v>0.2</v>
      </c>
      <c r="YY4" s="1427" t="n">
        <v>0.2</v>
      </c>
      <c r="YZ4" s="1429" t="n">
        <v>0.18</v>
      </c>
      <c r="ZA4" s="1427" t="n">
        <v>0.18</v>
      </c>
      <c r="ZB4" s="1427" t="n">
        <v>0.18</v>
      </c>
      <c r="ZC4" s="1427" t="n">
        <v>0.18</v>
      </c>
      <c r="ZD4" s="1427" t="n">
        <v>0.18</v>
      </c>
      <c r="ZE4" s="1427" t="n">
        <v>0.18</v>
      </c>
      <c r="ZF4" s="1427" t="n">
        <v>0.18</v>
      </c>
    </row>
    <row r="5" ht="15" customHeight="1">
      <c r="A5" s="87" t="n"/>
      <c r="B5" s="87" t="n"/>
      <c r="C5" s="87" t="n"/>
      <c r="AU5" s="1" t="inlineStr">
        <is>
          <t>* Since 4 May key rate 14%</t>
        </is>
      </c>
      <c r="AW5" s="1430" t="inlineStr">
        <is>
          <t>*9-10 May Russia holiday</t>
        </is>
      </c>
      <c r="AX5" s="1430" t="n"/>
      <c r="AY5" s="1430" t="n"/>
      <c r="AZ5" s="1430" t="n"/>
      <c r="BA5" s="1430" t="n"/>
      <c r="BB5" s="1430" t="n"/>
      <c r="BC5" s="1430" t="n"/>
      <c r="BD5" s="1430" t="n"/>
      <c r="BE5" s="1430" t="n"/>
      <c r="BF5" s="1430" t="n"/>
      <c r="BG5" s="1430" t="n"/>
      <c r="BH5" s="1430" t="n"/>
      <c r="BI5" s="1430" t="inlineStr">
        <is>
          <t>* Since 27 May key rate 11%</t>
        </is>
      </c>
      <c r="BJ5" s="1430" t="n"/>
      <c r="BK5" s="1430" t="n"/>
      <c r="BL5" s="1430" t="n"/>
      <c r="BM5" s="1430" t="n"/>
      <c r="BN5" s="1430" t="n"/>
      <c r="BO5" s="1430" t="n"/>
      <c r="BP5" s="1430" t="n"/>
      <c r="BQ5" s="1430" t="n"/>
      <c r="BR5" s="1430" t="n"/>
      <c r="BS5" s="1430" t="n"/>
      <c r="BT5" s="1430" t="inlineStr">
        <is>
          <t>* 13 Jun 
Russia holiday</t>
        </is>
      </c>
      <c r="BU5" s="1320" t="inlineStr">
        <is>
          <t>* Since 14 June 
key rate 9.5%</t>
        </is>
      </c>
      <c r="BV5" s="1320" t="n"/>
      <c r="BW5" s="1320" t="n"/>
      <c r="BX5" s="1320" t="n"/>
      <c r="BY5" s="1320" t="n"/>
      <c r="BZ5" s="1320" t="n"/>
      <c r="CA5" s="1320" t="n"/>
      <c r="CB5" s="1320" t="n"/>
      <c r="CC5" s="1320" t="n"/>
      <c r="CD5" s="1320" t="n"/>
      <c r="CE5" s="1320" t="n"/>
      <c r="CF5" s="1320" t="n"/>
      <c r="CG5" s="1320" t="n"/>
      <c r="CH5" s="1320" t="n"/>
      <c r="CI5" s="1320" t="n"/>
      <c r="CJ5" s="1320" t="n"/>
      <c r="CK5" s="1320" t="n"/>
      <c r="CL5" s="1320" t="n"/>
      <c r="CM5" s="1320" t="n"/>
      <c r="CN5" s="1320" t="n"/>
      <c r="CO5" s="1320" t="n"/>
      <c r="CP5" s="1320" t="n"/>
      <c r="CQ5" s="1320" t="n"/>
      <c r="CR5" s="1320" t="n"/>
      <c r="CS5" s="1320" t="n"/>
      <c r="CT5" s="1320" t="n"/>
      <c r="CU5" s="1320" t="n"/>
      <c r="CV5" s="1320" t="n"/>
      <c r="CW5" s="1430" t="inlineStr">
        <is>
          <t>* Since 25 May key rate 8%</t>
        </is>
      </c>
      <c r="CX5" s="1320" t="n"/>
      <c r="CY5" s="1320" t="n"/>
      <c r="CZ5" s="1320" t="n"/>
      <c r="DA5" s="1320" t="n"/>
      <c r="DB5" s="1320" t="n"/>
      <c r="DC5" s="1320" t="n"/>
      <c r="DD5" s="1320" t="n"/>
      <c r="DE5" s="1320" t="n"/>
      <c r="DF5" s="1320" t="n"/>
      <c r="DG5" s="1320" t="n"/>
      <c r="DH5" s="1320" t="n"/>
      <c r="DI5" s="1320" t="n"/>
      <c r="DJ5" s="1320" t="n"/>
      <c r="DK5" s="1320" t="n"/>
      <c r="DL5" s="1320" t="n"/>
      <c r="DM5" s="1320" t="n"/>
      <c r="DN5" s="1320" t="n"/>
      <c r="DO5" s="1320" t="n"/>
      <c r="DP5" s="1320" t="n"/>
      <c r="DQ5" s="1320" t="n"/>
      <c r="DR5" s="1320" t="n"/>
      <c r="DS5" s="1320" t="n"/>
      <c r="DT5" s="1320" t="n"/>
      <c r="DU5" s="1320" t="n"/>
      <c r="DV5" s="1320" t="n"/>
      <c r="DW5" s="1320" t="n"/>
      <c r="DX5" s="1320" t="n"/>
      <c r="DY5" s="1320" t="n"/>
      <c r="DZ5" s="1320" t="n"/>
      <c r="EA5" s="1320" t="n"/>
      <c r="EB5" s="1320" t="n"/>
      <c r="EC5" s="1320" t="n"/>
      <c r="ED5" s="1320" t="n"/>
      <c r="EE5" s="1320" t="n"/>
      <c r="EF5" s="1320" t="n"/>
      <c r="EG5" s="1320" t="n"/>
      <c r="EH5" s="1320" t="n"/>
      <c r="EI5" s="1320" t="n"/>
      <c r="EJ5" s="1320" t="n"/>
      <c r="EK5" s="1320" t="n"/>
      <c r="EL5" s="1320" t="n"/>
      <c r="EM5" s="1320" t="n"/>
      <c r="EN5" s="1320" t="n"/>
      <c r="EO5" s="1320" t="n"/>
      <c r="EP5" s="1320" t="n"/>
      <c r="EQ5" s="1320" t="n"/>
      <c r="ER5" s="1320" t="n"/>
      <c r="ES5" s="1320" t="n"/>
      <c r="ET5" s="1320" t="n"/>
      <c r="EU5" s="1320" t="n"/>
      <c r="EV5" s="1320" t="n"/>
      <c r="EW5" s="1320" t="n"/>
      <c r="EX5" s="1320" t="n"/>
      <c r="EY5" s="1320" t="n"/>
      <c r="EZ5" s="1320" t="n"/>
      <c r="FA5" s="1320" t="n"/>
      <c r="FB5" s="1320" t="n"/>
      <c r="FC5" s="1320" t="n"/>
      <c r="FD5" s="1320" t="n"/>
      <c r="FE5" s="1320" t="n"/>
      <c r="FF5" s="1320" t="n"/>
      <c r="FG5" s="1320" t="n"/>
      <c r="FH5" s="1320" t="n"/>
      <c r="FI5" s="1320" t="n"/>
      <c r="FJ5" s="1320" t="n"/>
      <c r="FK5" s="1320" t="n"/>
      <c r="FL5" s="1320" t="n"/>
      <c r="FM5" s="1320" t="n"/>
      <c r="FN5" s="1320" t="n"/>
      <c r="FO5" s="1320" t="n"/>
      <c r="FP5" s="1320" t="n"/>
      <c r="FQ5" s="1320" t="n"/>
      <c r="FR5" s="1320" t="n"/>
      <c r="FS5" s="1320" t="n"/>
      <c r="FT5" s="1320" t="n"/>
      <c r="FU5" s="1320" t="n"/>
      <c r="FV5" s="1320" t="n"/>
      <c r="FW5" s="1320" t="n"/>
      <c r="FX5" s="1320" t="n"/>
      <c r="FY5" s="1320" t="n"/>
      <c r="FZ5" s="1320" t="n"/>
      <c r="GA5" s="1320" t="n"/>
      <c r="GB5" s="1320" t="n"/>
      <c r="GC5" s="1320" t="n"/>
      <c r="GD5" s="1320" t="n"/>
      <c r="GE5" s="1320" t="n"/>
      <c r="GF5" s="1320" t="n"/>
      <c r="GG5" s="1320" t="n"/>
      <c r="GH5" s="1320" t="n"/>
      <c r="GI5" s="1320" t="n"/>
      <c r="GJ5" s="1320" t="n"/>
      <c r="GK5" s="1320" t="n"/>
      <c r="GL5" s="1320" t="n"/>
      <c r="GM5" s="1320" t="n"/>
      <c r="GN5" s="1320" t="n"/>
      <c r="GO5" s="1320" t="n"/>
      <c r="GP5" s="1320" t="n"/>
      <c r="GQ5" s="1320" t="n"/>
      <c r="GR5" s="1320" t="n"/>
      <c r="GS5" s="1320" t="n"/>
      <c r="GT5" s="1320" t="n"/>
      <c r="GU5" s="1320" t="n"/>
      <c r="GV5" s="1320" t="n"/>
      <c r="GW5" s="1320" t="n"/>
      <c r="GX5" s="1320" t="n"/>
      <c r="GY5" s="1320" t="n"/>
      <c r="GZ5" s="1320" t="n"/>
      <c r="HA5" s="1320" t="n"/>
      <c r="HB5" s="1320" t="n"/>
      <c r="HC5" s="1320" t="n"/>
      <c r="HD5" s="1320" t="n"/>
      <c r="HE5" s="1320" t="n"/>
      <c r="HF5" s="1320" t="n"/>
      <c r="HG5" s="1320" t="n"/>
      <c r="HH5" s="1320" t="n"/>
      <c r="HI5" s="1320" t="n"/>
      <c r="HJ5" s="1320" t="n"/>
      <c r="HK5" s="1320" t="n"/>
      <c r="HL5" s="1320" t="n"/>
      <c r="HM5" s="1320" t="n"/>
      <c r="HN5" s="1320" t="n"/>
      <c r="HO5" s="1320" t="n"/>
      <c r="HP5" s="1320" t="n"/>
      <c r="HQ5" s="1320" t="n"/>
      <c r="HR5" s="1320" t="n"/>
      <c r="HS5" s="1320" t="n"/>
      <c r="HT5" s="1320" t="n"/>
      <c r="HU5" s="1320" t="n"/>
      <c r="HV5" s="1320" t="n"/>
      <c r="HW5" s="1320" t="n"/>
      <c r="HX5" s="1320" t="n"/>
      <c r="HY5" s="1320" t="n"/>
      <c r="HZ5" s="1320" t="n"/>
      <c r="IA5" s="1320" t="n"/>
      <c r="IB5" s="1320" t="n"/>
      <c r="IC5" s="1320" t="n"/>
      <c r="ID5" s="1320" t="n"/>
      <c r="IE5" s="1320" t="n"/>
      <c r="IF5" s="1320" t="n"/>
      <c r="IG5" s="1320" t="n"/>
      <c r="IH5" s="1320" t="n"/>
      <c r="II5" s="1320" t="n"/>
      <c r="IJ5" s="1320" t="n"/>
      <c r="IK5" s="1320" t="n"/>
      <c r="IL5" s="1320" t="n"/>
      <c r="IM5" s="1320" t="n"/>
      <c r="IN5" s="1320" t="n"/>
      <c r="IO5" s="1320" t="n"/>
      <c r="IP5" s="1320" t="n"/>
      <c r="IQ5" s="1320" t="n"/>
      <c r="IR5" s="1320" t="n"/>
      <c r="IS5" s="1320" t="n"/>
      <c r="IT5" s="1320" t="n"/>
      <c r="IU5" s="1320" t="n"/>
      <c r="IV5" s="1320" t="n"/>
      <c r="IW5" s="1320" t="n"/>
      <c r="IX5" s="1320" t="n"/>
      <c r="IY5" s="1320" t="n"/>
      <c r="IZ5" s="1320" t="n"/>
      <c r="JA5" s="1320" t="n"/>
      <c r="JB5" s="1320" t="n"/>
      <c r="JC5" s="1320" t="n"/>
      <c r="JD5" s="1320" t="n"/>
      <c r="JE5" s="1320" t="n"/>
      <c r="JF5" s="1320" t="n"/>
      <c r="JG5" s="1320" t="n"/>
      <c r="JH5" s="1320" t="n"/>
      <c r="JI5" s="1320" t="n"/>
      <c r="JJ5" s="1320" t="n"/>
      <c r="JK5" s="1320" t="n"/>
      <c r="JL5" s="1320" t="n"/>
      <c r="JM5" s="1320" t="n"/>
      <c r="JN5" s="1320" t="n"/>
      <c r="JO5" s="1320" t="n"/>
      <c r="JP5" s="1320" t="n"/>
      <c r="JQ5" s="1320" t="n"/>
      <c r="JR5" s="1320" t="n"/>
      <c r="JS5" s="1320" t="n"/>
      <c r="JT5" s="1320" t="n"/>
      <c r="JU5" s="1320" t="n"/>
      <c r="JV5" s="1320" t="n"/>
      <c r="JW5" s="1320" t="n"/>
      <c r="JX5" s="1320" t="n"/>
      <c r="JY5" s="1320" t="n"/>
      <c r="JZ5" s="1320" t="n"/>
      <c r="KA5" s="1320" t="n"/>
      <c r="KB5" s="1320" t="n"/>
      <c r="KC5" s="1320" t="n"/>
      <c r="KD5" s="1320" t="n"/>
      <c r="KE5" s="1320" t="n"/>
      <c r="KF5" s="1320" t="n"/>
      <c r="KG5" s="1320" t="n"/>
      <c r="KH5" s="1320" t="n"/>
      <c r="KI5" s="1320" t="n"/>
      <c r="KJ5" s="1320" t="n"/>
      <c r="KK5" s="1320" t="n"/>
      <c r="KL5" s="1320" t="n"/>
      <c r="KM5" s="1320" t="n"/>
      <c r="KN5" s="1320" t="n"/>
      <c r="KO5" s="1320" t="n"/>
      <c r="KP5" s="1320" t="n"/>
      <c r="KQ5" s="1320" t="n"/>
      <c r="KR5" s="1320" t="n"/>
      <c r="KS5" s="1320" t="n"/>
      <c r="KT5" s="1320" t="n"/>
      <c r="KU5" s="1320" t="n"/>
      <c r="KV5" s="1320" t="n"/>
      <c r="KW5" s="1320" t="n"/>
      <c r="KX5" s="1320" t="n"/>
      <c r="KY5" s="1320" t="n"/>
      <c r="KZ5" s="1320" t="n"/>
      <c r="LA5" s="1320" t="n"/>
      <c r="LB5" s="1320" t="n"/>
      <c r="LC5" s="1320" t="n"/>
      <c r="LD5" s="1320" t="n"/>
      <c r="LE5" s="1320" t="n"/>
      <c r="LF5" s="1320" t="n"/>
      <c r="LG5" s="1320" t="n"/>
      <c r="LH5" s="1320" t="n"/>
      <c r="LI5" s="1320" t="n"/>
      <c r="LJ5" s="1320" t="n"/>
      <c r="LK5" s="1320" t="n"/>
      <c r="LL5" s="1320" t="n"/>
      <c r="LM5" s="1320" t="n"/>
      <c r="LN5" s="1320" t="n"/>
      <c r="LO5" s="1320" t="n"/>
      <c r="LP5" s="1320" t="n"/>
      <c r="LQ5" s="1320" t="n"/>
      <c r="LR5" s="1320" t="n"/>
      <c r="LS5" s="1320" t="n"/>
      <c r="LT5" s="1320" t="n"/>
      <c r="LU5" s="1320" t="n"/>
      <c r="LV5" s="1320" t="n"/>
      <c r="LW5" s="1320" t="n"/>
      <c r="LX5" s="1320" t="n"/>
      <c r="LY5" s="1320" t="n"/>
      <c r="LZ5" s="1320" t="n"/>
      <c r="MA5" s="1320" t="n"/>
      <c r="MB5" s="1320" t="n"/>
      <c r="MC5" s="1320" t="n"/>
      <c r="MD5" s="1320" t="n"/>
      <c r="ME5" s="1320" t="n"/>
      <c r="MF5" s="1320" t="n"/>
      <c r="MG5" s="1320" t="n"/>
      <c r="MH5" s="1320" t="n"/>
      <c r="MI5" s="1320" t="n"/>
      <c r="MJ5" s="1320" t="n"/>
      <c r="MK5" s="1320" t="n"/>
      <c r="ML5" s="1320" t="n"/>
      <c r="MM5" s="1320" t="n"/>
      <c r="MN5" s="1320" t="n"/>
      <c r="MO5" s="1320" t="n"/>
      <c r="MP5" s="1320" t="n"/>
      <c r="MQ5" s="1320" t="n"/>
      <c r="MR5" s="1320" t="n"/>
      <c r="MS5" s="1320" t="n"/>
      <c r="MT5" s="1320" t="n"/>
      <c r="MU5" s="1320" t="n"/>
      <c r="MV5" s="1320" t="n"/>
      <c r="MW5" s="1320" t="n"/>
      <c r="MX5" s="1320" t="n"/>
      <c r="MY5" s="1320" t="n"/>
      <c r="MZ5" s="1320" t="n"/>
      <c r="NA5" s="1320" t="n"/>
      <c r="NB5" s="1320" t="n"/>
      <c r="NC5" s="1320" t="n"/>
      <c r="ND5" s="1320" t="n"/>
      <c r="NE5" s="1320" t="n"/>
      <c r="NF5" s="1320" t="n"/>
      <c r="NG5" s="1320" t="n"/>
      <c r="NH5" s="1320" t="n"/>
      <c r="NI5" s="1320" t="n"/>
      <c r="NJ5" s="1320" t="n"/>
      <c r="NK5" s="1320" t="n"/>
      <c r="NL5" s="1320" t="n"/>
      <c r="NM5" s="1320" t="n"/>
      <c r="NN5" s="1320" t="n"/>
      <c r="NO5" s="1320" t="n"/>
      <c r="NP5" s="1320" t="n"/>
      <c r="NQ5" s="1320" t="n"/>
      <c r="NR5" s="1320" t="n"/>
      <c r="NS5" s="1320" t="n"/>
      <c r="NT5" s="1320" t="n"/>
      <c r="NU5" s="1320" t="n"/>
      <c r="NV5" s="1320" t="n"/>
      <c r="NW5" s="1320" t="n"/>
      <c r="NX5" s="1320" t="n"/>
      <c r="NY5" s="1320" t="n"/>
      <c r="NZ5" s="1320" t="n"/>
      <c r="OA5" s="1320" t="n"/>
      <c r="OB5" s="1320" t="n"/>
      <c r="OC5" s="1320" t="n"/>
      <c r="OD5" s="1320" t="n"/>
      <c r="OE5" s="1320" t="n"/>
      <c r="OF5" s="1320" t="n"/>
      <c r="OG5" s="1320" t="n"/>
      <c r="OH5" s="1320" t="n"/>
      <c r="OI5" s="1320" t="n"/>
      <c r="OJ5" s="1320" t="n"/>
      <c r="OK5" s="1320" t="n"/>
      <c r="OL5" s="1320" t="n"/>
      <c r="OM5" s="1320" t="n"/>
      <c r="ON5" s="1320" t="n"/>
      <c r="OO5" s="1320" t="n"/>
      <c r="OP5" s="1320" t="n"/>
      <c r="OQ5" s="1320" t="n"/>
      <c r="OR5" s="1320" t="n"/>
      <c r="OS5" s="1320" t="n"/>
      <c r="OT5" s="1320" t="n"/>
      <c r="OU5" s="1320" t="n"/>
      <c r="OV5" s="1320" t="n"/>
      <c r="OW5" s="1320" t="n"/>
      <c r="OX5" s="1320" t="n"/>
      <c r="OY5" s="1320" t="n"/>
      <c r="OZ5" s="1320" t="n"/>
      <c r="PA5" s="1320" t="n"/>
      <c r="PB5" s="1320" t="n"/>
      <c r="PC5" s="1320" t="n"/>
      <c r="PD5" s="1320" t="n"/>
      <c r="PE5" s="1320" t="n"/>
      <c r="PF5" s="1320" t="n"/>
      <c r="PG5" s="1320" t="n"/>
      <c r="PH5" s="1320" t="n"/>
      <c r="PI5" s="1320" t="n"/>
      <c r="PJ5" s="1320" t="n"/>
      <c r="PK5" s="1320" t="n"/>
      <c r="PL5" s="1320" t="n"/>
      <c r="PM5" s="1320" t="n"/>
      <c r="PN5" s="1320" t="n"/>
      <c r="PO5" s="1320" t="n"/>
      <c r="PP5" s="1320" t="n"/>
      <c r="PQ5" s="1320" t="n"/>
      <c r="PR5" s="1320" t="n"/>
      <c r="PS5" s="1320" t="n"/>
      <c r="PT5" s="1320" t="n"/>
      <c r="PU5" s="1320" t="n"/>
      <c r="PV5" s="1320" t="n"/>
      <c r="PW5" s="1320" t="n"/>
      <c r="PX5" s="1320" t="n"/>
      <c r="PY5" s="1320" t="n"/>
      <c r="PZ5" s="1320" t="n"/>
      <c r="QA5" s="1320" t="n"/>
      <c r="QB5" s="1320" t="n"/>
      <c r="QC5" s="1320" t="n"/>
      <c r="QD5" s="1320" t="n"/>
      <c r="QE5" s="1320" t="n"/>
      <c r="QF5" s="1320" t="n"/>
      <c r="QG5" s="1320" t="n"/>
      <c r="QH5" s="1320" t="n"/>
      <c r="QI5" s="1320" t="n"/>
      <c r="QJ5" s="1320" t="n"/>
      <c r="QK5" s="1320" t="n"/>
      <c r="QL5" s="1320" t="n"/>
      <c r="QM5" s="1320" t="n"/>
      <c r="QN5" s="1320" t="n"/>
      <c r="QO5" s="1320" t="n"/>
      <c r="QP5" s="1320" t="n"/>
      <c r="QQ5" s="1320" t="n"/>
      <c r="QR5" s="1320" t="n"/>
      <c r="QS5" s="1320" t="n"/>
      <c r="QT5" s="1320" t="n"/>
      <c r="QU5" s="1320" t="n"/>
      <c r="QV5" s="1320" t="n"/>
      <c r="QW5" s="1320" t="n"/>
      <c r="QX5" s="1320" t="n"/>
      <c r="QY5" s="1320" t="n"/>
      <c r="QZ5" s="1320" t="n"/>
      <c r="RA5" s="1320" t="n"/>
      <c r="RB5" s="1320" t="n"/>
      <c r="RC5" s="1320" t="n"/>
      <c r="RD5" s="1320" t="n"/>
      <c r="RE5" s="1320" t="n"/>
      <c r="RF5" s="1320" t="n"/>
      <c r="RG5" s="1320" t="n"/>
      <c r="RH5" s="1320" t="n"/>
      <c r="RI5" s="1320" t="n"/>
      <c r="RJ5" s="1320" t="n"/>
      <c r="RK5" s="1320" t="n"/>
      <c r="RL5" s="1320" t="n"/>
      <c r="RM5" s="1320" t="n"/>
      <c r="RN5" s="1320" t="n"/>
      <c r="RO5" s="1320" t="n"/>
      <c r="RP5" s="1320" t="n"/>
      <c r="RQ5" s="1320" t="n"/>
      <c r="RR5" s="1320" t="n"/>
      <c r="RS5" s="1320" t="n"/>
      <c r="RT5" s="1320" t="n"/>
      <c r="RU5" s="1320" t="n"/>
      <c r="RV5" s="1320" t="n"/>
      <c r="RW5" s="1320" t="n"/>
      <c r="RX5" s="1320" t="n"/>
      <c r="RY5" s="1320" t="n"/>
      <c r="RZ5" s="1320" t="n"/>
      <c r="SA5" s="1320" t="n"/>
      <c r="SB5" s="1320" t="n"/>
      <c r="SC5" s="1320" t="n"/>
      <c r="SD5" s="1320" t="n"/>
      <c r="SE5" s="1320" t="n"/>
      <c r="SF5" s="1320" t="n"/>
      <c r="SG5" s="1320" t="n"/>
      <c r="SH5" s="1320" t="n"/>
      <c r="SI5" s="1320" t="n"/>
      <c r="SJ5" s="1320" t="n"/>
      <c r="SK5" s="1320" t="n"/>
      <c r="SL5" s="1320" t="n"/>
      <c r="SM5" s="1320" t="n"/>
      <c r="SN5" s="1320" t="n"/>
      <c r="SO5" s="1320" t="n"/>
      <c r="SP5" s="1320" t="n"/>
      <c r="SQ5" s="1320" t="n"/>
      <c r="SR5" s="1320" t="n"/>
      <c r="SS5" s="1320" t="n"/>
      <c r="ST5" s="1320" t="n"/>
      <c r="SU5" s="1320" t="n"/>
      <c r="SV5" s="1320" t="n"/>
      <c r="SW5" s="1320" t="n"/>
      <c r="SX5" s="1320" t="n"/>
      <c r="SY5" s="1320" t="n"/>
      <c r="SZ5" s="1320" t="n"/>
      <c r="TA5" s="1320" t="n"/>
      <c r="TB5" s="1320" t="n"/>
      <c r="TC5" s="1320" t="n"/>
      <c r="TD5" s="1320" t="n"/>
      <c r="TE5" s="1320" t="n"/>
      <c r="TF5" s="1320" t="n"/>
      <c r="TG5" s="1320" t="n"/>
      <c r="TH5" s="1320" t="n"/>
      <c r="TI5" s="1320" t="n"/>
      <c r="TJ5" s="1320" t="n"/>
      <c r="TK5" s="1320" t="n"/>
      <c r="TL5" s="1320" t="n"/>
      <c r="TM5" s="1320" t="n"/>
      <c r="TN5" s="1320" t="n"/>
      <c r="TO5" s="1320" t="n"/>
      <c r="TP5" s="1320" t="n"/>
      <c r="TQ5" s="1320" t="n"/>
      <c r="TR5" s="1320" t="n"/>
      <c r="TS5" s="1320" t="n"/>
      <c r="TT5" s="1320" t="n"/>
      <c r="TU5" s="1320" t="n"/>
      <c r="TV5" s="1320" t="n"/>
      <c r="TW5" s="1320" t="n"/>
      <c r="TX5" s="1320" t="n"/>
      <c r="TY5" s="1320" t="n"/>
      <c r="TZ5" s="1320" t="n"/>
      <c r="UA5" s="1320" t="n"/>
      <c r="UB5" s="1320" t="n"/>
      <c r="UC5" s="1320" t="n"/>
      <c r="UD5" s="1320" t="n"/>
      <c r="UE5" s="1320" t="n"/>
      <c r="UF5" s="1320" t="n"/>
      <c r="UG5" s="1320" t="n"/>
      <c r="UH5" s="1320" t="n"/>
      <c r="UI5" s="1320" t="n"/>
      <c r="UJ5" s="1320" t="n"/>
      <c r="UK5" s="1320" t="n"/>
      <c r="UL5" s="1320" t="n"/>
      <c r="UM5" s="1320" t="n"/>
      <c r="UN5" s="1320" t="n"/>
      <c r="UO5" s="1320" t="n"/>
      <c r="UP5" s="1320" t="n"/>
      <c r="UQ5" s="1320" t="n"/>
      <c r="UR5" s="1320" t="n"/>
      <c r="US5" s="1320" t="n"/>
      <c r="UT5" s="1320" t="n"/>
      <c r="UU5" s="1320" t="n"/>
      <c r="UV5" s="1320" t="n"/>
      <c r="UW5" s="1320" t="n"/>
      <c r="UX5" s="1320" t="n"/>
      <c r="UY5" s="1320" t="n"/>
      <c r="UZ5" s="1320" t="n"/>
      <c r="VA5" s="1320" t="n"/>
      <c r="VB5" s="1320" t="n"/>
      <c r="VC5" s="1320" t="n"/>
      <c r="VD5" s="1320" t="n"/>
      <c r="VE5" s="1320" t="n"/>
      <c r="VF5" s="1320" t="n"/>
      <c r="VG5" s="1320" t="n"/>
      <c r="VH5" s="1320" t="n"/>
      <c r="VI5" s="1320" t="n"/>
      <c r="VJ5" s="1320" t="n"/>
      <c r="VK5" s="1320" t="n"/>
      <c r="VL5" s="1320" t="n"/>
      <c r="VM5" s="1320" t="n"/>
      <c r="VN5" s="1320" t="n"/>
      <c r="VO5" s="1320" t="n"/>
      <c r="VP5" s="1320" t="n"/>
      <c r="VQ5" s="1320" t="n"/>
      <c r="VR5" s="1320" t="n"/>
      <c r="VS5" s="1320" t="n"/>
      <c r="VT5" s="1320" t="n"/>
      <c r="VU5" s="1320" t="n"/>
      <c r="VV5" s="1320" t="n"/>
      <c r="VW5" s="1320" t="n"/>
      <c r="VX5" s="1320" t="n"/>
      <c r="VY5" s="1320" t="n"/>
      <c r="VZ5" s="1320" t="n"/>
      <c r="WA5" s="1320" t="n"/>
      <c r="WB5" s="1320" t="n"/>
      <c r="WC5" s="1320" t="n"/>
      <c r="WD5" s="1320" t="n"/>
      <c r="WE5" s="1320" t="n"/>
      <c r="WF5" s="1320" t="n"/>
      <c r="WG5" s="1320" t="n"/>
      <c r="WH5" s="1320" t="n"/>
      <c r="WI5" s="1320" t="n"/>
      <c r="WJ5" s="1320" t="n"/>
      <c r="WK5" s="1320" t="n"/>
      <c r="WL5" s="1320" t="n"/>
      <c r="WM5" s="1320" t="n"/>
      <c r="WN5" s="1320" t="n"/>
      <c r="WO5" s="1320" t="n"/>
      <c r="WP5" s="1320" t="n"/>
      <c r="WQ5" s="1320" t="n"/>
      <c r="WR5" s="1320" t="n"/>
      <c r="WS5" s="1320" t="n"/>
      <c r="WT5" s="1320" t="n"/>
      <c r="WU5" s="1320" t="n"/>
      <c r="WV5" s="1320" t="n"/>
      <c r="WW5" s="1320" t="n"/>
      <c r="WX5" s="1320" t="n"/>
      <c r="WY5" s="1320" t="n"/>
      <c r="WZ5" s="1320" t="n"/>
      <c r="XA5" s="1320" t="n"/>
      <c r="XB5" s="1320" t="n"/>
      <c r="XC5" s="1320" t="n"/>
      <c r="XD5" s="1320" t="n"/>
      <c r="XE5" s="1320" t="n"/>
      <c r="XF5" s="1320" t="n"/>
      <c r="XG5" s="1320" t="n"/>
      <c r="XH5" s="1320" t="n"/>
      <c r="XI5" s="1320" t="n"/>
      <c r="XJ5" s="1320" t="n"/>
      <c r="XK5" s="1320" t="n"/>
      <c r="XL5" s="1320" t="n"/>
      <c r="XM5" s="1320" t="n"/>
      <c r="XN5" s="1320" t="n"/>
      <c r="XO5" s="1320" t="n"/>
      <c r="XP5" s="1320" t="n"/>
      <c r="XQ5" s="1320" t="n"/>
      <c r="XR5" s="1320" t="n"/>
      <c r="XS5" s="1320" t="n"/>
      <c r="XT5" s="1320" t="n"/>
      <c r="XU5" s="1320" t="n"/>
      <c r="XV5" s="1320" t="n"/>
      <c r="XW5" s="1320" t="n"/>
      <c r="XX5" s="1320" t="n"/>
      <c r="XY5" s="1320" t="n"/>
      <c r="XZ5" s="1320" t="n"/>
      <c r="YA5" s="1320" t="n"/>
      <c r="YB5" s="1320" t="n"/>
      <c r="YC5" s="1320" t="n"/>
      <c r="YD5" s="1320" t="n"/>
      <c r="YE5" s="1320" t="n"/>
      <c r="YF5" s="1320" t="n"/>
      <c r="YG5" s="1320" t="n"/>
      <c r="YH5" s="1320" t="n"/>
      <c r="YI5" s="1320" t="n"/>
      <c r="YJ5" s="1320" t="n"/>
      <c r="YK5" s="1320" t="n"/>
      <c r="YL5" s="1320" t="n"/>
      <c r="YM5" s="1320" t="n"/>
      <c r="YN5" s="1320" t="n"/>
      <c r="YO5" s="1320" t="n"/>
      <c r="YP5" s="1320" t="n"/>
      <c r="YQ5" s="1320" t="n"/>
      <c r="YR5" s="1320" t="n"/>
      <c r="YS5" s="1320" t="n"/>
      <c r="YT5" s="1320" t="n"/>
      <c r="YU5" s="1320" t="n"/>
      <c r="YV5" s="1320" t="n"/>
      <c r="YW5" s="1320" t="n"/>
      <c r="YX5" s="1320" t="n"/>
      <c r="YY5" s="1320" t="n"/>
      <c r="YZ5" s="1320" t="n"/>
      <c r="ZA5" s="1320" t="n"/>
      <c r="ZB5" s="1320" t="n"/>
      <c r="ZC5" s="1320" t="n"/>
      <c r="ZD5" s="1320" t="n"/>
      <c r="ZE5" s="1320" t="n"/>
      <c r="ZF5" s="1320" t="n"/>
    </row>
    <row r="6" ht="13.2" customHeight="1">
      <c r="A6" s="87" t="n"/>
      <c r="B6" s="87" t="n"/>
      <c r="C6" s="87" t="n"/>
      <c r="AU6" s="1" t="inlineStr">
        <is>
          <t>*2-3 May Russia holiday</t>
        </is>
      </c>
      <c r="AW6" s="1431" t="n"/>
      <c r="AX6" s="1431" t="n"/>
      <c r="AY6" s="1431" t="n"/>
      <c r="AZ6" s="1431" t="n"/>
      <c r="BA6" s="1431" t="n"/>
      <c r="BB6" s="1431" t="n"/>
      <c r="BC6" s="1431" t="n"/>
      <c r="BD6" s="1431" t="n"/>
      <c r="BE6" s="1431" t="n"/>
      <c r="BF6" s="1431" t="n"/>
      <c r="BG6" s="1431" t="n"/>
      <c r="BH6" s="1431" t="n"/>
      <c r="BI6" s="1431" t="n"/>
      <c r="BJ6" s="1431" t="n"/>
      <c r="BK6" s="1431" t="n"/>
      <c r="BL6" s="1431" t="n"/>
      <c r="BM6" s="1431" t="n"/>
      <c r="BN6" s="1431" t="n"/>
      <c r="BO6" s="1431" t="n"/>
      <c r="BP6" s="1431" t="n"/>
      <c r="BQ6" s="1431" t="n"/>
      <c r="BR6" s="1431" t="n"/>
      <c r="BS6" s="1431" t="n"/>
      <c r="BT6" s="1431" t="n"/>
      <c r="BX6" s="1320" t="n"/>
      <c r="BY6" s="1320" t="n"/>
      <c r="BZ6" s="1320" t="n"/>
      <c r="CA6" s="1320" t="n"/>
      <c r="CB6" s="1320" t="n"/>
      <c r="CC6" s="1320" t="n"/>
      <c r="CD6" s="1320" t="n"/>
      <c r="CE6" s="1320" t="n"/>
      <c r="CF6" s="1320" t="n"/>
      <c r="CG6" s="1320" t="n"/>
      <c r="CH6" s="1320" t="n"/>
      <c r="CI6" s="1320" t="n"/>
      <c r="CJ6" s="1320" t="n"/>
      <c r="CK6" s="1320" t="n"/>
      <c r="CL6" s="1320" t="n"/>
      <c r="CM6" s="1320" t="n"/>
      <c r="CN6" s="1320" t="n"/>
      <c r="CO6" s="1320" t="n"/>
      <c r="CP6" s="1320" t="n"/>
      <c r="CQ6" s="1320" t="n"/>
      <c r="CR6" s="1320" t="n"/>
      <c r="CS6" s="1320" t="n"/>
      <c r="CT6" s="1320" t="n"/>
      <c r="CU6" s="1320" t="n"/>
      <c r="CV6" s="1320" t="n"/>
      <c r="CW6" s="1431" t="n"/>
      <c r="CX6" s="1320" t="n"/>
      <c r="CY6" s="1320" t="n"/>
      <c r="CZ6" s="1320" t="n"/>
      <c r="DA6" s="1320" t="n"/>
      <c r="DB6" s="1320" t="n"/>
      <c r="DC6" s="1320" t="n"/>
      <c r="DD6" s="1320" t="n"/>
      <c r="DE6" s="1320" t="n"/>
      <c r="DF6" s="1320" t="n"/>
      <c r="DG6" s="1320" t="n"/>
      <c r="DH6" s="1320" t="n"/>
      <c r="DI6" s="1320" t="n"/>
      <c r="DJ6" s="1320" t="n"/>
      <c r="DK6" s="1320" t="n"/>
      <c r="DL6" s="1320" t="n"/>
      <c r="DM6" s="1320" t="n"/>
      <c r="DN6" s="1320" t="n"/>
      <c r="DO6" s="1320" t="n"/>
      <c r="DP6" s="1320" t="n"/>
      <c r="DQ6" s="1320" t="n"/>
      <c r="DR6" s="1320" t="n"/>
      <c r="DS6" s="1320" t="n"/>
      <c r="DT6" s="1320" t="n"/>
      <c r="DU6" s="1320" t="n"/>
      <c r="DV6" s="1320" t="n"/>
      <c r="DW6" s="1320" t="n"/>
      <c r="DX6" s="1320" t="n"/>
      <c r="DY6" s="1320" t="n"/>
      <c r="DZ6" s="1320" t="n"/>
      <c r="EA6" s="1320" t="n"/>
      <c r="EB6" s="1320" t="n"/>
      <c r="EC6" s="1320" t="n"/>
      <c r="ED6" s="1320" t="n"/>
      <c r="EE6" s="1320" t="n"/>
      <c r="EF6" s="1320" t="n"/>
      <c r="EG6" s="1320" t="n"/>
      <c r="EH6" s="1320" t="n"/>
      <c r="EI6" s="1320" t="n"/>
      <c r="EJ6" s="1320" t="n"/>
      <c r="EK6" s="1320" t="n"/>
      <c r="EL6" s="1320" t="n"/>
      <c r="EM6" s="1320" t="n"/>
      <c r="EN6" s="1320" t="n"/>
      <c r="EO6" s="1320" t="n"/>
      <c r="EP6" s="1320" t="n"/>
      <c r="EQ6" s="1320" t="n"/>
      <c r="ER6" s="1320" t="n"/>
      <c r="ES6" s="1320" t="n"/>
      <c r="ET6" s="1320" t="n"/>
      <c r="EU6" s="1320" t="n"/>
      <c r="EV6" s="1320" t="n"/>
      <c r="EW6" s="1320" t="n"/>
      <c r="EX6" s="1320" t="n"/>
      <c r="EY6" s="1320" t="n"/>
      <c r="EZ6" s="1320" t="n"/>
      <c r="FA6" s="1320" t="n"/>
      <c r="FB6" s="1320" t="n"/>
      <c r="FC6" s="1320" t="n"/>
      <c r="FD6" s="1320" t="n"/>
      <c r="FE6" s="1320" t="n"/>
      <c r="FF6" s="1320" t="n"/>
      <c r="FG6" s="1320" t="n"/>
      <c r="FH6" s="1320" t="n"/>
      <c r="FI6" s="1320" t="n"/>
      <c r="FJ6" s="1320" t="n"/>
      <c r="FK6" s="1320" t="n"/>
      <c r="FL6" s="1320" t="n"/>
      <c r="FM6" s="1320" t="n"/>
      <c r="FN6" s="1320" t="n"/>
      <c r="FO6" s="1320" t="n"/>
      <c r="FP6" s="1320" t="n"/>
      <c r="FQ6" s="1320" t="n"/>
      <c r="FR6" s="1320" t="n"/>
      <c r="FS6" s="1320" t="n"/>
      <c r="FT6" s="1320" t="n"/>
      <c r="FU6" s="1320" t="n"/>
      <c r="FV6" s="1320" t="n"/>
      <c r="FW6" s="1320" t="n"/>
      <c r="FX6" s="1320" t="n"/>
      <c r="FY6" s="1320" t="n"/>
      <c r="FZ6" s="1320" t="n"/>
      <c r="GA6" s="1320" t="n"/>
      <c r="GB6" s="1320" t="n"/>
      <c r="GC6" s="1320" t="n"/>
      <c r="GD6" s="1320" t="n"/>
      <c r="GE6" s="1320" t="n"/>
      <c r="GF6" s="1320" t="n"/>
      <c r="GG6" s="1320" t="n"/>
      <c r="GH6" s="1320" t="n"/>
      <c r="GI6" s="1320" t="n"/>
      <c r="GJ6" s="1320" t="n"/>
      <c r="GK6" s="1320" t="n"/>
      <c r="GL6" s="1320" t="n"/>
      <c r="GM6" s="1320" t="n"/>
      <c r="GN6" s="1320" t="n"/>
      <c r="GO6" s="1320" t="n"/>
      <c r="GP6" s="1320" t="n"/>
      <c r="GQ6" s="1320" t="n"/>
      <c r="GR6" s="1320" t="n"/>
      <c r="GS6" s="1320" t="n"/>
      <c r="GT6" s="1320" t="n"/>
      <c r="GU6" s="1320" t="n"/>
      <c r="GV6" s="1320" t="n"/>
      <c r="GW6" s="1320" t="n"/>
      <c r="GX6" s="1320" t="n"/>
      <c r="GY6" s="1320" t="n"/>
      <c r="GZ6" s="1320" t="n"/>
      <c r="HA6" s="1320" t="n"/>
      <c r="HB6" s="1320" t="n"/>
      <c r="HC6" s="1320" t="n"/>
      <c r="HD6" s="1320" t="n"/>
      <c r="HE6" s="1320" t="n"/>
      <c r="HF6" s="1320" t="n"/>
      <c r="HG6" s="1320" t="n"/>
      <c r="HH6" s="1320" t="n"/>
      <c r="HI6" s="1320" t="n"/>
      <c r="HJ6" s="1320" t="n"/>
      <c r="HK6" s="1320" t="n"/>
      <c r="HL6" s="1320" t="n"/>
      <c r="HM6" s="1320" t="n"/>
      <c r="HN6" s="1320" t="n"/>
      <c r="HO6" s="1320" t="n"/>
      <c r="HP6" s="1320" t="n"/>
      <c r="HQ6" s="1320" t="n"/>
      <c r="HR6" s="1320" t="n"/>
      <c r="HS6" s="1320" t="n"/>
      <c r="HT6" s="1320" t="n"/>
      <c r="HU6" s="1320" t="n"/>
      <c r="HV6" s="1320" t="n"/>
      <c r="HW6" s="1320" t="n"/>
      <c r="HX6" s="1320" t="n"/>
      <c r="HY6" s="1320" t="n"/>
      <c r="HZ6" s="1320" t="n"/>
      <c r="IA6" s="1320" t="n"/>
      <c r="IB6" s="1320" t="n"/>
      <c r="IC6" s="1320" t="n"/>
      <c r="ID6" s="1320" t="n"/>
      <c r="IE6" s="1320" t="n"/>
      <c r="IF6" s="1320" t="n"/>
      <c r="IG6" s="1320" t="n"/>
      <c r="IH6" s="1320" t="n"/>
      <c r="II6" s="1320" t="n"/>
      <c r="IJ6" s="1320" t="n"/>
      <c r="IK6" s="1320" t="n"/>
      <c r="IL6" s="1320" t="n"/>
      <c r="IM6" s="1320" t="n"/>
      <c r="IN6" s="1320" t="n"/>
      <c r="IO6" s="1320" t="n"/>
      <c r="IP6" s="1320" t="n"/>
      <c r="IQ6" s="1320" t="n"/>
      <c r="IR6" s="1320" t="n"/>
      <c r="IS6" s="1320" t="n"/>
      <c r="IT6" s="1320" t="n"/>
      <c r="IU6" s="1320" t="n"/>
      <c r="IV6" s="1320" t="n"/>
      <c r="IW6" s="1320" t="n"/>
      <c r="IX6" s="1320" t="n"/>
      <c r="IY6" s="1320" t="n"/>
      <c r="IZ6" s="1320" t="n"/>
      <c r="JA6" s="1320" t="n"/>
      <c r="JB6" s="1320" t="n"/>
      <c r="JC6" s="1320" t="n"/>
      <c r="JD6" s="1320" t="n"/>
      <c r="JE6" s="1320" t="n"/>
      <c r="JF6" s="1320" t="n"/>
      <c r="JG6" s="1320" t="n"/>
      <c r="JH6" s="1320" t="n"/>
      <c r="JI6" s="1320" t="n"/>
      <c r="JJ6" s="1320" t="n"/>
      <c r="JK6" s="1320" t="n"/>
      <c r="JL6" s="1320" t="n"/>
      <c r="JM6" s="1320" t="n"/>
      <c r="JN6" s="1320" t="n"/>
      <c r="JO6" s="1320" t="n"/>
      <c r="JP6" s="1320" t="n"/>
      <c r="JQ6" s="1320" t="n"/>
      <c r="JR6" s="1320" t="n"/>
      <c r="JS6" s="1320" t="n"/>
      <c r="JT6" s="1320" t="n"/>
      <c r="JU6" s="1320" t="n"/>
      <c r="JV6" s="1320" t="n"/>
      <c r="JW6" s="1320" t="n"/>
      <c r="JX6" s="1320" t="n"/>
      <c r="JY6" s="1320" t="n"/>
      <c r="JZ6" s="1320" t="n"/>
      <c r="KA6" s="1320" t="n"/>
      <c r="KB6" s="1320" t="n"/>
      <c r="KC6" s="1320" t="n"/>
      <c r="KD6" s="1320" t="n"/>
      <c r="KE6" s="1320" t="n"/>
      <c r="KF6" s="1320" t="n"/>
      <c r="KG6" s="1320" t="n"/>
      <c r="KH6" s="1320" t="n"/>
      <c r="KI6" s="1320" t="n"/>
      <c r="KJ6" s="1320" t="n"/>
      <c r="KK6" s="1320" t="n"/>
      <c r="KL6" s="1320" t="n"/>
      <c r="KM6" s="1320" t="n"/>
      <c r="KN6" s="1320" t="n"/>
      <c r="KO6" s="1320" t="n"/>
      <c r="KP6" s="1320" t="n"/>
      <c r="KQ6" s="1320" t="n"/>
      <c r="KR6" s="1320" t="n"/>
      <c r="KS6" s="1320" t="n"/>
      <c r="KT6" s="1320" t="n"/>
      <c r="KU6" s="1320" t="n"/>
      <c r="KV6" s="1320" t="n"/>
      <c r="KW6" s="1320" t="n"/>
      <c r="KX6" s="1320" t="n"/>
      <c r="KY6" s="1320" t="n"/>
      <c r="KZ6" s="1320" t="n"/>
      <c r="LA6" s="1320" t="n"/>
      <c r="LB6" s="1320" t="n"/>
      <c r="LC6" s="1320" t="n"/>
      <c r="LD6" s="1320" t="n"/>
      <c r="LE6" s="1320" t="n"/>
      <c r="LF6" s="1320" t="n"/>
      <c r="LG6" s="1320" t="n"/>
      <c r="LH6" s="1320" t="n"/>
      <c r="LI6" s="1320" t="n"/>
      <c r="LJ6" s="1320" t="n"/>
      <c r="LK6" s="1320" t="n"/>
      <c r="LL6" s="1320" t="n"/>
      <c r="LM6" s="1320" t="n"/>
      <c r="LN6" s="1320" t="n"/>
      <c r="LO6" s="1320" t="n"/>
      <c r="LP6" s="1320" t="n"/>
      <c r="LQ6" s="1320" t="n"/>
      <c r="LR6" s="1320" t="n"/>
      <c r="LS6" s="1320" t="n"/>
      <c r="LT6" s="1320" t="n"/>
      <c r="LU6" s="1320" t="n"/>
      <c r="LV6" s="964" t="n"/>
      <c r="LW6" s="964" t="n"/>
      <c r="LX6" s="964" t="n"/>
      <c r="LY6" s="964" t="n"/>
      <c r="LZ6" s="964" t="n"/>
      <c r="MA6" s="964" t="n"/>
      <c r="MB6" s="964" t="n"/>
      <c r="MC6" s="964" t="n"/>
      <c r="MD6" s="964" t="n"/>
      <c r="ME6" s="964" t="n"/>
      <c r="MF6" s="964" t="n"/>
      <c r="MG6" s="964" t="n"/>
      <c r="MH6" s="964" t="n"/>
      <c r="MI6" s="964" t="n"/>
      <c r="MJ6" s="964" t="n"/>
      <c r="MK6" s="964" t="n"/>
      <c r="ML6" s="964" t="n"/>
      <c r="MM6" s="964" t="n"/>
      <c r="MN6" s="964" t="n"/>
      <c r="MO6" s="964" t="n"/>
      <c r="MP6" s="964" t="n"/>
      <c r="MQ6" s="964" t="n"/>
      <c r="MR6" s="964" t="n"/>
      <c r="MS6" s="964" t="n"/>
      <c r="MT6" s="964" t="n"/>
      <c r="MU6" s="964" t="n"/>
      <c r="MV6" s="964" t="n"/>
      <c r="MW6" s="964" t="n"/>
      <c r="MX6" s="964" t="n"/>
      <c r="MY6" s="964" t="n"/>
      <c r="MZ6" s="964" t="n"/>
      <c r="NA6" s="964" t="n"/>
      <c r="NB6" s="964" t="n"/>
      <c r="NC6" s="964" t="n"/>
      <c r="ND6" s="964" t="n"/>
      <c r="NE6" s="964" t="n"/>
      <c r="NF6" s="964" t="n"/>
      <c r="NG6" s="964" t="n"/>
      <c r="NH6" s="964" t="n"/>
      <c r="NI6" s="964" t="n"/>
      <c r="NJ6" s="964" t="n"/>
      <c r="NK6" s="964" t="n"/>
      <c r="NL6" s="964" t="n"/>
      <c r="NM6" s="964" t="n"/>
      <c r="NN6" s="964" t="n"/>
      <c r="NO6" s="964" t="n"/>
      <c r="NP6" s="964" t="n"/>
      <c r="NQ6" s="964" t="n"/>
      <c r="NR6" s="964" t="n"/>
      <c r="NS6" s="964" t="n"/>
      <c r="NT6" s="964" t="n"/>
      <c r="NU6" s="964" t="n"/>
      <c r="NV6" s="964" t="n"/>
      <c r="NW6" s="964" t="n"/>
      <c r="NX6" s="964" t="n"/>
      <c r="NY6" s="964" t="n"/>
      <c r="NZ6" s="964" t="n"/>
      <c r="OA6" s="964" t="n"/>
      <c r="OB6" s="964" t="n"/>
      <c r="OC6" s="964" t="n"/>
      <c r="OD6" s="964" t="n"/>
      <c r="OE6" s="964" t="n"/>
      <c r="OF6" s="964" t="n"/>
      <c r="OG6" s="964" t="n"/>
      <c r="OH6" s="964" t="n"/>
      <c r="OI6" s="964" t="n"/>
      <c r="OJ6" s="964" t="n"/>
      <c r="OK6" s="964" t="n"/>
      <c r="OL6" s="964" t="n"/>
      <c r="OM6" s="964" t="n"/>
      <c r="ON6" s="964" t="n"/>
      <c r="OO6" s="964" t="n"/>
      <c r="OP6" s="964" t="n"/>
      <c r="OQ6" s="964" t="n"/>
      <c r="OR6" s="964" t="n"/>
      <c r="OS6" s="964" t="n"/>
      <c r="OT6" s="964" t="n"/>
      <c r="OU6" s="964" t="n"/>
      <c r="OV6" s="964" t="n"/>
      <c r="OW6" s="964" t="n"/>
      <c r="OX6" s="964" t="n"/>
      <c r="OY6" s="964" t="n"/>
      <c r="OZ6" s="964" t="n"/>
      <c r="PA6" s="964" t="n"/>
      <c r="PB6" s="964" t="n"/>
      <c r="PC6" s="964" t="n"/>
      <c r="PD6" s="964" t="n"/>
      <c r="PE6" s="964" t="n"/>
      <c r="PF6" s="964" t="n"/>
      <c r="PG6" s="964" t="n"/>
      <c r="PH6" s="964" t="n"/>
      <c r="PI6" s="964" t="n"/>
      <c r="PJ6" s="964" t="n"/>
      <c r="PK6" s="964" t="n"/>
      <c r="PL6" s="964" t="n"/>
      <c r="PM6" s="964" t="n"/>
      <c r="PN6" s="964" t="n"/>
      <c r="PO6" s="964" t="n"/>
      <c r="PP6" s="964" t="n"/>
      <c r="PQ6" s="964" t="n"/>
      <c r="PR6" s="964" t="n"/>
      <c r="PS6" s="964" t="n"/>
      <c r="PT6" s="964" t="n"/>
      <c r="PU6" s="964" t="n"/>
      <c r="PV6" s="964" t="n"/>
      <c r="PW6" s="964" t="n"/>
      <c r="PX6" s="964" t="n"/>
      <c r="PY6" s="964" t="n"/>
      <c r="PZ6" s="964" t="n"/>
      <c r="QA6" s="964" t="n"/>
      <c r="QB6" s="964" t="n"/>
      <c r="QC6" s="964" t="n"/>
      <c r="QD6" s="964" t="n"/>
      <c r="QE6" s="964" t="n"/>
      <c r="QF6" s="964" t="n"/>
      <c r="QG6" s="964" t="n"/>
      <c r="QH6" s="964" t="n"/>
      <c r="QI6" s="964" t="n"/>
      <c r="QJ6" s="964" t="n"/>
      <c r="QK6" s="964" t="n"/>
      <c r="QL6" s="964" t="n"/>
      <c r="QM6" s="964" t="n"/>
      <c r="QN6" s="964" t="n"/>
      <c r="QO6" s="964" t="n"/>
      <c r="QP6" s="964" t="n"/>
      <c r="QQ6" s="964" t="n"/>
      <c r="QR6" s="964" t="n"/>
      <c r="QS6" s="964" t="n"/>
      <c r="QT6" s="964" t="n"/>
      <c r="QU6" s="964" t="n"/>
      <c r="QV6" s="964" t="n"/>
      <c r="QW6" s="964" t="n"/>
      <c r="QX6" s="964" t="n"/>
      <c r="QY6" s="964" t="n"/>
      <c r="QZ6" s="964" t="n"/>
      <c r="RA6" s="964" t="n"/>
      <c r="RB6" s="964" t="n"/>
      <c r="RC6" s="964" t="n"/>
      <c r="RD6" s="964" t="n"/>
      <c r="RE6" s="964" t="n"/>
      <c r="RF6" s="964" t="n"/>
      <c r="RG6" s="964" t="n"/>
      <c r="RH6" s="964" t="n"/>
      <c r="RI6" s="964" t="n"/>
      <c r="RJ6" s="964" t="n"/>
      <c r="RK6" s="964" t="n"/>
      <c r="RL6" s="964" t="n"/>
      <c r="RM6" s="964" t="n"/>
      <c r="RN6" s="964" t="n"/>
      <c r="RO6" s="964" t="n"/>
      <c r="RP6" s="964" t="n"/>
      <c r="RQ6" s="964" t="n"/>
      <c r="RR6" s="964" t="n"/>
      <c r="RS6" s="964" t="n"/>
      <c r="RT6" s="964" t="n"/>
      <c r="RU6" s="964" t="n"/>
      <c r="RV6" s="964" t="n"/>
      <c r="RW6" s="964" t="n"/>
      <c r="RX6" s="964" t="n"/>
      <c r="RY6" s="964" t="n"/>
      <c r="RZ6" s="964" t="n"/>
      <c r="SA6" s="964" t="n"/>
      <c r="SB6" s="964" t="n"/>
      <c r="SC6" s="964" t="n"/>
      <c r="SD6" s="964" t="n"/>
      <c r="SE6" s="964" t="n"/>
      <c r="SF6" s="964" t="n"/>
      <c r="SG6" s="964" t="n"/>
      <c r="SH6" s="964" t="n"/>
      <c r="SI6" s="964" t="n"/>
      <c r="SJ6" s="964" t="n"/>
      <c r="SK6" s="964" t="n"/>
      <c r="SL6" s="964" t="n"/>
      <c r="SM6" s="964" t="n"/>
      <c r="SN6" s="964" t="n"/>
      <c r="SO6" s="964" t="n"/>
      <c r="SP6" s="964" t="n"/>
      <c r="SQ6" s="964" t="n"/>
      <c r="SR6" s="964" t="n"/>
      <c r="SS6" s="964" t="n"/>
      <c r="ST6" s="964" t="n"/>
      <c r="SU6" s="964" t="n"/>
      <c r="SV6" s="964" t="n"/>
      <c r="SW6" s="964" t="n"/>
      <c r="SX6" s="964" t="n"/>
      <c r="SY6" s="964" t="n"/>
      <c r="SZ6" s="964" t="n"/>
      <c r="TA6" s="964" t="n"/>
      <c r="TB6" s="964" t="n"/>
      <c r="TC6" s="964" t="n"/>
      <c r="TD6" s="964" t="n"/>
      <c r="TE6" s="964" t="n"/>
      <c r="TF6" s="964" t="n"/>
      <c r="TG6" s="964" t="n"/>
      <c r="TH6" s="964" t="n"/>
      <c r="TI6" s="964" t="n"/>
      <c r="TJ6" s="964" t="n"/>
      <c r="TK6" s="964" t="n"/>
      <c r="TL6" s="964" t="n"/>
      <c r="TM6" s="964" t="n"/>
      <c r="TN6" s="964" t="n"/>
      <c r="TO6" s="964" t="n"/>
      <c r="TP6" s="964" t="n"/>
      <c r="TQ6" s="964" t="n"/>
      <c r="TR6" s="964" t="n"/>
      <c r="TS6" s="964" t="n"/>
      <c r="TT6" s="964" t="n"/>
      <c r="TU6" s="964" t="n"/>
      <c r="TV6" s="964" t="n"/>
      <c r="TW6" s="964" t="n"/>
      <c r="TX6" s="964" t="n"/>
      <c r="TY6" s="964" t="n"/>
      <c r="TZ6" s="964" t="n"/>
      <c r="UA6" s="964" t="n"/>
      <c r="UB6" s="964" t="n"/>
      <c r="UC6" s="964" t="n"/>
      <c r="UD6" s="964" t="n"/>
      <c r="UE6" s="964" t="n"/>
      <c r="UF6" s="964" t="n"/>
      <c r="UG6" s="964" t="n"/>
      <c r="UH6" s="964" t="n"/>
      <c r="UI6" s="964" t="n"/>
      <c r="UJ6" s="964" t="n"/>
      <c r="UK6" s="964" t="n"/>
      <c r="UL6" s="964" t="n"/>
      <c r="UM6" s="964" t="n"/>
      <c r="UN6" s="964" t="n"/>
      <c r="UO6" s="964" t="n"/>
      <c r="UP6" s="964" t="n"/>
      <c r="UQ6" s="964" t="n"/>
      <c r="UR6" s="964" t="n"/>
      <c r="US6" s="964" t="n"/>
      <c r="UT6" s="964" t="n"/>
      <c r="UU6" s="964" t="n"/>
      <c r="UV6" s="964" t="n"/>
      <c r="UW6" s="964" t="n"/>
      <c r="UX6" s="964" t="n"/>
      <c r="UY6" s="964" t="n"/>
      <c r="UZ6" s="964" t="n"/>
      <c r="VA6" s="964" t="n"/>
      <c r="VB6" s="964" t="n"/>
      <c r="VC6" s="964" t="n"/>
      <c r="VD6" s="964" t="n"/>
      <c r="VE6" s="964" t="n"/>
      <c r="VF6" s="964" t="n"/>
      <c r="VG6" s="964" t="n"/>
      <c r="VH6" s="964" t="n"/>
      <c r="VI6" s="964" t="n"/>
      <c r="VJ6" s="964" t="n"/>
      <c r="VK6" s="964" t="n"/>
      <c r="VL6" s="964" t="n"/>
      <c r="VM6" s="964" t="n"/>
      <c r="VN6" s="964" t="n"/>
      <c r="VO6" s="964" t="n"/>
      <c r="VP6" s="964" t="n"/>
      <c r="VQ6" s="964" t="n"/>
      <c r="VR6" s="964" t="n"/>
      <c r="VS6" s="964" t="n"/>
      <c r="VT6" s="964" t="n"/>
      <c r="VU6" s="964" t="n"/>
      <c r="VV6" s="964" t="n"/>
      <c r="VW6" s="964" t="n"/>
      <c r="VX6" s="964" t="n"/>
      <c r="VY6" s="964" t="n"/>
      <c r="VZ6" s="964" t="n"/>
      <c r="WA6" s="964" t="n"/>
      <c r="WB6" s="964" t="n"/>
      <c r="WC6" s="964" t="n"/>
      <c r="WD6" s="964" t="n"/>
      <c r="WE6" s="964" t="n"/>
      <c r="WF6" s="964" t="n"/>
      <c r="WG6" s="964" t="n"/>
      <c r="WH6" s="964" t="n"/>
      <c r="WI6" s="964" t="n"/>
      <c r="WJ6" s="964" t="n"/>
      <c r="WK6" s="964" t="n"/>
      <c r="WL6" s="964" t="n"/>
      <c r="WM6" s="964" t="n"/>
      <c r="WN6" s="964" t="n"/>
      <c r="WO6" s="964" t="n"/>
      <c r="WP6" s="964" t="n"/>
      <c r="WQ6" s="964" t="n"/>
      <c r="WR6" s="964" t="n"/>
      <c r="WS6" s="964" t="n"/>
      <c r="WT6" s="964" t="n"/>
      <c r="WU6" s="964" t="n"/>
      <c r="WV6" s="964" t="n"/>
      <c r="WW6" s="964" t="n"/>
      <c r="WX6" s="964" t="n"/>
      <c r="WY6" s="964" t="n"/>
      <c r="WZ6" s="964" t="n"/>
      <c r="XA6" s="964" t="n"/>
      <c r="XB6" s="964" t="n"/>
      <c r="XC6" s="964" t="n"/>
      <c r="XD6" s="964" t="n"/>
      <c r="XE6" s="964" t="n"/>
      <c r="XF6" s="964" t="n"/>
      <c r="XG6" s="964" t="n"/>
      <c r="XH6" s="964" t="n"/>
      <c r="XI6" s="964" t="n"/>
      <c r="XJ6" s="964" t="n"/>
      <c r="XK6" s="964" t="n"/>
      <c r="XL6" s="964" t="n"/>
      <c r="XM6" s="964" t="n"/>
      <c r="XN6" s="964" t="n"/>
      <c r="XO6" s="964" t="n"/>
      <c r="XP6" s="964" t="n"/>
      <c r="XQ6" s="964" t="n"/>
      <c r="XR6" s="964" t="n"/>
      <c r="XS6" s="964" t="n"/>
      <c r="XT6" s="964" t="n"/>
      <c r="XU6" s="964" t="n"/>
      <c r="XV6" s="964" t="n"/>
      <c r="XW6" s="964" t="n"/>
      <c r="XX6" s="964" t="n"/>
      <c r="XY6" s="964" t="n"/>
      <c r="XZ6" s="964" t="n"/>
      <c r="YA6" s="964" t="n"/>
      <c r="YB6" s="964" t="n"/>
      <c r="YC6" s="964" t="n"/>
      <c r="YD6" s="964" t="n"/>
      <c r="YE6" s="964" t="n"/>
      <c r="YF6" s="964" t="n"/>
      <c r="YG6" s="964" t="n"/>
      <c r="YH6" s="964" t="n"/>
      <c r="YI6" s="964" t="n"/>
      <c r="YJ6" s="964" t="n"/>
      <c r="YK6" s="964" t="n"/>
      <c r="YL6" s="964" t="n"/>
      <c r="YM6" s="964" t="n"/>
      <c r="YN6" s="964" t="n"/>
      <c r="YO6" s="964" t="n"/>
      <c r="YP6" s="964" t="n"/>
      <c r="YQ6" s="964" t="n"/>
      <c r="YR6" s="964" t="n"/>
      <c r="YS6" s="964" t="n"/>
      <c r="YT6" s="964" t="n"/>
      <c r="YU6" s="964" t="n"/>
      <c r="YV6" s="964" t="n"/>
      <c r="YW6" s="964" t="n"/>
      <c r="YX6" s="964" t="n"/>
      <c r="YY6" s="964" t="n"/>
      <c r="YZ6" s="964" t="n"/>
      <c r="ZA6" s="964" t="n"/>
      <c r="ZB6" s="964" t="n"/>
      <c r="ZC6" s="964" t="n"/>
      <c r="ZD6" s="964" t="n"/>
      <c r="ZE6" s="964" t="n"/>
      <c r="ZF6" s="964" t="n"/>
    </row>
    <row r="7">
      <c r="A7" s="1330" t="inlineStr">
        <is>
          <t>Exchange Rate</t>
        </is>
      </c>
      <c r="B7" s="1432" t="n"/>
      <c r="C7" s="88" t="inlineStr">
        <is>
          <t>RUB/USD</t>
        </is>
      </c>
      <c r="D7" s="5" t="n">
        <v>86.92</v>
      </c>
      <c r="E7" s="1433" t="n">
        <v>97.03</v>
      </c>
      <c r="F7" s="1433" t="n">
        <v>99.31999999999999</v>
      </c>
      <c r="G7" s="1433" t="n">
        <v>103.24</v>
      </c>
      <c r="H7" s="1433" t="n">
        <v>111.7564</v>
      </c>
      <c r="I7" s="1433" t="n">
        <v>105.81</v>
      </c>
      <c r="J7" s="1433" t="n">
        <v>116.0847</v>
      </c>
      <c r="K7" s="1433" t="n">
        <v>120.3785</v>
      </c>
      <c r="L7" s="1433" t="n">
        <v>116.7517</v>
      </c>
      <c r="M7" s="1433" t="n">
        <v>115.1963</v>
      </c>
      <c r="N7" s="1433" t="n">
        <v>111.4823</v>
      </c>
      <c r="O7" s="1433" t="n">
        <v>108.0521</v>
      </c>
      <c r="P7" s="1433" t="n">
        <v>104.8012</v>
      </c>
      <c r="Q7" s="1433" t="n">
        <v>103.9524</v>
      </c>
      <c r="R7" s="1433" t="n">
        <v>104.6819</v>
      </c>
      <c r="S7" s="1433" t="n">
        <v>104.0741</v>
      </c>
      <c r="T7" s="1433" t="n">
        <v>103.1618</v>
      </c>
      <c r="U7" s="1433" t="n">
        <v>96.0458</v>
      </c>
      <c r="V7" s="1433" t="n">
        <v>95.6618</v>
      </c>
      <c r="W7" s="1433" t="n">
        <v>93.71250000000001</v>
      </c>
      <c r="X7" s="1433" t="n">
        <v>86.2843</v>
      </c>
      <c r="Y7" s="1433" t="n">
        <v>84.0851</v>
      </c>
      <c r="Z7" s="1433" t="n">
        <v>83.4097</v>
      </c>
      <c r="AA7" s="1433" t="n">
        <v>83.4285</v>
      </c>
      <c r="AB7" s="1433" t="n">
        <v>83.5932</v>
      </c>
      <c r="AC7" s="1433" t="n">
        <v>83.352</v>
      </c>
      <c r="AD7" s="1433" t="n">
        <v>82.5962</v>
      </c>
      <c r="AE7" s="1433" t="n">
        <v>76.2547</v>
      </c>
      <c r="AF7" s="1433" t="n">
        <v>74.8501</v>
      </c>
      <c r="AG7" s="1433" t="n">
        <v>79.1596</v>
      </c>
      <c r="AH7" s="1433" t="n">
        <v>79.62739999999999</v>
      </c>
      <c r="AI7" s="1433" t="n">
        <v>79.8471</v>
      </c>
      <c r="AJ7" s="1433" t="n">
        <v>81.288</v>
      </c>
      <c r="AK7" s="1433" t="n">
        <v>80.0437</v>
      </c>
      <c r="AL7" s="1433" t="n">
        <v>79.4529</v>
      </c>
      <c r="AM7" s="1433" t="n">
        <v>79.0287</v>
      </c>
      <c r="AN7" s="1433" t="n">
        <v>77.0809</v>
      </c>
      <c r="AO7" s="1433" t="n">
        <v>74.999</v>
      </c>
      <c r="AP7" s="1433" t="n">
        <v>73.505</v>
      </c>
      <c r="AQ7" s="1433" t="n">
        <v>73.36109999999999</v>
      </c>
      <c r="AR7" s="1433" t="n">
        <v>72.7089</v>
      </c>
      <c r="AS7" s="1433" t="n">
        <v>72.8764</v>
      </c>
      <c r="AT7" s="1433" t="n">
        <v>72.2953</v>
      </c>
      <c r="AU7" s="1433" t="n">
        <v>71.02370000000001</v>
      </c>
      <c r="AV7" s="1433" t="n">
        <v>69.416</v>
      </c>
      <c r="AW7" s="1433" t="n">
        <v>66.23779999999999</v>
      </c>
      <c r="AX7" s="1433" t="n">
        <v>67.3843</v>
      </c>
      <c r="AY7" s="1433" t="n">
        <v>68.8389</v>
      </c>
      <c r="AZ7" s="1433" t="n">
        <v>65.7916</v>
      </c>
      <c r="BA7" s="1433" t="n">
        <v>63.7799</v>
      </c>
      <c r="BB7" s="1433" t="n">
        <v>63.4445</v>
      </c>
      <c r="BC7" s="1433" t="n">
        <v>63.5428</v>
      </c>
      <c r="BD7" s="1433" t="n">
        <v>63.5643</v>
      </c>
      <c r="BE7" s="1433" t="n">
        <v>62.4031</v>
      </c>
      <c r="BF7" s="1433" t="n">
        <v>58.8862</v>
      </c>
      <c r="BG7" s="1433" t="n">
        <v>58.2087</v>
      </c>
      <c r="BH7" s="1433" t="n">
        <v>56.969</v>
      </c>
      <c r="BI7" s="1433" t="n">
        <v>56.2996</v>
      </c>
      <c r="BJ7" s="1433" t="n">
        <v>62.0495</v>
      </c>
      <c r="BK7" s="1433" t="n">
        <v>66.4029</v>
      </c>
      <c r="BL7" s="1433" t="n">
        <v>63.0975</v>
      </c>
      <c r="BM7" s="1433" t="n">
        <v>61.6069</v>
      </c>
      <c r="BN7" s="1433" t="n">
        <v>61.4733</v>
      </c>
      <c r="BO7" s="1433" t="n">
        <v>61.575</v>
      </c>
      <c r="BP7" s="1433" t="n">
        <v>61.9659</v>
      </c>
      <c r="BQ7" s="1433" t="n">
        <v>61.1094</v>
      </c>
      <c r="BR7" s="1433" t="n">
        <v>60.9565</v>
      </c>
      <c r="BS7" s="1433" t="n">
        <v>60.2282</v>
      </c>
      <c r="BT7" s="1433" t="n">
        <v>58.3895</v>
      </c>
      <c r="BU7" s="1433" t="n">
        <v>57.778</v>
      </c>
      <c r="BV7" s="1433" t="n">
        <v>57.0926</v>
      </c>
      <c r="BW7" s="1433" t="n">
        <v>56.6624</v>
      </c>
      <c r="BX7" s="1433" t="n">
        <v>56.8691</v>
      </c>
      <c r="BY7" s="1433" t="n">
        <v>56.7101</v>
      </c>
      <c r="BZ7" s="1433" t="n">
        <v>56.1727</v>
      </c>
      <c r="CA7" s="1433" t="n">
        <v>54.7081</v>
      </c>
      <c r="CB7" s="1433" t="n">
        <v>53.2788</v>
      </c>
      <c r="CC7" s="1433" t="n">
        <v>53.3578</v>
      </c>
      <c r="CD7" s="1433" t="n">
        <v>53.3234</v>
      </c>
      <c r="CE7" s="1433" t="n">
        <v>53.3641</v>
      </c>
      <c r="CF7" s="1433" t="n">
        <v>52.9699</v>
      </c>
      <c r="CG7" s="1433" t="n">
        <v>51.158</v>
      </c>
      <c r="CH7" s="1433" t="n">
        <v>52.5123</v>
      </c>
      <c r="CI7" s="1433" t="n">
        <v>53.7676</v>
      </c>
      <c r="CJ7" s="1433" t="n">
        <v>55.0858</v>
      </c>
      <c r="CK7" s="1433" t="n">
        <v>58.5118</v>
      </c>
      <c r="CL7" s="1433" t="n">
        <v>62.911</v>
      </c>
      <c r="CM7" s="1433" t="n">
        <v>63.1427</v>
      </c>
      <c r="CN7" s="1433" t="n">
        <v>61.2664</v>
      </c>
      <c r="CO7" s="1433" t="n">
        <v>61.3045</v>
      </c>
      <c r="CP7" s="1433" t="n">
        <v>58.8541</v>
      </c>
      <c r="CQ7" s="1433" t="n">
        <v>58.5322</v>
      </c>
      <c r="CR7" s="1433" t="n">
        <v>58.2568</v>
      </c>
      <c r="CS7" s="1433" t="n">
        <v>57.8323</v>
      </c>
      <c r="CT7" s="1433" t="n">
        <v>56.5616</v>
      </c>
      <c r="CU7" s="1433" t="n">
        <v>55.437</v>
      </c>
      <c r="CV7" s="1433" t="n">
        <v>54.8491</v>
      </c>
      <c r="CW7" s="1433" t="n">
        <v>56.4783</v>
      </c>
      <c r="CX7" s="1433" t="n">
        <v>57.3917</v>
      </c>
      <c r="CY7" s="1433" t="n">
        <v>57.7821</v>
      </c>
      <c r="CZ7" s="1433" t="n">
        <v>58.6605</v>
      </c>
      <c r="DA7" s="1433" t="n">
        <v>60.2198</v>
      </c>
      <c r="DB7" s="1433" t="n">
        <v>60.2031</v>
      </c>
      <c r="DC7" s="1433" t="n">
        <v>61.3101</v>
      </c>
      <c r="DD7" s="1433" t="n">
        <v>62.0506</v>
      </c>
      <c r="DE7" s="1433" t="n">
        <v>60.1595</v>
      </c>
      <c r="DF7" s="1433" t="n">
        <v>60.2374</v>
      </c>
      <c r="DG7" s="1433" t="n">
        <v>60.258</v>
      </c>
      <c r="DH7" s="1433" t="n">
        <v>60.3696</v>
      </c>
      <c r="DI7" s="1433" t="n">
        <v>60.3164</v>
      </c>
      <c r="DJ7" s="1433" t="n">
        <v>60.3814</v>
      </c>
      <c r="DK7" s="1433" t="n">
        <v>60.4542</v>
      </c>
      <c r="DL7" s="1433" t="n">
        <v>60.6229</v>
      </c>
      <c r="DM7" s="1433" t="n">
        <v>60.8993</v>
      </c>
      <c r="DN7" s="1433" t="n">
        <v>61.3747</v>
      </c>
      <c r="DO7" s="1433" t="n">
        <v>61.4247</v>
      </c>
      <c r="DP7" s="1433" t="n">
        <v>60.7552</v>
      </c>
      <c r="DQ7" s="1433" t="n">
        <v>59.957</v>
      </c>
      <c r="DR7" s="1433" t="n">
        <v>59.1321</v>
      </c>
      <c r="DS7" s="1433" t="n">
        <v>59.7419</v>
      </c>
      <c r="DT7" s="1433" t="n">
        <v>59.8963</v>
      </c>
      <c r="DU7" s="1433" t="n">
        <v>59.9974</v>
      </c>
      <c r="DV7" s="1433" t="n">
        <v>59.7699</v>
      </c>
      <c r="DW7" s="1433" t="n">
        <v>60.0924</v>
      </c>
      <c r="DX7" s="1433" t="n">
        <v>60.3636</v>
      </c>
      <c r="DY7" s="1433" t="n">
        <v>60.3677</v>
      </c>
      <c r="DZ7" s="1433" t="n">
        <v>60.2386</v>
      </c>
      <c r="EA7" s="1433" t="n">
        <v>60.237</v>
      </c>
      <c r="EB7" s="1433" t="n">
        <v>60.3713</v>
      </c>
      <c r="EC7" s="1433" t="n">
        <v>60.9033</v>
      </c>
      <c r="ED7" s="1433" t="n">
        <v>60.8544</v>
      </c>
      <c r="EE7" s="1433" t="n">
        <v>61.1814</v>
      </c>
      <c r="EF7" s="1433" t="n">
        <v>60.801</v>
      </c>
      <c r="EG7" s="1433" t="n">
        <v>60.4696</v>
      </c>
      <c r="EH7" s="1433" t="n">
        <v>60.4568</v>
      </c>
      <c r="EI7" s="1433" t="n">
        <v>60.0676</v>
      </c>
      <c r="EJ7" s="1433" t="n">
        <v>60.0676</v>
      </c>
      <c r="EK7" s="1433" t="n">
        <v>60.0676</v>
      </c>
      <c r="EL7" s="1433" t="n">
        <v>60.0316</v>
      </c>
      <c r="EM7" s="1433" t="n">
        <v>60.1662</v>
      </c>
      <c r="EN7" s="1433" t="n">
        <v>60.0158</v>
      </c>
      <c r="EO7" s="1433" t="n">
        <v>60.8685</v>
      </c>
      <c r="EP7" s="1433" t="n">
        <v>59.8318</v>
      </c>
      <c r="EQ7" s="1433" t="n">
        <v>58.1006</v>
      </c>
      <c r="ER7" s="1433" t="n">
        <v>57.999</v>
      </c>
      <c r="ES7" s="1433" t="n">
        <v>58.1756</v>
      </c>
      <c r="ET7" s="1433" t="n">
        <v>58.4485</v>
      </c>
      <c r="EU7" s="1433" t="n">
        <v>57.413</v>
      </c>
      <c r="EV7" s="1433" t="n">
        <v>55.2987</v>
      </c>
      <c r="EW7" s="1433" t="n">
        <v>57.5664</v>
      </c>
      <c r="EX7" s="1433" t="n">
        <v>58.7913</v>
      </c>
      <c r="EY7" s="1433" t="n">
        <v>59.4043</v>
      </c>
      <c r="EZ7" s="1433" t="n">
        <v>60.2534</v>
      </c>
      <c r="FA7" s="1433" t="n">
        <v>61.2475</v>
      </c>
      <c r="FB7" s="1433" t="n">
        <v>62.3126</v>
      </c>
      <c r="FC7" s="1433" t="n">
        <v>63.684</v>
      </c>
      <c r="FD7" s="1433" t="n">
        <v>63.7559</v>
      </c>
      <c r="FE7" s="1433" t="n">
        <v>63.4917</v>
      </c>
      <c r="FF7" s="1433" t="n">
        <v>63.0558</v>
      </c>
      <c r="FG7" s="1433" t="n">
        <v>61.7634</v>
      </c>
      <c r="FH7" s="1433" t="n">
        <v>61.7032</v>
      </c>
      <c r="FI7" s="1433" t="n">
        <v>61.5905</v>
      </c>
      <c r="FJ7" s="1433" t="n">
        <v>61.5018</v>
      </c>
      <c r="FK7" s="1433" t="n">
        <v>61.1958</v>
      </c>
      <c r="FL7" s="1433" t="n">
        <v>61.1629</v>
      </c>
      <c r="FM7" s="1433" t="n">
        <v>61.3326</v>
      </c>
      <c r="FN7" s="1433" t="n">
        <v>61.4277</v>
      </c>
      <c r="FO7" s="1433" t="n">
        <v>61.3589</v>
      </c>
      <c r="FP7" s="1433" t="n">
        <v>61.5343</v>
      </c>
      <c r="FQ7" s="1433" t="n">
        <v>61.6229</v>
      </c>
      <c r="FR7" s="1433" t="n">
        <v>61.4275</v>
      </c>
      <c r="FS7" s="1433" t="n">
        <v>61.6175</v>
      </c>
      <c r="FT7" s="1433" t="n">
        <v>62.0955</v>
      </c>
      <c r="FU7" s="5" t="n">
        <v>61.2367</v>
      </c>
      <c r="FV7" s="5" t="n">
        <v>60.9774</v>
      </c>
      <c r="FW7" s="5" t="n">
        <v>61.0611</v>
      </c>
      <c r="FX7" s="5" t="n">
        <v>61.2434</v>
      </c>
      <c r="FY7" s="5" t="n">
        <v>62.2434</v>
      </c>
      <c r="FZ7" s="5" t="n">
        <v>60.3982</v>
      </c>
      <c r="GA7" s="5" t="n">
        <v>60.3116</v>
      </c>
      <c r="GB7" s="5" t="n">
        <v>60.3484</v>
      </c>
      <c r="GC7" s="5" t="n">
        <v>60.3894</v>
      </c>
      <c r="GD7" s="5" t="n">
        <v>60.3741</v>
      </c>
      <c r="GE7" s="5" t="n">
        <v>60.7379</v>
      </c>
      <c r="GF7" s="5" t="n">
        <v>60.6566</v>
      </c>
      <c r="GG7" s="5" t="n">
        <v>60.5043</v>
      </c>
      <c r="GH7" s="5" t="n">
        <v>60.3866</v>
      </c>
      <c r="GI7" s="5" t="n">
        <v>60.4797</v>
      </c>
      <c r="GJ7" s="5" t="n">
        <v>60.752</v>
      </c>
      <c r="GK7" s="5" t="n">
        <v>61.0742</v>
      </c>
      <c r="GL7" s="5" t="n">
        <v>60.8803</v>
      </c>
      <c r="GM7" s="5" t="n">
        <v>61.1479</v>
      </c>
      <c r="GN7" s="5" t="n">
        <v>61.7749</v>
      </c>
      <c r="GO7" s="5" t="n">
        <v>62.1849</v>
      </c>
      <c r="GP7" s="5" t="n">
        <v>62.9103</v>
      </c>
      <c r="GQ7" s="5" t="n">
        <v>62.9372</v>
      </c>
      <c r="GR7" s="5" t="n">
        <v>62.5722</v>
      </c>
      <c r="GS7" s="5" t="n">
        <v>62.3813</v>
      </c>
      <c r="GT7" s="5" t="n">
        <v>62.7674</v>
      </c>
      <c r="GU7" s="5" t="n">
        <v>63.212</v>
      </c>
      <c r="GV7" s="5" t="n">
        <v>63.359</v>
      </c>
      <c r="GW7" s="5" t="n">
        <v>64.3015</v>
      </c>
      <c r="GX7" s="5" t="n">
        <v>64.6078</v>
      </c>
      <c r="GY7" s="5" t="n">
        <v>65.6078</v>
      </c>
      <c r="GZ7" s="5" t="n">
        <v>66.6078</v>
      </c>
      <c r="HA7" s="5" t="n">
        <v>70.5256</v>
      </c>
      <c r="HB7" s="5" t="n">
        <v>72.1306</v>
      </c>
      <c r="HC7" s="5" t="n">
        <v>68.676</v>
      </c>
      <c r="HD7" s="5" t="n">
        <v>68.4487</v>
      </c>
      <c r="HE7" s="5" t="n">
        <v>69.60939999999999</v>
      </c>
      <c r="HF7" s="5" t="n">
        <v>69.0202</v>
      </c>
      <c r="HG7" s="5" t="n">
        <v>68.28919999999999</v>
      </c>
      <c r="HH7" s="5" t="n">
        <v>68.6644</v>
      </c>
      <c r="HI7" s="5" t="n">
        <v>68.8728</v>
      </c>
      <c r="HJ7" s="5" t="n">
        <v>68.6656</v>
      </c>
      <c r="HK7" s="5" t="n">
        <v>68.6288</v>
      </c>
      <c r="HL7" s="5" t="n">
        <v>68.7529</v>
      </c>
      <c r="HM7" s="5" t="n">
        <v>68.9573</v>
      </c>
      <c r="HN7" s="5" t="n">
        <v>69.1263</v>
      </c>
      <c r="HO7" s="5" t="n">
        <v>69.3372</v>
      </c>
      <c r="HP7" s="5" t="n">
        <v>70.51739999999999</v>
      </c>
      <c r="HQ7" s="5" t="n">
        <v>70.0414</v>
      </c>
      <c r="HR7" s="5" t="n">
        <v>70.3847</v>
      </c>
      <c r="HS7" s="5" t="n">
        <v>70.59910000000001</v>
      </c>
      <c r="HT7" s="5" t="n">
        <v>71.5763</v>
      </c>
      <c r="HU7" s="5" t="n">
        <v>72.7923</v>
      </c>
      <c r="HV7" s="5" t="n">
        <v>73.86450000000001</v>
      </c>
      <c r="HW7" s="5" t="n">
        <v>74.2077</v>
      </c>
      <c r="HX7" s="5" t="n">
        <v>74.75879999999999</v>
      </c>
      <c r="HY7" s="5" t="n">
        <v>74.8596</v>
      </c>
      <c r="HZ7" s="5" t="n">
        <v>74.70869999999999</v>
      </c>
      <c r="IA7" s="5" t="n">
        <v>75.4323</v>
      </c>
      <c r="IB7" s="5" t="n">
        <v>74.89319999999999</v>
      </c>
      <c r="IC7" s="5" t="n">
        <v>75.4729</v>
      </c>
      <c r="ID7" s="5" t="n">
        <v>75.4592</v>
      </c>
      <c r="IE7" s="5" t="n">
        <v>75.47280000000001</v>
      </c>
      <c r="IF7" s="5" t="n">
        <v>75.9028</v>
      </c>
      <c r="IG7" s="5" t="n">
        <v>75.9406</v>
      </c>
      <c r="IH7" s="5" t="n">
        <v>75.1927</v>
      </c>
      <c r="II7" s="5" t="n">
        <v>75.7457</v>
      </c>
      <c r="IJ7" s="5" t="n">
        <v>76.40949999999999</v>
      </c>
      <c r="IK7" s="5" t="n">
        <v>77.2422</v>
      </c>
      <c r="IL7" s="5" t="n">
        <v>76.8373</v>
      </c>
      <c r="IM7" s="5" t="n">
        <v>76.30719999999999</v>
      </c>
      <c r="IN7" s="5" t="n">
        <v>76.56619999999999</v>
      </c>
      <c r="IO7" s="5" t="n">
        <v>76.5939</v>
      </c>
      <c r="IP7" s="5" t="n">
        <v>76.9781</v>
      </c>
      <c r="IQ7" s="5" t="n">
        <v>77.08629999999999</v>
      </c>
      <c r="IR7" s="5" t="n">
        <v>77.3233</v>
      </c>
      <c r="IS7" s="5" t="n">
        <v>77.95099999999999</v>
      </c>
      <c r="IT7" s="5" t="n">
        <v>79.3563</v>
      </c>
      <c r="IU7" s="5" t="n">
        <v>79.4961</v>
      </c>
      <c r="IV7" s="5" t="n">
        <v>80.6713</v>
      </c>
      <c r="IW7" s="5" t="n">
        <v>82.39879999999999</v>
      </c>
      <c r="IX7" s="5" t="n">
        <v>81.7441</v>
      </c>
      <c r="IY7" s="5" t="n">
        <v>82.1799</v>
      </c>
      <c r="IZ7" s="5" t="n">
        <v>82.0934</v>
      </c>
      <c r="JA7" s="5" t="n">
        <v>81.6758</v>
      </c>
      <c r="JB7" s="5" t="n">
        <v>81.50449999999999</v>
      </c>
      <c r="JC7" s="5" t="n">
        <v>81.6279</v>
      </c>
      <c r="JD7" s="5" t="n">
        <v>81.6028</v>
      </c>
      <c r="JE7" s="5" t="n">
        <v>81.6549</v>
      </c>
      <c r="JF7" s="5" t="n">
        <v>81.61879999999999</v>
      </c>
      <c r="JG7" s="5" t="n">
        <v>81.4863</v>
      </c>
      <c r="JH7" s="5" t="n">
        <v>81.2745</v>
      </c>
      <c r="JI7" s="5" t="n">
        <v>81.54989999999999</v>
      </c>
      <c r="JJ7" s="5" t="n">
        <v>81.62739999999999</v>
      </c>
      <c r="JK7" s="5" t="n">
        <v>81.56010000000001</v>
      </c>
      <c r="JL7" s="5" t="n">
        <v>80.5093</v>
      </c>
      <c r="JM7" s="5" t="n">
        <v>79.9609</v>
      </c>
      <c r="JN7" s="5" t="n">
        <v>79.30710000000001</v>
      </c>
      <c r="JO7" s="5" t="n">
        <v>78.6139</v>
      </c>
      <c r="JP7" s="5" t="n">
        <v>76.8207</v>
      </c>
      <c r="JQ7" s="5" t="n">
        <v>76.69289999999999</v>
      </c>
      <c r="JR7" s="5" t="n">
        <v>75.88460000000001</v>
      </c>
      <c r="JS7" s="5" t="n">
        <v>77.2041</v>
      </c>
      <c r="JT7" s="5" t="n">
        <v>79.10039999999999</v>
      </c>
      <c r="JU7" s="5" t="n">
        <v>79.9798</v>
      </c>
      <c r="JV7" s="5" t="n">
        <v>80.03660000000001</v>
      </c>
      <c r="JW7" s="5" t="n">
        <v>79.9093</v>
      </c>
      <c r="JX7" s="5" t="n">
        <v>79.9379</v>
      </c>
      <c r="JY7" s="5" t="n">
        <v>80.1665</v>
      </c>
      <c r="JZ7" s="5" t="n">
        <v>79.9669</v>
      </c>
      <c r="KA7" s="5" t="n">
        <v>79.9841</v>
      </c>
      <c r="KB7" s="5" t="n">
        <v>79.9667</v>
      </c>
      <c r="KC7" s="5" t="n">
        <v>80.05549999999999</v>
      </c>
      <c r="KD7" s="5" t="n">
        <v>80.6872</v>
      </c>
      <c r="KE7" s="5" t="n">
        <v>80.99420000000001</v>
      </c>
      <c r="KF7" s="5" t="n">
        <v>80.9657</v>
      </c>
      <c r="KG7" s="5" t="n">
        <v>80.87560000000001</v>
      </c>
      <c r="KH7" s="5" t="n">
        <v>81.32940000000001</v>
      </c>
      <c r="KI7" s="5" t="n">
        <v>81.25020000000001</v>
      </c>
      <c r="KJ7" s="5" t="n">
        <v>81.4581</v>
      </c>
      <c r="KK7" s="5" t="n">
        <v>82.093</v>
      </c>
      <c r="KL7" s="5" t="n">
        <v>82.6417</v>
      </c>
      <c r="KM7" s="5" t="n">
        <v>83.6405</v>
      </c>
      <c r="KN7" s="5" t="n">
        <v>84.3249</v>
      </c>
      <c r="KO7" s="5" t="n">
        <v>83.9611</v>
      </c>
      <c r="KP7" s="5" t="n">
        <v>83.6498</v>
      </c>
      <c r="KQ7" s="5" t="n">
        <v>83.9866</v>
      </c>
      <c r="KR7" s="5" t="n">
        <v>84.2336</v>
      </c>
      <c r="KS7" s="5" t="n">
        <v>84.2467</v>
      </c>
      <c r="KT7" s="5" t="n">
        <v>83.60769999999999</v>
      </c>
      <c r="KU7" s="5" t="n">
        <v>84.0793</v>
      </c>
      <c r="KV7" s="5" t="n">
        <v>84.66</v>
      </c>
      <c r="KW7" s="5" t="n">
        <v>85.0504</v>
      </c>
      <c r="KX7" s="5" t="n">
        <v>85.61920000000001</v>
      </c>
      <c r="KY7" s="5" t="n">
        <v>87.0341</v>
      </c>
      <c r="KZ7" s="5" t="n">
        <v>88.3844</v>
      </c>
      <c r="LA7" s="5" t="n">
        <v>89.32550000000001</v>
      </c>
      <c r="LB7" s="5" t="n">
        <v>89.545</v>
      </c>
      <c r="LC7" s="5" t="n">
        <v>90.33799999999999</v>
      </c>
      <c r="LD7" s="5" t="n">
        <v>92.56950000000001</v>
      </c>
      <c r="LE7" s="5" t="n">
        <v>91.6879</v>
      </c>
      <c r="LF7" s="5" t="n">
        <v>91.4931</v>
      </c>
      <c r="LG7" s="5" t="n">
        <v>90.50449999999999</v>
      </c>
      <c r="LH7" s="5" t="n">
        <v>90.6253</v>
      </c>
      <c r="LI7" s="5" t="n">
        <v>90.17570000000001</v>
      </c>
      <c r="LJ7" s="5" t="n">
        <v>90.119</v>
      </c>
      <c r="LK7" s="5" t="n">
        <v>90.4217</v>
      </c>
      <c r="LL7" s="5" t="n">
        <v>90.6906</v>
      </c>
      <c r="LM7" s="5" t="n">
        <v>91.2046</v>
      </c>
      <c r="LN7" s="5" t="n">
        <v>90.8545</v>
      </c>
      <c r="LO7" s="5" t="n">
        <v>90.38460000000001</v>
      </c>
      <c r="LP7" s="5" t="n">
        <v>90.489</v>
      </c>
      <c r="LQ7" s="5" t="n">
        <v>90.0945</v>
      </c>
      <c r="LR7" s="5" t="n">
        <v>90.9783</v>
      </c>
      <c r="LS7" s="5" t="n">
        <v>92.84099999999999</v>
      </c>
      <c r="LT7" s="5" t="n">
        <v>93.7792</v>
      </c>
      <c r="LU7" s="5" t="n">
        <v>94.80759999999999</v>
      </c>
      <c r="LV7" s="5" t="n">
        <v>96.5668</v>
      </c>
      <c r="LW7" s="5" t="n">
        <v>96.07550000000001</v>
      </c>
      <c r="LX7" s="5" t="n">
        <v>97.3999</v>
      </c>
      <c r="LY7" s="5" t="n">
        <v>97.2794</v>
      </c>
      <c r="LZ7" s="5" t="n">
        <v>98.20659999999999</v>
      </c>
      <c r="MA7" s="5" t="n">
        <v>101.0399</v>
      </c>
      <c r="MB7" s="5" t="n">
        <v>97.4217</v>
      </c>
      <c r="MC7" s="5" t="n">
        <v>96.7045</v>
      </c>
      <c r="MD7" s="5" t="n">
        <v>93.746</v>
      </c>
      <c r="ME7" s="5" t="n">
        <v>93.40470000000001</v>
      </c>
      <c r="MF7" s="5" t="n">
        <v>94.14239999999999</v>
      </c>
      <c r="MG7" s="5" t="n">
        <v>94.1185</v>
      </c>
      <c r="MH7" s="5" t="n">
        <v>94.4421</v>
      </c>
      <c r="MI7" s="5" t="n">
        <v>94.4007</v>
      </c>
      <c r="MJ7" s="5" t="n">
        <v>94.71169999999999</v>
      </c>
      <c r="MK7" s="5" t="n">
        <v>95.4717</v>
      </c>
      <c r="ML7" s="5" t="n">
        <v>95.70699999999999</v>
      </c>
      <c r="MM7" s="5" t="n">
        <v>95.92829999999999</v>
      </c>
      <c r="MN7" s="5" t="n">
        <v>96.3344</v>
      </c>
      <c r="MO7" s="5" t="n">
        <v>96.3411</v>
      </c>
      <c r="MP7" s="5" t="n">
        <v>96.6199</v>
      </c>
      <c r="MQ7" s="5" t="n">
        <v>97.53830000000001</v>
      </c>
      <c r="MR7" s="5" t="n">
        <v>97.8439</v>
      </c>
      <c r="MS7" s="5" t="n">
        <v>98.1961</v>
      </c>
      <c r="MT7" s="5" t="n">
        <v>97.9241</v>
      </c>
      <c r="MU7" s="5" t="n">
        <v>96.50830000000001</v>
      </c>
      <c r="MV7" s="5" t="n">
        <v>94.70350000000001</v>
      </c>
      <c r="MW7" s="5" t="n">
        <v>95.9794</v>
      </c>
      <c r="MX7" s="5" t="n">
        <v>96.1609</v>
      </c>
      <c r="MY7" s="5" t="n">
        <v>96.63379999999999</v>
      </c>
      <c r="MZ7" s="5" t="n">
        <v>96.6472</v>
      </c>
      <c r="NA7" s="5" t="n">
        <v>96.2236</v>
      </c>
      <c r="NB7" s="5" t="n">
        <v>96.6172</v>
      </c>
      <c r="NC7" s="5" t="n">
        <v>96.0762</v>
      </c>
      <c r="ND7" s="5" t="n">
        <v>96.0419</v>
      </c>
      <c r="NE7" s="5" t="n">
        <v>96.1456</v>
      </c>
      <c r="NF7" s="5" t="n">
        <v>96.23779999999999</v>
      </c>
      <c r="NG7" s="5" t="n">
        <v>96.5</v>
      </c>
      <c r="NH7" s="5" t="n">
        <v>97.0018</v>
      </c>
      <c r="NI7" s="5" t="n">
        <v>97.4147</v>
      </c>
      <c r="NJ7" s="5" t="n">
        <v>98.4785</v>
      </c>
      <c r="NK7" s="5" t="n">
        <v>99.2677</v>
      </c>
      <c r="NL7" s="5" t="n">
        <v>99.4555</v>
      </c>
      <c r="NM7" s="5" t="n">
        <v>99.67619999999999</v>
      </c>
      <c r="NN7" s="5" t="n">
        <v>100.4911</v>
      </c>
      <c r="NO7" s="5" t="n">
        <v>101.3598</v>
      </c>
      <c r="NP7" s="5" t="n">
        <v>99.9349</v>
      </c>
      <c r="NQ7" s="5" t="n">
        <v>99.9808</v>
      </c>
      <c r="NR7" s="5" t="n">
        <v>96.9948</v>
      </c>
      <c r="NS7" s="5" t="n">
        <v>97.3075</v>
      </c>
      <c r="NT7" s="5" t="n">
        <v>97.2865</v>
      </c>
      <c r="NU7" s="5" t="n">
        <v>97.3458</v>
      </c>
      <c r="NV7" s="5" t="n">
        <v>97.3724</v>
      </c>
      <c r="NW7" s="5" t="n">
        <v>97.3074</v>
      </c>
      <c r="NX7" s="5" t="n">
        <v>95.9053</v>
      </c>
      <c r="NY7" s="5" t="n">
        <v>94.7081</v>
      </c>
      <c r="NZ7" s="5" t="n">
        <v>93.5224</v>
      </c>
      <c r="OA7" s="5" t="n">
        <v>93.1507</v>
      </c>
      <c r="OB7" s="5" t="n">
        <v>93.5616</v>
      </c>
      <c r="OC7" s="5" t="n">
        <v>93.2174</v>
      </c>
      <c r="OD7" s="5" t="n">
        <v>93.2435</v>
      </c>
      <c r="OE7" s="5" t="n">
        <v>92.0226</v>
      </c>
      <c r="OF7" s="5" t="n">
        <v>93.2801</v>
      </c>
      <c r="OG7" s="5" t="n">
        <v>93.173</v>
      </c>
      <c r="OH7" s="5" t="n">
        <v>93.0351</v>
      </c>
      <c r="OI7" s="5" t="n">
        <v>92.4151</v>
      </c>
      <c r="OJ7" s="5" t="n">
        <v>92.1973</v>
      </c>
      <c r="OK7" s="5" t="n">
        <v>91.92659999999999</v>
      </c>
      <c r="OL7" s="5" t="n">
        <v>92.0535</v>
      </c>
      <c r="OM7" s="5" t="n">
        <v>92.1185</v>
      </c>
      <c r="ON7" s="5" t="n">
        <v>91.25700000000001</v>
      </c>
      <c r="OO7" s="5" t="n">
        <v>89.45650000000001</v>
      </c>
      <c r="OP7" s="5" t="n">
        <v>88.9466</v>
      </c>
      <c r="OQ7" s="5" t="n">
        <v>89.1237</v>
      </c>
      <c r="OR7" s="5" t="n">
        <v>88.4954</v>
      </c>
      <c r="OS7" s="5" t="n">
        <v>87.87009999999999</v>
      </c>
      <c r="OT7" s="5" t="n">
        <v>88.1648</v>
      </c>
      <c r="OU7" s="5" t="n">
        <v>88.1206</v>
      </c>
      <c r="OV7" s="5" t="n">
        <v>88.8133</v>
      </c>
      <c r="OW7" s="5" t="n">
        <v>88.7045</v>
      </c>
      <c r="OX7" s="5" t="n">
        <v>88.61020000000001</v>
      </c>
      <c r="OY7" s="5" t="n">
        <v>88.8841</v>
      </c>
      <c r="OZ7" s="5" t="n">
        <v>88.5819</v>
      </c>
      <c r="PA7" s="5" t="n">
        <v>89.7619</v>
      </c>
      <c r="PB7" s="5" t="n">
        <v>90.6728</v>
      </c>
      <c r="PC7" s="5" t="n">
        <v>91.5823</v>
      </c>
      <c r="PD7" s="5" t="n">
        <v>92.7826</v>
      </c>
      <c r="PE7" s="5" t="n">
        <v>92.5654</v>
      </c>
      <c r="PF7" s="5" t="n">
        <v>91.64019999999999</v>
      </c>
      <c r="PG7" s="5" t="n">
        <v>90.9846</v>
      </c>
      <c r="PH7" s="5" t="n">
        <v>90.2158</v>
      </c>
      <c r="PI7" s="5" t="n">
        <v>89.8926</v>
      </c>
      <c r="PJ7" s="5" t="n">
        <v>89.6741</v>
      </c>
      <c r="PK7" s="5" t="n">
        <v>89.6966</v>
      </c>
      <c r="PL7" s="5" t="n">
        <v>90.4162</v>
      </c>
      <c r="PM7" s="5" t="n">
        <v>90.087</v>
      </c>
      <c r="PN7" s="5" t="n">
        <v>90.40560000000001</v>
      </c>
      <c r="PO7" s="5" t="n">
        <v>91.7062</v>
      </c>
      <c r="PP7" s="5" t="n">
        <v>91.9389</v>
      </c>
      <c r="PQ7" s="5" t="n">
        <v>91.96899999999999</v>
      </c>
      <c r="PR7" s="5" t="n">
        <v>91.7069</v>
      </c>
      <c r="PS7" s="5" t="n">
        <v>91.7051</v>
      </c>
      <c r="PT7" s="5" t="n">
        <v>90.30410000000001</v>
      </c>
      <c r="PU7" s="5" t="n">
        <v>89.6883</v>
      </c>
      <c r="PV7" s="5" t="n">
        <v>90.404</v>
      </c>
      <c r="PW7" s="5" t="n">
        <v>89.3939</v>
      </c>
      <c r="PX7" s="5" t="n">
        <v>88.7818</v>
      </c>
      <c r="PY7" s="5" t="n">
        <v>88.1324</v>
      </c>
      <c r="PZ7" s="5" t="n">
        <v>87.6772</v>
      </c>
      <c r="QA7" s="5" t="n">
        <v>87.64570000000001</v>
      </c>
      <c r="QB7" s="5" t="n">
        <v>88.354</v>
      </c>
      <c r="QC7" s="5" t="n">
        <v>88.661</v>
      </c>
      <c r="QD7" s="5" t="n">
        <v>88.5896</v>
      </c>
      <c r="QE7" s="5" t="n">
        <v>87.97239999999999</v>
      </c>
      <c r="QF7" s="5" t="n">
        <v>87.9199</v>
      </c>
      <c r="QG7" s="5" t="n">
        <v>88.2829</v>
      </c>
      <c r="QH7" s="5" t="n">
        <v>88.6562</v>
      </c>
      <c r="QI7" s="5" t="n">
        <v>89.5159</v>
      </c>
      <c r="QJ7" s="5" t="n">
        <v>89.60899999999999</v>
      </c>
      <c r="QK7" s="5" t="n">
        <v>89.28870000000001</v>
      </c>
      <c r="QL7" s="5" t="n">
        <v>89.6678</v>
      </c>
      <c r="QM7" s="5" t="n">
        <v>90.2299</v>
      </c>
      <c r="QN7" s="5" t="n">
        <v>90.6626</v>
      </c>
      <c r="QO7" s="5" t="n">
        <v>91.24339999999999</v>
      </c>
      <c r="QP7" s="5" t="n">
        <v>90.6842</v>
      </c>
      <c r="QQ7" s="5" t="n">
        <v>91.1514</v>
      </c>
      <c r="QR7" s="5" t="n">
        <v>91.2561</v>
      </c>
      <c r="QS7" s="5" t="n">
        <v>90.8901</v>
      </c>
      <c r="QT7" s="5" t="n">
        <v>91.0758</v>
      </c>
      <c r="QU7" s="5" t="n">
        <v>91.20569999999999</v>
      </c>
      <c r="QV7" s="5" t="n">
        <v>91.4316</v>
      </c>
      <c r="QW7" s="5" t="n">
        <v>91.8237</v>
      </c>
      <c r="QX7" s="5" t="n">
        <v>92.5492</v>
      </c>
      <c r="QY7" s="5" t="n">
        <v>92.4102</v>
      </c>
      <c r="QZ7" s="5" t="n">
        <v>92.349</v>
      </c>
      <c r="RA7" s="5" t="n">
        <v>92.4387</v>
      </c>
      <c r="RB7" s="5" t="n">
        <v>92.75190000000001</v>
      </c>
      <c r="RC7" s="5" t="n">
        <v>92.63209999999999</v>
      </c>
      <c r="RD7" s="5" t="n">
        <v>92.0425</v>
      </c>
      <c r="RE7" s="5" t="n">
        <v>91.86920000000001</v>
      </c>
      <c r="RF7" s="5" t="n">
        <v>90.84229999999999</v>
      </c>
      <c r="RG7" s="5" t="n">
        <v>91.3336</v>
      </c>
      <c r="RH7" s="5" t="n">
        <v>91.35339999999999</v>
      </c>
      <c r="RI7" s="5" t="n">
        <v>91.1604</v>
      </c>
      <c r="RJ7" s="5" t="n">
        <v>90.3412</v>
      </c>
      <c r="RK7" s="5" t="n">
        <v>90.74930000000001</v>
      </c>
      <c r="RL7" s="5" t="n">
        <v>90.62520000000001</v>
      </c>
      <c r="RM7" s="5" t="n">
        <v>90.8818</v>
      </c>
      <c r="RN7" s="5" t="n">
        <v>91.5449</v>
      </c>
      <c r="RO7" s="5" t="n">
        <v>91.63590000000001</v>
      </c>
      <c r="RP7" s="5" t="n">
        <v>91.87</v>
      </c>
      <c r="RQ7" s="5" t="n">
        <v>91.9829</v>
      </c>
      <c r="RR7" s="5" t="n">
        <v>92.2243</v>
      </c>
      <c r="RS7" s="5" t="n">
        <v>92.6861</v>
      </c>
      <c r="RT7" s="5" t="n">
        <v>91.9499</v>
      </c>
      <c r="RU7" s="5" t="n">
        <v>92.6118</v>
      </c>
      <c r="RV7" s="5" t="n">
        <v>92.7761</v>
      </c>
      <c r="RW7" s="5" t="n">
        <v>92.5745</v>
      </c>
      <c r="RX7" s="5" t="n">
        <v>92.5919</v>
      </c>
      <c r="RY7" s="5" t="n">
        <v>92.2628</v>
      </c>
      <c r="RZ7" s="5" t="n">
        <v>92.366</v>
      </c>
      <c r="SA7" s="5" t="n">
        <v>92.2914</v>
      </c>
      <c r="SB7" s="5" t="n">
        <v>92.5254</v>
      </c>
      <c r="SC7" s="5" t="n">
        <v>92.3892</v>
      </c>
      <c r="SD7" s="5" t="n">
        <v>92.3058</v>
      </c>
      <c r="SE7" s="5" t="n">
        <v>92.41549999999999</v>
      </c>
      <c r="SF7" s="5" t="n">
        <v>92.581</v>
      </c>
      <c r="SG7" s="5" t="n">
        <v>92.74630000000001</v>
      </c>
      <c r="SH7" s="5" t="n">
        <v>93.21980000000001</v>
      </c>
      <c r="SI7" s="5" t="n">
        <v>93.7196</v>
      </c>
      <c r="SJ7" s="5" t="n">
        <v>93.4419</v>
      </c>
      <c r="SK7" s="5" t="n">
        <v>93.5891</v>
      </c>
      <c r="SL7" s="5" t="n">
        <v>94.0742</v>
      </c>
      <c r="SM7" s="5" t="n">
        <v>94.3242</v>
      </c>
      <c r="SN7" s="5" t="n">
        <v>94.09220000000001</v>
      </c>
      <c r="SO7" s="5" t="n">
        <v>93.4409</v>
      </c>
      <c r="SP7" s="5" t="n">
        <v>93.25190000000001</v>
      </c>
      <c r="SQ7" s="5" t="n">
        <v>93.29179999999999</v>
      </c>
      <c r="SR7" s="5" t="n">
        <v>92.50579999999999</v>
      </c>
      <c r="SS7" s="5" t="n">
        <v>92.1314</v>
      </c>
      <c r="ST7" s="5" t="n">
        <v>92.0134</v>
      </c>
      <c r="SU7" s="5" t="n">
        <v>91.7791</v>
      </c>
      <c r="SV7" s="5" t="n">
        <v>92.0538</v>
      </c>
      <c r="SW7" s="5" t="n">
        <v>91.6918</v>
      </c>
      <c r="SX7" s="5" t="n">
        <v>91.3124</v>
      </c>
      <c r="SY7" s="5" t="n">
        <v>91.12309999999999</v>
      </c>
      <c r="SZ7" s="5" t="n">
        <v>91.82389999999999</v>
      </c>
      <c r="TA7" s="5" t="n">
        <v>91.633</v>
      </c>
      <c r="TB7" s="5" t="n">
        <v>91.3591</v>
      </c>
      <c r="TC7" s="5" t="n">
        <v>91.2573</v>
      </c>
      <c r="TD7" s="5" t="n">
        <v>90.9239</v>
      </c>
      <c r="TE7" s="5" t="n">
        <v>90.9873</v>
      </c>
      <c r="TF7" s="5" t="n">
        <v>90.6537</v>
      </c>
      <c r="TG7" s="5" t="n">
        <v>90.40819999999999</v>
      </c>
      <c r="TH7" s="5" t="n">
        <v>90.1887</v>
      </c>
      <c r="TI7" s="5" t="n">
        <v>90.2486</v>
      </c>
      <c r="TJ7" s="5" t="n">
        <v>89.7026</v>
      </c>
      <c r="TK7" s="5" t="n">
        <v>88.68519999999999</v>
      </c>
      <c r="TL7" s="5" t="n">
        <v>88.4375</v>
      </c>
      <c r="TM7" s="5" t="n">
        <v>89.2589</v>
      </c>
      <c r="TN7" s="5" t="n">
        <v>89.7869</v>
      </c>
      <c r="TO7" s="5" t="n">
        <v>90.1915</v>
      </c>
      <c r="TP7" s="5" t="n">
        <v>89.3755</v>
      </c>
      <c r="TQ7" s="5" t="n">
        <v>88.7574</v>
      </c>
      <c r="TR7" s="5" t="n">
        <v>88.7436</v>
      </c>
      <c r="TS7" s="5" t="n">
        <v>88.7604</v>
      </c>
      <c r="TT7" s="5" t="n">
        <v>88.7606</v>
      </c>
      <c r="TU7" s="5" t="n">
        <v>88.9944</v>
      </c>
      <c r="TV7" s="5" t="n">
        <v>89.0214</v>
      </c>
      <c r="TW7" s="5" t="n">
        <v>88.208</v>
      </c>
      <c r="TX7" s="5" t="n">
        <v>89.0658</v>
      </c>
      <c r="TY7" s="5" t="n">
        <v>89.04989999999999</v>
      </c>
      <c r="TZ7" s="5" t="n">
        <v>87.0354</v>
      </c>
      <c r="UA7" s="5" t="n">
        <v>82.62820000000001</v>
      </c>
      <c r="UB7" s="5" t="n">
        <v>87.277</v>
      </c>
      <c r="UC7" s="5" t="n">
        <v>87.2972</v>
      </c>
      <c r="UD7" s="5" t="n">
        <v>88.1688</v>
      </c>
      <c r="UE7" s="5" t="n">
        <v>87.7427</v>
      </c>
      <c r="UF7" s="5" t="n">
        <v>87.8077</v>
      </c>
      <c r="UG7" s="5" t="n">
        <v>87.7805</v>
      </c>
      <c r="UH7" s="5" t="n">
        <v>88.0872</v>
      </c>
      <c r="UI7" s="5" t="n">
        <v>85.565</v>
      </c>
      <c r="UJ7" s="5" t="n">
        <v>86.33</v>
      </c>
      <c r="UK7" s="5" t="n">
        <v>85.7024</v>
      </c>
      <c r="UL7" s="5" t="n">
        <v>86.5621</v>
      </c>
      <c r="UM7" s="5" t="n">
        <v>89.94750000000001</v>
      </c>
      <c r="UN7" s="5" t="n">
        <v>90.6944</v>
      </c>
      <c r="UO7" s="5" t="n">
        <v>91.6862</v>
      </c>
      <c r="UP7" s="5" t="n">
        <v>91.2881</v>
      </c>
      <c r="UQ7" s="5" t="n">
        <v>91.7745</v>
      </c>
      <c r="UR7" s="5" t="n">
        <v>91.4807</v>
      </c>
      <c r="US7" s="5" t="n">
        <v>91.18680000000001</v>
      </c>
      <c r="UT7" s="5" t="n">
        <v>88.6118</v>
      </c>
      <c r="UU7" s="5" t="n">
        <v>88.9288</v>
      </c>
      <c r="UV7" s="5" t="n">
        <v>91.1127</v>
      </c>
      <c r="UW7" s="5" t="n">
        <v>91.1096</v>
      </c>
      <c r="UX7" s="5" t="n">
        <v>91.14230000000001</v>
      </c>
      <c r="UY7" s="5" t="n">
        <v>91.42919999999999</v>
      </c>
      <c r="UZ7" s="5" t="n">
        <v>92.6962</v>
      </c>
      <c r="VA7" s="5" t="n">
        <v>92.92</v>
      </c>
      <c r="VB7" s="5" t="n">
        <v>92.38800000000001</v>
      </c>
      <c r="VC7" s="5" t="n">
        <v>92.71259999999999</v>
      </c>
      <c r="VD7" s="5" t="n">
        <v>93.2221</v>
      </c>
      <c r="VE7" s="5" t="n">
        <v>93.35809999999999</v>
      </c>
      <c r="VF7" s="5" t="n">
        <v>97.2394</v>
      </c>
      <c r="VG7" s="5" t="n">
        <v>96.0686</v>
      </c>
      <c r="VH7" s="5" t="n">
        <v>96.10209999999999</v>
      </c>
      <c r="VI7" s="5" t="n">
        <v>97.149</v>
      </c>
      <c r="VJ7" s="5" t="n">
        <v>96.59180000000001</v>
      </c>
      <c r="VK7" s="5" t="n">
        <v>96.6379</v>
      </c>
      <c r="VL7" s="5" t="n">
        <v>96.7402</v>
      </c>
      <c r="VM7" s="5" t="n">
        <v>97.3261</v>
      </c>
      <c r="VN7" s="5" t="n">
        <v>97.0226</v>
      </c>
      <c r="VO7" s="5" t="n">
        <v>97.4402</v>
      </c>
      <c r="VP7" s="5" t="n">
        <v>97.54989999999999</v>
      </c>
      <c r="VQ7" s="5" t="n">
        <v>98.07259999999999</v>
      </c>
      <c r="VR7" s="5" t="n">
        <v>97.955</v>
      </c>
      <c r="VS7" s="5" t="n">
        <v>97.9559</v>
      </c>
      <c r="VT7" s="5" t="n">
        <v>98.3657</v>
      </c>
      <c r="VU7" s="5" t="n">
        <v>99.997</v>
      </c>
      <c r="VV7" s="5" t="n">
        <v>100.0348</v>
      </c>
      <c r="VW7" s="5" t="n">
        <v>100.2192</v>
      </c>
      <c r="VX7" s="5" t="n">
        <v>103.7908</v>
      </c>
      <c r="VY7" s="5" t="n">
        <v>109.5782</v>
      </c>
      <c r="VZ7" s="5" t="n">
        <v>107.7409</v>
      </c>
      <c r="WA7" s="5" t="n">
        <v>107.1758</v>
      </c>
      <c r="WB7" s="5" t="n">
        <v>103.3837</v>
      </c>
      <c r="WC7" s="5" t="n">
        <v>103.2707</v>
      </c>
      <c r="WD7" s="5" t="n">
        <v>103.4305</v>
      </c>
      <c r="WE7" s="5" t="n">
        <v>102.7763</v>
      </c>
      <c r="WF7" s="5" t="n">
        <v>102.3438</v>
      </c>
      <c r="WG7" s="5" t="n">
        <v>99.6125</v>
      </c>
      <c r="WH7" s="5" t="n">
        <v>101.6797</v>
      </c>
      <c r="WI7" s="5" t="n">
        <v>101.9146</v>
      </c>
      <c r="WJ7" s="5" t="n">
        <v>102.7081</v>
      </c>
      <c r="WK7" s="5" t="n">
        <v>102.3762</v>
      </c>
      <c r="WL7" s="5" t="n">
        <v>102.4137</v>
      </c>
      <c r="WM7" s="5" t="n">
        <v>99.9282</v>
      </c>
      <c r="WN7" s="5" t="n">
        <v>98.2636</v>
      </c>
      <c r="WO7" s="5" t="n">
        <v>98.01260000000001</v>
      </c>
      <c r="WP7" s="5" t="n">
        <v>99.94329999999999</v>
      </c>
      <c r="WQ7" s="5" t="n">
        <v>98.53360000000001</v>
      </c>
      <c r="WR7" s="5" t="n">
        <v>96.9104</v>
      </c>
      <c r="WS7" s="5" t="n">
        <v>97.2762</v>
      </c>
      <c r="WT7" s="5" t="n">
        <v>91.0313</v>
      </c>
      <c r="WU7" s="5" t="n">
        <v>91.43470000000001</v>
      </c>
      <c r="WV7" s="5" t="n">
        <v>90.4268</v>
      </c>
      <c r="WW7" s="5" t="n">
        <v>88.16759999999999</v>
      </c>
      <c r="WX7" s="5" t="n">
        <v>86.6318</v>
      </c>
      <c r="WY7" s="5" t="n">
        <v>87.69670000000001</v>
      </c>
      <c r="WZ7" s="5" t="n">
        <v>89.2448</v>
      </c>
      <c r="XA7" s="5" t="n">
        <v>88.38720000000001</v>
      </c>
      <c r="XB7" s="5" t="n">
        <v>86.5669</v>
      </c>
      <c r="XC7" s="5" t="n">
        <v>85.5694</v>
      </c>
      <c r="XD7" s="5" t="n">
        <v>81.5018</v>
      </c>
      <c r="XE7" s="5" t="n">
        <v>82.84869999999999</v>
      </c>
      <c r="XF7" s="5" t="n">
        <v>84.64</v>
      </c>
      <c r="XG7" s="5" t="n">
        <v>84.193</v>
      </c>
      <c r="XH7" s="5" t="n">
        <v>84.20650000000001</v>
      </c>
      <c r="XI7" s="5" t="n">
        <v>83.8347</v>
      </c>
      <c r="XJ7" s="5" t="n">
        <v>85.49630000000001</v>
      </c>
      <c r="XK7" s="5" t="n">
        <v>84.5522</v>
      </c>
      <c r="XL7" s="5" t="n">
        <v>84.2774</v>
      </c>
      <c r="XM7" s="5" t="n">
        <v>85.4641</v>
      </c>
      <c r="XN7" s="5" t="n">
        <v>84.004</v>
      </c>
      <c r="XO7" s="5" t="n">
        <v>80.7597</v>
      </c>
      <c r="XP7" s="5" t="n">
        <v>81.462</v>
      </c>
      <c r="XQ7" s="5" t="n">
        <v>82.36369999999999</v>
      </c>
      <c r="XR7" s="5" t="n">
        <v>82.85590000000001</v>
      </c>
      <c r="XS7" s="5" t="n">
        <v>82.6549</v>
      </c>
      <c r="XT7" s="5" t="n">
        <v>81.5616</v>
      </c>
      <c r="XU7" s="5" t="n">
        <v>81.4933</v>
      </c>
      <c r="XV7" s="5" t="n">
        <v>81.91370000000001</v>
      </c>
      <c r="XW7" s="5" t="n">
        <v>80.9644</v>
      </c>
      <c r="XX7" s="5" t="n">
        <v>80.8612</v>
      </c>
      <c r="XY7" s="5" t="n">
        <v>80.8883</v>
      </c>
      <c r="XZ7" s="5" t="n">
        <v>80.22369999999999</v>
      </c>
      <c r="YA7" s="5" t="n">
        <v>80.41370000000001</v>
      </c>
      <c r="YB7" s="5" t="n">
        <v>79.753</v>
      </c>
      <c r="YC7" s="5" t="n">
        <v>79.71080000000001</v>
      </c>
      <c r="YD7" s="5" t="n">
        <v>79.6588</v>
      </c>
      <c r="YE7" s="5" t="n">
        <v>79.1285</v>
      </c>
      <c r="YF7" s="5" t="n">
        <v>78.8549</v>
      </c>
      <c r="YG7" s="5" t="n">
        <v>79.1272</v>
      </c>
      <c r="YH7" s="5" t="n">
        <v>79.1703</v>
      </c>
      <c r="YI7" s="5" t="n">
        <v>79.00279999999999</v>
      </c>
      <c r="YJ7" s="5" t="n">
        <v>78.5067</v>
      </c>
      <c r="YK7" s="5" t="n">
        <v>78.7135</v>
      </c>
      <c r="YL7" s="5" t="n">
        <v>78.2923</v>
      </c>
      <c r="YM7" s="5" t="n">
        <v>78.46850000000001</v>
      </c>
      <c r="YN7" s="5" t="n">
        <v>78.4181</v>
      </c>
      <c r="YO7" s="5" t="n">
        <v>78.7831</v>
      </c>
      <c r="YP7" s="5" t="n">
        <v>78.83540000000001</v>
      </c>
      <c r="YQ7" s="5" t="n">
        <v>78.71850000000001</v>
      </c>
      <c r="YR7" s="5" t="n">
        <v>78.1682</v>
      </c>
      <c r="YS7" s="5" t="n">
        <v>78.17270000000001</v>
      </c>
      <c r="YT7" s="5" t="n">
        <v>77.9029</v>
      </c>
      <c r="YU7" s="5" t="n">
        <v>78.37220000000001</v>
      </c>
      <c r="YV7" s="5" t="n">
        <v>78.18559999999999</v>
      </c>
      <c r="YW7" s="5" t="n">
        <v>78.3129</v>
      </c>
      <c r="YX7" s="5" t="n">
        <v>78.0882</v>
      </c>
      <c r="YY7" s="5" t="n">
        <v>78.8623</v>
      </c>
      <c r="YZ7" s="5" t="n">
        <v>82.2197</v>
      </c>
      <c r="ZA7" s="5" t="n">
        <v>80.3163</v>
      </c>
      <c r="ZB7" s="5" t="n">
        <v>80.04900000000001</v>
      </c>
      <c r="ZC7" s="5" t="n">
        <v>80.1914</v>
      </c>
      <c r="ZD7" s="5" t="n">
        <v>79.7796</v>
      </c>
      <c r="ZE7" s="5" t="n">
        <v>79.87139999999999</v>
      </c>
      <c r="ZF7" s="1434" t="n">
        <v>79.7653</v>
      </c>
      <c r="ZG7" s="1" t="inlineStr">
        <is>
          <t>Rate from CBR</t>
        </is>
      </c>
    </row>
    <row r="8" ht="14.4" customHeight="1">
      <c r="B8" s="1435" t="n"/>
      <c r="C8" s="88" t="inlineStr">
        <is>
          <t>RUB/EUR</t>
        </is>
      </c>
      <c r="D8" s="5" t="n">
        <v>97.76000000000001</v>
      </c>
      <c r="E8" s="1433" t="n">
        <v>108.14</v>
      </c>
      <c r="F8" s="1433" t="n">
        <v>111.01</v>
      </c>
      <c r="G8" s="1433" t="n">
        <v>114.55</v>
      </c>
      <c r="H8" s="1433" t="n">
        <v>124.0161</v>
      </c>
      <c r="I8" s="1433" t="n">
        <v>116.53</v>
      </c>
      <c r="J8" s="1433" t="n">
        <v>126.4395</v>
      </c>
      <c r="K8" s="1433" t="n">
        <v>132.9581</v>
      </c>
      <c r="L8" s="1433" t="n">
        <v>128.9523</v>
      </c>
      <c r="M8" s="1433" t="n">
        <v>127.2343</v>
      </c>
      <c r="N8" s="1433" t="n">
        <v>122.4522</v>
      </c>
      <c r="O8" s="1433" t="n">
        <v>118.7601</v>
      </c>
      <c r="P8" s="1433" t="n">
        <v>115.9311</v>
      </c>
      <c r="Q8" s="1433" t="n">
        <v>114.3996</v>
      </c>
      <c r="R8" s="1433" t="n">
        <v>115.6002</v>
      </c>
      <c r="S8" s="1433" t="n">
        <v>114.7833</v>
      </c>
      <c r="T8" s="1433" t="n">
        <v>113.2613</v>
      </c>
      <c r="U8" s="1433" t="n">
        <v>105.4679</v>
      </c>
      <c r="V8" s="1433" t="n">
        <v>105.2662</v>
      </c>
      <c r="W8" s="1433" t="n">
        <v>102.6714</v>
      </c>
      <c r="X8" s="1433" t="n">
        <v>96.0085</v>
      </c>
      <c r="Y8" s="1433" t="n">
        <v>93.696</v>
      </c>
      <c r="Z8" s="1433" t="n">
        <v>92.49299999999999</v>
      </c>
      <c r="AA8" s="1433" t="n">
        <v>92.1468</v>
      </c>
      <c r="AB8" s="1433" t="n">
        <v>92.38720000000001</v>
      </c>
      <c r="AC8" s="1433" t="n">
        <v>91.7289</v>
      </c>
      <c r="AD8" s="1433" t="n">
        <v>90.5998</v>
      </c>
      <c r="AE8" s="1433" t="n">
        <v>83.29300000000001</v>
      </c>
      <c r="AF8" s="1433" t="n">
        <v>81.7064</v>
      </c>
      <c r="AG8" s="1433" t="n">
        <v>85.9752</v>
      </c>
      <c r="AH8" s="1433" t="n">
        <v>86.79389999999999</v>
      </c>
      <c r="AI8" s="1433" t="n">
        <v>86.72190000000001</v>
      </c>
      <c r="AJ8" s="1433" t="n">
        <v>88.00239999999999</v>
      </c>
      <c r="AK8" s="1433" t="n">
        <v>87.0715</v>
      </c>
      <c r="AL8" s="1433" t="n">
        <v>86.4289</v>
      </c>
      <c r="AM8" s="1433" t="n">
        <v>85.9674</v>
      </c>
      <c r="AN8" s="1433" t="n">
        <v>83.2705</v>
      </c>
      <c r="AO8" s="1433" t="n">
        <v>81.2239</v>
      </c>
      <c r="AP8" s="1433" t="n">
        <v>80.0249</v>
      </c>
      <c r="AQ8" s="1433" t="n">
        <v>77.46510000000001</v>
      </c>
      <c r="AR8" s="1433" t="n">
        <v>76.667</v>
      </c>
      <c r="AS8" s="1433" t="n">
        <v>75.9224</v>
      </c>
      <c r="AT8" s="1433" t="n">
        <v>75.3117</v>
      </c>
      <c r="AU8" s="1433" t="n">
        <v>74.55889999999999</v>
      </c>
      <c r="AV8" s="1433" t="n">
        <v>72.78149999999999</v>
      </c>
      <c r="AW8" s="1433" t="n">
        <v>70.06619999999999</v>
      </c>
      <c r="AX8" s="1433" t="n">
        <v>71.0963</v>
      </c>
      <c r="AY8" s="1433" t="n">
        <v>72.6314</v>
      </c>
      <c r="AZ8" s="1433" t="n">
        <v>68.7835</v>
      </c>
      <c r="BA8" s="1433" t="n">
        <v>65.79389999999999</v>
      </c>
      <c r="BB8" s="1433" t="n">
        <v>65.81659999999999</v>
      </c>
      <c r="BC8" s="1433" t="n">
        <v>66.3644</v>
      </c>
      <c r="BD8" s="1433" t="n">
        <v>66.6135</v>
      </c>
      <c r="BE8" s="1433" t="n">
        <v>64.9358</v>
      </c>
      <c r="BF8" s="1433" t="n">
        <v>60.8953</v>
      </c>
      <c r="BG8" s="1433" t="n">
        <v>60.3851</v>
      </c>
      <c r="BH8" s="1433" t="n">
        <v>58.8705</v>
      </c>
      <c r="BI8" s="1433" t="n">
        <v>57.921</v>
      </c>
      <c r="BJ8" s="1433" t="n">
        <v>64.4392</v>
      </c>
      <c r="BK8" s="1433" t="n">
        <v>69.4353</v>
      </c>
      <c r="BL8" s="1433" t="n">
        <v>64.717</v>
      </c>
      <c r="BM8" s="1433" t="n">
        <v>62.7397</v>
      </c>
      <c r="BN8" s="1433" t="n">
        <v>63.6629</v>
      </c>
      <c r="BO8" s="1433" t="n">
        <v>64.9053</v>
      </c>
      <c r="BP8" s="1433" t="n">
        <v>65.9191</v>
      </c>
      <c r="BQ8" s="1433" t="n">
        <v>64.8669</v>
      </c>
      <c r="BR8" s="1433" t="n">
        <v>64.5699</v>
      </c>
      <c r="BS8" s="1433" t="n">
        <v>63.938</v>
      </c>
      <c r="BT8" s="1433" t="n">
        <v>62.0934</v>
      </c>
      <c r="BU8" s="1433" t="n">
        <v>60.9656</v>
      </c>
      <c r="BV8" s="1433" t="n">
        <v>59.2481</v>
      </c>
      <c r="BW8" s="1433" t="n">
        <v>59.1204</v>
      </c>
      <c r="BX8" s="1433" t="n">
        <v>58.9568</v>
      </c>
      <c r="BY8" s="1433" t="n">
        <v>59.3299</v>
      </c>
      <c r="BZ8" s="1433" t="n">
        <v>58.8003</v>
      </c>
      <c r="CA8" s="1433" t="n">
        <v>57.4566</v>
      </c>
      <c r="CB8" s="1433" t="n">
        <v>55.8307</v>
      </c>
      <c r="CC8" s="1433" t="n">
        <v>55.9886</v>
      </c>
      <c r="CD8" s="1433" t="n">
        <v>55.964</v>
      </c>
      <c r="CE8" s="1433" t="n">
        <v>56.0535</v>
      </c>
      <c r="CF8" s="1433" t="n">
        <v>55.8886</v>
      </c>
      <c r="CG8" s="1433" t="n">
        <v>53.858</v>
      </c>
      <c r="CH8" s="1433" t="n">
        <v>54.6405</v>
      </c>
      <c r="CI8" s="1433" t="n">
        <v>56.3584</v>
      </c>
      <c r="CJ8" s="1433" t="n">
        <v>57.1836</v>
      </c>
      <c r="CK8" s="1433" t="n">
        <v>60.1618</v>
      </c>
      <c r="CL8" s="1433" t="n">
        <v>64.32599999999999</v>
      </c>
      <c r="CM8" s="1433" t="n">
        <v>64.1349</v>
      </c>
      <c r="CN8" s="1433" t="n">
        <v>62.0499</v>
      </c>
      <c r="CO8" s="1433" t="n">
        <v>61.8056</v>
      </c>
      <c r="CP8" s="1433" t="n">
        <v>58.7643</v>
      </c>
      <c r="CQ8" s="1433" t="n">
        <v>58.9002</v>
      </c>
      <c r="CR8" s="1433" t="n">
        <v>58.3432</v>
      </c>
      <c r="CS8" s="1433" t="n">
        <v>57.8851</v>
      </c>
      <c r="CT8" s="1433" t="n">
        <v>57.1526</v>
      </c>
      <c r="CU8" s="1433" t="n">
        <v>56.4463</v>
      </c>
      <c r="CV8" s="1433" t="n">
        <v>55.826</v>
      </c>
      <c r="CW8" s="1433" t="n">
        <v>57.1133</v>
      </c>
      <c r="CX8" s="1433" t="n">
        <v>57.7608</v>
      </c>
      <c r="CY8" s="1433" t="n">
        <v>58.6741</v>
      </c>
      <c r="CZ8" s="1433" t="n">
        <v>59.4068</v>
      </c>
      <c r="DA8" s="1433" t="n">
        <v>61.0032</v>
      </c>
      <c r="DB8" s="1433" t="n">
        <v>61.2171</v>
      </c>
      <c r="DC8" s="1433" t="n">
        <v>62.5695</v>
      </c>
      <c r="DD8" s="1433" t="n">
        <v>63.2468</v>
      </c>
      <c r="DE8" s="1433" t="n">
        <v>61.2656</v>
      </c>
      <c r="DF8" s="1433" t="n">
        <v>61.1243</v>
      </c>
      <c r="DG8" s="1433" t="n">
        <v>61.0872</v>
      </c>
      <c r="DH8" s="1433" t="n">
        <v>61.361</v>
      </c>
      <c r="DI8" s="1433" t="n">
        <v>61.1615</v>
      </c>
      <c r="DJ8" s="1433" t="n">
        <v>61.5542</v>
      </c>
      <c r="DK8" s="1433" t="n">
        <v>61.704</v>
      </c>
      <c r="DL8" s="1433" t="n">
        <v>62.5156</v>
      </c>
      <c r="DM8" s="1433" t="n">
        <v>62.5355</v>
      </c>
      <c r="DN8" s="1433" t="n">
        <v>62.5056</v>
      </c>
      <c r="DO8" s="1433" t="n">
        <v>62.3551</v>
      </c>
      <c r="DP8" s="1433" t="n">
        <v>61.8322</v>
      </c>
      <c r="DQ8" s="1433" t="n">
        <v>60.8957</v>
      </c>
      <c r="DR8" s="1433" t="n">
        <v>59.3934</v>
      </c>
      <c r="DS8" s="1433" t="n">
        <v>59.5344</v>
      </c>
      <c r="DT8" s="1433" t="n">
        <v>59.3304</v>
      </c>
      <c r="DU8" s="1433" t="n">
        <v>59.5082</v>
      </c>
      <c r="DV8" s="1433" t="n">
        <v>59.5983</v>
      </c>
      <c r="DW8" s="1433" t="n">
        <v>59.8784</v>
      </c>
      <c r="DX8" s="1433" t="n">
        <v>59.9608</v>
      </c>
      <c r="DY8" s="1433" t="n">
        <v>60.5752</v>
      </c>
      <c r="DZ8" s="1433" t="n">
        <v>60.2141</v>
      </c>
      <c r="EA8" s="1433" t="n">
        <v>60.2842</v>
      </c>
      <c r="EB8" s="1433" t="n">
        <v>60.2187</v>
      </c>
      <c r="EC8" s="1433" t="n">
        <v>60.1408</v>
      </c>
      <c r="ED8" s="1433" t="n">
        <v>60.4929</v>
      </c>
      <c r="EE8" s="1433" t="n">
        <v>60.5458</v>
      </c>
      <c r="EF8" s="1433" t="n">
        <v>60.6952</v>
      </c>
      <c r="EG8" s="1433" t="n">
        <v>60.8571</v>
      </c>
      <c r="EH8" s="1433" t="n">
        <v>61.3127</v>
      </c>
      <c r="EI8" s="1433" t="n">
        <v>60.9364</v>
      </c>
      <c r="EJ8" s="1433" t="n">
        <v>60.9364</v>
      </c>
      <c r="EK8" s="1433" t="n">
        <v>60.9364</v>
      </c>
      <c r="EL8" s="1433" t="n">
        <v>59.874</v>
      </c>
      <c r="EM8" s="1433" t="n">
        <v>60.0426</v>
      </c>
      <c r="EN8" s="1433" t="n">
        <v>60.0507</v>
      </c>
      <c r="EO8" s="1433" t="n">
        <v>60.211</v>
      </c>
      <c r="EP8" s="1433" t="n">
        <v>58.9388</v>
      </c>
      <c r="EQ8" s="1433" t="n">
        <v>56.4751</v>
      </c>
      <c r="ER8" s="1433" t="n">
        <v>55.9278</v>
      </c>
      <c r="ES8" s="1433" t="n">
        <v>55.9953</v>
      </c>
      <c r="ET8" s="1433" t="n">
        <v>55.7232</v>
      </c>
      <c r="EU8" s="1433" t="n">
        <v>55.4064</v>
      </c>
      <c r="EV8" s="1433" t="n">
        <v>52.7379</v>
      </c>
      <c r="EW8" s="1433" t="n">
        <v>54.3947</v>
      </c>
      <c r="EX8" s="1433" t="n">
        <v>56.1725</v>
      </c>
      <c r="EY8" s="1433" t="n">
        <v>58.0613</v>
      </c>
      <c r="EZ8" s="1433" t="n">
        <v>58.2392</v>
      </c>
      <c r="FA8" s="1433" t="n">
        <v>59.9756</v>
      </c>
      <c r="FB8" s="1433" t="n">
        <v>60.8019</v>
      </c>
      <c r="FC8" s="1433" t="n">
        <v>62.3481</v>
      </c>
      <c r="FD8" s="1433" t="n">
        <v>62.5867</v>
      </c>
      <c r="FE8" s="1433" t="n">
        <v>62.5903</v>
      </c>
      <c r="FF8" s="1433" t="n">
        <v>62.4695</v>
      </c>
      <c r="FG8" s="1433" t="n">
        <v>60.5608</v>
      </c>
      <c r="FH8" s="1433" t="n">
        <v>60.53</v>
      </c>
      <c r="FI8" s="1433" t="n">
        <v>60.1086</v>
      </c>
      <c r="FJ8" s="1433" t="n">
        <v>60.4371</v>
      </c>
      <c r="FK8" s="1433" t="n">
        <v>59.8378</v>
      </c>
      <c r="FL8" s="1433" t="n">
        <v>60.1575</v>
      </c>
      <c r="FM8" s="1433" t="n">
        <v>60.4648</v>
      </c>
      <c r="FN8" s="1433" t="n">
        <v>61.5682</v>
      </c>
      <c r="FO8" s="1433" t="n">
        <v>61.5718</v>
      </c>
      <c r="FP8" s="1433" t="n">
        <v>61.1328</v>
      </c>
      <c r="FQ8" s="1433" t="n">
        <v>61.1196</v>
      </c>
      <c r="FR8" s="1433" t="n">
        <v>60.9668</v>
      </c>
      <c r="FS8" s="1433" t="n">
        <v>60.9216</v>
      </c>
      <c r="FT8" s="1433" t="n">
        <v>60.6071</v>
      </c>
      <c r="FU8" s="5" t="n">
        <v>60.9013</v>
      </c>
      <c r="FV8" s="5" t="n">
        <v>60.8231</v>
      </c>
      <c r="FW8" s="5" t="n">
        <v>61.2445</v>
      </c>
      <c r="FX8" s="5" t="n">
        <v>61.0037</v>
      </c>
      <c r="FY8" s="5" t="n">
        <v>62.0037</v>
      </c>
      <c r="FZ8" s="5" t="n">
        <v>62.1554</v>
      </c>
      <c r="GA8" s="5" t="n">
        <v>62.6297</v>
      </c>
      <c r="GB8" s="5" t="n">
        <v>62.6675</v>
      </c>
      <c r="GC8" s="5" t="n">
        <v>62.5712</v>
      </c>
      <c r="GD8" s="5" t="n">
        <v>62.4484</v>
      </c>
      <c r="GE8" s="5" t="n">
        <v>62.1245</v>
      </c>
      <c r="GF8" s="5" t="n">
        <v>62.1774</v>
      </c>
      <c r="GG8" s="5" t="n">
        <v>62.285</v>
      </c>
      <c r="GH8" s="5" t="n">
        <v>62.7814</v>
      </c>
      <c r="GI8" s="5" t="n">
        <v>62.8762</v>
      </c>
      <c r="GJ8" s="5" t="n">
        <v>63.3008</v>
      </c>
      <c r="GK8" s="5" t="n">
        <v>63.3882</v>
      </c>
      <c r="GL8" s="5" t="n">
        <v>63.0504</v>
      </c>
      <c r="GM8" s="5" t="n">
        <v>63.8279</v>
      </c>
      <c r="GN8" s="5" t="n">
        <v>64.9868</v>
      </c>
      <c r="GO8" s="5" t="n">
        <v>65.5205</v>
      </c>
      <c r="GP8" s="5" t="n">
        <v>66.1087</v>
      </c>
      <c r="GQ8" s="5" t="n">
        <v>65.89660000000001</v>
      </c>
      <c r="GR8" s="5" t="n">
        <v>65.67619999999999</v>
      </c>
      <c r="GS8" s="5" t="n">
        <v>65.8407</v>
      </c>
      <c r="GT8" s="5" t="n">
        <v>66.27</v>
      </c>
      <c r="GU8" s="5" t="n">
        <v>66.7017</v>
      </c>
      <c r="GV8" s="5" t="n">
        <v>67.4478</v>
      </c>
      <c r="GW8" s="5" t="n">
        <v>68.447</v>
      </c>
      <c r="GX8" s="5" t="n">
        <v>68.77979999999999</v>
      </c>
      <c r="GY8" s="5" t="n">
        <v>69.77979999999999</v>
      </c>
      <c r="GZ8" s="5" t="n">
        <v>70.77979999999999</v>
      </c>
      <c r="HA8" s="5" t="n">
        <v>75.09139999999999</v>
      </c>
      <c r="HB8" s="5" t="n">
        <v>76.6446</v>
      </c>
      <c r="HC8" s="5" t="n">
        <v>73.0407</v>
      </c>
      <c r="HD8" s="5" t="n">
        <v>72.62260000000001</v>
      </c>
      <c r="HE8" s="5" t="n">
        <v>74.5438</v>
      </c>
      <c r="HF8" s="5" t="n">
        <v>74.1361</v>
      </c>
      <c r="HG8" s="5" t="n">
        <v>73.82980000000001</v>
      </c>
      <c r="HH8" s="5" t="n">
        <v>74.2646</v>
      </c>
      <c r="HI8" s="5" t="n">
        <v>74.5882</v>
      </c>
      <c r="HJ8" s="5" t="n">
        <v>74.3434</v>
      </c>
      <c r="HK8" s="5" t="n">
        <v>74.7307</v>
      </c>
      <c r="HL8" s="5" t="n">
        <v>74.6948</v>
      </c>
      <c r="HM8" s="5" t="n">
        <v>74.9564</v>
      </c>
      <c r="HN8" s="5" t="n">
        <v>75.3348</v>
      </c>
      <c r="HO8" s="5" t="n">
        <v>75.4062</v>
      </c>
      <c r="HP8" s="5" t="n">
        <v>76.3004</v>
      </c>
      <c r="HQ8" s="5" t="n">
        <v>76.9564</v>
      </c>
      <c r="HR8" s="5" t="n">
        <v>76.73439999999999</v>
      </c>
      <c r="HS8" s="5" t="n">
        <v>76.0347</v>
      </c>
      <c r="HT8" s="5" t="n">
        <v>76.8344</v>
      </c>
      <c r="HU8" s="5" t="n">
        <v>78.05419999999999</v>
      </c>
      <c r="HV8" s="5" t="n">
        <v>79.3355</v>
      </c>
      <c r="HW8" s="5" t="n">
        <v>79.5654</v>
      </c>
      <c r="HX8" s="5" t="n">
        <v>79.6104</v>
      </c>
      <c r="HY8" s="5" t="n">
        <v>79.75879999999999</v>
      </c>
      <c r="HZ8" s="5" t="n">
        <v>79.5716</v>
      </c>
      <c r="IA8" s="5" t="n">
        <v>79.623</v>
      </c>
      <c r="IB8" s="5" t="n">
        <v>79.5134</v>
      </c>
      <c r="IC8" s="5" t="n">
        <v>80.1897</v>
      </c>
      <c r="ID8" s="5" t="n">
        <v>80.04689999999999</v>
      </c>
      <c r="IE8" s="5" t="n">
        <v>80.2353</v>
      </c>
      <c r="IF8" s="5" t="n">
        <v>80.13720000000001</v>
      </c>
      <c r="IG8" s="5" t="n">
        <v>80.40089999999999</v>
      </c>
      <c r="IH8" s="5" t="n">
        <v>80.5192</v>
      </c>
      <c r="II8" s="5" t="n">
        <v>80.8763</v>
      </c>
      <c r="IJ8" s="5" t="n">
        <v>81.1418</v>
      </c>
      <c r="IK8" s="5" t="n">
        <v>82.3736</v>
      </c>
      <c r="IL8" s="5" t="n">
        <v>82.5428</v>
      </c>
      <c r="IM8" s="5" t="n">
        <v>83.1452</v>
      </c>
      <c r="IN8" s="5" t="n">
        <v>82.29130000000001</v>
      </c>
      <c r="IO8" s="5" t="n">
        <v>82.77500000000001</v>
      </c>
      <c r="IP8" s="5" t="n">
        <v>83.4859</v>
      </c>
      <c r="IQ8" s="5" t="n">
        <v>83.76390000000001</v>
      </c>
      <c r="IR8" s="5" t="n">
        <v>84.1116</v>
      </c>
      <c r="IS8" s="5" t="n">
        <v>84.6185</v>
      </c>
      <c r="IT8" s="5" t="n">
        <v>86.72069999999999</v>
      </c>
      <c r="IU8" s="5" t="n">
        <v>87.0954</v>
      </c>
      <c r="IV8" s="5" t="n">
        <v>88.1294</v>
      </c>
      <c r="IW8" s="5" t="n">
        <v>90.28919999999999</v>
      </c>
      <c r="IX8" s="5" t="n">
        <v>89.1737</v>
      </c>
      <c r="IY8" s="5" t="n">
        <v>89.72709999999999</v>
      </c>
      <c r="IZ8" s="5" t="n">
        <v>89.7599</v>
      </c>
      <c r="JA8" s="5" t="n">
        <v>90.0035</v>
      </c>
      <c r="JB8" s="5" t="n">
        <v>90.16370000000001</v>
      </c>
      <c r="JC8" s="5" t="n">
        <v>89.65900000000001</v>
      </c>
      <c r="JD8" s="5" t="n">
        <v>89.57129999999999</v>
      </c>
      <c r="JE8" s="5" t="n">
        <v>89.3736</v>
      </c>
      <c r="JF8" s="5" t="n">
        <v>89.46380000000001</v>
      </c>
      <c r="JG8" s="5" t="n">
        <v>89.34950000000001</v>
      </c>
      <c r="JH8" s="5" t="n">
        <v>89.4589</v>
      </c>
      <c r="JI8" s="5" t="n">
        <v>90.03319999999999</v>
      </c>
      <c r="JJ8" s="5" t="n">
        <v>90.14360000000001</v>
      </c>
      <c r="JK8" s="5" t="n">
        <v>90.20229999999999</v>
      </c>
      <c r="JL8" s="5" t="n">
        <v>88.3712</v>
      </c>
      <c r="JM8" s="5" t="n">
        <v>87.65560000000001</v>
      </c>
      <c r="JN8" s="5" t="n">
        <v>87.575</v>
      </c>
      <c r="JO8" s="5" t="n">
        <v>86.9986</v>
      </c>
      <c r="JP8" s="5" t="n">
        <v>84.90730000000001</v>
      </c>
      <c r="JQ8" s="5" t="n">
        <v>84.1498</v>
      </c>
      <c r="JR8" s="5" t="n">
        <v>82.8877</v>
      </c>
      <c r="JS8" s="5" t="n">
        <v>84.25</v>
      </c>
      <c r="JT8" s="5" t="n">
        <v>86.08620000000001</v>
      </c>
      <c r="JU8" s="5" t="n">
        <v>87.1619</v>
      </c>
      <c r="JV8" s="5" t="n">
        <v>86.49639999999999</v>
      </c>
      <c r="JW8" s="5" t="n">
        <v>86.277</v>
      </c>
      <c r="JX8" s="5" t="n">
        <v>86.49630000000001</v>
      </c>
      <c r="JY8" s="5" t="n">
        <v>86.5502</v>
      </c>
      <c r="JZ8" s="5" t="n">
        <v>86.1995</v>
      </c>
      <c r="KA8" s="5" t="n">
        <v>85.8767</v>
      </c>
      <c r="KB8" s="5" t="n">
        <v>85.919</v>
      </c>
      <c r="KC8" s="5" t="n">
        <v>85.90130000000001</v>
      </c>
      <c r="KD8" s="5" t="n">
        <v>86.5119</v>
      </c>
      <c r="KE8" s="5" t="n">
        <v>86.5009</v>
      </c>
      <c r="KF8" s="5" t="n">
        <v>86.57640000000001</v>
      </c>
      <c r="KG8" s="5" t="n">
        <v>87.101</v>
      </c>
      <c r="KH8" s="5" t="n">
        <v>87.0318</v>
      </c>
      <c r="KI8" s="5" t="n">
        <v>86.95189999999999</v>
      </c>
      <c r="KJ8" s="5" t="n">
        <v>87.1651</v>
      </c>
      <c r="KK8" s="5" t="n">
        <v>88.03789999999999</v>
      </c>
      <c r="KL8" s="5" t="n">
        <v>89.0057</v>
      </c>
      <c r="KM8" s="5" t="n">
        <v>90.3899</v>
      </c>
      <c r="KN8" s="5" t="n">
        <v>91.0668</v>
      </c>
      <c r="KO8" s="5" t="n">
        <v>90.9665</v>
      </c>
      <c r="KP8" s="5" t="n">
        <v>91.63290000000001</v>
      </c>
      <c r="KQ8" s="5" t="n">
        <v>91.7966</v>
      </c>
      <c r="KR8" s="5" t="n">
        <v>92.0745</v>
      </c>
      <c r="KS8" s="5" t="n">
        <v>92.0014</v>
      </c>
      <c r="KT8" s="5" t="n">
        <v>91.943</v>
      </c>
      <c r="KU8" s="5" t="n">
        <v>91.4933</v>
      </c>
      <c r="KV8" s="5" t="n">
        <v>92.3</v>
      </c>
      <c r="KW8" s="5" t="n">
        <v>93.1373</v>
      </c>
      <c r="KX8" s="5" t="n">
        <v>93.8644</v>
      </c>
      <c r="KY8" s="5" t="n">
        <v>95.1052</v>
      </c>
      <c r="KZ8" s="5" t="n">
        <v>96.01949999999999</v>
      </c>
      <c r="LA8" s="5" t="n">
        <v>97.2582</v>
      </c>
      <c r="LB8" s="5" t="n">
        <v>97.73820000000001</v>
      </c>
      <c r="LC8" s="5" t="n">
        <v>98.4144</v>
      </c>
      <c r="LD8" s="5" t="n">
        <v>100.7163</v>
      </c>
      <c r="LE8" s="5" t="n">
        <v>99.8189</v>
      </c>
      <c r="LF8" s="5" t="n">
        <v>100.4155</v>
      </c>
      <c r="LG8" s="5" t="n">
        <v>99.67749999999999</v>
      </c>
      <c r="LH8" s="5" t="n">
        <v>99.889</v>
      </c>
      <c r="LI8" s="5" t="n">
        <v>100.6788</v>
      </c>
      <c r="LJ8" s="5" t="n">
        <v>101.1992</v>
      </c>
      <c r="LK8" s="5" t="n">
        <v>101.6496</v>
      </c>
      <c r="LL8" s="5" t="n">
        <v>102.0271</v>
      </c>
      <c r="LM8" s="5" t="n">
        <v>102.4441</v>
      </c>
      <c r="LN8" s="5" t="n">
        <v>101.833</v>
      </c>
      <c r="LO8" s="5" t="n">
        <v>100.6562</v>
      </c>
      <c r="LP8" s="5" t="n">
        <v>100.3614</v>
      </c>
      <c r="LQ8" s="5" t="n">
        <v>99.6918</v>
      </c>
      <c r="LR8" s="5" t="n">
        <v>99.9586</v>
      </c>
      <c r="LS8" s="5" t="n">
        <v>101.9268</v>
      </c>
      <c r="LT8" s="5" t="n">
        <v>102.531</v>
      </c>
      <c r="LU8" s="5" t="n">
        <v>103.8379</v>
      </c>
      <c r="LV8" s="5" t="n">
        <v>106.0543</v>
      </c>
      <c r="LW8" s="5" t="n">
        <v>105.4352</v>
      </c>
      <c r="LX8" s="5" t="n">
        <v>106.8897</v>
      </c>
      <c r="LY8" s="5" t="n">
        <v>107.1563</v>
      </c>
      <c r="LZ8" s="5" t="n">
        <v>107.9723</v>
      </c>
      <c r="MA8" s="5" t="n">
        <v>110.6847</v>
      </c>
      <c r="MB8" s="5" t="n">
        <v>106.5736</v>
      </c>
      <c r="MC8" s="5" t="n">
        <v>105.6591</v>
      </c>
      <c r="MD8" s="5" t="n">
        <v>102.181</v>
      </c>
      <c r="ME8" s="5" t="n">
        <v>101.4802</v>
      </c>
      <c r="MF8" s="5" t="n">
        <v>102.5719</v>
      </c>
      <c r="MG8" s="5" t="n">
        <v>102.753</v>
      </c>
      <c r="MH8" s="5" t="n">
        <v>102.2452</v>
      </c>
      <c r="MI8" s="5" t="n">
        <v>102.4719</v>
      </c>
      <c r="MJ8" s="5" t="n">
        <v>102.2586</v>
      </c>
      <c r="MK8" s="5" t="n">
        <v>103.2434</v>
      </c>
      <c r="ML8" s="5" t="n">
        <v>103.4765</v>
      </c>
      <c r="MM8" s="5" t="n">
        <v>104.4496</v>
      </c>
      <c r="MN8" s="5" t="n">
        <v>104.9407</v>
      </c>
      <c r="MO8" s="5" t="n">
        <v>104.6108</v>
      </c>
      <c r="MP8" s="5" t="n">
        <v>104.4171</v>
      </c>
      <c r="MQ8" s="5" t="n">
        <v>104.9043</v>
      </c>
      <c r="MR8" s="5" t="n">
        <v>105.0789</v>
      </c>
      <c r="MS8" s="5" t="n">
        <v>105.2776</v>
      </c>
      <c r="MT8" s="5" t="n">
        <v>104.8872</v>
      </c>
      <c r="MU8" s="5" t="n">
        <v>103.5332</v>
      </c>
      <c r="MV8" s="5" t="n">
        <v>101.5646</v>
      </c>
      <c r="MW8" s="5" t="n">
        <v>103.1066</v>
      </c>
      <c r="MX8" s="5" t="n">
        <v>103.2289</v>
      </c>
      <c r="MY8" s="5" t="n">
        <v>103.0358</v>
      </c>
      <c r="MZ8" s="5" t="n">
        <v>103.0945</v>
      </c>
      <c r="NA8" s="5" t="n">
        <v>102.9211</v>
      </c>
      <c r="NB8" s="5" t="n">
        <v>103.3699</v>
      </c>
      <c r="NC8" s="5" t="n">
        <v>102.3606</v>
      </c>
      <c r="ND8" s="5" t="n">
        <v>102.2485</v>
      </c>
      <c r="NE8" s="5" t="n">
        <v>102.2453</v>
      </c>
      <c r="NF8" s="5" t="n">
        <v>101.9888</v>
      </c>
      <c r="NG8" s="5" t="n">
        <v>101.978</v>
      </c>
      <c r="NH8" s="5" t="n">
        <v>102.0979</v>
      </c>
      <c r="NI8" s="5" t="n">
        <v>103.1631</v>
      </c>
      <c r="NJ8" s="5" t="n">
        <v>103.868</v>
      </c>
      <c r="NK8" s="5" t="n">
        <v>104.0621</v>
      </c>
      <c r="NL8" s="5" t="n">
        <v>104.3024</v>
      </c>
      <c r="NM8" s="5" t="n">
        <v>104.7877</v>
      </c>
      <c r="NN8" s="5" t="n">
        <v>106.01</v>
      </c>
      <c r="NO8" s="5" t="n">
        <v>107.0322</v>
      </c>
      <c r="NP8" s="5" t="n">
        <v>105.6864</v>
      </c>
      <c r="NQ8" s="5" t="n">
        <v>105.9544</v>
      </c>
      <c r="NR8" s="5" t="n">
        <v>103.035</v>
      </c>
      <c r="NS8" s="5" t="n">
        <v>102.5523</v>
      </c>
      <c r="NT8" s="5" t="n">
        <v>102.52</v>
      </c>
      <c r="NU8" s="5" t="n">
        <v>102.7527</v>
      </c>
      <c r="NV8" s="5" t="n">
        <v>102.9059</v>
      </c>
      <c r="NW8" s="5" t="n">
        <v>102.6255</v>
      </c>
      <c r="NX8" s="5" t="n">
        <v>101.4257</v>
      </c>
      <c r="NY8" s="5" t="n">
        <v>100.303</v>
      </c>
      <c r="NZ8" s="5" t="n">
        <v>99.5534</v>
      </c>
      <c r="OA8" s="5" t="n">
        <v>98.65430000000001</v>
      </c>
      <c r="OB8" s="5" t="n">
        <v>98.7376</v>
      </c>
      <c r="OC8" s="5" t="n">
        <v>98.35039999999999</v>
      </c>
      <c r="OD8" s="5" t="n">
        <v>98.6164</v>
      </c>
      <c r="OE8" s="5" t="n">
        <v>97.9345</v>
      </c>
      <c r="OF8" s="5" t="n">
        <v>98.4365</v>
      </c>
      <c r="OG8" s="5" t="n">
        <v>98.9995</v>
      </c>
      <c r="OH8" s="5" t="n">
        <v>99.0111</v>
      </c>
      <c r="OI8" s="5" t="n">
        <v>98.7863</v>
      </c>
      <c r="OJ8" s="5" t="n">
        <v>98.44029999999999</v>
      </c>
      <c r="OK8" s="5" t="n">
        <v>98.4076</v>
      </c>
      <c r="OL8" s="5" t="n">
        <v>98.3155</v>
      </c>
      <c r="OM8" s="5" t="n">
        <v>98.5314</v>
      </c>
      <c r="ON8" s="5" t="n">
        <v>97.77809999999999</v>
      </c>
      <c r="OO8" s="5" t="n">
        <v>97.13339999999999</v>
      </c>
      <c r="OP8" s="5" t="n">
        <v>96.5921</v>
      </c>
      <c r="OQ8" s="5" t="n">
        <v>96.7692</v>
      </c>
      <c r="OR8" s="5" t="n">
        <v>96.6597</v>
      </c>
      <c r="OS8" s="5" t="n">
        <v>96.2561</v>
      </c>
      <c r="OT8" s="5" t="n">
        <v>96.14749999999999</v>
      </c>
      <c r="OU8" s="5" t="n">
        <v>96.2273</v>
      </c>
      <c r="OV8" s="5" t="n">
        <v>96.9187</v>
      </c>
      <c r="OW8" s="5" t="n">
        <v>97.15940000000001</v>
      </c>
      <c r="OX8" s="5" t="n">
        <v>97.0659</v>
      </c>
      <c r="OY8" s="5" t="n">
        <v>97.6503</v>
      </c>
      <c r="OZ8" s="5" t="n">
        <v>96.8827</v>
      </c>
      <c r="PA8" s="5" t="n">
        <v>97.9126</v>
      </c>
      <c r="PB8" s="5" t="n">
        <v>98.57680000000001</v>
      </c>
      <c r="PC8" s="5" t="n">
        <v>99.134</v>
      </c>
      <c r="PD8" s="5" t="n">
        <v>100.1353</v>
      </c>
      <c r="PE8" s="5" t="n">
        <v>99.81310000000001</v>
      </c>
      <c r="PF8" s="5" t="n">
        <v>98.8409</v>
      </c>
      <c r="PG8" s="5" t="n">
        <v>98.07689999999999</v>
      </c>
      <c r="PH8" s="5" t="n">
        <v>97.40300000000001</v>
      </c>
      <c r="PI8" s="5" t="n">
        <v>96.95</v>
      </c>
      <c r="PJ8" s="5" t="n">
        <v>97.7377</v>
      </c>
      <c r="PK8" s="5" t="n">
        <v>98.4186</v>
      </c>
      <c r="PL8" s="5" t="n">
        <v>98.7578</v>
      </c>
      <c r="PM8" s="5" t="n">
        <v>98.57640000000001</v>
      </c>
      <c r="PN8" s="5" t="n">
        <v>99.048</v>
      </c>
      <c r="PO8" s="5" t="n">
        <v>100.5113</v>
      </c>
      <c r="PP8" s="5" t="n">
        <v>101.2863</v>
      </c>
      <c r="PQ8" s="5" t="n">
        <v>101.5781</v>
      </c>
      <c r="PR8" s="5" t="n">
        <v>101.1178</v>
      </c>
      <c r="PS8" s="5" t="n">
        <v>101.3451</v>
      </c>
      <c r="PT8" s="5" t="n">
        <v>100.5506</v>
      </c>
      <c r="PU8" s="5" t="n">
        <v>99.1919</v>
      </c>
      <c r="PV8" s="5" t="n">
        <v>98.9825</v>
      </c>
      <c r="PW8" s="5" t="n">
        <v>97.8745</v>
      </c>
      <c r="PX8" s="5" t="n">
        <v>97.5401</v>
      </c>
      <c r="PY8" s="5" t="n">
        <v>96.7517</v>
      </c>
      <c r="PZ8" s="5" t="n">
        <v>96.0682</v>
      </c>
      <c r="QA8" s="5" t="n">
        <v>95.6007</v>
      </c>
      <c r="QB8" s="5" t="n">
        <v>96.0531</v>
      </c>
      <c r="QC8" s="5" t="n">
        <v>96.5882</v>
      </c>
      <c r="QD8" s="5" t="n">
        <v>96.3835</v>
      </c>
      <c r="QE8" s="5" t="n">
        <v>95.8854</v>
      </c>
      <c r="QF8" s="5" t="n">
        <v>95.8266</v>
      </c>
      <c r="QG8" s="5" t="n">
        <v>96.1657</v>
      </c>
      <c r="QH8" s="5" t="n">
        <v>96.6365</v>
      </c>
      <c r="QI8" s="5" t="n">
        <v>97.0945</v>
      </c>
      <c r="QJ8" s="5" t="n">
        <v>96.9777</v>
      </c>
      <c r="QK8" s="5" t="n">
        <v>96.7895</v>
      </c>
      <c r="QL8" s="5" t="n">
        <v>97.11490000000001</v>
      </c>
      <c r="QM8" s="5" t="n">
        <v>97.40089999999999</v>
      </c>
      <c r="QN8" s="5" t="n">
        <v>98.6437</v>
      </c>
      <c r="QO8" s="5" t="n">
        <v>98.22790000000001</v>
      </c>
      <c r="QP8" s="5" t="n">
        <v>97.444</v>
      </c>
      <c r="QQ8" s="5" t="n">
        <v>98.0936</v>
      </c>
      <c r="QR8" s="5" t="n">
        <v>98.35429999999999</v>
      </c>
      <c r="QS8" s="5" t="n">
        <v>97.93640000000001</v>
      </c>
      <c r="QT8" s="5" t="n">
        <v>98.1512</v>
      </c>
      <c r="QU8" s="5" t="n">
        <v>98.1917</v>
      </c>
      <c r="QV8" s="5" t="n">
        <v>97.8133</v>
      </c>
      <c r="QW8" s="5" t="n">
        <v>98.40989999999999</v>
      </c>
      <c r="QX8" s="5" t="n">
        <v>99.3523</v>
      </c>
      <c r="QY8" s="5" t="n">
        <v>99.4889</v>
      </c>
      <c r="QZ8" s="5" t="n">
        <v>99.55889999999999</v>
      </c>
      <c r="RA8" s="5" t="n">
        <v>99.8968</v>
      </c>
      <c r="RB8" s="5" t="n">
        <v>100.4425</v>
      </c>
      <c r="RC8" s="5" t="n">
        <v>100.1776</v>
      </c>
      <c r="RD8" s="5" t="n">
        <v>99.92140000000001</v>
      </c>
      <c r="RE8" s="5" t="n">
        <v>99.45</v>
      </c>
      <c r="RF8" s="5" t="n">
        <v>98.54470000000001</v>
      </c>
      <c r="RG8" s="5" t="n">
        <v>98.7225</v>
      </c>
      <c r="RH8" s="5" t="n">
        <v>99.1061</v>
      </c>
      <c r="RI8" s="5" t="n">
        <v>98.9366</v>
      </c>
      <c r="RJ8" s="5" t="n">
        <v>98.2017</v>
      </c>
      <c r="RK8" s="5" t="n">
        <v>98.8767</v>
      </c>
      <c r="RL8" s="5" t="n">
        <v>99.1317</v>
      </c>
      <c r="RM8" s="5" t="n">
        <v>99.3561</v>
      </c>
      <c r="RN8" s="5" t="n">
        <v>100.1869</v>
      </c>
      <c r="RO8" s="5" t="n">
        <v>100.2625</v>
      </c>
      <c r="RP8" s="5" t="n">
        <v>99.9718</v>
      </c>
      <c r="RQ8" s="5" t="n">
        <v>100.2432</v>
      </c>
      <c r="RR8" s="5" t="n">
        <v>100.1047</v>
      </c>
      <c r="RS8" s="5" t="n">
        <v>100.6139</v>
      </c>
      <c r="RT8" s="5" t="n">
        <v>100.365</v>
      </c>
      <c r="RU8" s="5" t="n">
        <v>100.217</v>
      </c>
      <c r="RV8" s="5" t="n">
        <v>100.3651</v>
      </c>
      <c r="RW8" s="5" t="n">
        <v>100.4121</v>
      </c>
      <c r="RX8" s="5" t="n">
        <v>100.2704</v>
      </c>
      <c r="RY8" s="5" t="n">
        <v>99.70569999999999</v>
      </c>
      <c r="RZ8" s="5" t="n">
        <v>99.5299</v>
      </c>
      <c r="SA8" s="5" t="n">
        <v>99.56610000000001</v>
      </c>
      <c r="SB8" s="5" t="n">
        <v>99.41160000000001</v>
      </c>
      <c r="SC8" s="5" t="n">
        <v>99.4277</v>
      </c>
      <c r="SD8" s="5" t="n">
        <v>100.0668</v>
      </c>
      <c r="SE8" s="5" t="n">
        <v>100.1259</v>
      </c>
      <c r="SF8" s="5" t="n">
        <v>100.2236</v>
      </c>
      <c r="SG8" s="5" t="n">
        <v>100.7473</v>
      </c>
      <c r="SH8" s="5" t="n">
        <v>101.2333</v>
      </c>
      <c r="SI8" s="5" t="n">
        <v>100.6793</v>
      </c>
      <c r="SJ8" s="5" t="n">
        <v>99.7264</v>
      </c>
      <c r="SK8" s="5" t="n">
        <v>99.79340000000001</v>
      </c>
      <c r="SL8" s="5" t="n">
        <v>99.9341</v>
      </c>
      <c r="SM8" s="5" t="n">
        <v>100.2787</v>
      </c>
      <c r="SN8" s="5" t="n">
        <v>100.5316</v>
      </c>
      <c r="SO8" s="5" t="n">
        <v>99.5797</v>
      </c>
      <c r="SP8" s="5" t="n">
        <v>99.3648</v>
      </c>
      <c r="SQ8" s="5" t="n">
        <v>99.5609</v>
      </c>
      <c r="SR8" s="5" t="n">
        <v>98.9118</v>
      </c>
      <c r="SS8" s="5" t="n">
        <v>98.7079</v>
      </c>
      <c r="ST8" s="5" t="n">
        <v>98.7187</v>
      </c>
      <c r="SU8" s="5" t="n">
        <v>98.027</v>
      </c>
      <c r="SV8" s="5" t="n">
        <v>98.6447</v>
      </c>
      <c r="SW8" s="5" t="n">
        <v>98.56019999999999</v>
      </c>
      <c r="SX8" s="5" t="n">
        <v>98.473</v>
      </c>
      <c r="SY8" s="5" t="n">
        <v>98.3062</v>
      </c>
      <c r="SZ8" s="5" t="n">
        <v>98.9461</v>
      </c>
      <c r="TA8" s="5" t="n">
        <v>98.8486</v>
      </c>
      <c r="TB8" s="5" t="n">
        <v>98.6682</v>
      </c>
      <c r="TC8" s="5" t="n">
        <v>98.8267</v>
      </c>
      <c r="TD8" s="5" t="n">
        <v>98.8978</v>
      </c>
      <c r="TE8" s="5" t="n">
        <v>98.77760000000001</v>
      </c>
      <c r="TF8" s="5" t="n">
        <v>98.5842</v>
      </c>
      <c r="TG8" s="5" t="n">
        <v>98.2971</v>
      </c>
      <c r="TH8" s="5" t="n">
        <v>97.8989</v>
      </c>
      <c r="TI8" s="5" t="n">
        <v>97.8788</v>
      </c>
      <c r="TJ8" s="5" t="n">
        <v>97.0954</v>
      </c>
      <c r="TK8" s="5" t="n">
        <v>96.3034</v>
      </c>
      <c r="TL8" s="5" t="n">
        <v>96.2383</v>
      </c>
      <c r="TM8" s="5" t="n">
        <v>96.89100000000001</v>
      </c>
      <c r="TN8" s="5" t="n">
        <v>97.1347</v>
      </c>
      <c r="TO8" s="5" t="n">
        <v>97.7908</v>
      </c>
      <c r="TP8" s="5" t="n">
        <v>96.8721</v>
      </c>
      <c r="TQ8" s="5" t="n">
        <v>96.563</v>
      </c>
      <c r="TR8" s="5" t="n">
        <v>96.4443</v>
      </c>
      <c r="TS8" s="5" t="n">
        <v>96.5698</v>
      </c>
      <c r="TT8" s="5" t="n">
        <v>96.69159999999999</v>
      </c>
      <c r="TU8" s="5" t="n">
        <v>95.6367</v>
      </c>
      <c r="TV8" s="5" t="n">
        <v>95.73909999999999</v>
      </c>
      <c r="TW8" s="5" t="n">
        <v>94.83240000000001</v>
      </c>
      <c r="TX8" s="5" t="n">
        <v>95.1514</v>
      </c>
      <c r="TY8" s="5" t="n">
        <v>95.39060000000001</v>
      </c>
      <c r="TZ8" s="5" t="n">
        <v>93.29940000000001</v>
      </c>
      <c r="UA8" s="5" t="n">
        <v>89.09139999999999</v>
      </c>
      <c r="UB8" s="5" t="n">
        <v>93.7347</v>
      </c>
      <c r="UC8" s="5" t="n">
        <v>93.95820000000001</v>
      </c>
      <c r="UD8" s="5" t="n">
        <v>95.66240000000001</v>
      </c>
      <c r="UE8" s="5" t="n">
        <v>95.75879999999999</v>
      </c>
      <c r="UF8" s="5" t="n">
        <v>95.78489999999999</v>
      </c>
      <c r="UG8" s="5" t="n">
        <v>95.7591</v>
      </c>
      <c r="UH8" s="5" t="n">
        <v>96.30459999999999</v>
      </c>
      <c r="UI8" s="5" t="n">
        <v>93.2641</v>
      </c>
      <c r="UJ8" s="5" t="n">
        <v>93.29470000000001</v>
      </c>
      <c r="UK8" s="5" t="n">
        <v>92.8291</v>
      </c>
      <c r="UL8" s="5" t="n">
        <v>94.13330000000001</v>
      </c>
      <c r="UM8" s="5" t="n">
        <v>96.68519999999999</v>
      </c>
      <c r="UN8" s="5" t="n">
        <v>100.204</v>
      </c>
      <c r="UO8" s="5" t="n">
        <v>101.9508</v>
      </c>
      <c r="UP8" s="5" t="n">
        <v>101.6207</v>
      </c>
      <c r="UQ8" s="5" t="n">
        <v>102.4927</v>
      </c>
      <c r="UR8" s="5" t="n">
        <v>102.2911</v>
      </c>
      <c r="US8" s="5" t="n">
        <v>100.7622</v>
      </c>
      <c r="UT8" s="5" t="n">
        <v>97.8121</v>
      </c>
      <c r="UU8" s="5" t="n">
        <v>98.07250000000001</v>
      </c>
      <c r="UV8" s="5" t="n">
        <v>100.4995</v>
      </c>
      <c r="UW8" s="5" t="n">
        <v>100.3907</v>
      </c>
      <c r="UX8" s="5" t="n">
        <v>101.2789</v>
      </c>
      <c r="UY8" s="5" t="n">
        <v>101.5057</v>
      </c>
      <c r="UZ8" s="5" t="n">
        <v>103.249</v>
      </c>
      <c r="VA8" s="5" t="n">
        <v>103.2191</v>
      </c>
      <c r="VB8" s="5" t="n">
        <v>103.4758</v>
      </c>
      <c r="VC8" s="5" t="n">
        <v>103.4694</v>
      </c>
      <c r="VD8" s="5" t="n">
        <v>104.1735</v>
      </c>
      <c r="VE8" s="5" t="n">
        <v>103.6502</v>
      </c>
      <c r="VF8" s="5" t="n">
        <v>106.5074</v>
      </c>
      <c r="VG8" s="5" t="n">
        <v>105.1095</v>
      </c>
      <c r="VH8" s="5" t="n">
        <v>105.4854</v>
      </c>
      <c r="VI8" s="5" t="n">
        <v>105.756</v>
      </c>
      <c r="VJ8" s="5" t="n">
        <v>104.866</v>
      </c>
      <c r="VK8" s="5" t="n">
        <v>104.3815</v>
      </c>
      <c r="VL8" s="5" t="n">
        <v>104.5139</v>
      </c>
      <c r="VM8" s="5" t="n">
        <v>105.4375</v>
      </c>
      <c r="VN8" s="5" t="n">
        <v>105.5231</v>
      </c>
      <c r="VO8" s="5" t="n">
        <v>105.8415</v>
      </c>
      <c r="VP8" s="5" t="n">
        <v>106.1426</v>
      </c>
      <c r="VQ8" s="5" t="n">
        <v>105.5679</v>
      </c>
      <c r="VR8" s="5" t="n">
        <v>104.8522</v>
      </c>
      <c r="VS8" s="5" t="n">
        <v>104.2533</v>
      </c>
      <c r="VT8" s="5" t="n">
        <v>104.2901</v>
      </c>
      <c r="VU8" s="5" t="n">
        <v>105.7072</v>
      </c>
      <c r="VV8" s="5" t="n">
        <v>105.7338</v>
      </c>
      <c r="VW8" s="5" t="n">
        <v>105.809</v>
      </c>
      <c r="VX8" s="5" t="n">
        <v>108.8705</v>
      </c>
      <c r="VY8" s="5" t="n">
        <v>116.141</v>
      </c>
      <c r="VZ8" s="5" t="n">
        <v>114.3149</v>
      </c>
      <c r="WA8" s="5" t="n">
        <v>112.8019</v>
      </c>
      <c r="WB8" s="5" t="n">
        <v>109.7802</v>
      </c>
      <c r="WC8" s="5" t="n">
        <v>108.5588</v>
      </c>
      <c r="WD8" s="5" t="n">
        <v>109.0126</v>
      </c>
      <c r="WE8" s="5" t="n">
        <v>108.5083</v>
      </c>
      <c r="WF8" s="5" t="n">
        <v>106.5444</v>
      </c>
      <c r="WG8" s="5" t="n">
        <v>103.9416</v>
      </c>
      <c r="WH8" s="5" t="n">
        <v>106.1028</v>
      </c>
      <c r="WI8" s="5" t="n">
        <v>105.0464</v>
      </c>
      <c r="WJ8" s="5" t="n">
        <v>104.8556</v>
      </c>
      <c r="WK8" s="5" t="n">
        <v>105.8072</v>
      </c>
      <c r="WL8" s="5" t="n">
        <v>105.0457</v>
      </c>
      <c r="WM8" s="5" t="n">
        <v>103.2856</v>
      </c>
      <c r="WN8" s="5" t="n">
        <v>103.187</v>
      </c>
      <c r="WO8" s="5" t="n">
        <v>102.4041</v>
      </c>
      <c r="WP8" s="5" t="n">
        <v>102.491</v>
      </c>
      <c r="WQ8" s="5" t="n">
        <v>102.6852</v>
      </c>
      <c r="WR8" s="5" t="n">
        <v>100.6751</v>
      </c>
      <c r="WS8" s="5" t="n">
        <v>101.2243</v>
      </c>
      <c r="WT8" s="5" t="n">
        <v>94.9221</v>
      </c>
      <c r="WU8" s="5" t="n">
        <v>95.8048</v>
      </c>
      <c r="WV8" s="5" t="n">
        <v>94.0834</v>
      </c>
      <c r="WW8" s="5" t="n">
        <v>92.01519999999999</v>
      </c>
      <c r="WX8" s="5" t="n">
        <v>90.94029999999999</v>
      </c>
      <c r="WY8" s="5" t="n">
        <v>92.03619999999999</v>
      </c>
      <c r="WZ8" s="5" t="n">
        <v>93.9034</v>
      </c>
      <c r="XA8" s="5" t="n">
        <v>95.4443</v>
      </c>
      <c r="XB8" s="5" t="n">
        <v>93.6639</v>
      </c>
      <c r="XC8" s="5" t="n">
        <v>93.6087</v>
      </c>
      <c r="XD8" s="5" t="n">
        <v>87.5697</v>
      </c>
      <c r="XE8" s="5" t="n">
        <v>90.8257</v>
      </c>
      <c r="XF8" s="5" t="n">
        <v>91.42619999999999</v>
      </c>
      <c r="XG8" s="5" t="n">
        <v>92.3409</v>
      </c>
      <c r="XH8" s="5" t="n">
        <v>92.0029</v>
      </c>
      <c r="XI8" s="5" t="n">
        <v>90.5441</v>
      </c>
      <c r="XJ8" s="5" t="n">
        <v>92.4276</v>
      </c>
      <c r="XK8" s="5" t="n">
        <v>91.20440000000001</v>
      </c>
      <c r="XL8" s="5" t="n">
        <v>92.9855</v>
      </c>
      <c r="XM8" s="5" t="n">
        <v>93.77549999999999</v>
      </c>
      <c r="XN8" s="5" t="n">
        <v>96.2163</v>
      </c>
      <c r="XO8" s="5" t="n">
        <v>93.67140000000001</v>
      </c>
      <c r="XP8" s="5" t="n">
        <v>94.04000000000001</v>
      </c>
      <c r="XQ8" s="5" t="n">
        <v>94.5723</v>
      </c>
      <c r="XR8" s="5" t="n">
        <v>94.7129</v>
      </c>
      <c r="XS8" s="5" t="n">
        <v>94.3593</v>
      </c>
      <c r="XT8" s="5" t="n">
        <v>93.173</v>
      </c>
      <c r="XU8" s="5" t="n">
        <v>92.837</v>
      </c>
      <c r="XV8" s="5" t="n">
        <v>92.90819999999999</v>
      </c>
      <c r="XW8" s="5" t="n">
        <v>91.9169</v>
      </c>
      <c r="XX8" s="5" t="n">
        <v>92.1439</v>
      </c>
      <c r="XY8" s="5" t="n">
        <v>90.1117</v>
      </c>
      <c r="XZ8" s="5" t="n">
        <v>90.38209999999999</v>
      </c>
      <c r="YA8" s="5" t="n">
        <v>90.5098</v>
      </c>
      <c r="YB8" s="5" t="n">
        <v>91.29900000000001</v>
      </c>
      <c r="YC8" s="5" t="n">
        <v>90.52070000000001</v>
      </c>
      <c r="YD8" s="5" t="n">
        <v>90.4644</v>
      </c>
      <c r="YE8" s="5" t="n">
        <v>90.377</v>
      </c>
      <c r="YF8" s="5" t="n">
        <v>89.9267</v>
      </c>
      <c r="YG8" s="5" t="n">
        <v>90.6635</v>
      </c>
      <c r="YH8" s="5" t="n">
        <v>90.3954</v>
      </c>
      <c r="YI8" s="5" t="n">
        <v>90.0068</v>
      </c>
      <c r="YJ8" s="5" t="n">
        <v>90.9438</v>
      </c>
      <c r="YK8" s="5" t="n">
        <v>90.7548</v>
      </c>
      <c r="YL8" s="5" t="n">
        <v>89.83880000000001</v>
      </c>
      <c r="YM8" s="5" t="n">
        <v>92.27849999999999</v>
      </c>
      <c r="YN8" s="5" t="n">
        <v>92.744</v>
      </c>
      <c r="YO8" s="5" t="n">
        <v>93.1277</v>
      </c>
      <c r="YP8" s="5" t="n">
        <v>93.0103</v>
      </c>
      <c r="YQ8" s="5" t="n">
        <v>92.41379999999999</v>
      </c>
      <c r="YR8" s="5" t="n">
        <v>91.9667</v>
      </c>
      <c r="YS8" s="5" t="n">
        <v>91.4175</v>
      </c>
      <c r="YT8" s="5" t="n">
        <v>91.4992</v>
      </c>
      <c r="YU8" s="5" t="n">
        <v>91.77379999999999</v>
      </c>
      <c r="YV8" s="5" t="n">
        <v>90.9716</v>
      </c>
      <c r="YW8" s="5" t="n">
        <v>91.0821</v>
      </c>
      <c r="YX8" s="5" t="n">
        <v>91.7782</v>
      </c>
      <c r="YY8" s="5" t="n">
        <v>93.33620000000001</v>
      </c>
      <c r="YZ8" s="5" t="n">
        <v>94.99760000000001</v>
      </c>
      <c r="ZA8" s="5" t="n">
        <v>91.8751</v>
      </c>
      <c r="ZB8" s="5" t="n">
        <v>92.5094</v>
      </c>
      <c r="ZC8" s="5" t="n">
        <v>93.0072</v>
      </c>
      <c r="ZD8" s="5" t="n">
        <v>92.88</v>
      </c>
      <c r="ZE8" s="5" t="n">
        <v>92.8583</v>
      </c>
      <c r="ZF8" s="1434" t="n">
        <v>93.05880000000001</v>
      </c>
      <c r="ZG8" s="92" t="inlineStr">
        <is>
          <t>The Central Bank of Russian Federation | Bank of Russia (cbr.ru)</t>
        </is>
      </c>
    </row>
    <row r="9">
      <c r="B9" s="1435" t="n"/>
      <c r="C9" s="665" t="inlineStr">
        <is>
          <t>RUB/CNY</t>
        </is>
      </c>
      <c r="D9" s="666" t="n"/>
      <c r="E9" s="666" t="n"/>
      <c r="F9" s="666" t="n"/>
      <c r="G9" s="666" t="n"/>
      <c r="H9" s="666" t="n"/>
      <c r="I9" s="666" t="n"/>
      <c r="J9" s="666" t="n"/>
      <c r="K9" s="666" t="n"/>
      <c r="L9" s="666" t="n"/>
      <c r="M9" s="666" t="n"/>
      <c r="N9" s="666" t="n"/>
      <c r="O9" s="666" t="n"/>
      <c r="P9" s="666" t="n"/>
      <c r="Q9" s="666" t="n"/>
      <c r="R9" s="666" t="n"/>
      <c r="S9" s="666" t="n"/>
      <c r="T9" s="666" t="n"/>
      <c r="U9" s="666" t="n"/>
      <c r="V9" s="666" t="n"/>
      <c r="W9" s="666" t="n"/>
      <c r="X9" s="666" t="n"/>
      <c r="Y9" s="666" t="n"/>
      <c r="Z9" s="666" t="n"/>
      <c r="AA9" s="666" t="n"/>
      <c r="AB9" s="666" t="n"/>
      <c r="AC9" s="666" t="n"/>
      <c r="AD9" s="666" t="n"/>
      <c r="AE9" s="666" t="n"/>
      <c r="AF9" s="666" t="n"/>
      <c r="AG9" s="666" t="n"/>
      <c r="AH9" s="666" t="n"/>
      <c r="AI9" s="666" t="n"/>
      <c r="AJ9" s="666" t="n"/>
      <c r="AK9" s="666" t="n"/>
      <c r="AL9" s="666" t="n"/>
      <c r="AM9" s="666" t="n"/>
      <c r="AN9" s="666" t="n"/>
      <c r="AO9" s="666" t="n"/>
      <c r="AP9" s="666" t="n"/>
      <c r="AQ9" s="666" t="n"/>
      <c r="AR9" s="666" t="n"/>
      <c r="AS9" s="666" t="n"/>
      <c r="AT9" s="666" t="n"/>
      <c r="AU9" s="666" t="n"/>
      <c r="AV9" s="666" t="n"/>
      <c r="AW9" s="666" t="n"/>
      <c r="AX9" s="666" t="n"/>
      <c r="AY9" s="666" t="n"/>
      <c r="AZ9" s="666" t="n"/>
      <c r="BA9" s="666" t="n"/>
      <c r="BB9" s="666" t="n"/>
      <c r="BC9" s="666" t="n"/>
      <c r="BD9" s="666" t="n"/>
      <c r="BE9" s="666" t="n"/>
      <c r="BF9" s="666" t="n"/>
      <c r="BG9" s="666" t="n"/>
      <c r="BH9" s="666" t="n"/>
      <c r="BI9" s="666" t="n"/>
      <c r="BJ9" s="666" t="n"/>
      <c r="BK9" s="666" t="n"/>
      <c r="BL9" s="666" t="n"/>
      <c r="BM9" s="666" t="n"/>
      <c r="BN9" s="666" t="n"/>
      <c r="BO9" s="666" t="n"/>
      <c r="BP9" s="666" t="n"/>
      <c r="BQ9" s="666" t="n"/>
      <c r="BR9" s="666" t="n"/>
      <c r="BS9" s="666" t="n"/>
      <c r="BT9" s="666" t="n"/>
      <c r="BU9" s="666" t="n"/>
      <c r="BV9" s="666" t="n"/>
      <c r="BW9" s="666" t="n"/>
      <c r="BX9" s="666" t="n"/>
      <c r="BY9" s="666" t="n"/>
      <c r="BZ9" s="666" t="n"/>
      <c r="CA9" s="666" t="n"/>
      <c r="CB9" s="666" t="n"/>
      <c r="CC9" s="666" t="n"/>
      <c r="CD9" s="666" t="n"/>
      <c r="CE9" s="666" t="n"/>
      <c r="CF9" s="666" t="n"/>
      <c r="CG9" s="666" t="n"/>
      <c r="CH9" s="666" t="n"/>
      <c r="CI9" s="666" t="n"/>
      <c r="CJ9" s="666" t="n"/>
      <c r="CK9" s="666" t="n"/>
      <c r="CL9" s="666" t="n"/>
      <c r="CM9" s="666" t="n"/>
      <c r="CN9" s="666" t="n"/>
      <c r="CO9" s="666" t="n"/>
      <c r="CP9" s="666" t="n"/>
      <c r="CQ9" s="666" t="n"/>
      <c r="CR9" s="666" t="n"/>
      <c r="CS9" s="666" t="n"/>
      <c r="CT9" s="666" t="n"/>
      <c r="CU9" s="666" t="n"/>
      <c r="CV9" s="666" t="n"/>
      <c r="CW9" s="666" t="n"/>
      <c r="CX9" s="666" t="n"/>
      <c r="CY9" s="666" t="n"/>
      <c r="CZ9" s="666" t="n"/>
      <c r="DA9" s="666" t="n"/>
      <c r="DB9" s="666" t="n"/>
      <c r="DC9" s="666" t="n"/>
      <c r="DD9" s="666" t="n"/>
      <c r="DE9" s="666" t="n"/>
      <c r="DF9" s="666" t="n"/>
      <c r="DG9" s="666" t="n"/>
      <c r="DH9" s="666" t="n"/>
      <c r="DI9" s="666" t="n"/>
      <c r="DJ9" s="666" t="n"/>
      <c r="DK9" s="666" t="n"/>
      <c r="DL9" s="666" t="n"/>
      <c r="DM9" s="666" t="n"/>
      <c r="DN9" s="666" t="n"/>
      <c r="DO9" s="666" t="n"/>
      <c r="DP9" s="666" t="n"/>
      <c r="DQ9" s="666" t="n"/>
      <c r="DR9" s="666" t="n"/>
      <c r="DS9" s="666" t="n"/>
      <c r="DT9" s="666" t="n"/>
      <c r="DU9" s="666" t="n"/>
      <c r="DV9" s="666" t="n"/>
      <c r="DW9" s="666" t="n"/>
      <c r="DX9" s="666" t="n"/>
      <c r="DY9" s="666" t="n"/>
      <c r="DZ9" s="666" t="n"/>
      <c r="EA9" s="666" t="n"/>
      <c r="EB9" s="666" t="n"/>
      <c r="EC9" s="666" t="n"/>
      <c r="ED9" s="666" t="n"/>
      <c r="EE9" s="666" t="n"/>
      <c r="EF9" s="666" t="n"/>
      <c r="EG9" s="666" t="n"/>
      <c r="EH9" s="666" t="n"/>
      <c r="EI9" s="666" t="n"/>
      <c r="EJ9" s="666" t="n"/>
      <c r="EK9" s="666" t="n"/>
      <c r="EL9" s="666" t="n"/>
      <c r="EM9" s="666" t="n"/>
      <c r="EN9" s="666" t="n"/>
      <c r="EO9" s="666" t="n"/>
      <c r="EP9" s="666" t="n"/>
      <c r="EQ9" s="666" t="n"/>
      <c r="ER9" s="666" t="n"/>
      <c r="ES9" s="666" t="n"/>
      <c r="ET9" s="666" t="n"/>
      <c r="EU9" s="666" t="n"/>
      <c r="EV9" s="666" t="n"/>
      <c r="EW9" s="666" t="n"/>
      <c r="EX9" s="666" t="n"/>
      <c r="EY9" s="666" t="n"/>
      <c r="EZ9" s="666" t="n"/>
      <c r="FA9" s="666" t="n"/>
      <c r="FB9" s="666" t="n"/>
      <c r="FC9" s="666" t="n"/>
      <c r="FD9" s="666" t="n"/>
      <c r="FE9" s="666" t="n"/>
      <c r="FF9" s="666" t="n"/>
      <c r="FG9" s="666" t="n"/>
      <c r="FH9" s="666" t="n"/>
      <c r="FI9" s="666" t="n"/>
      <c r="FJ9" s="666" t="n"/>
      <c r="FK9" s="666" t="n"/>
      <c r="FL9" s="666" t="n"/>
      <c r="FM9" s="666" t="n"/>
      <c r="FN9" s="666" t="n"/>
      <c r="FO9" s="666" t="n"/>
      <c r="FP9" s="666" t="n"/>
      <c r="FQ9" s="666" t="n"/>
      <c r="FR9" s="666" t="n"/>
      <c r="FS9" s="666" t="n"/>
      <c r="FT9" s="666" t="n"/>
      <c r="FU9" s="666" t="n"/>
      <c r="FV9" s="666" t="n"/>
      <c r="FW9" s="666" t="n"/>
      <c r="FX9" s="666" t="n"/>
      <c r="FY9" s="666" t="n"/>
      <c r="FZ9" s="666" t="n"/>
      <c r="GA9" s="666" t="n"/>
      <c r="GB9" s="666" t="n"/>
      <c r="GC9" s="666" t="n"/>
      <c r="GD9" s="666" t="n"/>
      <c r="GE9" s="666" t="n"/>
      <c r="GF9" s="666" t="n"/>
      <c r="GG9" s="666" t="n"/>
      <c r="GH9" s="666" t="n"/>
      <c r="GI9" s="666" t="n"/>
      <c r="GJ9" s="666" t="n"/>
      <c r="GK9" s="666" t="n"/>
      <c r="GL9" s="666" t="n"/>
      <c r="GM9" s="666" t="n"/>
      <c r="GN9" s="666" t="n"/>
      <c r="GO9" s="666" t="n"/>
      <c r="GP9" s="666" t="n"/>
      <c r="GQ9" s="666" t="n"/>
      <c r="GR9" s="666" t="n"/>
      <c r="GS9" s="666" t="n"/>
      <c r="GT9" s="666" t="n"/>
      <c r="GU9" s="666" t="n"/>
      <c r="GV9" s="666" t="n"/>
      <c r="GW9" s="666" t="n"/>
      <c r="GX9" s="666" t="n"/>
      <c r="GY9" s="666" t="n"/>
      <c r="GZ9" s="666" t="n"/>
      <c r="HA9" s="666" t="n"/>
      <c r="HB9" s="666" t="n"/>
      <c r="HC9" s="666" t="n"/>
      <c r="HD9" s="666" t="n"/>
      <c r="HE9" s="666" t="n"/>
      <c r="HF9" s="666" t="n"/>
      <c r="HG9" s="666" t="n"/>
      <c r="HH9" s="666" t="n"/>
      <c r="HI9" s="666" t="n"/>
      <c r="HJ9" s="666" t="n"/>
      <c r="HK9" s="666" t="n"/>
      <c r="HL9" s="666" t="n"/>
      <c r="HM9" s="666" t="n"/>
      <c r="HN9" s="666" t="n"/>
      <c r="HO9" s="666" t="n"/>
      <c r="HP9" s="666" t="n"/>
      <c r="HQ9" s="666" t="n"/>
      <c r="HR9" s="666" t="n"/>
      <c r="HS9" s="666" t="n"/>
      <c r="HT9" s="5" t="n">
        <v>10.5391</v>
      </c>
      <c r="HU9" s="5" t="n">
        <v>10.6916</v>
      </c>
      <c r="HV9" s="5" t="n">
        <v>10.8227</v>
      </c>
      <c r="HW9" s="5" t="n">
        <v>10.8473</v>
      </c>
      <c r="HX9" s="5" t="n">
        <v>10.8409</v>
      </c>
      <c r="HY9" s="5" t="n">
        <v>10.8562</v>
      </c>
      <c r="HZ9" s="5" t="n">
        <v>10.8398</v>
      </c>
      <c r="IA9" s="5" t="n">
        <v>10.7928</v>
      </c>
      <c r="IB9" s="5" t="n">
        <v>10.7467</v>
      </c>
      <c r="IC9" s="5" t="n">
        <v>10.9089</v>
      </c>
      <c r="ID9" s="5" t="n">
        <v>10.9137</v>
      </c>
      <c r="IE9" s="5" t="n">
        <v>10.8754</v>
      </c>
      <c r="IF9" s="5" t="n">
        <v>10.8623</v>
      </c>
      <c r="IG9" s="5" t="n">
        <v>10.8995</v>
      </c>
      <c r="IH9" s="5" t="n">
        <v>10.9296</v>
      </c>
      <c r="II9" s="5" t="n">
        <v>10.9704</v>
      </c>
      <c r="IJ9" s="5" t="n">
        <v>11.0485</v>
      </c>
      <c r="IK9" s="5" t="n">
        <v>11.2057</v>
      </c>
      <c r="IL9" s="5" t="n">
        <v>11.1652</v>
      </c>
      <c r="IM9" s="5" t="n">
        <v>11.1662</v>
      </c>
      <c r="IN9" s="5" t="n">
        <v>11.1098</v>
      </c>
      <c r="IO9" s="5" t="n">
        <v>11.1127</v>
      </c>
      <c r="IP9" s="5" t="n">
        <v>11.1622</v>
      </c>
      <c r="IQ9" s="5" t="n">
        <v>11.1847</v>
      </c>
      <c r="IR9" s="5" t="n">
        <v>11.2411</v>
      </c>
      <c r="IS9" s="5" t="n">
        <v>11.3028</v>
      </c>
      <c r="IT9" s="5" t="n">
        <v>11.5308</v>
      </c>
      <c r="IU9" s="5" t="n">
        <v>11.5445</v>
      </c>
      <c r="IV9" s="5" t="n">
        <v>11.7039</v>
      </c>
      <c r="IW9" s="5" t="n">
        <v>11.9582</v>
      </c>
      <c r="IX9" s="5" t="n">
        <v>11.8746</v>
      </c>
      <c r="IY9" s="5" t="n">
        <v>11.9248</v>
      </c>
      <c r="IZ9" s="5" t="n">
        <v>11.9142</v>
      </c>
      <c r="JA9" s="5" t="n">
        <v>11.8566</v>
      </c>
      <c r="JB9" s="5" t="n">
        <v>11.8803</v>
      </c>
      <c r="JC9" s="5" t="n">
        <v>11.852</v>
      </c>
      <c r="JD9" s="5" t="n">
        <v>11.8482</v>
      </c>
      <c r="JE9" s="5" t="n">
        <v>11.8178</v>
      </c>
      <c r="JF9" s="5" t="n">
        <v>11.847</v>
      </c>
      <c r="JG9" s="5" t="n">
        <v>11.8111</v>
      </c>
      <c r="JH9" s="5" t="n">
        <v>11.77</v>
      </c>
      <c r="JI9" s="5" t="n">
        <v>11.7664</v>
      </c>
      <c r="JJ9" s="5" t="n">
        <v>11.7626</v>
      </c>
      <c r="JK9" s="5" t="n">
        <v>11.7608</v>
      </c>
      <c r="JL9" s="5" t="n">
        <v>11.5659</v>
      </c>
      <c r="JM9" s="5" t="n">
        <v>11.4884</v>
      </c>
      <c r="JN9" s="5" t="n">
        <v>11.4456</v>
      </c>
      <c r="JO9" s="5" t="n">
        <v>11.3488</v>
      </c>
      <c r="JP9" s="5" t="n">
        <v>11.1158</v>
      </c>
      <c r="JQ9" s="5" t="n">
        <v>11.039</v>
      </c>
      <c r="JR9" s="5" t="n">
        <v>10.9119</v>
      </c>
      <c r="JS9" s="5" t="n">
        <v>11.0844</v>
      </c>
      <c r="JT9" s="5" t="n">
        <v>11.3467</v>
      </c>
      <c r="JU9" s="5" t="n">
        <v>11.464</v>
      </c>
      <c r="JV9" s="5" t="n">
        <v>11.3554</v>
      </c>
      <c r="JW9" s="5" t="n">
        <v>11.366</v>
      </c>
      <c r="JX9" s="5" t="n">
        <v>11.3499</v>
      </c>
      <c r="JY9" s="5" t="n">
        <v>11.3504</v>
      </c>
      <c r="JZ9" s="5" t="n">
        <v>11.3243</v>
      </c>
      <c r="KA9" s="5" t="n">
        <v>11.2816</v>
      </c>
      <c r="KB9" s="5" t="n">
        <v>11.3044</v>
      </c>
      <c r="KC9" s="5" t="n">
        <v>11.2901</v>
      </c>
      <c r="KD9" s="5" t="n">
        <v>11.3615</v>
      </c>
      <c r="KE9" s="5" t="n">
        <v>11.3697</v>
      </c>
      <c r="KF9" s="5" t="n">
        <v>11.3629</v>
      </c>
      <c r="KG9" s="5" t="n">
        <v>11.4139</v>
      </c>
      <c r="KH9" s="5" t="n">
        <v>11.415</v>
      </c>
      <c r="KI9" s="5" t="n">
        <v>11.3892</v>
      </c>
      <c r="KJ9" s="5" t="n">
        <v>11.4163</v>
      </c>
      <c r="KK9" s="5" t="n">
        <v>11.4896</v>
      </c>
      <c r="KL9" s="5" t="n">
        <v>11.5716</v>
      </c>
      <c r="KM9" s="5" t="n">
        <v>11.6681</v>
      </c>
      <c r="KN9" s="5" t="n">
        <v>11.7626</v>
      </c>
      <c r="KO9" s="5" t="n">
        <v>11.7356</v>
      </c>
      <c r="KP9" s="5" t="n">
        <v>11.733</v>
      </c>
      <c r="KQ9" s="5" t="n">
        <v>11.7153</v>
      </c>
      <c r="KR9" s="5" t="n">
        <v>11.7255</v>
      </c>
      <c r="KS9" s="5" t="n">
        <v>11.7059</v>
      </c>
      <c r="KT9" s="5" t="n">
        <v>11.6221</v>
      </c>
      <c r="KU9" s="5" t="n">
        <v>11.6455</v>
      </c>
      <c r="KV9" s="5" t="n">
        <v>11.69</v>
      </c>
      <c r="KW9" s="5" t="n">
        <v>11.768</v>
      </c>
      <c r="KX9" s="5" t="n">
        <v>11.7958</v>
      </c>
      <c r="KY9" s="5" t="n">
        <v>11.9894</v>
      </c>
      <c r="KZ9" s="5" t="n">
        <v>12.1588</v>
      </c>
      <c r="LA9" s="5" t="n">
        <v>12.2923</v>
      </c>
      <c r="LB9" s="5" t="n">
        <v>12.3722</v>
      </c>
      <c r="LC9" s="5" t="n">
        <v>12.4484</v>
      </c>
      <c r="LD9" s="5" t="n">
        <v>12.7551</v>
      </c>
      <c r="LE9" s="5" t="n">
        <v>12.6377</v>
      </c>
      <c r="LF9" s="5" t="n">
        <v>12.6231</v>
      </c>
      <c r="LG9" s="5" t="n">
        <v>12.5491</v>
      </c>
      <c r="LH9" s="5" t="n">
        <v>12.5829</v>
      </c>
      <c r="LI9" s="5" t="n">
        <v>12.581</v>
      </c>
      <c r="LJ9" s="5" t="n">
        <v>12.6072</v>
      </c>
      <c r="LK9" s="5" t="n">
        <v>12.5927</v>
      </c>
      <c r="LL9" s="5" t="n">
        <v>12.6351</v>
      </c>
      <c r="LM9" s="5" t="n">
        <v>12.6303</v>
      </c>
      <c r="LN9" s="5" t="n">
        <v>12.6455</v>
      </c>
      <c r="LO9" s="5" t="n">
        <v>12.5784</v>
      </c>
      <c r="LP9" s="5" t="n">
        <v>12.5536</v>
      </c>
      <c r="LQ9" s="5" t="n">
        <v>12.5988</v>
      </c>
      <c r="LR9" s="5" t="n">
        <v>12.6891</v>
      </c>
      <c r="LS9" s="5" t="n">
        <v>12.9223</v>
      </c>
      <c r="LT9" s="5" t="n">
        <v>13.0395</v>
      </c>
      <c r="LU9" s="5" t="n">
        <v>13.1755</v>
      </c>
      <c r="LV9" s="5" t="n">
        <v>13.41</v>
      </c>
      <c r="LW9" s="5" t="n">
        <v>13.277</v>
      </c>
      <c r="LX9" s="5" t="n">
        <v>13.4741</v>
      </c>
      <c r="LY9" s="5" t="n">
        <v>13.459</v>
      </c>
      <c r="LZ9" s="5" t="n">
        <v>13.5351</v>
      </c>
      <c r="MA9" s="5" t="n">
        <v>13.8741</v>
      </c>
      <c r="MB9" s="5" t="n">
        <v>13.3227</v>
      </c>
      <c r="MC9" s="5" t="n">
        <v>13.2065</v>
      </c>
      <c r="MD9" s="5" t="n">
        <v>12.7875</v>
      </c>
      <c r="ME9" s="5" t="n">
        <v>12.7545</v>
      </c>
      <c r="MF9" s="5" t="n">
        <v>12.862</v>
      </c>
      <c r="MG9" s="5" t="n">
        <v>12.8734</v>
      </c>
      <c r="MH9" s="5" t="n">
        <v>12.9215</v>
      </c>
      <c r="MI9" s="5" t="n">
        <v>12.9407</v>
      </c>
      <c r="MJ9" s="5" t="n">
        <v>12.972</v>
      </c>
      <c r="MK9" s="5" t="n">
        <v>13.055</v>
      </c>
      <c r="ML9" s="5" t="n">
        <v>13.1096</v>
      </c>
      <c r="MM9" s="5" t="n">
        <v>13.1311</v>
      </c>
      <c r="MN9" s="5" t="n">
        <v>13.1943</v>
      </c>
      <c r="MO9" s="5" t="n">
        <v>13.2479</v>
      </c>
      <c r="MP9" s="5" t="n">
        <v>13.2861</v>
      </c>
      <c r="MQ9" s="5" t="n">
        <v>13.3402</v>
      </c>
      <c r="MR9" s="5" t="n">
        <v>13.3749</v>
      </c>
      <c r="MS9" s="5" t="n">
        <v>13.3787</v>
      </c>
      <c r="MT9" s="5" t="n">
        <v>13.3135</v>
      </c>
      <c r="MU9" s="5" t="n">
        <v>13.1975</v>
      </c>
      <c r="MV9" s="5" t="n">
        <v>12.9522</v>
      </c>
      <c r="MW9" s="5" t="n">
        <v>13.1735</v>
      </c>
      <c r="MX9" s="5" t="n">
        <v>13.1931</v>
      </c>
      <c r="MY9" s="5" t="n">
        <v>13.2672</v>
      </c>
      <c r="MZ9" s="5" t="n">
        <v>13.2387</v>
      </c>
      <c r="NA9" s="5" t="n">
        <v>13.1695</v>
      </c>
      <c r="NB9" s="5" t="n">
        <v>13.2097</v>
      </c>
      <c r="NC9" s="5" t="n">
        <v>13.1335</v>
      </c>
      <c r="ND9" s="5" t="n">
        <v>13.1414</v>
      </c>
      <c r="NE9" s="5" t="n">
        <v>13.1394</v>
      </c>
      <c r="NF9" s="5" t="n">
        <v>13.1504</v>
      </c>
      <c r="NG9" s="5" t="n">
        <v>13.1852</v>
      </c>
      <c r="NH9" s="5" t="n">
        <v>13.2753</v>
      </c>
      <c r="NI9" s="5" t="n">
        <v>13.3587</v>
      </c>
      <c r="NJ9" s="5" t="n">
        <v>13.4955</v>
      </c>
      <c r="NK9" s="5" t="n">
        <v>13.5556</v>
      </c>
      <c r="NL9" s="5" t="n">
        <v>13.5779</v>
      </c>
      <c r="NM9" s="5" t="n">
        <v>13.6183</v>
      </c>
      <c r="NN9" s="5" t="n">
        <v>13.7373</v>
      </c>
      <c r="NO9" s="5" t="n">
        <v>13.8926</v>
      </c>
      <c r="NP9" s="5" t="n">
        <v>13.6821</v>
      </c>
      <c r="NQ9" s="5" t="n">
        <v>13.6982</v>
      </c>
      <c r="NR9" s="5" t="n">
        <v>13.284</v>
      </c>
      <c r="NS9" s="5" t="n">
        <v>13.3026</v>
      </c>
      <c r="NT9" s="5" t="n">
        <v>13.2893</v>
      </c>
      <c r="NU9" s="5" t="n">
        <v>13.2855</v>
      </c>
      <c r="NV9" s="5" t="n">
        <v>13.2881</v>
      </c>
      <c r="NW9" s="5" t="n">
        <v>13.2533</v>
      </c>
      <c r="NX9" s="5" t="n">
        <v>13.0688</v>
      </c>
      <c r="NY9" s="5" t="n">
        <v>12.9219</v>
      </c>
      <c r="NZ9" s="5" t="n">
        <v>12.766</v>
      </c>
      <c r="OA9" s="5" t="n">
        <v>12.7084</v>
      </c>
      <c r="OB9" s="5" t="n">
        <v>12.7507</v>
      </c>
      <c r="OC9" s="5" t="n">
        <v>12.7122</v>
      </c>
      <c r="OD9" s="5" t="n">
        <v>12.7071</v>
      </c>
      <c r="OE9" s="5" t="n">
        <v>12.5339</v>
      </c>
      <c r="OF9" s="5" t="n">
        <v>12.7052</v>
      </c>
      <c r="OG9" s="5" t="n">
        <v>12.7042</v>
      </c>
      <c r="OH9" s="5" t="n">
        <v>12.6911</v>
      </c>
      <c r="OI9" s="5" t="n">
        <v>12.6656</v>
      </c>
      <c r="OJ9" s="5" t="n">
        <v>12.663</v>
      </c>
      <c r="OK9" s="5" t="n">
        <v>12.5998</v>
      </c>
      <c r="OL9" s="5" t="n">
        <v>12.5979</v>
      </c>
      <c r="OM9" s="5" t="n">
        <v>12.6122</v>
      </c>
      <c r="ON9" s="5" t="n">
        <v>12.4948</v>
      </c>
      <c r="OO9" s="5" t="n">
        <v>12.3348</v>
      </c>
      <c r="OP9" s="5" t="n">
        <v>12.2479</v>
      </c>
      <c r="OQ9" s="5" t="n">
        <v>12.3104</v>
      </c>
      <c r="OR9" s="5" t="n">
        <v>12.323</v>
      </c>
      <c r="OS9" s="5" t="n">
        <v>12.3009</v>
      </c>
      <c r="OT9" s="5" t="n">
        <v>12.3026</v>
      </c>
      <c r="OU9" s="5" t="n">
        <v>12.3225</v>
      </c>
      <c r="OV9" s="5" t="n">
        <v>12.3949</v>
      </c>
      <c r="OW9" s="5" t="n">
        <v>12.3842</v>
      </c>
      <c r="OX9" s="5" t="n">
        <v>12.3685</v>
      </c>
      <c r="OY9" s="5" t="n">
        <v>12.4527</v>
      </c>
      <c r="OZ9" s="5" t="n">
        <v>12.3927</v>
      </c>
      <c r="PA9" s="5" t="n">
        <v>12.5479</v>
      </c>
      <c r="PB9" s="5" t="n">
        <v>12.6897</v>
      </c>
      <c r="PC9" s="5" t="n">
        <v>12.8073</v>
      </c>
      <c r="PD9" s="5" t="n">
        <v>12.9511</v>
      </c>
      <c r="PE9" s="5" t="n">
        <v>12.922</v>
      </c>
      <c r="PF9" s="5" t="n">
        <v>12.7893</v>
      </c>
      <c r="PG9" s="5" t="n">
        <v>12.6503</v>
      </c>
      <c r="PH9" s="5" t="n">
        <v>12.5636</v>
      </c>
      <c r="PI9" s="5" t="n">
        <v>12.4993</v>
      </c>
      <c r="PJ9" s="5" t="n">
        <v>12.5457</v>
      </c>
      <c r="PK9" s="5" t="n">
        <v>12.6091</v>
      </c>
      <c r="PL9" s="5" t="n">
        <v>12.6578</v>
      </c>
      <c r="PM9" s="5" t="n">
        <v>12.579</v>
      </c>
      <c r="PN9" s="5" t="n">
        <v>12.6577</v>
      </c>
      <c r="PO9" s="5" t="n">
        <v>12.8124</v>
      </c>
      <c r="PP9" s="5" t="n">
        <v>12.8598</v>
      </c>
      <c r="PQ9" s="5" t="n">
        <v>12.8379</v>
      </c>
      <c r="PR9" s="5" t="n">
        <v>12.7937</v>
      </c>
      <c r="PS9" s="5" t="n">
        <v>12.8011</v>
      </c>
      <c r="PT9" s="5" t="n">
        <v>12.6749</v>
      </c>
      <c r="PU9" s="5" t="n">
        <v>12.5762</v>
      </c>
      <c r="PV9" s="5" t="n">
        <v>12.5861</v>
      </c>
      <c r="PW9" s="5" t="n">
        <v>12.4305</v>
      </c>
      <c r="PX9" s="5" t="n">
        <v>12.363</v>
      </c>
      <c r="PY9" s="5" t="n">
        <v>12.2428</v>
      </c>
      <c r="PZ9" s="5" t="n">
        <v>12.152</v>
      </c>
      <c r="QA9" s="5" t="n">
        <v>12.1217</v>
      </c>
      <c r="QB9" s="5" t="n">
        <v>12.1935</v>
      </c>
      <c r="QC9" s="5" t="n">
        <v>12.249</v>
      </c>
      <c r="QD9" s="5" t="n">
        <v>12.2706</v>
      </c>
      <c r="QE9" s="5" t="n">
        <v>12.1803</v>
      </c>
      <c r="QF9" s="5" t="n">
        <v>12.2274</v>
      </c>
      <c r="QG9" s="5" t="n">
        <v>12.2887</v>
      </c>
      <c r="QH9" s="5" t="n">
        <v>12.327</v>
      </c>
      <c r="QI9" s="5" t="n">
        <v>12.4375</v>
      </c>
      <c r="QJ9" s="5" t="n">
        <v>12.449</v>
      </c>
      <c r="QK9" s="5" t="n">
        <v>12.4066</v>
      </c>
      <c r="QL9" s="5" t="n">
        <v>12.458</v>
      </c>
      <c r="QM9" s="5" t="n">
        <v>12.5357</v>
      </c>
      <c r="QN9" s="5" t="n">
        <v>12.6002</v>
      </c>
      <c r="QO9" s="5" t="n">
        <v>12.6335</v>
      </c>
      <c r="QP9" s="5" t="n">
        <v>12.5926</v>
      </c>
      <c r="QQ9" s="5" t="n">
        <v>12.6484</v>
      </c>
      <c r="QR9" s="5" t="n">
        <v>12.6352</v>
      </c>
      <c r="QS9" s="5" t="n">
        <v>12.5407</v>
      </c>
      <c r="QT9" s="5" t="n">
        <v>12.5526</v>
      </c>
      <c r="QU9" s="5" t="n">
        <v>12.5814</v>
      </c>
      <c r="QV9" s="5" t="n">
        <v>12.5833</v>
      </c>
      <c r="QW9" s="5" t="n">
        <v>12.6566</v>
      </c>
      <c r="QX9" s="5" t="n">
        <v>12.7418</v>
      </c>
      <c r="QY9" s="5" t="n">
        <v>12.7662</v>
      </c>
      <c r="QZ9" s="5" t="n">
        <v>12.797</v>
      </c>
      <c r="RA9" s="5" t="n">
        <v>12.8039</v>
      </c>
      <c r="RB9" s="5" t="n">
        <v>12.7951</v>
      </c>
      <c r="RC9" s="5" t="n">
        <v>12.7809</v>
      </c>
      <c r="RD9" s="5" t="n">
        <v>12.7357</v>
      </c>
      <c r="RE9" s="5" t="n">
        <v>12.7085</v>
      </c>
      <c r="RF9" s="5" t="n">
        <v>12.5675</v>
      </c>
      <c r="RG9" s="5" t="n">
        <v>12.6316</v>
      </c>
      <c r="RH9" s="5" t="n">
        <v>12.6478</v>
      </c>
      <c r="RI9" s="5" t="n">
        <v>12.618</v>
      </c>
      <c r="RJ9" s="5" t="n">
        <v>12.5061</v>
      </c>
      <c r="RK9" s="5" t="n">
        <v>12.5756</v>
      </c>
      <c r="RL9" s="5" t="n">
        <v>12.5938</v>
      </c>
      <c r="RM9" s="5" t="n">
        <v>12.644</v>
      </c>
      <c r="RN9" s="5" t="n">
        <v>12.7041</v>
      </c>
      <c r="RO9" s="5" t="n">
        <v>12.7151</v>
      </c>
      <c r="RP9" s="5" t="n">
        <v>12.7328</v>
      </c>
      <c r="RQ9" s="5" t="n">
        <v>12.7501</v>
      </c>
      <c r="RR9" s="5" t="n">
        <v>12.7729</v>
      </c>
      <c r="RS9" s="5" t="n">
        <v>12.8337</v>
      </c>
      <c r="RT9" s="5" t="n">
        <v>12.7519</v>
      </c>
      <c r="RU9" s="5" t="n">
        <v>12.7445</v>
      </c>
      <c r="RV9" s="5" t="n">
        <v>12.7893</v>
      </c>
      <c r="RW9" s="5" t="n">
        <v>12.7844</v>
      </c>
      <c r="RX9" s="5" t="n">
        <v>12.7477</v>
      </c>
      <c r="RY9" s="5" t="n">
        <v>12.6979</v>
      </c>
      <c r="RZ9" s="5" t="n">
        <v>12.671</v>
      </c>
      <c r="SA9" s="5" t="n">
        <v>12.6872</v>
      </c>
      <c r="SB9" s="5" t="n">
        <v>12.7211</v>
      </c>
      <c r="SC9" s="5" t="n">
        <v>12.7145</v>
      </c>
      <c r="SD9" s="5" t="n">
        <v>12.7143</v>
      </c>
      <c r="SE9" s="5" t="n">
        <v>12.7602</v>
      </c>
      <c r="SF9" s="5" t="n">
        <v>12.7696</v>
      </c>
      <c r="SG9" s="5" t="n">
        <v>12.8004</v>
      </c>
      <c r="SH9" s="5" t="n">
        <v>12.873</v>
      </c>
      <c r="SI9" s="5" t="n">
        <v>12.9119</v>
      </c>
      <c r="SJ9" s="5" t="n">
        <v>12.8685</v>
      </c>
      <c r="SK9" s="5" t="n">
        <v>12.8844</v>
      </c>
      <c r="SL9" s="5" t="n">
        <v>12.9331</v>
      </c>
      <c r="SM9" s="5" t="n">
        <v>13</v>
      </c>
      <c r="SN9" s="5" t="n">
        <v>12.976</v>
      </c>
      <c r="SO9" s="5" t="n">
        <v>12.8816</v>
      </c>
      <c r="SP9" s="5" t="n">
        <v>12.8484</v>
      </c>
      <c r="SQ9" s="5" t="n">
        <v>12.8396</v>
      </c>
      <c r="SR9" s="5" t="n">
        <v>12.7183</v>
      </c>
      <c r="SS9" s="5" t="n">
        <v>12.6716</v>
      </c>
      <c r="ST9" s="5" t="n">
        <v>12.6347</v>
      </c>
      <c r="SU9" s="5" t="n">
        <v>12.5657</v>
      </c>
      <c r="SV9" s="5" t="n">
        <v>12.6821</v>
      </c>
      <c r="SW9" s="5" t="n">
        <v>12.6972</v>
      </c>
      <c r="SX9" s="5" t="n">
        <v>12.6453</v>
      </c>
      <c r="SY9" s="5" t="n">
        <v>12.5962</v>
      </c>
      <c r="SZ9" s="5" t="n">
        <v>12.6243</v>
      </c>
      <c r="TA9" s="5" t="n">
        <v>12.623</v>
      </c>
      <c r="TB9" s="5" t="n">
        <v>12.6025</v>
      </c>
      <c r="TC9" s="5" t="n">
        <v>12.6113</v>
      </c>
      <c r="TD9" s="5" t="n">
        <v>12.5832</v>
      </c>
      <c r="TE9" s="5" t="n">
        <v>12.5753</v>
      </c>
      <c r="TF9" s="5" t="n">
        <v>12.51</v>
      </c>
      <c r="TG9" s="5" t="n">
        <v>12.4613</v>
      </c>
      <c r="TH9" s="5" t="n">
        <v>12.4274</v>
      </c>
      <c r="TI9" s="5" t="n">
        <v>12.4266</v>
      </c>
      <c r="TJ9" s="5" t="n">
        <v>12.33</v>
      </c>
      <c r="TK9" s="5" t="n">
        <v>12.1903</v>
      </c>
      <c r="TL9" s="5" t="n">
        <v>12.1628</v>
      </c>
      <c r="TM9" s="5" t="n">
        <v>12.2752</v>
      </c>
      <c r="TN9" s="5" t="n">
        <v>12.365</v>
      </c>
      <c r="TO9" s="5" t="n">
        <v>12.4028</v>
      </c>
      <c r="TP9" s="5" t="n">
        <v>12.3011</v>
      </c>
      <c r="TQ9" s="5" t="n">
        <v>12.2248</v>
      </c>
      <c r="TR9" s="5" t="n">
        <v>12.2244</v>
      </c>
      <c r="TS9" s="5" t="n">
        <v>12.2251</v>
      </c>
      <c r="TT9" s="5" t="n">
        <v>12.229</v>
      </c>
      <c r="TU9" s="5" t="n">
        <v>12.2213</v>
      </c>
      <c r="TV9" s="5" t="n">
        <v>12.231</v>
      </c>
      <c r="TW9" s="5" t="n">
        <v>12.0408</v>
      </c>
      <c r="TX9" s="5" t="n">
        <v>12.1629</v>
      </c>
      <c r="TY9" s="5" t="n">
        <v>12.1267</v>
      </c>
      <c r="TZ9" s="5" t="n">
        <v>11.7964</v>
      </c>
      <c r="UA9" s="5" t="n">
        <v>11.1652</v>
      </c>
      <c r="UB9" s="5" t="n">
        <v>11.8105</v>
      </c>
      <c r="UC9" s="5" t="n">
        <v>11.8019</v>
      </c>
      <c r="UD9" s="5" t="n">
        <v>11.9804</v>
      </c>
      <c r="UE9" s="5" t="n">
        <v>11.9766</v>
      </c>
      <c r="UF9" s="5" t="n">
        <v>11.9791</v>
      </c>
      <c r="UG9" s="5" t="n">
        <v>11.974</v>
      </c>
      <c r="UH9" s="5" t="n">
        <v>12.0537</v>
      </c>
      <c r="UI9" s="5" t="n">
        <v>11.7296</v>
      </c>
      <c r="UJ9" s="5" t="n">
        <v>11.8368</v>
      </c>
      <c r="UK9" s="5" t="n">
        <v>11.8307</v>
      </c>
      <c r="UL9" s="5" t="n">
        <v>11.8664</v>
      </c>
      <c r="UM9" s="5" t="n">
        <v>11.8576</v>
      </c>
      <c r="UN9" s="5" t="n">
        <v>12.1161</v>
      </c>
      <c r="UO9" s="5" t="n">
        <v>12.2114</v>
      </c>
      <c r="UP9" s="5" t="n">
        <v>11.9567</v>
      </c>
      <c r="UQ9" s="5" t="n">
        <v>11.6863</v>
      </c>
      <c r="UR9" s="5" t="n">
        <v>11.7513</v>
      </c>
      <c r="US9" s="5" t="n">
        <v>12.0151</v>
      </c>
      <c r="UT9" s="5" t="n">
        <v>12.1106</v>
      </c>
      <c r="UU9" s="5" t="n">
        <v>12.5086</v>
      </c>
      <c r="UV9" s="5" t="n">
        <v>12.6952</v>
      </c>
      <c r="UW9" s="5" t="n">
        <v>12.7362</v>
      </c>
      <c r="UX9" s="5" t="n">
        <v>12.7762</v>
      </c>
      <c r="UY9" s="5" t="n">
        <v>12.9226</v>
      </c>
      <c r="UZ9" s="5" t="n">
        <v>13.1028</v>
      </c>
      <c r="VA9" s="5" t="n">
        <v>13.1134</v>
      </c>
      <c r="VB9" s="5" t="n">
        <v>13.0939</v>
      </c>
      <c r="VC9" s="5" t="n">
        <v>13.2163</v>
      </c>
      <c r="VD9" s="5" t="n">
        <v>13.2425</v>
      </c>
      <c r="VE9" s="5" t="n">
        <v>13.1959</v>
      </c>
      <c r="VF9" s="5" t="n">
        <v>13.6922</v>
      </c>
      <c r="VG9" s="5" t="n">
        <v>13.4752</v>
      </c>
      <c r="VH9" s="5" t="n">
        <v>13.4987</v>
      </c>
      <c r="VI9" s="5" t="n">
        <v>13.5487</v>
      </c>
      <c r="VJ9" s="5" t="n">
        <v>13.5463</v>
      </c>
      <c r="VK9" s="5" t="n">
        <v>13.5192</v>
      </c>
      <c r="VL9" s="5" t="n">
        <v>13.5348</v>
      </c>
      <c r="VM9" s="5" t="n">
        <v>13.5954</v>
      </c>
      <c r="VN9" s="5" t="n">
        <v>13.6068</v>
      </c>
      <c r="VO9" s="5" t="n">
        <v>13.6394</v>
      </c>
      <c r="VP9" s="5" t="n">
        <v>13.6731</v>
      </c>
      <c r="VQ9" s="5" t="n">
        <v>13.624</v>
      </c>
      <c r="VR9" s="5" t="n">
        <v>13.552</v>
      </c>
      <c r="VS9" s="5" t="n">
        <v>13.4951</v>
      </c>
      <c r="VT9" s="5" t="n">
        <v>13.598</v>
      </c>
      <c r="VU9" s="5" t="n">
        <v>13.7992</v>
      </c>
      <c r="VV9" s="5" t="n">
        <v>13.7744</v>
      </c>
      <c r="VW9" s="5" t="n">
        <v>13.8224</v>
      </c>
      <c r="VX9" s="5" t="n">
        <v>14.2057</v>
      </c>
      <c r="VY9" s="5" t="n">
        <v>14.6653</v>
      </c>
      <c r="VZ9" s="5" t="n">
        <v>14.7233</v>
      </c>
      <c r="WA9" s="5" t="n">
        <v>14.6258</v>
      </c>
      <c r="WB9" s="5" t="n">
        <v>14.1399</v>
      </c>
      <c r="WC9" s="5" t="n">
        <v>13.8539</v>
      </c>
      <c r="WD9" s="5" t="n">
        <v>14.0096</v>
      </c>
      <c r="WE9" s="5" t="n">
        <v>14.0761</v>
      </c>
      <c r="WF9" s="5" t="n">
        <v>13.9897</v>
      </c>
      <c r="WG9" s="5" t="n">
        <v>13.6054</v>
      </c>
      <c r="WH9" s="5" t="n">
        <v>13.4272</v>
      </c>
      <c r="WI9" s="5" t="n">
        <v>13.6866</v>
      </c>
      <c r="WJ9" s="5" t="n">
        <v>13.8184</v>
      </c>
      <c r="WK9" s="5" t="n">
        <v>13.9143</v>
      </c>
      <c r="WL9" s="5" t="n">
        <v>13.9338</v>
      </c>
      <c r="WM9" s="5" t="n">
        <v>13.737</v>
      </c>
      <c r="WN9" s="5" t="n">
        <v>13.5101</v>
      </c>
      <c r="WO9" s="5" t="n">
        <v>13.3817</v>
      </c>
      <c r="WP9" s="5" t="n">
        <v>13.4095</v>
      </c>
      <c r="WQ9" s="5" t="n">
        <v>13.2985</v>
      </c>
      <c r="WR9" s="5" t="n">
        <v>13.0503</v>
      </c>
      <c r="WS9" s="5" t="n">
        <v>13.2365</v>
      </c>
      <c r="WT9" s="5" t="n">
        <v>12.3356</v>
      </c>
      <c r="WU9" s="5" t="n">
        <v>12.4935</v>
      </c>
      <c r="WV9" s="5" t="n">
        <v>12.3608</v>
      </c>
      <c r="WW9" s="5" t="n">
        <v>12.043</v>
      </c>
      <c r="WX9" s="5" t="n">
        <v>11.8002</v>
      </c>
      <c r="WY9" s="5" t="n">
        <v>11.9563</v>
      </c>
      <c r="WZ9" s="5" t="n">
        <v>12.1906</v>
      </c>
      <c r="XA9" s="5" t="n">
        <v>12.0798</v>
      </c>
      <c r="XB9" s="5" t="n">
        <v>11.8458</v>
      </c>
      <c r="XC9" s="5" t="n">
        <v>11.8167</v>
      </c>
      <c r="XD9" s="5" t="n">
        <v>11.2232</v>
      </c>
      <c r="XE9" s="5" t="n">
        <v>11.4337</v>
      </c>
      <c r="XF9" s="5" t="n">
        <v>11.5779</v>
      </c>
      <c r="XG9" s="5" t="n">
        <v>11.5572</v>
      </c>
      <c r="XH9" s="5" t="n">
        <v>11.5225</v>
      </c>
      <c r="XI9" s="5" t="n">
        <v>11.497</v>
      </c>
      <c r="XJ9" s="5" t="n">
        <v>11.7136</v>
      </c>
      <c r="XK9" s="5" t="n">
        <v>11.5258</v>
      </c>
      <c r="XL9" s="5" t="n">
        <v>11.6044</v>
      </c>
      <c r="XM9" s="5" t="n">
        <v>11.5664</v>
      </c>
      <c r="XN9" s="5" t="n">
        <v>11.4471</v>
      </c>
      <c r="XO9" s="5" t="n">
        <v>11.0648</v>
      </c>
      <c r="XP9" s="5" t="n">
        <v>11.1123</v>
      </c>
      <c r="XQ9" s="5" t="n">
        <v>11.3388</v>
      </c>
      <c r="XR9" s="5" t="n">
        <v>11.3979</v>
      </c>
      <c r="XS9" s="5" t="n">
        <v>11.3506</v>
      </c>
      <c r="XT9" s="5" t="n">
        <v>11.2016</v>
      </c>
      <c r="XU9" s="5" t="n">
        <v>11.1713</v>
      </c>
      <c r="XV9" s="5" t="n">
        <v>11.3025</v>
      </c>
      <c r="XW9" s="5" t="n">
        <v>11.2155</v>
      </c>
      <c r="XX9" s="5" t="n">
        <v>11.1819</v>
      </c>
      <c r="XY9" s="5" t="n">
        <v>11.1789</v>
      </c>
      <c r="XZ9" s="5" t="n">
        <v>11.1128</v>
      </c>
      <c r="YA9" s="5" t="n">
        <v>11.1179</v>
      </c>
      <c r="YB9" s="5" t="n">
        <v>11.0876</v>
      </c>
      <c r="YC9" s="5" t="n">
        <v>11.0772</v>
      </c>
      <c r="YD9" s="5" t="n">
        <v>11.0802</v>
      </c>
      <c r="YE9" s="5" t="n">
        <v>10.9452</v>
      </c>
      <c r="YF9" s="5" t="n">
        <v>10.9128</v>
      </c>
      <c r="YG9" s="5" t="n">
        <v>11.0208</v>
      </c>
      <c r="YH9" s="5" t="n">
        <v>11.011</v>
      </c>
      <c r="YI9" s="5" t="n">
        <v>10.9317</v>
      </c>
      <c r="YJ9" s="5" t="n">
        <v>10.8979</v>
      </c>
      <c r="YK9" s="5" t="n">
        <v>10.921</v>
      </c>
      <c r="YL9" s="5" t="n">
        <v>10.8691</v>
      </c>
      <c r="YM9" s="5" t="n">
        <v>10.9433</v>
      </c>
      <c r="YN9" s="5" t="n">
        <v>10.9384</v>
      </c>
      <c r="YO9" s="5" t="n">
        <v>10.9852</v>
      </c>
      <c r="YP9" s="5" t="n">
        <v>10.9947</v>
      </c>
      <c r="YQ9" s="5" t="n">
        <v>10.9808</v>
      </c>
      <c r="YR9" s="5" t="n">
        <v>10.8597</v>
      </c>
      <c r="YS9" s="5" t="n">
        <v>10.8494</v>
      </c>
      <c r="YT9" s="5" t="n">
        <v>10.8185</v>
      </c>
      <c r="YU9" s="5" t="n">
        <v>10.8932</v>
      </c>
      <c r="YV9" s="5" t="n">
        <v>10.8787</v>
      </c>
      <c r="YW9" s="5" t="n">
        <v>10.8959</v>
      </c>
      <c r="YX9" s="5" t="n">
        <v>10.8829</v>
      </c>
      <c r="YY9" s="5" t="n">
        <v>11.0652</v>
      </c>
      <c r="YZ9" s="5" t="n">
        <v>11.427</v>
      </c>
      <c r="ZA9" s="5" t="n">
        <v>11.0928</v>
      </c>
      <c r="ZB9" s="5" t="n">
        <v>11.1036</v>
      </c>
      <c r="ZC9" s="5" t="n">
        <v>11.1165</v>
      </c>
      <c r="ZD9" s="5" t="n">
        <v>11.0665</v>
      </c>
      <c r="ZE9" s="5" t="n">
        <v>11.0609</v>
      </c>
      <c r="ZF9" s="1434" t="n">
        <v>11.094</v>
      </c>
    </row>
    <row r="10">
      <c r="A10" s="87" t="n"/>
      <c r="B10" s="87" t="n"/>
      <c r="C10" s="87" t="n"/>
    </row>
    <row r="11" ht="13.2" customHeight="1">
      <c r="A11" s="119" t="inlineStr">
        <is>
          <t>Cash on Hand (million)</t>
        </is>
      </c>
      <c r="B11" s="122" t="inlineStr">
        <is>
          <t>1. Ruble 
(Equivalent  to USD)</t>
        </is>
      </c>
      <c r="C11" s="414" t="inlineStr">
        <is>
          <t>Overnight / Saving</t>
        </is>
      </c>
      <c r="D11" s="1436">
        <f>(225+729)/D7</f>
        <v/>
      </c>
      <c r="E11" s="1436">
        <f>(225+729)/E7</f>
        <v/>
      </c>
      <c r="F11" s="1436">
        <f>(225+729)/F7</f>
        <v/>
      </c>
      <c r="G11" s="1436">
        <f>(251+729)/G7</f>
        <v/>
      </c>
      <c r="H11" s="1436">
        <f>(252.45+729)/H7</f>
        <v/>
      </c>
      <c r="I11" s="1436">
        <f>(260+583)/I7</f>
        <v/>
      </c>
      <c r="J11" s="1436">
        <f>(304+530+1243)/J7</f>
        <v/>
      </c>
      <c r="K11" s="1436">
        <f>(264+618+1278+62)/K7</f>
        <v/>
      </c>
      <c r="L11" s="1436">
        <f>(224+525+1087+117)/L7</f>
        <v/>
      </c>
      <c r="M11" s="1436">
        <f>(224+557+1158+113)/M7</f>
        <v/>
      </c>
      <c r="N11" s="1436">
        <f>(224+525+1087+132)/N7</f>
        <v/>
      </c>
      <c r="O11" s="1436">
        <f>(224+1162+680+109)/O7</f>
        <v/>
      </c>
      <c r="P11" s="1436">
        <f>(224+588+1162+116)/P7</f>
        <v/>
      </c>
      <c r="Q11" s="1436">
        <f>(224+592+1121+83)/Q7</f>
        <v/>
      </c>
      <c r="R11" s="1436">
        <f>(257.95+622+1407+195)/R7</f>
        <v/>
      </c>
      <c r="S11" s="1436">
        <f>(259.697+615+1455+192)/S7</f>
        <v/>
      </c>
      <c r="T11" s="1436">
        <f>(253.06+615+1455+47)/T7</f>
        <v/>
      </c>
      <c r="U11" s="1436">
        <f>(265.27+564+1207+47)/U7</f>
        <v/>
      </c>
      <c r="V11" s="1436">
        <f>(271.27+575+1216+399)/V7</f>
        <v/>
      </c>
      <c r="W11" s="1436">
        <f>(392.13+575+1216+428)/W7</f>
        <v/>
      </c>
      <c r="X11" s="1436">
        <f>(392.13+636+1330+340.36)/X7</f>
        <v/>
      </c>
      <c r="Y11" s="1436">
        <f>(392.13+636+1330+299)/Y7</f>
        <v/>
      </c>
      <c r="Z11" s="1436">
        <f>SUMIF(Table!$1:$1,Daily!Z$3,Table!$4:$4)</f>
        <v/>
      </c>
      <c r="AA11" s="1436">
        <f>SUMIF(Table!$1:$1,Daily!AA$3,Table!$4:$4)</f>
        <v/>
      </c>
      <c r="AB11" s="1436">
        <f>SUMIF(Table!$1:$1,Daily!AB$3,Table!$4:$4)</f>
        <v/>
      </c>
      <c r="AC11" s="1436">
        <f>SUMIF(Table!$1:$1,Daily!AC$3,Table!$4:$4)</f>
        <v/>
      </c>
      <c r="AD11" s="1436">
        <f>SUMIF(Table!$1:$1,Daily!AD$3,Table!$4:$4)</f>
        <v/>
      </c>
      <c r="AE11" s="1436">
        <f>SUMIF(Table!$1:$1,Daily!AE$3,Table!$4:$4)</f>
        <v/>
      </c>
      <c r="AF11" s="1436">
        <f>SUMIF(Table!$1:$1,Daily!AF$3,Table!$4:$4)</f>
        <v/>
      </c>
      <c r="AG11" s="1436">
        <f>SUMIF(Table!$1:$1,Daily!AG$3,Table!$4:$4)</f>
        <v/>
      </c>
      <c r="AH11" s="1436">
        <f>SUMIF(Table!$1:$1,Daily!AH$3,Table!$4:$4)</f>
        <v/>
      </c>
      <c r="AI11" s="1436">
        <f>SUMIF(Table!$1:$1,Daily!AI$3,Table!$4:$4)</f>
        <v/>
      </c>
      <c r="AJ11" s="1436">
        <f>SUMIF(Table!$1:$1,Daily!AJ$3,Table!$4:$4)</f>
        <v/>
      </c>
      <c r="AK11" s="1436">
        <f>SUMIF(Table!$1:$1,Daily!AK$3,Table!$4:$4)</f>
        <v/>
      </c>
      <c r="AL11" s="1436">
        <f>SUMIF(Table!$1:$1,Daily!AL$3,Table!$4:$4)</f>
        <v/>
      </c>
      <c r="AM11" s="1436">
        <f>SUMIF(Table!$1:$1,Daily!AM$3,Table!$4:$4)</f>
        <v/>
      </c>
      <c r="AN11" s="1436">
        <f>SUMIF(Table!$1:$1,Daily!AN$3,Table!$4:$4)</f>
        <v/>
      </c>
      <c r="AO11" s="1436">
        <f>SUMIF(Table!$1:$1,Daily!AO$3,Table!$4:$4)</f>
        <v/>
      </c>
      <c r="AP11" s="1436">
        <f>SUMIF(Table!$1:$1,Daily!AP$3,Table!$4:$4)</f>
        <v/>
      </c>
      <c r="AQ11" s="1436">
        <f>SUMIF(Table!$1:$1,Daily!AQ$3,Table!$4:$4)</f>
        <v/>
      </c>
      <c r="AR11" s="1436">
        <f>SUMIF(Table!$1:$1,Daily!AR$3,Table!$4:$4)</f>
        <v/>
      </c>
      <c r="AS11" s="1436">
        <f>SUMIF(Table!$1:$1,Daily!AS$3,Table!$4:$4)</f>
        <v/>
      </c>
      <c r="AT11" s="1436">
        <f>SUMIF(Table!$1:$1,Daily!AT$3,Table!$4:$4)</f>
        <v/>
      </c>
      <c r="AU11" s="1436">
        <f>SUMIF(Table!$1:$1,Daily!AU$3,Table!$4:$4)</f>
        <v/>
      </c>
      <c r="AV11" s="1436">
        <f>SUMIF(Table!$1:$1,Daily!AV$3,Table!$4:$4)</f>
        <v/>
      </c>
      <c r="AW11" s="1436">
        <f>SUMIF(Table!$1:$1,Daily!AW$3,Table!$4:$4)</f>
        <v/>
      </c>
      <c r="AX11" s="1436">
        <f>SUMIF(Table!$1:$1,Daily!AX$3,Table!$4:$4)</f>
        <v/>
      </c>
      <c r="AY11" s="1436">
        <f>SUMIF(Table!$1:$1,Daily!AY$3,Table!$4:$4)</f>
        <v/>
      </c>
      <c r="AZ11" s="1436">
        <f>SUMIF(Table!$1:$1,Daily!AZ$3,Table!$4:$4)</f>
        <v/>
      </c>
      <c r="BA11" s="1436" t="n">
        <v>44.03648720192412</v>
      </c>
      <c r="BB11" s="1436">
        <f>SUMIF(Table!$1:$1,Daily!BB$3,Table!$4:$4)</f>
        <v/>
      </c>
      <c r="BC11" s="1436">
        <f>SUMIF(Table!$1:$1,Daily!BC$3,Table!$4:$4)</f>
        <v/>
      </c>
      <c r="BD11" s="1436">
        <f>SUMIF(Table!$1:$1,Daily!BD$3,Table!$4:$4)</f>
        <v/>
      </c>
      <c r="BE11" s="1436">
        <f>SUMIF(Table!$1:$1,Daily!BE$3,Table!$4:$4)</f>
        <v/>
      </c>
      <c r="BF11" s="1436">
        <f>SUMIF(Table!$1:$1,Daily!BF$3,Table!$4:$4)</f>
        <v/>
      </c>
      <c r="BG11" s="1436">
        <f>SUMIF(Table!$1:$1,Daily!BG$3,Table!$4:$4)</f>
        <v/>
      </c>
      <c r="BH11" s="1436">
        <f>SUMIF(Table!$1:$1,Daily!BH$3,Table!$4:$4)</f>
        <v/>
      </c>
      <c r="BI11" s="1436">
        <f>SUMIF(Table!$1:$1,Daily!BI$3,Table!$4:$4)</f>
        <v/>
      </c>
      <c r="BJ11" s="1436">
        <f>SUMIF(Table!$1:$1,Daily!BJ$3,Table!$4:$4)</f>
        <v/>
      </c>
      <c r="BK11" s="1436">
        <f>SUMIF(Table!$1:$1,Daily!BK$3,Table!$4:$4)</f>
        <v/>
      </c>
      <c r="BL11" s="1436">
        <f>SUMIF(Table!$1:$1,Daily!BL$3,Table!$4:$4)</f>
        <v/>
      </c>
      <c r="BM11" s="1436">
        <f>SUMIF(Table!$1:$1,Daily!BM$3,Table!$4:$4)</f>
        <v/>
      </c>
      <c r="BN11" s="1436">
        <f>SUMIF(Table!$1:$1,Daily!BN$3,Table!$4:$4)</f>
        <v/>
      </c>
      <c r="BO11" s="1436">
        <f>SUMIF(Table!$1:$1,Daily!BO$3,Table!$4:$4)</f>
        <v/>
      </c>
      <c r="BP11" s="1436">
        <f>SUMIF(Table!$1:$1,Daily!BP$3,Table!$4:$4)</f>
        <v/>
      </c>
      <c r="BQ11" s="1436">
        <f>SUMIF(Table!$1:$1,Daily!BQ$3,Table!$4:$4)</f>
        <v/>
      </c>
      <c r="BR11" s="1436">
        <f>SUMIF(Table!$1:$1,Daily!BR$3,Table!$4:$4)</f>
        <v/>
      </c>
      <c r="BS11" s="1436">
        <f>SUMIF(Table!$1:$1,Daily!BS$3,Table!$4:$4)</f>
        <v/>
      </c>
      <c r="BT11" s="1436">
        <f>SUMIF(Table!$1:$1,Daily!BT$3,Table!$4:$4)</f>
        <v/>
      </c>
      <c r="BU11" s="1436">
        <f>SUMIF(Table!$1:$1,Daily!BU$3,Table!$4:$4)</f>
        <v/>
      </c>
      <c r="BV11" s="1436">
        <f>SUMIF(Table!$1:$1,Daily!BV$3,Table!$4:$4)</f>
        <v/>
      </c>
      <c r="BW11" s="1436">
        <f>SUMIF(Table!$1:$1,Daily!BW$3,Table!$4:$4)</f>
        <v/>
      </c>
      <c r="BX11" s="1436">
        <f>SUMIF(Table!$1:$1,Daily!BX$3,Table!$4:$4)</f>
        <v/>
      </c>
      <c r="BY11" s="1436">
        <f>SUMIF(Table!$1:$1,Daily!BY$3,Table!$4:$4)</f>
        <v/>
      </c>
      <c r="BZ11" s="1436">
        <f>SUMIF(Table!$1:$1,Daily!BZ$3,Table!$4:$4)</f>
        <v/>
      </c>
      <c r="CA11" s="1436">
        <f>SUMIF(Table!$1:$1,Daily!CA$3,Table!$4:$4)</f>
        <v/>
      </c>
      <c r="CB11" s="1436">
        <f>SUMIF(Table!$1:$1,Daily!CB$3,Table!$4:$4)</f>
        <v/>
      </c>
      <c r="CC11" s="1436">
        <f>SUMIF(Table!$1:$1,Daily!CC$3,Table!$4:$4)</f>
        <v/>
      </c>
      <c r="CD11" s="1436">
        <f>SUMIF(Table!$1:$1,Daily!CD$3,Table!$4:$4)</f>
        <v/>
      </c>
      <c r="CE11" s="1436">
        <f>SUMIF(Table!$1:$1,Daily!CE$3,Table!$4:$4)</f>
        <v/>
      </c>
      <c r="CF11" s="1436">
        <f>SUMIF(Table!$1:$1,Daily!CF$3,Table!$4:$4)</f>
        <v/>
      </c>
      <c r="CG11" s="1436" t="n">
        <v>34.44188407854099</v>
      </c>
      <c r="CH11" s="1436">
        <f>SUMIF(Table!$1:$1,Daily!CH$3,Table!$4:$4)</f>
        <v/>
      </c>
      <c r="CI11" s="1436">
        <f>SUMIF(Table!$1:$1,Daily!CI$3,Table!$4:$4)</f>
        <v/>
      </c>
      <c r="CJ11" s="1436">
        <f>SUMIF(Table!$1:$1,Daily!CJ$3,Table!$4:$4)</f>
        <v/>
      </c>
      <c r="CK11" s="1436">
        <f>SUMIF(Table!$1:$1,Daily!CK$3,Table!$4:$4)</f>
        <v/>
      </c>
      <c r="CL11" s="1436">
        <f>SUMIF(Table!$1:$1,Daily!CL$3,Table!$4:$4)</f>
        <v/>
      </c>
      <c r="CM11" s="1436">
        <f>SUMIF(Table!$1:$1,Daily!CM$3,Table!$4:$4)</f>
        <v/>
      </c>
      <c r="CN11" s="1436">
        <f>SUMIF(Table!$1:$1,Daily!CN$3,Table!$4:$4)</f>
        <v/>
      </c>
      <c r="CO11" s="1436">
        <f>SUMIF(Table!$1:$1,Daily!CO$3,Table!$4:$4)</f>
        <v/>
      </c>
      <c r="CP11" s="1436">
        <f>SUMIF(Table!$1:$1,Daily!CP$3,Table!$4:$4)</f>
        <v/>
      </c>
      <c r="CQ11" s="1436">
        <f>SUMIF(Table!$1:$1,Daily!CQ$3,Table!$4:$4)</f>
        <v/>
      </c>
      <c r="CR11" s="1436">
        <f>SUMIF(Table!$1:$1,Daily!CR$3,Table!$4:$4)</f>
        <v/>
      </c>
      <c r="CS11" s="1436">
        <f>SUMIF(Table!$1:$1,Daily!CS$3,Table!$4:$4)</f>
        <v/>
      </c>
      <c r="CT11" s="1436">
        <f>SUMIF(Table!$1:$1,Daily!CT$3,Table!$4:$4)</f>
        <v/>
      </c>
      <c r="CU11" s="1436">
        <f>SUMIF(Table!$1:$1,Daily!CU$3,Table!$4:$4)</f>
        <v/>
      </c>
      <c r="CV11" s="1436">
        <f>SUMIF(Table!$1:$1,Daily!CV$3,Table!$4:$4)</f>
        <v/>
      </c>
      <c r="CW11" s="1436">
        <f>SUMIF(Table!$1:$1,Daily!CW$3,Table!$4:$4)</f>
        <v/>
      </c>
      <c r="CX11" s="1436">
        <f>SUMIF(Table!$1:$1,Daily!CX$3,Table!$4:$4)</f>
        <v/>
      </c>
      <c r="CY11" s="1436">
        <f>SUMIF(Table!$1:$1,Daily!CY$3,Table!$4:$4)</f>
        <v/>
      </c>
      <c r="CZ11" s="1436">
        <f>SUMIF(Table!$1:$1,Daily!CZ$3,Table!$4:$4)</f>
        <v/>
      </c>
      <c r="DA11" s="1436">
        <f>SUMIF(Table!$1:$1,Daily!DA$3,Table!$4:$4)</f>
        <v/>
      </c>
      <c r="DB11" s="1436">
        <f>SUMIF(Table!$1:$1,Daily!DB$3,Table!$4:$4)</f>
        <v/>
      </c>
      <c r="DC11" s="1436">
        <f>SUMIF(Table!$1:$1,Daily!DC$3,Table!$4:$4)</f>
        <v/>
      </c>
      <c r="DD11" s="1436">
        <f>SUMIF(Table!$1:$1,Daily!DD$3,Table!$4:$4)</f>
        <v/>
      </c>
      <c r="DE11" s="1436">
        <f>SUMIF(Table!$1:$1,Daily!DE$3,Table!$4:$4)</f>
        <v/>
      </c>
      <c r="DF11" s="1436">
        <f>SUMIF(Table!$1:$1,Daily!DF$3,Table!$4:$4)</f>
        <v/>
      </c>
      <c r="DG11" s="1436">
        <f>SUMIF(Table!$1:$1,Daily!DG$3,Table!$4:$4)</f>
        <v/>
      </c>
      <c r="DH11" s="1436">
        <f>SUMIF(Table!$1:$1,Daily!DH$3,Table!$4:$4)</f>
        <v/>
      </c>
      <c r="DI11" s="1436">
        <f>SUMIF(Table!$1:$1,Daily!DI$3,Table!$4:$4)</f>
        <v/>
      </c>
      <c r="DJ11" s="1436">
        <f>SUMIF(Table!$1:$1,Daily!DJ$3,Table!$4:$4)</f>
        <v/>
      </c>
      <c r="DK11" s="1436">
        <f>SUMIF(Table!$1:$1,Daily!DK$3,Table!$4:$4)</f>
        <v/>
      </c>
      <c r="DL11" s="1436">
        <f>SUMIF(Table!$1:$1,Daily!DL$3,Table!$4:$4)</f>
        <v/>
      </c>
      <c r="DM11" s="1436">
        <f>SUMIF(Table!$1:$1,Daily!DM$3,Table!$4:$4)</f>
        <v/>
      </c>
      <c r="DN11" s="1436">
        <f>SUMIF(Table!$1:$1,Daily!DN$3,Table!$4:$4)</f>
        <v/>
      </c>
      <c r="DO11" s="1436">
        <f>SUMIF(Table!$1:$1,Daily!DO$3,Table!$4:$4)</f>
        <v/>
      </c>
      <c r="DP11" s="1436">
        <f>SUMIF(Table!$1:$1,Daily!DP$3,Table!$4:$4)</f>
        <v/>
      </c>
      <c r="DQ11" s="1436">
        <f>SUMIF(Table!$1:$1,Daily!DQ$3,Table!$4:$4)</f>
        <v/>
      </c>
      <c r="DR11" s="1436">
        <f>SUMIF(Table!$1:$1,Daily!DR$3,Table!$4:$4)</f>
        <v/>
      </c>
      <c r="DS11" s="1436">
        <f>SUMIF(Table!$1:$1,Daily!DS$3,Table!$4:$4)</f>
        <v/>
      </c>
      <c r="DT11" s="1436">
        <f>SUMIF(Table!$1:$1,Daily!DT$3,Table!$4:$4)</f>
        <v/>
      </c>
      <c r="DU11" s="1436">
        <f>SUMIF(Table!$1:$1,Daily!DU$3,Table!$4:$4)</f>
        <v/>
      </c>
      <c r="DV11" s="1436">
        <f>SUMIF(Table!$1:$1,Daily!DV$3,Table!$4:$4)</f>
        <v/>
      </c>
      <c r="DW11" s="1436">
        <f>SUMIF(Table!$1:$1,Daily!DW$3,Table!$4:$4)</f>
        <v/>
      </c>
      <c r="DX11" s="1436">
        <f>SUMIF(Table!$1:$1,Daily!DX$3,Table!$4:$4)</f>
        <v/>
      </c>
      <c r="DY11" s="1436">
        <f>SUMIF(Table!$1:$1,Daily!DY$3,Table!$4:$4)</f>
        <v/>
      </c>
      <c r="DZ11" s="1436">
        <f>SUMIF(Table!$1:$1,Daily!DZ$3,Table!$4:$4)</f>
        <v/>
      </c>
      <c r="EA11" s="1436">
        <f>SUMIF(Table!$1:$1,Daily!EA$3,Table!$4:$4)</f>
        <v/>
      </c>
      <c r="EB11" s="1436">
        <f>SUMIF(Table!$1:$1,Daily!EB$3,Table!$4:$4)</f>
        <v/>
      </c>
      <c r="EC11" s="1436">
        <f>SUMIF(Table!$1:$1,Daily!EC$3,Table!$4:$4)</f>
        <v/>
      </c>
      <c r="ED11" s="1436">
        <f>SUMIF(Table!$1:$1,Daily!ED$3,Table!$4:$4)</f>
        <v/>
      </c>
      <c r="EE11" s="1436">
        <f>SUMIF(Table!$1:$1,Daily!EE$3,Table!$4:$4)</f>
        <v/>
      </c>
      <c r="EF11" s="1436">
        <f>SUMIF(Table!$1:$1,Daily!EF$3,Table!$4:$4)</f>
        <v/>
      </c>
      <c r="EG11" s="1436">
        <f>SUMIF(Table!$1:$1,Daily!EG$3,Table!$4:$4)</f>
        <v/>
      </c>
      <c r="EH11" s="1436">
        <f>SUMIF(Table!$1:$1,Daily!EH$3,Table!$4:$4)</f>
        <v/>
      </c>
      <c r="EI11" s="1436">
        <f>SUMIF(Table!$1:$1,Daily!EI$3,Table!$4:$4)</f>
        <v/>
      </c>
      <c r="EJ11" s="1436">
        <f>SUMIF(Table!$1:$1,Daily!EJ$3,Table!$4:$4)</f>
        <v/>
      </c>
      <c r="EK11" s="1436">
        <f>SUMIF(Table!$1:$1,Daily!EK$3,Table!$4:$4)</f>
        <v/>
      </c>
      <c r="EL11" s="1436">
        <f>SUMIF(Table!$1:$1,Daily!EL$3,Table!$4:$4)</f>
        <v/>
      </c>
      <c r="EM11" s="1436">
        <f>SUMIF(Table!$1:$1,Daily!EM$3,Table!$4:$4)</f>
        <v/>
      </c>
      <c r="EN11" s="1436">
        <f>SUMIF(Table!$1:$1,Daily!EN$3,Table!$4:$4)</f>
        <v/>
      </c>
      <c r="EO11" s="1436">
        <f>SUMIF(Table!$1:$1,Daily!EO$3,Table!$4:$4)</f>
        <v/>
      </c>
      <c r="EP11" s="1436">
        <f>SUMIF(Table!$1:$1,Daily!EP$3,Table!$4:$4)</f>
        <v/>
      </c>
      <c r="EQ11" s="1436">
        <f>SUMIF(Table!$1:$1,Daily!EQ$3,Table!$4:$4)</f>
        <v/>
      </c>
      <c r="ER11" s="1436">
        <f>SUMIF(Table!$1:$1,Daily!ER$3,Table!$4:$4)</f>
        <v/>
      </c>
      <c r="ES11" s="1436">
        <f>SUMIF(Table!$1:$1,Daily!ES$3,Table!$4:$4)</f>
        <v/>
      </c>
      <c r="ET11" s="1436">
        <f>SUMIF(Table!$1:$1,Daily!ET$3,Table!$4:$4)</f>
        <v/>
      </c>
      <c r="EU11" s="1436">
        <f>SUMIF(Table!$1:$1,Daily!EU$3,Table!$4:$4)</f>
        <v/>
      </c>
      <c r="EV11" s="1436">
        <f>SUMIF(Table!$1:$1,Daily!EV$3,Table!$4:$4)</f>
        <v/>
      </c>
      <c r="EW11" s="1436">
        <f>SUMIF(Table!$1:$1,Daily!EW$3,Table!$4:$4)</f>
        <v/>
      </c>
      <c r="EX11" s="1436">
        <f>SUMIF(Table!$1:$1,Daily!EX$3,Table!$4:$4)</f>
        <v/>
      </c>
      <c r="EY11" s="1436">
        <f>SUMIF(Table!$1:$1,Daily!EY$3,Table!$4:$4)</f>
        <v/>
      </c>
      <c r="EZ11" s="1436">
        <f>SUMIF(Table!$1:$1,Daily!EZ$3,Table!$4:$4)</f>
        <v/>
      </c>
      <c r="FA11" s="1436">
        <f>SUMIF(Table!$1:$1,Daily!FA$3,Table!$4:$4)</f>
        <v/>
      </c>
      <c r="FB11" s="1436">
        <f>SUMIF(Table!$1:$1,Daily!FB$3,Table!$4:$4)</f>
        <v/>
      </c>
      <c r="FC11" s="1436">
        <f>SUMIF(Table!$1:$1,Daily!FC$3,Table!$4:$4)</f>
        <v/>
      </c>
      <c r="FD11" s="1436">
        <f>SUMIF(Table!$1:$1,Daily!FD$3,Table!$4:$4)</f>
        <v/>
      </c>
      <c r="FE11" s="1436">
        <f>SUMIF(Table!$1:$1,Daily!FE$3,Table!$4:$4)</f>
        <v/>
      </c>
      <c r="FF11" s="1436">
        <f>SUMIF(Table!$1:$1,Daily!FF$3,Table!$4:$4)</f>
        <v/>
      </c>
      <c r="FG11" s="1436">
        <f>SUMIF(Table!$1:$1,Daily!FG$3,Table!$4:$4)</f>
        <v/>
      </c>
      <c r="FH11" s="1436">
        <f>SUMIF(Table!$1:$1,Daily!FH$3,Table!$4:$4)</f>
        <v/>
      </c>
      <c r="FI11" s="1436">
        <f>SUMIF(Table!$1:$1,Daily!FI$3,Table!$4:$4)</f>
        <v/>
      </c>
      <c r="FJ11" s="1436">
        <f>SUMIF(Table!$1:$1,Daily!FJ$3,Table!$4:$4)</f>
        <v/>
      </c>
      <c r="FK11" s="1436">
        <f>SUMIF(Table!$1:$1,Daily!FK$3,Table!$4:$4)</f>
        <v/>
      </c>
      <c r="FL11" s="1436">
        <f>SUMIF(Table!$1:$1,Daily!FL$3,Table!$4:$4)</f>
        <v/>
      </c>
      <c r="FM11" s="1436">
        <f>SUMIF(Table!$1:$1,Daily!FM$3,Table!$4:$4)</f>
        <v/>
      </c>
      <c r="FN11" s="1436">
        <f>SUMIF(Table!$1:$1,Daily!FN$3,Table!$4:$4)</f>
        <v/>
      </c>
      <c r="FO11" s="1436">
        <f>SUMIF(Table!$1:$1,Daily!FO$3,Table!$4:$4)</f>
        <v/>
      </c>
      <c r="FP11" s="1436">
        <f>SUMIF(Table!$1:$1,Daily!FP$3,Table!$4:$4)</f>
        <v/>
      </c>
      <c r="FQ11" s="1436">
        <f>SUMIF(Table!$1:$1,Daily!FQ$3,Table!$4:$4)</f>
        <v/>
      </c>
      <c r="FR11" s="1436">
        <f>SUMIF(Table!$1:$1,Daily!FR$3,Table!$4:$4)</f>
        <v/>
      </c>
      <c r="FS11" s="1436">
        <f>SUMIF(Table!$1:$1,Daily!FS$3,Table!$4:$4)</f>
        <v/>
      </c>
      <c r="FT11" s="1436">
        <f>SUMIF(Table!$1:$1,Daily!FT$3,Table!$4:$4)</f>
        <v/>
      </c>
      <c r="FU11" s="1436">
        <f>SUMIF(Table!$1:$1,Daily!FU$3,Table!$4:$4)</f>
        <v/>
      </c>
      <c r="FV11" s="1436">
        <f>SUMIF(Table!$1:$1,Daily!FV$3,Table!$4:$4)</f>
        <v/>
      </c>
      <c r="FW11" s="1436">
        <f>SUMIF(Table!$1:$1,Daily!FW$3,Table!$4:$4)</f>
        <v/>
      </c>
      <c r="FX11" s="1436">
        <f>SUMIF(Table!$1:$1,Daily!FX$3,Table!$4:$4)</f>
        <v/>
      </c>
      <c r="FY11" s="1436">
        <f>SUMIF(Table!$1:$1,Daily!FY$3,Table!$4:$4)</f>
        <v/>
      </c>
      <c r="FZ11" s="1436">
        <f>SUMIF(Table!$1:$1,Daily!FZ$3,Table!$4:$4)</f>
        <v/>
      </c>
      <c r="GA11" s="1436">
        <f>SUMIF(Table!$1:$1,Daily!GA$3,Table!$4:$4)</f>
        <v/>
      </c>
      <c r="GB11" s="1436">
        <f>SUMIF(Table!$1:$1,Daily!GB$3,Table!$4:$4)</f>
        <v/>
      </c>
      <c r="GC11" s="1436">
        <f>SUMIF(Table!$1:$1,Daily!GC$3,Table!$4:$4)</f>
        <v/>
      </c>
      <c r="GD11" s="1436">
        <f>SUMIF(Table!$1:$1,Daily!GD$3,Table!$4:$4)</f>
        <v/>
      </c>
      <c r="GE11" s="1436">
        <f>SUMIF(Table!$1:$1,Daily!GE$3,Table!$4:$4)</f>
        <v/>
      </c>
      <c r="GF11" s="1436">
        <f>SUMIF(Table!$1:$1,Daily!GF$3,Table!$4:$4)</f>
        <v/>
      </c>
      <c r="GG11" s="1436">
        <f>SUMIF(Table!$1:$1,Daily!GG$3,Table!$4:$4)</f>
        <v/>
      </c>
      <c r="GH11" s="1436">
        <f>SUMIF(Table!$1:$1,Daily!GH$3,Table!$4:$4)</f>
        <v/>
      </c>
      <c r="GI11" s="1436">
        <f>SUMIF(Table!$1:$1,Daily!GI$3,Table!$4:$4)</f>
        <v/>
      </c>
      <c r="GJ11" s="1436">
        <f>SUMIF(Table!$1:$1,Daily!GJ$3,Table!$4:$4)</f>
        <v/>
      </c>
      <c r="GK11" s="1436">
        <f>SUMIF(Table!$1:$1,Daily!GK$3,Table!$4:$4)</f>
        <v/>
      </c>
      <c r="GL11" s="1436">
        <f>SUMIF(Table!$1:$1,Daily!GL$3,Table!$4:$4)</f>
        <v/>
      </c>
      <c r="GM11" s="1436">
        <f>SUMIF(Table!$1:$1,Daily!GM$3,Table!$4:$4)</f>
        <v/>
      </c>
      <c r="GN11" s="1436">
        <f>SUMIF(Table!$1:$1,Daily!GN$3,Table!$4:$4)</f>
        <v/>
      </c>
      <c r="GO11" s="1436">
        <f>SUMIF(Table!$1:$1,Daily!GO$3,Table!$4:$4)</f>
        <v/>
      </c>
      <c r="GP11" s="1436">
        <f>SUMIF(Table!$1:$1,Daily!GP$3,Table!$4:$4)</f>
        <v/>
      </c>
      <c r="GQ11" s="1436">
        <f>SUMIF(Table!$1:$1,Daily!GQ$3,Table!$4:$4)</f>
        <v/>
      </c>
      <c r="GR11" s="1436">
        <f>SUMIF(Table!$1:$1,Daily!GR$3,Table!$4:$4)</f>
        <v/>
      </c>
      <c r="GS11" s="1436">
        <f>SUMIF(Table!$1:$1,Daily!GS$3,Table!$4:$4)</f>
        <v/>
      </c>
      <c r="GT11" s="1436">
        <f>SUMIF(Table!$1:$1,Daily!GT$3,Table!$4:$4)</f>
        <v/>
      </c>
      <c r="GU11" s="1436">
        <f>SUMIF(Table!$1:$1,Daily!GU$3,Table!$4:$4)</f>
        <v/>
      </c>
      <c r="GV11" s="1436">
        <f>SUMIF(Table!$1:$1,Daily!GV$3,Table!$4:$4)</f>
        <v/>
      </c>
      <c r="GW11" s="1436">
        <f>SUMIF(Table!$1:$1,Daily!GW$3,Table!$4:$4)</f>
        <v/>
      </c>
      <c r="GX11" s="1436">
        <f>SUMIF(Table!$1:$1,Daily!GX$3,Table!$4:$4)</f>
        <v/>
      </c>
      <c r="GY11" s="1436">
        <f>SUMIF(Table!$1:$1,Daily!GY$3,Table!$4:$4)</f>
        <v/>
      </c>
      <c r="GZ11" s="1436">
        <f>SUMIF(Table!$1:$1,Daily!GZ$3,Table!$4:$4)</f>
        <v/>
      </c>
      <c r="HA11" s="1436">
        <f>SUMIF(Table!$1:$1,Daily!HA$3,Table!$4:$4)</f>
        <v/>
      </c>
      <c r="HB11" s="1436">
        <f>SUMIF(Table!$1:$1,Daily!HB$3,Table!$4:$4)</f>
        <v/>
      </c>
      <c r="HC11" s="1436">
        <f>SUMIF(Table!$1:$1,Daily!HC$3,Table!$4:$4)</f>
        <v/>
      </c>
      <c r="HD11" s="1436">
        <f>SUMIF(Table!$1:$1,Daily!HD$3,Table!$4:$4)</f>
        <v/>
      </c>
      <c r="HE11" s="1436">
        <f>SUMIF(Table!$1:$1,Daily!HE$3,Table!$4:$4)</f>
        <v/>
      </c>
      <c r="HF11" s="1436">
        <f>SUMIF(Table!$1:$1,Daily!HF$3,Table!$4:$4)</f>
        <v/>
      </c>
      <c r="HG11" s="1436">
        <f>SUMIF(Table!$1:$1,Daily!HG$3,Table!$4:$4)</f>
        <v/>
      </c>
      <c r="HH11" s="1436" t="n">
        <v>44.4968353375257</v>
      </c>
      <c r="HI11" s="1436" t="n">
        <v>44.55867720638626</v>
      </c>
      <c r="HJ11" s="1436" t="n">
        <v>46.50679749204842</v>
      </c>
      <c r="HK11" s="1436" t="n">
        <v>46.47032640990372</v>
      </c>
      <c r="HL11" s="1436" t="n">
        <v>42.10194278074088</v>
      </c>
      <c r="HM11" s="1436" t="n">
        <v>38.59311770878499</v>
      </c>
      <c r="HN11" s="1436" t="n">
        <v>38.09140377584219</v>
      </c>
      <c r="HO11" s="1436" t="n">
        <v>43.19013577862966</v>
      </c>
      <c r="HP11" s="1436" t="n">
        <v>39.94656030067756</v>
      </c>
      <c r="HQ11" s="1436" t="n">
        <v>41.95222754271045</v>
      </c>
      <c r="HR11" s="1436" t="n">
        <v>40.32876496326617</v>
      </c>
      <c r="HS11" s="1436" t="n">
        <v>41.11913218397967</v>
      </c>
      <c r="HT11" s="1436" t="n">
        <v>37.10236850731317</v>
      </c>
      <c r="HU11" s="1436" t="n">
        <v>39.49487802226335</v>
      </c>
      <c r="HV11" s="1436" t="n">
        <v>43.49329479912541</v>
      </c>
      <c r="HW11" s="1436" t="n">
        <v>47.4917944148653</v>
      </c>
      <c r="HX11" s="1436" t="n">
        <v>48.81844047710771</v>
      </c>
      <c r="HY11" s="1436" t="n">
        <v>34.62234401826886</v>
      </c>
      <c r="HZ11" s="1436" t="n">
        <v>38.52915745662821</v>
      </c>
      <c r="IA11" s="1436" t="n">
        <v>35.21257414728174</v>
      </c>
      <c r="IB11" s="1436" t="n">
        <v>32.78421802994131</v>
      </c>
      <c r="IC11" s="1436" t="n">
        <v>43.77720249705524</v>
      </c>
      <c r="ID11" s="1436">
        <f>SUMIF(Table!$1:$1,Daily!ID$3,Table!$4:$4)</f>
        <v/>
      </c>
      <c r="IE11" s="1436" t="n">
        <v>37.35468619383408</v>
      </c>
      <c r="IF11" s="1436" t="n">
        <v>36.5746982747672</v>
      </c>
      <c r="IG11" s="1436" t="n">
        <v>37.83994444618557</v>
      </c>
      <c r="IH11" s="1436" t="n">
        <v>39.97406935327498</v>
      </c>
      <c r="II11" s="1436" t="n">
        <v>38.09926575317147</v>
      </c>
      <c r="IJ11" s="1436">
        <f>SUMIF(Table!$1:$1,Daily!IJ$3,Table!$4:$4)</f>
        <v/>
      </c>
      <c r="IK11" s="1436">
        <f>SUMIF(Table!$1:$1,Daily!IK$3,Table!$4:$4)</f>
        <v/>
      </c>
      <c r="IL11" s="1436" t="n">
        <v>49.1408244815709</v>
      </c>
      <c r="IM11" s="1436" t="n">
        <v>38.51010429170259</v>
      </c>
      <c r="IN11" s="1436" t="n">
        <v>42.24482453599379</v>
      </c>
      <c r="IO11" s="1436" t="n">
        <v>42.70111576284544</v>
      </c>
      <c r="IP11" s="1436" t="n">
        <v>34.04799440448397</v>
      </c>
      <c r="IQ11" s="1436" t="n">
        <v>35.38302365436929</v>
      </c>
      <c r="IR11" s="1436" t="n">
        <v>34.86006373599946</v>
      </c>
      <c r="IS11" s="1436" t="n">
        <v>34.04909941203843</v>
      </c>
      <c r="IT11" s="1436" t="n">
        <v>38.51630343750663</v>
      </c>
      <c r="IU11" s="1436" t="n">
        <v>35.53813458015937</v>
      </c>
      <c r="IV11" s="1436" t="n">
        <v>31.30456213210655</v>
      </c>
      <c r="IW11" s="1436" t="n">
        <v>32.01976983327194</v>
      </c>
      <c r="IX11" s="1436" t="n">
        <v>32.31727703538002</v>
      </c>
      <c r="IY11" s="1436" t="n">
        <v>30.81480216660596</v>
      </c>
      <c r="IZ11" s="1436" t="n">
        <v>30.97702572226035</v>
      </c>
      <c r="JA11" s="1436" t="n">
        <v>31.95821051447072</v>
      </c>
      <c r="JB11" s="1436" t="n">
        <v>30.95186863471106</v>
      </c>
      <c r="JC11" s="1436" t="n">
        <v>33.99747616841555</v>
      </c>
      <c r="JD11" s="1436" t="n">
        <v>33.83497612468944</v>
      </c>
      <c r="JE11" s="1436" t="n">
        <v>33.42537837028527</v>
      </c>
      <c r="JF11" s="1436" t="n">
        <v>34.20344691514464</v>
      </c>
      <c r="JG11" s="1436" t="n">
        <v>41.38242614841769</v>
      </c>
      <c r="JH11" s="1436" t="n">
        <v>35.81780482128845</v>
      </c>
      <c r="JI11" s="1436" t="n">
        <v>38.0533821182835</v>
      </c>
      <c r="JJ11" s="1436" t="n">
        <v>34.66424400137463</v>
      </c>
      <c r="JK11" s="1436" t="n">
        <v>31.90605768540998</v>
      </c>
      <c r="JL11" s="1436" t="n">
        <v>35.35016523752918</v>
      </c>
      <c r="JM11" s="1436" t="n">
        <v>33.78593301448343</v>
      </c>
      <c r="JN11" s="1436" t="n">
        <v>34.46933835278061</v>
      </c>
      <c r="JO11" s="1436" t="n">
        <v>36.51450098516683</v>
      </c>
      <c r="JP11" s="1436" t="n">
        <v>38.70260420326562</v>
      </c>
      <c r="JQ11" s="1436" t="n">
        <v>42.00621076094146</v>
      </c>
      <c r="JR11" s="1436" t="n">
        <v>41.69004266738979</v>
      </c>
      <c r="JS11" s="1436" t="n">
        <v>41.0879673598657</v>
      </c>
      <c r="JT11" s="1436" t="n">
        <v>37.8534683622056</v>
      </c>
      <c r="JU11" s="1436">
        <f>SUMIF(Table!$1:$1,Daily!JU$3,Table!$4:$4)</f>
        <v/>
      </c>
      <c r="JV11" s="1436" t="n">
        <v>36.06658213726979</v>
      </c>
      <c r="JW11" s="1436" t="n">
        <v>43.58056924735678</v>
      </c>
      <c r="JX11" s="1436" t="n">
        <v>42.00011215515804</v>
      </c>
      <c r="JY11" s="1436" t="n">
        <v>57.59757196656719</v>
      </c>
      <c r="JZ11" s="1436" t="n">
        <v>43.79935632040016</v>
      </c>
      <c r="KA11" s="1436" t="n">
        <v>41.66372354740265</v>
      </c>
      <c r="KB11" s="1436" t="n">
        <v>43.87403275073008</v>
      </c>
      <c r="KC11" s="1436" t="n">
        <v>42.20340152116729</v>
      </c>
      <c r="KD11" s="1436" t="n">
        <v>40.611822505773</v>
      </c>
      <c r="KE11" s="1436" t="n">
        <v>38.19959741546687</v>
      </c>
      <c r="KF11" s="1436" t="n">
        <v>39.009345229002</v>
      </c>
      <c r="KG11" s="1436" t="n">
        <v>41.46399461169757</v>
      </c>
      <c r="KH11" s="1436" t="n">
        <v>42.46082778463639</v>
      </c>
      <c r="KI11" s="1436" t="n">
        <v>45.23677602870894</v>
      </c>
      <c r="KJ11" s="1436" t="n">
        <v>58.54793937052064</v>
      </c>
      <c r="KK11" s="1436" t="n">
        <v>58.16646592325542</v>
      </c>
      <c r="KL11" s="1436" t="n">
        <v>61.02718017693014</v>
      </c>
      <c r="KM11" s="1436" t="n">
        <v>49.42592810274697</v>
      </c>
      <c r="KN11" s="1436" t="n">
        <v>49.15509526270185</v>
      </c>
      <c r="KO11" s="1436" t="n">
        <v>43.58942822292475</v>
      </c>
      <c r="KP11" s="1436" t="n">
        <v>55.09234404622375</v>
      </c>
      <c r="KQ11" s="1436" t="n">
        <v>54.92118739403437</v>
      </c>
      <c r="KR11" s="1436" t="n">
        <v>57.69894383829977</v>
      </c>
      <c r="KS11" s="1436" t="n">
        <v>72.38918004346527</v>
      </c>
      <c r="KT11" s="1436" t="n">
        <v>57.41726666034118</v>
      </c>
      <c r="KU11" s="1436" t="n">
        <v>53.91070574122057</v>
      </c>
      <c r="KV11" s="1436" t="n">
        <v>57.42361310462803</v>
      </c>
      <c r="KW11" s="1436" t="n">
        <v>61.92437367090572</v>
      </c>
      <c r="KX11" s="1436" t="n">
        <v>58.07071179128045</v>
      </c>
      <c r="KY11" s="1436" t="n">
        <v>53.80141551564272</v>
      </c>
      <c r="KZ11" s="1436" t="n">
        <v>52.57042129776296</v>
      </c>
      <c r="LA11" s="1436" t="n">
        <v>52.55620566669092</v>
      </c>
      <c r="LB11" s="1436" t="n">
        <v>39.59425938855109</v>
      </c>
      <c r="LC11" s="1436" t="n">
        <v>53.66921062576104</v>
      </c>
      <c r="LD11" s="1436" t="n">
        <v>54.30502195723214</v>
      </c>
      <c r="LE11" s="1436" t="n">
        <v>47.71733696681896</v>
      </c>
      <c r="LF11" s="1436" t="n">
        <v>48.14801157508053</v>
      </c>
      <c r="LG11" s="1436" t="n">
        <v>51.0732560334569</v>
      </c>
      <c r="LH11" s="1436" t="n">
        <v>51.9278397244478</v>
      </c>
      <c r="LI11" s="1436" t="n">
        <v>50.8197396263073</v>
      </c>
      <c r="LJ11" s="1436" t="n">
        <v>51.09140267401991</v>
      </c>
      <c r="LK11" s="1436" t="n">
        <v>52.17158918279573</v>
      </c>
      <c r="LL11" s="1436" t="n">
        <v>60.96010223959264</v>
      </c>
      <c r="LM11" s="1436" t="n">
        <v>53.25824283314657</v>
      </c>
      <c r="LN11" s="1436" t="n">
        <v>53.02271432246064</v>
      </c>
      <c r="LO11" s="1436" t="n">
        <v>52.45428245331616</v>
      </c>
      <c r="LP11" s="1436" t="n">
        <v>47.96942968172927</v>
      </c>
      <c r="LQ11" s="1436" t="n">
        <v>50.61524165626093</v>
      </c>
      <c r="LR11" s="1436">
        <f>SUMIF(Table!$1:$1,Daily!LR$3,Table!$4:$4)</f>
        <v/>
      </c>
      <c r="LS11" s="1436" t="n">
        <v>46.40524239032325</v>
      </c>
      <c r="LT11" s="1436" t="n">
        <v>38.95312665292516</v>
      </c>
      <c r="LU11" s="1436" t="n">
        <v>48.15194380672014</v>
      </c>
      <c r="LV11" s="1436" t="n">
        <v>48.582109978999</v>
      </c>
      <c r="LW11" s="1436" t="n">
        <v>41.37065373804976</v>
      </c>
      <c r="LX11" s="1436" t="n">
        <v>46.11842834171288</v>
      </c>
      <c r="LY11" s="1436" t="n">
        <v>47.64042013910448</v>
      </c>
      <c r="LZ11" s="1436" t="n">
        <v>60.02637672335668</v>
      </c>
      <c r="MA11" s="1436" t="n">
        <v>56.30068958441171</v>
      </c>
      <c r="MB11" s="1436" t="n">
        <v>50.96709214733473</v>
      </c>
      <c r="MC11" s="1436" t="n">
        <v>45.75597592800749</v>
      </c>
      <c r="MD11" s="1436" t="n">
        <v>50.70413673938088</v>
      </c>
      <c r="ME11" s="1436" t="n">
        <v>52.62967034239176</v>
      </c>
      <c r="MF11" s="1436" t="n">
        <v>46.65189305987526</v>
      </c>
      <c r="MG11" s="1436" t="n">
        <v>55.91739419157764</v>
      </c>
      <c r="MH11" s="1436" t="n">
        <v>48.32647781995529</v>
      </c>
      <c r="MI11" s="1436" t="n">
        <v>48.94784940175231</v>
      </c>
      <c r="MJ11" s="1436" t="n">
        <v>45.63681277941374</v>
      </c>
      <c r="MK11" s="1436" t="n">
        <v>42.80266905166662</v>
      </c>
      <c r="ML11" s="1436" t="n">
        <v>41.03463690043571</v>
      </c>
      <c r="MM11" s="1436" t="n">
        <v>43.34916776352755</v>
      </c>
      <c r="MN11" s="1436" t="n">
        <v>47.35338405284094</v>
      </c>
      <c r="MO11" s="1436" t="n">
        <v>49.63909908377629</v>
      </c>
      <c r="MP11" s="1436" t="n">
        <v>52.1501591357474</v>
      </c>
      <c r="MQ11" s="1436" t="n">
        <v>48.29358151198041</v>
      </c>
      <c r="MR11" s="1436" t="n">
        <v>41.26356336511525</v>
      </c>
      <c r="MS11" s="1436" t="n">
        <v>36.23013507756418</v>
      </c>
      <c r="MT11" s="1436" t="n">
        <v>34.17855071437981</v>
      </c>
      <c r="MU11" s="1436" t="n">
        <v>40.17962179315147</v>
      </c>
      <c r="MV11" s="1436" t="n">
        <v>38.48802752326999</v>
      </c>
      <c r="MW11" s="1436" t="n">
        <v>42.46723222149753</v>
      </c>
      <c r="MX11" s="1436" t="n">
        <v>37.09405814421454</v>
      </c>
      <c r="MY11" s="1436" t="n">
        <v>41.0755562898282</v>
      </c>
      <c r="MZ11" s="1436" t="n">
        <v>34.36979886059814</v>
      </c>
      <c r="NA11" s="1436" t="n">
        <v>36.40930335250395</v>
      </c>
      <c r="NB11" s="1436" t="n">
        <v>35.7039036891982</v>
      </c>
      <c r="NC11" s="1436" t="n">
        <v>36.47664567062395</v>
      </c>
      <c r="ND11" s="1436" t="n">
        <v>43.49294634102408</v>
      </c>
      <c r="NE11" s="1436" t="n">
        <v>43.21258386800852</v>
      </c>
      <c r="NF11" s="1436" t="n">
        <v>38.02541457753607</v>
      </c>
      <c r="NG11" s="1436" t="n">
        <v>34.1980125107772</v>
      </c>
      <c r="NH11" s="1436" t="n">
        <v>36.90314773231012</v>
      </c>
      <c r="NI11" s="1436" t="n">
        <v>36.77733279166286</v>
      </c>
      <c r="NJ11" s="1436" t="n">
        <v>34.69851008788721</v>
      </c>
      <c r="NK11" s="1436" t="n">
        <v>31.09835330122486</v>
      </c>
      <c r="NL11" s="1436" t="n">
        <v>30.92109449341665</v>
      </c>
      <c r="NM11" s="1436" t="n">
        <v>26.55547113824564</v>
      </c>
      <c r="NN11" s="1436" t="n">
        <v>26.32576616804871</v>
      </c>
      <c r="NO11" s="1436" t="n">
        <v>27.92057809752979</v>
      </c>
      <c r="NP11" s="1436" t="n">
        <v>31.62172933479696</v>
      </c>
      <c r="NQ11" s="1436" t="n">
        <v>29.50492941234717</v>
      </c>
      <c r="NR11" s="1436" t="n">
        <v>30.2676647727507</v>
      </c>
      <c r="NS11" s="1436" t="n">
        <v>32.82700267440844</v>
      </c>
      <c r="NT11" s="1436" t="n">
        <v>34.42473657968988</v>
      </c>
      <c r="NU11" s="1436" t="n">
        <v>35.07785236384107</v>
      </c>
      <c r="NV11" s="1436" t="n">
        <v>33.75561089620878</v>
      </c>
      <c r="NW11" s="1436" t="n">
        <v>33.2872527699846</v>
      </c>
      <c r="NX11" s="1436" t="n">
        <v>37.8869389008741</v>
      </c>
      <c r="NY11" s="1436" t="n">
        <v>34.78305631207891</v>
      </c>
      <c r="NZ11" s="1436" t="n">
        <v>35.27541160780733</v>
      </c>
      <c r="OA11" s="1436" t="n">
        <v>40.57577616979797</v>
      </c>
      <c r="OB11" s="1436" t="n">
        <v>36.99733784244818</v>
      </c>
      <c r="OC11" s="1436" t="n">
        <v>34.87941806454589</v>
      </c>
      <c r="OD11" s="1436" t="n">
        <v>37.34849510420565</v>
      </c>
      <c r="OE11" s="1436" t="n">
        <v>38.1089089861621</v>
      </c>
      <c r="OF11" s="1436" t="n">
        <v>40.08431212573743</v>
      </c>
      <c r="OG11" s="1436" t="n">
        <v>39.27427128642418</v>
      </c>
      <c r="OH11" s="1436" t="n">
        <v>37.69710550706132</v>
      </c>
      <c r="OI11" s="1436" t="n">
        <v>45.41314991554412</v>
      </c>
      <c r="OJ11" s="1436" t="n">
        <v>41.6800835098208</v>
      </c>
      <c r="OK11" s="1436" t="n">
        <v>41.60227678136688</v>
      </c>
      <c r="OL11" s="1436" t="n">
        <v>41.69294084841967</v>
      </c>
      <c r="OM11" s="1436" t="n">
        <v>39.47802504806309</v>
      </c>
      <c r="ON11" s="1436" t="n">
        <v>44.37155441237385</v>
      </c>
      <c r="OO11" s="1436" t="n">
        <v>47.00059157478775</v>
      </c>
      <c r="OP11" s="1436" t="n">
        <v>49.43085911333317</v>
      </c>
      <c r="OQ11" s="1436" t="n">
        <v>55.39697846992438</v>
      </c>
      <c r="OR11" s="1436" t="n">
        <v>24.86929952217855</v>
      </c>
      <c r="OS11" s="1436" t="n">
        <v>54.84123348511041</v>
      </c>
      <c r="OT11" s="1436" t="n">
        <v>49.71363938816853</v>
      </c>
      <c r="OU11" s="1436" t="n">
        <v>51.04654983806284</v>
      </c>
      <c r="OV11" s="1436" t="n">
        <v>54.78194231888693</v>
      </c>
      <c r="OW11" s="1436" t="n">
        <v>52.94904381006602</v>
      </c>
      <c r="OX11" s="1436" t="n">
        <v>58.63761990335198</v>
      </c>
      <c r="OY11" s="1436" t="n">
        <v>54.03339487377383</v>
      </c>
      <c r="OZ11" s="1436" t="n">
        <v>57.18242527604399</v>
      </c>
      <c r="PA11" s="1436" t="n">
        <v>58.44171811102484</v>
      </c>
      <c r="PB11" s="1436" t="n">
        <v>58.07592219629261</v>
      </c>
      <c r="PC11" s="1436" t="n">
        <v>54.70817205093124</v>
      </c>
      <c r="PD11" s="1436" t="n">
        <v>47.29995837258279</v>
      </c>
      <c r="PE11" s="1436" t="n">
        <v>48.92262240340344</v>
      </c>
      <c r="PF11" s="1436" t="n">
        <v>53.60197311834762</v>
      </c>
      <c r="PG11" s="1436" t="n">
        <v>55.95720528529004</v>
      </c>
      <c r="PH11" s="1436" t="n">
        <v>55.14555674316473</v>
      </c>
      <c r="PI11" s="1436" t="n">
        <v>55.93323415698289</v>
      </c>
      <c r="PJ11" s="1436" t="n">
        <v>58.78787347963347</v>
      </c>
      <c r="PK11" s="1436" t="n">
        <v>54.23313050762236</v>
      </c>
      <c r="PL11" s="1436" t="n">
        <v>50.16134908224412</v>
      </c>
      <c r="PM11" s="1436" t="n">
        <v>50.18949956875021</v>
      </c>
      <c r="PN11" s="1436" t="n">
        <v>54.61602320564213</v>
      </c>
      <c r="PO11" s="1436" t="n">
        <v>46.92176748398691</v>
      </c>
      <c r="PP11" s="1436" t="n">
        <v>64.89493919581373</v>
      </c>
      <c r="PQ11" s="1436" t="n">
        <v>54.62889753199448</v>
      </c>
      <c r="PR11" s="1436" t="n">
        <v>60.705375465423</v>
      </c>
      <c r="PS11" s="1436" t="n">
        <v>62.96305125189329</v>
      </c>
      <c r="PT11" s="1436" t="n">
        <v>57.70982009499014</v>
      </c>
      <c r="PU11" s="1436" t="n">
        <v>41.46676428898753</v>
      </c>
      <c r="PV11" s="1436" t="n">
        <v>42.04205421087563</v>
      </c>
      <c r="PW11" s="1436" t="n">
        <v>39.16567476259565</v>
      </c>
      <c r="PX11" s="1436" t="n">
        <v>31.60211514296849</v>
      </c>
      <c r="PY11" s="1436" t="n">
        <v>32.28318171988961</v>
      </c>
      <c r="PZ11" s="1436" t="n">
        <v>37.48079212828421</v>
      </c>
      <c r="QA11" s="1436" t="n">
        <v>43.25657254388977</v>
      </c>
      <c r="QB11" s="1436" t="n">
        <v>43.25119994216448</v>
      </c>
      <c r="QC11" s="1436" t="n">
        <v>37.66350426343037</v>
      </c>
      <c r="QD11" s="1436" t="n">
        <v>45.67537195167378</v>
      </c>
      <c r="QE11" s="1436" t="n">
        <v>50.3862939517394</v>
      </c>
      <c r="QF11" s="1436" t="n">
        <v>56.47529211828039</v>
      </c>
      <c r="QG11" s="1436" t="n">
        <v>49.05366194721741</v>
      </c>
      <c r="QH11" s="1436" t="n">
        <v>42.43997825871174</v>
      </c>
      <c r="QI11" s="1436" t="n">
        <v>41.37336927774842</v>
      </c>
      <c r="QJ11" s="1436" t="n">
        <v>45.9931544539053</v>
      </c>
      <c r="QK11" s="1436" t="n">
        <v>49.42324830656062</v>
      </c>
      <c r="QL11" s="1436" t="n">
        <v>50.48432715612517</v>
      </c>
      <c r="QM11" s="1436" t="n">
        <v>40.99725274116452</v>
      </c>
      <c r="QN11" s="1436" t="n">
        <v>41.39590677247288</v>
      </c>
      <c r="QO11" s="1436" t="n">
        <v>47.09431836801348</v>
      </c>
      <c r="QP11" s="1436" t="n">
        <v>47.38090940858496</v>
      </c>
      <c r="QQ11" s="1436" t="n">
        <v>41.83465933622523</v>
      </c>
      <c r="QR11" s="1436" t="n">
        <v>38.0359430196995</v>
      </c>
      <c r="QS11" s="1436" t="n">
        <v>39.00712868629256</v>
      </c>
      <c r="QT11" s="1436" t="n">
        <v>46.4413390103628</v>
      </c>
      <c r="QU11" s="1436" t="n">
        <v>47.71912833759293</v>
      </c>
      <c r="QV11" s="1436" t="n">
        <v>47.18556272306292</v>
      </c>
      <c r="QW11" s="1436" t="n">
        <v>47.20675017647949</v>
      </c>
      <c r="QX11" s="1436" t="n">
        <v>36.75441229573028</v>
      </c>
      <c r="QY11" s="1436" t="n">
        <v>37.61358862939373</v>
      </c>
      <c r="QZ11" s="1436" t="n">
        <v>34.8123082702574</v>
      </c>
      <c r="RA11" s="1436" t="n">
        <v>33.65724029091712</v>
      </c>
      <c r="RB11" s="1436" t="n">
        <v>37.6879986432623</v>
      </c>
      <c r="RC11" s="1436" t="n">
        <v>36.25262836047117</v>
      </c>
      <c r="RD11" s="1436" t="n">
        <v>34.81410248309206</v>
      </c>
      <c r="RE11" s="1436" t="n">
        <v>45.54852323803843</v>
      </c>
      <c r="RF11" s="1436" t="n">
        <v>42.9002816535909</v>
      </c>
      <c r="RG11" s="1436">
        <f>SUMIF(Table!$1:$1,Daily!RG$3,Table!$4:$4)</f>
        <v/>
      </c>
      <c r="RH11" s="1436" t="n">
        <v>32.76088896428595</v>
      </c>
      <c r="RI11" s="1436" t="n">
        <v>32.08649979607374</v>
      </c>
      <c r="RJ11" s="1436" t="n">
        <v>33.43468174686632</v>
      </c>
      <c r="RK11" s="1436" t="n">
        <v>42.05672613243297</v>
      </c>
      <c r="RL11" s="1436" t="n">
        <v>36.06257912964606</v>
      </c>
      <c r="RM11" s="1436" t="n">
        <v>38.42726070940497</v>
      </c>
      <c r="RN11" s="1436" t="n">
        <v>39.91683034084913</v>
      </c>
      <c r="RO11" s="1436" t="n">
        <v>39.26248047948457</v>
      </c>
      <c r="RP11" s="1436" t="n">
        <v>40.24413795177969</v>
      </c>
      <c r="RQ11" s="1436" t="n">
        <v>38.33988081002013</v>
      </c>
      <c r="RR11" s="1436" t="n">
        <v>42.91040816243198</v>
      </c>
      <c r="RS11" s="1436" t="n">
        <v>38.58939268941082</v>
      </c>
      <c r="RT11" s="1436" t="n">
        <v>39.27197043476937</v>
      </c>
      <c r="RU11" s="1436" t="n">
        <v>37.99375524663164</v>
      </c>
      <c r="RV11" s="1436" t="n">
        <v>39.11180619372877</v>
      </c>
      <c r="RW11" s="1436" t="n">
        <v>32.32895732896209</v>
      </c>
      <c r="RX11" s="1436" t="n">
        <v>31.45640225084484</v>
      </c>
      <c r="RY11" s="1436" t="n">
        <v>30.84254033575829</v>
      </c>
      <c r="RZ11" s="1436" t="n">
        <v>33.31991024413746</v>
      </c>
      <c r="SA11" s="1436" t="n">
        <v>28.28456946443547</v>
      </c>
      <c r="SB11" s="1436" t="n">
        <v>26.63833467058775</v>
      </c>
      <c r="SC11" s="1436" t="n">
        <v>25.21424257499794</v>
      </c>
      <c r="SD11" s="1436" t="n">
        <v>25.54224185793308</v>
      </c>
      <c r="SE11" s="1436" t="n">
        <v>25.58902498844891</v>
      </c>
      <c r="SF11" s="1436">
        <f>SUMIF(Table!$1:$1,Daily!SF$3,Table!$4:$4)</f>
        <v/>
      </c>
      <c r="SG11" s="1436" t="n">
        <v>26.50724019804563</v>
      </c>
      <c r="SH11" s="1436" t="n">
        <v>26.15434245943457</v>
      </c>
      <c r="SI11" s="1436" t="n">
        <v>24.92115616189143</v>
      </c>
      <c r="SJ11" s="1436" t="n">
        <v>25.03651956520576</v>
      </c>
      <c r="SK11" s="1436" t="n">
        <v>23.99343147770414</v>
      </c>
      <c r="SL11" s="1436" t="n">
        <v>25.15090088642794</v>
      </c>
      <c r="SM11" s="1436" t="n">
        <v>22.67661496233204</v>
      </c>
      <c r="SN11" s="1436" t="n">
        <v>23.31252688565045</v>
      </c>
      <c r="SO11" s="1436" t="n">
        <v>48.33467294011508</v>
      </c>
      <c r="SP11" s="1436" t="n">
        <v>53.00340905011051</v>
      </c>
      <c r="SQ11" s="1436" t="n">
        <v>42.97877458243919</v>
      </c>
      <c r="SR11" s="1436" t="n">
        <v>43.68043419450456</v>
      </c>
      <c r="SS11" s="1436" t="n">
        <v>33.60993791421817</v>
      </c>
      <c r="ST11" s="1436" t="n">
        <v>29.81485825705821</v>
      </c>
      <c r="SU11" s="1436" t="n">
        <v>42.32090959827237</v>
      </c>
      <c r="SV11" s="1436" t="n">
        <v>38.03564261541403</v>
      </c>
      <c r="SW11" s="1436" t="n">
        <v>40.66031961058678</v>
      </c>
      <c r="SX11" s="1436" t="n">
        <v>34.70827778991681</v>
      </c>
      <c r="SY11" s="1436" t="n">
        <v>36.66806388702756</v>
      </c>
      <c r="SZ11" s="1436" t="n">
        <v>38.67309648614359</v>
      </c>
      <c r="TA11" s="1436" t="n">
        <v>40.78769677474273</v>
      </c>
      <c r="TB11" s="1436" t="n">
        <v>48.4508947923086</v>
      </c>
      <c r="TC11" s="1436" t="n">
        <v>46.40592478442821</v>
      </c>
      <c r="TD11" s="1436" t="n">
        <v>41.28017141631629</v>
      </c>
      <c r="TE11" s="1436">
        <f>SUMIF(Table!$1:$1,Daily!TE$3,Table!$4:$4)</f>
        <v/>
      </c>
      <c r="TF11" s="1436" t="n">
        <v>47.08430593345888</v>
      </c>
      <c r="TG11" s="1436" t="n">
        <v>52.44867161264134</v>
      </c>
      <c r="TH11" s="1436" t="n">
        <v>51.97289337134253</v>
      </c>
      <c r="TI11" s="1436" t="n">
        <v>46.07288265446778</v>
      </c>
      <c r="TJ11" s="1436" t="n">
        <v>46.00792380822853</v>
      </c>
      <c r="TK11" s="1436" t="n">
        <v>50.56435221976159</v>
      </c>
      <c r="TL11" s="1436" t="n">
        <v>50.88517051375265</v>
      </c>
      <c r="TM11" s="1436" t="n">
        <v>47.3739364847651</v>
      </c>
      <c r="TN11" s="1436" t="n">
        <v>48.07167921534209</v>
      </c>
      <c r="TO11" s="1436" t="n">
        <v>47.7945040004435</v>
      </c>
      <c r="TP11" s="1436" t="n">
        <v>48.62243446801416</v>
      </c>
      <c r="TQ11" s="1436" t="n">
        <v>52.1190368593492</v>
      </c>
      <c r="TR11" s="1436" t="n">
        <v>49.10588508591042</v>
      </c>
      <c r="TS11" s="1436" t="n">
        <v>49.47294835906554</v>
      </c>
      <c r="TT11" s="1436" t="n">
        <v>50.31245577283164</v>
      </c>
      <c r="TU11" s="1436" t="n">
        <v>48.1882017844943</v>
      </c>
      <c r="TV11" s="1436" t="n">
        <v>50.44690363810758</v>
      </c>
      <c r="TW11" s="1436" t="n">
        <v>53.7158779312534</v>
      </c>
      <c r="TX11" s="1436" t="n">
        <v>53.26300211933199</v>
      </c>
      <c r="TY11" s="1436" t="n">
        <v>56.52444186001332</v>
      </c>
      <c r="TZ11" s="1436" t="n">
        <v>60.80130692293021</v>
      </c>
      <c r="UA11" s="1436" t="n">
        <v>63.05593499459022</v>
      </c>
      <c r="UB11" s="1436" t="n">
        <v>53.93203756068609</v>
      </c>
      <c r="UC11" s="1436" t="n">
        <v>39.0703370661602</v>
      </c>
      <c r="UD11" s="1436" t="n">
        <v>35.7719453482411</v>
      </c>
      <c r="UE11" s="1436" t="n">
        <v>37.85939147290886</v>
      </c>
      <c r="UF11" s="1436" t="n">
        <v>38.32200016946123</v>
      </c>
      <c r="UG11" s="1436" t="n">
        <v>39.73892385193309</v>
      </c>
      <c r="UH11" s="1436" t="n">
        <v>41.38656570318956</v>
      </c>
      <c r="UI11" s="1436" t="n">
        <v>41.5209758080991</v>
      </c>
      <c r="UJ11" s="1436" t="n">
        <v>31.91640010529364</v>
      </c>
      <c r="UK11" s="1436" t="n">
        <v>39.74342408684004</v>
      </c>
      <c r="UL11" s="1436" t="n">
        <v>44.24327703879642</v>
      </c>
      <c r="UM11" s="1436" t="n">
        <v>38.83419552416687</v>
      </c>
      <c r="UN11" s="1436" t="n">
        <v>38.71051200206407</v>
      </c>
      <c r="UO11" s="1436" t="n">
        <v>18.7075830656631</v>
      </c>
      <c r="UP11" s="1436" t="n">
        <v>40.76847585293154</v>
      </c>
      <c r="UQ11" s="1436" t="n">
        <v>40.03466127715215</v>
      </c>
      <c r="UR11" s="1436" t="n">
        <v>41.78308871882265</v>
      </c>
      <c r="US11" s="1436" t="n">
        <v>38.28878645428944</v>
      </c>
      <c r="UT11" s="1436" t="n">
        <v>39.38315216810854</v>
      </c>
      <c r="UU11" s="1436" t="n">
        <v>38.23862720232366</v>
      </c>
      <c r="UV11" s="1436" t="n">
        <v>18.57922852253308</v>
      </c>
      <c r="UW11" s="1436" t="n">
        <v>41.07107938098729</v>
      </c>
      <c r="UX11" s="1436" t="n">
        <v>44.64496160213205</v>
      </c>
      <c r="UY11" s="1436" t="n">
        <v>42.66197465372112</v>
      </c>
      <c r="UZ11" s="1436" t="n">
        <v>45.74375291759532</v>
      </c>
      <c r="VA11" s="1436" t="n">
        <v>49.56747630434781</v>
      </c>
      <c r="VB11" s="1436" t="n">
        <v>38.60899575778239</v>
      </c>
      <c r="VC11" s="1436" t="n">
        <v>45.76520249038426</v>
      </c>
      <c r="VD11" s="1436" t="n">
        <v>38.55269948284795</v>
      </c>
      <c r="VE11" s="1436" t="n">
        <v>31.77928430323668</v>
      </c>
      <c r="VF11" s="1436" t="n">
        <v>30.47598925291601</v>
      </c>
      <c r="VG11" s="1436" t="n">
        <v>31.83888940007453</v>
      </c>
      <c r="VH11" s="1436" t="n">
        <v>30.7195127287541</v>
      </c>
      <c r="VI11" s="1436" t="n">
        <v>31.20414071420293</v>
      </c>
      <c r="VJ11" s="1436">
        <f>SUMIF(Table!$1:$1,Daily!VJ$3,Table!$4:$4)</f>
        <v/>
      </c>
      <c r="VK11" s="1436" t="n">
        <v>31.23047650839784</v>
      </c>
      <c r="VL11" s="1436" t="n">
        <v>31.84293155819814</v>
      </c>
      <c r="VM11" s="1436" t="n">
        <v>28.9607402279779</v>
      </c>
      <c r="VN11" s="1436" t="n">
        <v>24.61559363886764</v>
      </c>
      <c r="VO11" s="1436" t="n">
        <v>23.67753207737874</v>
      </c>
      <c r="VP11" s="1436" t="n">
        <v>25.97254456847624</v>
      </c>
      <c r="VQ11" s="1436" t="n">
        <v>28.41483670352372</v>
      </c>
      <c r="VR11" s="1436" t="n">
        <v>26.46089304670512</v>
      </c>
      <c r="VS11" s="1436" t="n">
        <v>27.14963875039686</v>
      </c>
      <c r="VT11" s="1436" t="n">
        <v>25.52706979424738</v>
      </c>
      <c r="VU11" s="1436" t="n">
        <v>26.8121927763833</v>
      </c>
      <c r="VV11" s="1436" t="n">
        <v>24.22077258374086</v>
      </c>
      <c r="VW11" s="1436" t="n">
        <v>24.90969395335425</v>
      </c>
      <c r="VX11" s="1436" t="n">
        <v>27.66218441210589</v>
      </c>
      <c r="VY11" s="1436" t="n">
        <v>24.5040855628218</v>
      </c>
      <c r="VZ11" s="1436" t="n">
        <v>25.15988753156879</v>
      </c>
      <c r="WA11" s="1436" t="n">
        <v>25.97439475198692</v>
      </c>
      <c r="WB11" s="1436" t="n">
        <v>25.85727129123837</v>
      </c>
      <c r="WC11" s="1436" t="n">
        <v>31.12905901070487</v>
      </c>
      <c r="WD11" s="1436" t="n">
        <v>32.34397200690319</v>
      </c>
      <c r="WE11" s="1436" t="n">
        <v>37.68005047905012</v>
      </c>
      <c r="WF11" s="1436" t="n">
        <v>40.91470282733297</v>
      </c>
      <c r="WG11" s="1436" t="n">
        <v>35.27246003875016</v>
      </c>
      <c r="WH11" s="1436" t="n">
        <v>24.5438544043698</v>
      </c>
      <c r="WI11" s="1436" t="n">
        <v>31.79889901054412</v>
      </c>
      <c r="WJ11" s="1436" t="n">
        <v>33.19880175536302</v>
      </c>
      <c r="WK11" s="1436" t="n">
        <v>25.97558073419409</v>
      </c>
      <c r="WL11" s="1436" t="n">
        <v>28.63217996723094</v>
      </c>
      <c r="WM11" s="1436" t="n">
        <v>30.35235490662295</v>
      </c>
      <c r="WN11" s="1436" t="n">
        <v>28.63874255146362</v>
      </c>
      <c r="WO11" s="1436" t="n">
        <v>23.865482879038</v>
      </c>
      <c r="WP11" s="1436" t="n">
        <v>26.46094224435255</v>
      </c>
      <c r="WQ11" s="1436" t="n">
        <v>25.61940110449633</v>
      </c>
      <c r="WR11" s="1436">
        <f>SUMIF(Table!$1:$1,Daily!WR$3,Table!$4:$4)</f>
        <v/>
      </c>
      <c r="WS11" s="1436" t="n">
        <v>24.83574978833466</v>
      </c>
      <c r="WT11" s="1436" t="n">
        <v>34.09262985885075</v>
      </c>
      <c r="WU11" s="1436" t="n">
        <v>35.67668375102669</v>
      </c>
      <c r="WV11" s="1436" t="n">
        <v>33.76497432517873</v>
      </c>
      <c r="WW11" s="1436" t="n">
        <v>39.08261670386707</v>
      </c>
      <c r="WX11" s="1436" t="n">
        <v>34.49607523876765</v>
      </c>
      <c r="WY11" s="1436" t="n">
        <v>33.31061719052902</v>
      </c>
      <c r="WZ11" s="1436" t="n">
        <v>28.94998163743271</v>
      </c>
      <c r="XA11" s="1436" t="n">
        <v>31.56662227899438</v>
      </c>
      <c r="XB11" s="1436" t="n">
        <v>34.52190533177095</v>
      </c>
      <c r="XC11" s="1436" t="n">
        <v>23.22684791003446</v>
      </c>
      <c r="XD11" s="1436" t="n">
        <v>25.26634239100122</v>
      </c>
      <c r="XE11" s="1436" t="n">
        <v>26.95745766768704</v>
      </c>
      <c r="XF11" s="1436" t="n">
        <v>33.05601639790655</v>
      </c>
      <c r="XG11" s="1436" t="n">
        <v>0</v>
      </c>
      <c r="XH11" s="1436" t="n">
        <v>25.36228947408824</v>
      </c>
      <c r="XI11" s="1436" t="n">
        <v>24.1165739600644</v>
      </c>
      <c r="XJ11" s="1436" t="n">
        <v>27.98170370740969</v>
      </c>
      <c r="XK11" s="1436" t="n">
        <v>22.39915342734339</v>
      </c>
      <c r="XL11" s="1436" t="n">
        <v>21.26787717726727</v>
      </c>
      <c r="XM11" s="1436" t="n">
        <v>27.3077092664293</v>
      </c>
      <c r="XN11" s="1436" t="n">
        <v>26.15124531045824</v>
      </c>
      <c r="XO11" s="1436" t="n">
        <v>26.67410994728477</v>
      </c>
      <c r="XP11" s="1436" t="n">
        <v>29.7592816168373</v>
      </c>
      <c r="XQ11" s="1436" t="n">
        <v>27.29930455066977</v>
      </c>
      <c r="XR11" s="1436" t="n">
        <v>23.99584723501886</v>
      </c>
      <c r="XS11" s="1436" t="n">
        <v>22.96353457278395</v>
      </c>
      <c r="XT11" s="1436">
        <f>SUMIF(Table!$1:$1,Daily!XT$3,Table!$4:$4)</f>
        <v/>
      </c>
      <c r="XU11" s="1436" t="n">
        <v>25.02869773515123</v>
      </c>
      <c r="XV11" s="1436" t="n">
        <v>25.10567336025598</v>
      </c>
      <c r="XW11" s="1436" t="n">
        <v>12.44345261405013</v>
      </c>
      <c r="XX11" s="1436" t="n">
        <v>27.63152792884597</v>
      </c>
      <c r="XY11" s="1436" t="n">
        <v>21.4790245703025</v>
      </c>
      <c r="XZ11" s="1436" t="n">
        <v>24.63379981152702</v>
      </c>
      <c r="YA11" s="1436" t="n">
        <v>25.88443779903175</v>
      </c>
      <c r="YB11" s="1436" t="n">
        <v>28.44085607989668</v>
      </c>
      <c r="YC11" s="1436" t="n">
        <v>25.52289116104719</v>
      </c>
      <c r="YD11" s="1436" t="n">
        <v>13.92980724151004</v>
      </c>
      <c r="YE11" s="1436" t="n">
        <v>24.95042243654309</v>
      </c>
      <c r="YF11" s="1436" t="n">
        <v>35.47501425377497</v>
      </c>
      <c r="YG11" s="1436" t="n">
        <v>22.06612214421842</v>
      </c>
      <c r="YH11" s="1436" t="n">
        <v>23.39437897860688</v>
      </c>
      <c r="YI11" s="1436" t="n">
        <v>31.23436369824867</v>
      </c>
      <c r="YJ11" s="1436" t="n">
        <v>26.86367793933512</v>
      </c>
      <c r="YK11" s="1436" t="n">
        <v>29.82775148913465</v>
      </c>
      <c r="YL11" s="1436" t="n">
        <v>39.3009490780064</v>
      </c>
      <c r="YM11" s="1436">
        <f>SUMIF(Table!$1:$1,Daily!YM$3,Table!$4:$4)</f>
        <v/>
      </c>
      <c r="YN11" s="1436" t="n">
        <v>46.83561040971409</v>
      </c>
      <c r="YO11" s="1436" t="n">
        <v>48.29575582250508</v>
      </c>
      <c r="YP11" s="1436" t="n">
        <v>25.62803101540111</v>
      </c>
      <c r="YQ11" s="1436" t="n">
        <v>29.17007098966571</v>
      </c>
      <c r="YR11" s="1436" t="n">
        <v>28.79521692593664</v>
      </c>
      <c r="YS11" s="1436" t="n">
        <v>31.39732913370013</v>
      </c>
      <c r="YT11" s="1436" t="n">
        <v>24.07549645751314</v>
      </c>
      <c r="YU11" s="1436" t="n">
        <v>26.30511044732699</v>
      </c>
      <c r="YV11" s="1436" t="n">
        <v>24.87326422768387</v>
      </c>
      <c r="YW11" s="1436" t="n">
        <v>25.98402848789918</v>
      </c>
      <c r="YX11" s="1436" t="n">
        <v>28.15663845792322</v>
      </c>
      <c r="YY11" s="1436" t="n">
        <v>21.36177352499229</v>
      </c>
      <c r="YZ11" s="1436" t="n">
        <v>23.39794027629631</v>
      </c>
      <c r="ZA11" s="1436" t="n">
        <v>20.87019235410496</v>
      </c>
      <c r="ZB11" s="1436" t="n">
        <v>33.14223240202875</v>
      </c>
      <c r="ZC11" s="1436" t="n">
        <v>27.90403169329878</v>
      </c>
      <c r="ZD11" s="1436" t="n">
        <v>31.95423458838939</v>
      </c>
      <c r="ZE11" s="1436" t="n">
        <v>30.57152356047184</v>
      </c>
      <c r="ZF11" s="1437">
        <f>SUMIF(Table!$1:$1,Daily!ZF$3,Table!$4:$4)</f>
        <v/>
      </c>
      <c r="ZG11" s="1438" t="n"/>
    </row>
    <row r="12" ht="26.4" customHeight="1">
      <c r="A12" s="120" t="n"/>
      <c r="B12" s="123" t="inlineStr">
        <is>
          <t>(Equivalent  to USD)</t>
        </is>
      </c>
      <c r="C12" s="415" t="inlineStr">
        <is>
          <t>Deposit Rate</t>
        </is>
      </c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  <c r="BC12" s="8" t="n"/>
      <c r="BD12" s="8" t="n"/>
      <c r="BE12" s="8" t="n"/>
      <c r="BF12" s="8" t="n"/>
      <c r="BG12" s="8" t="n"/>
      <c r="BH12" s="8" t="n"/>
      <c r="BI12" s="8" t="n"/>
      <c r="BJ12" s="8" t="n"/>
      <c r="BK12" s="8" t="n"/>
      <c r="BL12" s="8" t="n"/>
      <c r="BM12" s="8" t="n"/>
      <c r="BN12" s="8" t="n"/>
      <c r="BO12" s="8" t="n"/>
      <c r="BP12" s="8" t="n"/>
      <c r="BQ12" s="8" t="n"/>
      <c r="BR12" s="8" t="n"/>
      <c r="BS12" s="8" t="n"/>
      <c r="BT12" s="8" t="n"/>
      <c r="BU12" s="8" t="n"/>
      <c r="BV12" s="8" t="n"/>
      <c r="BW12" s="8" t="n"/>
      <c r="BX12" s="8" t="n"/>
      <c r="BY12" s="8" t="n"/>
      <c r="BZ12" s="8" t="n"/>
      <c r="CA12" s="8" t="n"/>
      <c r="CB12" s="8" t="n"/>
      <c r="CC12" s="8" t="n"/>
      <c r="CD12" s="8" t="n"/>
      <c r="CE12" s="8" t="n"/>
      <c r="CF12" s="8" t="n"/>
      <c r="CG12" s="8" t="n"/>
      <c r="CH12" s="8" t="n"/>
      <c r="CI12" s="8" t="n"/>
      <c r="CJ12" s="8" t="n"/>
      <c r="CK12" s="8" t="n"/>
      <c r="CL12" s="8" t="n"/>
      <c r="CM12" s="8" t="n"/>
      <c r="CN12" s="8" t="n"/>
      <c r="CO12" s="8" t="n"/>
      <c r="CP12" s="8" t="n"/>
      <c r="CQ12" s="8" t="n"/>
      <c r="CR12" s="8" t="n"/>
      <c r="CS12" s="8" t="n"/>
      <c r="CT12" s="8" t="n"/>
      <c r="CU12" s="8" t="n"/>
      <c r="CV12" s="8" t="n"/>
      <c r="CW12" s="8" t="n"/>
      <c r="CX12" s="8" t="n"/>
      <c r="CY12" s="8" t="n"/>
      <c r="CZ12" s="8" t="n"/>
      <c r="DA12" s="8" t="n"/>
      <c r="DB12" s="8" t="n"/>
      <c r="DC12" s="8" t="n"/>
      <c r="DD12" s="8" t="n"/>
      <c r="DE12" s="8" t="n"/>
      <c r="DF12" s="8" t="n"/>
      <c r="DG12" s="8" t="n"/>
      <c r="DH12" s="8" t="n"/>
      <c r="DI12" s="8" t="n"/>
      <c r="DJ12" s="8" t="n"/>
      <c r="DK12" s="8" t="n"/>
      <c r="DL12" s="8" t="n"/>
      <c r="DM12" s="8" t="n"/>
      <c r="DN12" s="8" t="n"/>
      <c r="DO12" s="8" t="n"/>
      <c r="DP12" s="8" t="n"/>
      <c r="DQ12" s="8" t="n"/>
      <c r="DR12" s="8" t="n"/>
      <c r="DS12" s="8" t="n"/>
      <c r="DT12" s="8" t="n"/>
      <c r="DU12" s="8" t="n"/>
      <c r="DV12" s="8" t="n"/>
      <c r="DW12" s="8" t="n"/>
      <c r="DX12" s="8" t="n"/>
      <c r="DY12" s="8" t="n"/>
      <c r="DZ12" s="8" t="n"/>
      <c r="EA12" s="8" t="n"/>
      <c r="EB12" s="8" t="n"/>
      <c r="EC12" s="8" t="n"/>
      <c r="ED12" s="8" t="n"/>
      <c r="EE12" s="8" t="n"/>
      <c r="EF12" s="8" t="n"/>
      <c r="EG12" s="8" t="n"/>
      <c r="EH12" s="8" t="n"/>
      <c r="EI12" s="8" t="n"/>
      <c r="EJ12" s="8" t="n"/>
      <c r="EK12" s="8" t="n"/>
      <c r="EL12" s="8" t="n"/>
      <c r="EM12" s="8" t="n"/>
      <c r="EN12" s="8" t="n"/>
      <c r="EO12" s="8" t="n"/>
      <c r="EP12" s="8" t="n"/>
      <c r="EQ12" s="8" t="n"/>
      <c r="ER12" s="8" t="n"/>
      <c r="ES12" s="8" t="n"/>
      <c r="ET12" s="8" t="n"/>
      <c r="EU12" s="8" t="n"/>
      <c r="EV12" s="8" t="n"/>
      <c r="EW12" s="8" t="n"/>
      <c r="EX12" s="8" t="n"/>
      <c r="EY12" s="8" t="n"/>
      <c r="EZ12" s="8" t="n"/>
      <c r="FA12" s="8" t="n"/>
      <c r="FB12" s="8" t="n"/>
      <c r="FC12" s="8" t="n"/>
      <c r="FD12" s="8" t="n"/>
      <c r="FE12" s="8" t="n"/>
      <c r="FF12" s="8" t="n"/>
      <c r="FG12" s="8" t="n"/>
      <c r="FH12" s="8" t="n"/>
      <c r="FI12" s="8" t="n"/>
      <c r="FJ12" s="8" t="n"/>
      <c r="FK12" s="8" t="n"/>
      <c r="FL12" s="8" t="n"/>
      <c r="FM12" s="8" t="n"/>
      <c r="FN12" s="8" t="n"/>
      <c r="FO12" s="8" t="n"/>
      <c r="FP12" s="8" t="n"/>
      <c r="FQ12" s="8" t="n"/>
      <c r="FR12" s="8" t="n"/>
      <c r="FS12" s="8" t="n"/>
      <c r="FT12" s="8" t="n"/>
      <c r="FU12" s="8" t="n"/>
      <c r="FV12" s="8" t="n"/>
      <c r="FW12" s="8" t="n"/>
      <c r="FX12" s="8" t="n"/>
      <c r="FY12" s="8" t="n"/>
      <c r="FZ12" s="8" t="n"/>
      <c r="GA12" s="8" t="n"/>
      <c r="GB12" s="8" t="n"/>
      <c r="GC12" s="8" t="n"/>
      <c r="GD12" s="8" t="n"/>
      <c r="GE12" s="8" t="n"/>
      <c r="GF12" s="8" t="n"/>
      <c r="GG12" s="8" t="n"/>
      <c r="GH12" s="8" t="n"/>
      <c r="GI12" s="8" t="n"/>
      <c r="GJ12" s="8" t="n"/>
      <c r="GK12" s="8" t="n"/>
      <c r="GL12" s="8" t="n"/>
      <c r="GM12" s="8" t="n"/>
      <c r="GN12" s="8" t="n"/>
      <c r="GO12" s="8" t="n"/>
      <c r="GP12" s="8" t="n"/>
      <c r="GQ12" s="8" t="n"/>
      <c r="GR12" s="8" t="n"/>
      <c r="GS12" s="8" t="n"/>
      <c r="GT12" s="8" t="n"/>
      <c r="GU12" s="8" t="n"/>
      <c r="GV12" s="8" t="n"/>
      <c r="GW12" s="8" t="n"/>
      <c r="GX12" s="8" t="n"/>
      <c r="GY12" s="8" t="n"/>
      <c r="GZ12" s="8" t="n"/>
      <c r="HA12" s="8" t="n"/>
      <c r="HB12" s="8" t="n"/>
      <c r="HC12" s="8" t="n"/>
      <c r="HD12" s="8" t="n"/>
      <c r="HE12" s="8" t="n"/>
      <c r="HF12" s="8" t="n"/>
      <c r="HG12" s="8" t="n"/>
      <c r="HH12" s="8" t="n"/>
      <c r="HI12" s="8" t="n"/>
      <c r="HJ12" s="8" t="n"/>
      <c r="HK12" s="8" t="n"/>
      <c r="HL12" s="8" t="n"/>
      <c r="HM12" s="8" t="n"/>
      <c r="HN12" s="8" t="n"/>
      <c r="HO12" s="8" t="n"/>
      <c r="HP12" s="8" t="n"/>
      <c r="HQ12" s="8" t="n"/>
      <c r="HR12" s="8" t="n"/>
      <c r="HS12" s="8" t="n"/>
      <c r="HT12" s="8" t="n"/>
      <c r="HU12" s="8" t="n"/>
      <c r="HV12" s="8" t="n"/>
      <c r="HW12" s="8" t="n"/>
      <c r="HX12" s="8" t="n"/>
      <c r="HY12" s="8" t="n"/>
      <c r="HZ12" s="8" t="n"/>
      <c r="IA12" s="8" t="n"/>
      <c r="IB12" s="8" t="n"/>
      <c r="IC12" s="8" t="n"/>
      <c r="ID12" s="8" t="n"/>
      <c r="IE12" s="8" t="n"/>
      <c r="IF12" s="8" t="n"/>
      <c r="IG12" s="8" t="n"/>
      <c r="IH12" s="8" t="n"/>
      <c r="II12" s="8" t="n"/>
      <c r="IJ12" s="8" t="n"/>
      <c r="IK12" s="8" t="n"/>
      <c r="IL12" s="8" t="n"/>
      <c r="IM12" s="8" t="n"/>
      <c r="IN12" s="8" t="n"/>
      <c r="IO12" s="8" t="n"/>
      <c r="IP12" s="8" t="n"/>
      <c r="IQ12" s="8" t="n"/>
      <c r="IR12" s="8" t="n"/>
      <c r="IS12" s="8" t="n"/>
      <c r="IT12" s="8" t="n"/>
      <c r="IU12" s="8" t="n"/>
      <c r="IV12" s="8" t="n"/>
      <c r="IW12" s="8" t="n"/>
      <c r="IX12" s="8" t="n"/>
      <c r="IY12" s="8" t="n"/>
      <c r="IZ12" s="8" t="n"/>
      <c r="JA12" s="8" t="n"/>
      <c r="JB12" s="8" t="n"/>
      <c r="JC12" s="8" t="n"/>
      <c r="JD12" s="8" t="n"/>
      <c r="JE12" s="8" t="n"/>
      <c r="JF12" s="8" t="n"/>
      <c r="JG12" s="8" t="n"/>
      <c r="JH12" s="8" t="n"/>
      <c r="JI12" s="8" t="n"/>
      <c r="JJ12" s="8" t="n"/>
      <c r="JK12" s="8" t="n"/>
      <c r="JL12" s="8" t="n"/>
      <c r="JM12" s="8" t="n"/>
      <c r="JN12" s="8" t="n"/>
      <c r="JO12" s="8" t="n"/>
      <c r="JP12" s="8" t="n"/>
      <c r="JQ12" s="8" t="n"/>
      <c r="JR12" s="8" t="n"/>
      <c r="JS12" s="8" t="n"/>
      <c r="JT12" s="8" t="n"/>
      <c r="JU12" s="8" t="n"/>
      <c r="JV12" s="8" t="n"/>
      <c r="JW12" s="8" t="n"/>
      <c r="JX12" s="8" t="n"/>
      <c r="JY12" s="8" t="n"/>
      <c r="JZ12" s="8" t="n"/>
      <c r="KA12" s="8" t="n"/>
      <c r="KB12" s="8" t="n"/>
      <c r="KC12" s="8" t="n"/>
      <c r="KD12" s="8" t="n"/>
      <c r="KE12" s="8" t="n"/>
      <c r="KF12" s="8" t="n"/>
      <c r="KG12" s="8" t="n"/>
      <c r="KH12" s="8" t="n"/>
      <c r="KI12" s="8" t="n"/>
      <c r="KJ12" s="8" t="n"/>
      <c r="KK12" s="8" t="n"/>
      <c r="KL12" s="8" t="n"/>
      <c r="KM12" s="8" t="n"/>
      <c r="KN12" s="8" t="n"/>
      <c r="KO12" s="8" t="n"/>
      <c r="KP12" s="8" t="n"/>
      <c r="KQ12" s="8" t="n"/>
      <c r="KR12" s="8" t="n"/>
      <c r="KS12" s="8" t="n"/>
      <c r="KT12" s="8" t="n"/>
      <c r="KU12" s="8" t="n"/>
      <c r="KV12" s="8" t="n"/>
      <c r="KW12" s="8" t="n"/>
      <c r="KX12" s="8" t="n"/>
      <c r="KY12" s="8" t="n"/>
      <c r="KZ12" s="8" t="n"/>
      <c r="LA12" s="8" t="n"/>
      <c r="LB12" s="8" t="n"/>
      <c r="LC12" s="8" t="n"/>
      <c r="LD12" s="8" t="n"/>
      <c r="LE12" s="8" t="n"/>
      <c r="LF12" s="8" t="n"/>
      <c r="LG12" s="8" t="n"/>
      <c r="LH12" s="8" t="n"/>
      <c r="LI12" s="8" t="n"/>
      <c r="LJ12" s="8" t="n"/>
      <c r="LK12" s="8" t="n"/>
      <c r="LL12" s="8" t="n"/>
      <c r="LM12" s="8" t="n"/>
      <c r="LN12" s="8" t="n"/>
      <c r="LO12" s="8" t="n"/>
      <c r="LP12" s="8" t="n"/>
      <c r="LQ12" s="8" t="n"/>
      <c r="LR12" s="8" t="n"/>
      <c r="LS12" s="8" t="n"/>
      <c r="LT12" s="8" t="n"/>
      <c r="LU12" s="8" t="n"/>
      <c r="LV12" s="8" t="n"/>
      <c r="LW12" s="8" t="n"/>
      <c r="LX12" s="8" t="n"/>
      <c r="LY12" s="8" t="n"/>
      <c r="LZ12" s="8" t="n"/>
      <c r="MA12" s="8" t="n"/>
      <c r="MB12" s="8" t="n"/>
      <c r="MC12" s="8" t="n"/>
      <c r="MD12" s="8" t="n"/>
      <c r="ME12" s="8" t="n"/>
      <c r="MF12" s="8" t="n"/>
      <c r="MG12" s="8" t="n"/>
      <c r="MH12" s="8" t="n"/>
      <c r="MI12" s="8" t="n"/>
      <c r="MJ12" s="8" t="n"/>
      <c r="MK12" s="8" t="n"/>
      <c r="ML12" s="8" t="n"/>
      <c r="MM12" s="8" t="n"/>
      <c r="MN12" s="8" t="n"/>
      <c r="MO12" s="8" t="n"/>
      <c r="MP12" s="8" t="n"/>
      <c r="MQ12" s="8" t="n"/>
      <c r="MR12" s="8" t="n"/>
      <c r="MS12" s="8" t="n"/>
      <c r="MT12" s="8" t="n"/>
      <c r="MU12" s="8" t="n"/>
      <c r="MV12" s="8" t="n"/>
      <c r="MW12" s="8" t="n"/>
      <c r="MX12" s="8" t="n"/>
      <c r="MY12" s="8" t="n"/>
      <c r="MZ12" s="8" t="n"/>
      <c r="NA12" s="8" t="n"/>
      <c r="NB12" s="8" t="n"/>
      <c r="NC12" s="8" t="n"/>
      <c r="ND12" s="8" t="n"/>
      <c r="NE12" s="8" t="n"/>
      <c r="NF12" s="8" t="n"/>
      <c r="NG12" s="8" t="n"/>
      <c r="NH12" s="8" t="n"/>
      <c r="NI12" s="8" t="n"/>
      <c r="NJ12" s="8" t="n"/>
      <c r="NK12" s="8" t="n"/>
      <c r="NL12" s="8" t="n"/>
      <c r="NM12" s="8" t="n"/>
      <c r="NN12" s="8" t="n"/>
      <c r="NO12" s="8" t="n"/>
      <c r="NP12" s="8" t="n"/>
      <c r="NQ12" s="8" t="n"/>
      <c r="NR12" s="8" t="n"/>
      <c r="NS12" s="8" t="n"/>
      <c r="NT12" s="8" t="n"/>
      <c r="NU12" s="8" t="n"/>
      <c r="NV12" s="8" t="n"/>
      <c r="NW12" s="8" t="n"/>
      <c r="NX12" s="8" t="n"/>
      <c r="NY12" s="8" t="n"/>
      <c r="NZ12" s="8" t="n"/>
      <c r="OA12" s="8" t="n"/>
      <c r="OB12" s="8" t="n"/>
      <c r="OC12" s="8" t="n"/>
      <c r="OD12" s="8" t="n"/>
      <c r="OE12" s="8" t="n"/>
      <c r="OF12" s="8" t="n"/>
      <c r="OG12" s="8" t="n"/>
      <c r="OH12" s="8" t="n"/>
      <c r="OI12" s="8" t="n"/>
      <c r="OJ12" s="8" t="n"/>
      <c r="OK12" s="8" t="n"/>
      <c r="OL12" s="8" t="n"/>
      <c r="OM12" s="8" t="n"/>
      <c r="ON12" s="8" t="n"/>
      <c r="OO12" s="8" t="n"/>
      <c r="OP12" s="8" t="n"/>
      <c r="OQ12" s="8" t="n"/>
      <c r="OR12" s="8" t="n"/>
      <c r="OS12" s="8" t="n"/>
      <c r="OT12" s="8" t="n"/>
      <c r="OU12" s="8" t="n"/>
      <c r="OV12" s="8" t="n"/>
      <c r="OW12" s="8" t="n"/>
      <c r="OX12" s="8" t="n"/>
      <c r="OY12" s="8" t="n"/>
      <c r="OZ12" s="8" t="n"/>
      <c r="PA12" s="8" t="n"/>
      <c r="PB12" s="8" t="n"/>
      <c r="PC12" s="8" t="n"/>
      <c r="PD12" s="8" t="n"/>
      <c r="PE12" s="8" t="n"/>
      <c r="PF12" s="8" t="n"/>
      <c r="PG12" s="8" t="n"/>
      <c r="PH12" s="8" t="n"/>
      <c r="PI12" s="8" t="n"/>
      <c r="PJ12" s="8" t="n"/>
      <c r="PK12" s="8" t="n"/>
      <c r="PL12" s="8" t="n"/>
      <c r="PM12" s="8" t="n"/>
      <c r="PN12" s="8" t="n"/>
      <c r="PO12" s="8" t="n"/>
      <c r="PP12" s="8" t="n"/>
      <c r="PQ12" s="8" t="n"/>
      <c r="PR12" s="8" t="n"/>
      <c r="PS12" s="8" t="n"/>
      <c r="PT12" s="8" t="n"/>
      <c r="PU12" s="8" t="n"/>
      <c r="PV12" s="8" t="n"/>
      <c r="PW12" s="8" t="n"/>
      <c r="PX12" s="8" t="n"/>
      <c r="PY12" s="8" t="n"/>
      <c r="PZ12" s="8" t="n"/>
      <c r="QA12" s="8" t="n"/>
      <c r="QB12" s="8" t="n"/>
      <c r="QC12" s="8" t="n"/>
      <c r="QD12" s="8" t="n"/>
      <c r="QE12" s="8" t="n"/>
      <c r="QF12" s="8" t="n"/>
      <c r="QG12" s="8" t="n"/>
      <c r="QH12" s="8" t="n"/>
      <c r="QI12" s="8" t="n"/>
      <c r="QJ12" s="8" t="n"/>
      <c r="QK12" s="8" t="n"/>
      <c r="QL12" s="8" t="n"/>
      <c r="QM12" s="8" t="n"/>
      <c r="QN12" s="8" t="n"/>
      <c r="QO12" s="8" t="n"/>
      <c r="QP12" s="8" t="n"/>
      <c r="QQ12" s="8" t="n"/>
      <c r="QR12" s="8" t="n"/>
      <c r="QS12" s="8" t="n"/>
      <c r="QT12" s="8" t="n"/>
      <c r="QU12" s="8" t="n"/>
      <c r="QV12" s="8" t="n"/>
      <c r="QW12" s="8" t="n"/>
      <c r="QX12" s="8" t="n"/>
      <c r="QY12" s="8" t="n"/>
      <c r="QZ12" s="8" t="n"/>
      <c r="RA12" s="8" t="n"/>
      <c r="RB12" s="8" t="n"/>
      <c r="RC12" s="8" t="n"/>
      <c r="RD12" s="8" t="n"/>
      <c r="RE12" s="8" t="n"/>
      <c r="RF12" s="8" t="n"/>
      <c r="RG12" s="8" t="n"/>
      <c r="RH12" s="8" t="n"/>
      <c r="RI12" s="8" t="n"/>
      <c r="RJ12" s="8" t="n"/>
      <c r="RK12" s="8" t="n"/>
      <c r="RL12" s="8" t="n"/>
      <c r="RM12" s="8" t="n"/>
      <c r="RN12" s="8" t="n"/>
      <c r="RO12" s="8" t="n"/>
      <c r="RP12" s="8" t="n"/>
      <c r="RQ12" s="8" t="n"/>
      <c r="RR12" s="8" t="n"/>
      <c r="RS12" s="8" t="n"/>
      <c r="RT12" s="8" t="n"/>
      <c r="RU12" s="8" t="n"/>
      <c r="RV12" s="8" t="n"/>
      <c r="RW12" s="8" t="n"/>
      <c r="RX12" s="8" t="n"/>
      <c r="RY12" s="8" t="n"/>
      <c r="RZ12" s="8" t="n"/>
      <c r="SA12" s="8" t="n"/>
      <c r="SB12" s="8" t="n"/>
      <c r="SC12" s="8" t="n"/>
      <c r="SD12" s="8" t="n"/>
      <c r="SE12" s="8" t="n"/>
      <c r="SF12" s="8" t="n"/>
      <c r="SG12" s="8" t="n"/>
      <c r="SH12" s="8" t="n"/>
      <c r="SI12" s="8" t="n"/>
      <c r="SJ12" s="8" t="n"/>
      <c r="SK12" s="8" t="n"/>
      <c r="SL12" s="8" t="n"/>
      <c r="SM12" s="8" t="n"/>
      <c r="SN12" s="8" t="n"/>
      <c r="SO12" s="8" t="n"/>
      <c r="SP12" s="8" t="n"/>
      <c r="SQ12" s="8" t="n"/>
      <c r="SR12" s="8" t="n"/>
      <c r="SS12" s="8" t="n"/>
      <c r="ST12" s="8" t="n"/>
      <c r="SU12" s="8" t="n"/>
      <c r="SV12" s="8" t="n"/>
      <c r="SW12" s="8" t="n"/>
      <c r="SX12" s="8" t="n"/>
      <c r="SY12" s="8" t="n"/>
      <c r="SZ12" s="8" t="n"/>
      <c r="TA12" s="8" t="n"/>
      <c r="TB12" s="8" t="n"/>
      <c r="TC12" s="8" t="n"/>
      <c r="TD12" s="8" t="n"/>
      <c r="TE12" s="8" t="n"/>
      <c r="TF12" s="8" t="n"/>
      <c r="TG12" s="8" t="n"/>
      <c r="TH12" s="8" t="n"/>
      <c r="TI12" s="8" t="n"/>
      <c r="TJ12" s="8" t="n"/>
      <c r="TK12" s="8" t="n"/>
      <c r="TL12" s="8" t="n"/>
      <c r="TM12" s="8" t="n"/>
      <c r="TN12" s="8" t="n"/>
      <c r="TO12" s="8" t="n"/>
      <c r="TP12" s="8" t="n"/>
      <c r="TQ12" s="8" t="n"/>
      <c r="TR12" s="8" t="n"/>
      <c r="TS12" s="8" t="n"/>
      <c r="TT12" s="8" t="n"/>
      <c r="TU12" s="8" t="n"/>
      <c r="TV12" s="8" t="n"/>
      <c r="TW12" s="8" t="n"/>
      <c r="TX12" s="8" t="n"/>
      <c r="TY12" s="8" t="n"/>
      <c r="TZ12" s="8" t="n"/>
      <c r="UA12" s="8" t="n"/>
      <c r="UB12" s="8" t="n"/>
      <c r="UC12" s="8" t="n"/>
      <c r="UD12" s="8" t="n"/>
      <c r="UE12" s="8" t="n"/>
      <c r="UF12" s="8" t="n"/>
      <c r="UG12" s="8" t="n"/>
      <c r="UH12" s="8" t="n"/>
      <c r="UI12" s="8" t="n"/>
      <c r="UJ12" s="8" t="n"/>
      <c r="UK12" s="8" t="n"/>
      <c r="UL12" s="8" t="n"/>
      <c r="UM12" s="8" t="n"/>
      <c r="UN12" s="8" t="n"/>
      <c r="UO12" s="8" t="n"/>
      <c r="UP12" s="8" t="n"/>
      <c r="UQ12" s="8" t="n"/>
      <c r="UR12" s="8" t="n"/>
      <c r="US12" s="8" t="n"/>
      <c r="UT12" s="8" t="n"/>
      <c r="UU12" s="8" t="n"/>
      <c r="UV12" s="8" t="n"/>
      <c r="UW12" s="8" t="n"/>
      <c r="UX12" s="8" t="n"/>
      <c r="UY12" s="8" t="n"/>
      <c r="UZ12" s="8" t="n"/>
      <c r="VA12" s="8" t="n"/>
      <c r="VB12" s="8" t="n"/>
      <c r="VC12" s="8" t="n"/>
      <c r="VD12" s="8" t="n"/>
      <c r="VE12" s="8" t="n"/>
      <c r="VF12" s="8" t="n"/>
      <c r="VG12" s="8" t="n"/>
      <c r="VH12" s="8" t="n"/>
      <c r="VI12" s="8" t="n"/>
      <c r="VJ12" s="8" t="n"/>
      <c r="VK12" s="8" t="n"/>
      <c r="VL12" s="8" t="n"/>
      <c r="VM12" s="8" t="n"/>
      <c r="VN12" s="8" t="n"/>
      <c r="VO12" s="8" t="n"/>
      <c r="VP12" s="8" t="n"/>
      <c r="VQ12" s="8" t="n"/>
      <c r="VR12" s="8" t="n"/>
      <c r="VS12" s="8" t="n"/>
      <c r="VT12" s="8" t="n"/>
      <c r="VU12" s="8" t="n"/>
      <c r="VV12" s="8" t="n"/>
      <c r="VW12" s="8" t="n"/>
      <c r="VX12" s="8" t="n"/>
      <c r="VY12" s="8" t="n"/>
      <c r="VZ12" s="8" t="n"/>
      <c r="WA12" s="8" t="n"/>
      <c r="WB12" s="8" t="n"/>
      <c r="WC12" s="8" t="n"/>
      <c r="WD12" s="8" t="n"/>
      <c r="WE12" s="8" t="n"/>
      <c r="WF12" s="8" t="n"/>
      <c r="WG12" s="8" t="n"/>
      <c r="WH12" s="8" t="n"/>
      <c r="WI12" s="8" t="n"/>
      <c r="WJ12" s="8" t="n"/>
      <c r="WK12" s="8" t="n"/>
      <c r="WL12" s="8" t="n"/>
      <c r="WM12" s="8" t="n"/>
      <c r="WN12" s="8" t="n"/>
      <c r="WO12" s="8" t="n"/>
      <c r="WP12" s="8" t="n"/>
      <c r="WQ12" s="8" t="n"/>
      <c r="WR12" s="8" t="n"/>
      <c r="WS12" s="8" t="n"/>
      <c r="WT12" s="8" t="n"/>
      <c r="WU12" s="8" t="n"/>
      <c r="WV12" s="8" t="n"/>
      <c r="WW12" s="8" t="n"/>
      <c r="WX12" s="8" t="n"/>
      <c r="WY12" s="8" t="n"/>
      <c r="WZ12" s="8" t="n"/>
      <c r="XA12" s="8" t="n"/>
      <c r="XB12" s="8" t="n"/>
      <c r="XC12" s="8" t="n"/>
      <c r="XD12" s="8" t="n"/>
      <c r="XE12" s="8" t="n"/>
      <c r="XF12" s="8" t="n"/>
      <c r="XG12" s="8" t="n"/>
      <c r="XH12" s="8" t="n"/>
      <c r="XI12" s="8" t="n"/>
      <c r="XJ12" s="8" t="n"/>
      <c r="XK12" s="8" t="n"/>
      <c r="XL12" s="8" t="n"/>
      <c r="XM12" s="8" t="n"/>
      <c r="XN12" s="8" t="n"/>
      <c r="XO12" s="8" t="n"/>
      <c r="XP12" s="8" t="n"/>
      <c r="XQ12" s="8" t="n"/>
      <c r="XR12" s="8" t="n"/>
      <c r="XS12" s="8" t="n"/>
      <c r="XT12" s="8" t="n"/>
      <c r="XU12" s="8" t="n"/>
      <c r="XV12" s="8" t="n"/>
      <c r="XW12" s="8" t="n"/>
      <c r="XX12" s="8" t="n"/>
      <c r="XY12" s="8" t="n"/>
      <c r="XZ12" s="8" t="n"/>
      <c r="YA12" s="8" t="n"/>
      <c r="YB12" s="8" t="n"/>
      <c r="YC12" s="8" t="n"/>
      <c r="YD12" s="8" t="n"/>
      <c r="YE12" s="8" t="n"/>
      <c r="YF12" s="8" t="n"/>
      <c r="YG12" s="8" t="n"/>
      <c r="YH12" s="8" t="n"/>
      <c r="YI12" s="8" t="n"/>
      <c r="YJ12" s="8" t="n"/>
      <c r="YK12" s="8" t="n"/>
      <c r="YL12" s="8" t="n"/>
      <c r="YM12" s="8" t="n"/>
      <c r="YN12" s="8" t="n"/>
      <c r="YO12" s="8" t="n"/>
      <c r="YP12" s="8" t="n"/>
      <c r="YQ12" s="8" t="n"/>
      <c r="YR12" s="8" t="n"/>
      <c r="YS12" s="8" t="n"/>
      <c r="YT12" s="8" t="n"/>
      <c r="YU12" s="8" t="n"/>
      <c r="YV12" s="8" t="n"/>
      <c r="YW12" s="8" t="n"/>
      <c r="YX12" s="8" t="n"/>
      <c r="YY12" s="8" t="n"/>
      <c r="YZ12" s="8" t="n"/>
      <c r="ZA12" s="8" t="n"/>
      <c r="ZB12" s="8" t="n"/>
      <c r="ZC12" s="8" t="n"/>
      <c r="ZD12" s="8" t="n"/>
      <c r="ZE12" s="8" t="n"/>
      <c r="ZF12" s="14" t="n"/>
    </row>
    <row r="13" customFormat="1" s="87">
      <c r="A13" s="120" t="n"/>
      <c r="B13" s="123" t="n"/>
      <c r="C13" s="414" t="inlineStr">
        <is>
          <t xml:space="preserve">Time Deposit </t>
        </is>
      </c>
      <c r="D13" s="1439">
        <f>2723/D7</f>
        <v/>
      </c>
      <c r="E13" s="1439">
        <f>(2723-550)/E7</f>
        <v/>
      </c>
      <c r="F13" s="1439">
        <f>2173/F7</f>
        <v/>
      </c>
      <c r="G13" s="1439">
        <f>2173/G7</f>
        <v/>
      </c>
      <c r="H13" s="1439">
        <f>2173/H7</f>
        <v/>
      </c>
      <c r="I13" s="1439">
        <f>2173/I7</f>
        <v/>
      </c>
      <c r="J13" s="1439">
        <f>2173/J7</f>
        <v/>
      </c>
      <c r="K13" s="1439">
        <f>2173/K7</f>
        <v/>
      </c>
      <c r="L13" s="1439">
        <f>2173/L7</f>
        <v/>
      </c>
      <c r="M13" s="1439">
        <f>2000/M7</f>
        <v/>
      </c>
      <c r="N13" s="1439">
        <f>2000/N7</f>
        <v/>
      </c>
      <c r="O13" s="1439">
        <f>2000/O7</f>
        <v/>
      </c>
      <c r="P13" s="1439">
        <f>2000/P7</f>
        <v/>
      </c>
      <c r="Q13" s="1439">
        <f>2000/Q7</f>
        <v/>
      </c>
      <c r="R13" s="1439">
        <f>2000/R7</f>
        <v/>
      </c>
      <c r="S13" s="1439">
        <f>2000/S7</f>
        <v/>
      </c>
      <c r="T13" s="1439">
        <f>1985/T7</f>
        <v/>
      </c>
      <c r="U13" s="1439">
        <f>1985/U7</f>
        <v/>
      </c>
      <c r="V13" s="1439">
        <f>1579/V7</f>
        <v/>
      </c>
      <c r="W13" s="1439">
        <f>1579/W7</f>
        <v/>
      </c>
      <c r="X13" s="1439">
        <f>1579/X7</f>
        <v/>
      </c>
      <c r="Y13" s="1439">
        <f>1577/Y7</f>
        <v/>
      </c>
      <c r="Z13" s="1439">
        <f>1787/Z7</f>
        <v/>
      </c>
      <c r="AA13" s="1439">
        <f>1784/AA7</f>
        <v/>
      </c>
      <c r="AB13" s="1439">
        <f>1784/AB7</f>
        <v/>
      </c>
      <c r="AC13" s="1439">
        <f>843/AC7</f>
        <v/>
      </c>
      <c r="AD13" s="1439">
        <f>844/AD7</f>
        <v/>
      </c>
      <c r="AE13" s="1439">
        <f>822/AE7</f>
        <v/>
      </c>
      <c r="AF13" s="1439">
        <f>823/AF7</f>
        <v/>
      </c>
      <c r="AG13" s="1439">
        <f>833/AG7</f>
        <v/>
      </c>
      <c r="AH13" s="1439">
        <f>768/AH7</f>
        <v/>
      </c>
      <c r="AI13" s="1439">
        <f>768/AI7</f>
        <v/>
      </c>
      <c r="AJ13" s="1439">
        <f>1061/AJ7</f>
        <v/>
      </c>
      <c r="AK13" s="1439">
        <f>1046/AK7</f>
        <v/>
      </c>
      <c r="AL13" s="1439">
        <f>1088.58/AL7</f>
        <v/>
      </c>
      <c r="AM13" s="1439">
        <f>1068.58/AM7</f>
        <v/>
      </c>
      <c r="AN13" s="1439">
        <f>1050.58/AN7</f>
        <v/>
      </c>
      <c r="AO13" s="1439">
        <f>1050.58/AO7</f>
        <v/>
      </c>
      <c r="AP13" s="1439">
        <f>1050.58/AP7</f>
        <v/>
      </c>
      <c r="AQ13" s="1439">
        <f>1350.58/AQ7</f>
        <v/>
      </c>
      <c r="AR13" s="1439">
        <f>1350.58/AR7</f>
        <v/>
      </c>
      <c r="AS13" s="1439">
        <f>1350.58/AS7</f>
        <v/>
      </c>
      <c r="AT13" s="1439">
        <f>1487.58/AT7</f>
        <v/>
      </c>
      <c r="AU13" s="1439">
        <f>1450.58/AU7</f>
        <v/>
      </c>
      <c r="AV13" s="1439">
        <f>1426/AV7</f>
        <v/>
      </c>
      <c r="AW13" s="1439">
        <f>1426/AW7</f>
        <v/>
      </c>
      <c r="AX13" s="1439">
        <f>1426/AX7</f>
        <v/>
      </c>
      <c r="AY13" s="1439">
        <f>1725/AY7</f>
        <v/>
      </c>
      <c r="AZ13" s="1439">
        <f>1741/AZ7</f>
        <v/>
      </c>
      <c r="BA13" s="1439">
        <f>2014/BA7</f>
        <v/>
      </c>
      <c r="BB13" s="1439">
        <f>2161/BB7</f>
        <v/>
      </c>
      <c r="BC13" s="1439">
        <f>2140/BC7</f>
        <v/>
      </c>
      <c r="BD13" s="1439">
        <f>2261/BD7</f>
        <v/>
      </c>
      <c r="BE13" s="1439">
        <f>2261/BE7</f>
        <v/>
      </c>
      <c r="BF13" s="1439">
        <f>2090/BF7</f>
        <v/>
      </c>
      <c r="BG13" s="1439">
        <f>2090/BG7</f>
        <v/>
      </c>
      <c r="BH13" s="1439">
        <f>2240/BH7</f>
        <v/>
      </c>
      <c r="BI13" s="1439">
        <f>2240/BI7</f>
        <v/>
      </c>
      <c r="BJ13" s="1439">
        <f>2240/BJ7</f>
        <v/>
      </c>
      <c r="BK13" s="1439">
        <f>2240/BK7</f>
        <v/>
      </c>
      <c r="BL13" s="1439">
        <f>2440/BL7</f>
        <v/>
      </c>
      <c r="BM13" s="1439">
        <f>2440/BM7</f>
        <v/>
      </c>
      <c r="BN13" s="1439">
        <f>2440/BN7</f>
        <v/>
      </c>
      <c r="BO13" s="1439">
        <f>2440/BO7</f>
        <v/>
      </c>
      <c r="BP13" s="1439">
        <f>2440/BP7</f>
        <v/>
      </c>
      <c r="BQ13" s="1439">
        <f>2440/BQ7</f>
        <v/>
      </c>
      <c r="BR13" s="1439">
        <f>2440/BR7</f>
        <v/>
      </c>
      <c r="BS13" s="1439">
        <f>2440/BS7</f>
        <v/>
      </c>
      <c r="BT13" s="1439">
        <f>2440/BT7</f>
        <v/>
      </c>
      <c r="BU13" s="1439">
        <f>2440/BU7</f>
        <v/>
      </c>
      <c r="BV13" s="1439">
        <f>2440/BV7</f>
        <v/>
      </c>
      <c r="BW13" s="1439">
        <f>2440/BW7</f>
        <v/>
      </c>
      <c r="BX13" s="1439">
        <f>2440/BX7</f>
        <v/>
      </c>
      <c r="BY13" s="1439">
        <f>2440/BY7</f>
        <v/>
      </c>
      <c r="BZ13" s="1439">
        <f>2680/BZ7</f>
        <v/>
      </c>
      <c r="CA13" s="1439">
        <f>2723/CA7</f>
        <v/>
      </c>
      <c r="CB13" s="1439">
        <f>2752/CB7</f>
        <v/>
      </c>
      <c r="CC13" s="1439">
        <f>2662/CC7</f>
        <v/>
      </c>
      <c r="CD13" s="1439">
        <f>2821/CD7</f>
        <v/>
      </c>
      <c r="CE13" s="1439">
        <f>2825/CE7</f>
        <v/>
      </c>
      <c r="CF13" s="1439">
        <f>2825/CF7</f>
        <v/>
      </c>
      <c r="CG13" s="1439">
        <f>2825/CG7</f>
        <v/>
      </c>
      <c r="CH13" s="1439">
        <f>3175/CH7</f>
        <v/>
      </c>
      <c r="CI13" s="1439">
        <f>3233.5/CI7</f>
        <v/>
      </c>
      <c r="CJ13" s="1439">
        <f>2883.5/CJ7</f>
        <v/>
      </c>
      <c r="CK13" s="1439">
        <f>3465.8/CK7</f>
        <v/>
      </c>
      <c r="CL13" s="1439">
        <f>3465.8/CL7</f>
        <v/>
      </c>
      <c r="CM13" s="1439">
        <f>3366.8/CM7</f>
        <v/>
      </c>
      <c r="CN13" s="1439">
        <f>3366.8/CN7</f>
        <v/>
      </c>
      <c r="CO13" s="1439">
        <f>3366.8/CO7</f>
        <v/>
      </c>
      <c r="CP13" s="1439">
        <f>610/CP7</f>
        <v/>
      </c>
      <c r="CQ13" s="1439">
        <f>2670/CQ7</f>
        <v/>
      </c>
      <c r="CR13" s="1439">
        <f>1210/CR7</f>
        <v/>
      </c>
      <c r="CS13" s="1439">
        <f>3410/CS7</f>
        <v/>
      </c>
      <c r="CT13" s="1439">
        <f>3410/CT7</f>
        <v/>
      </c>
      <c r="CU13" s="1439">
        <f>3410/CU7</f>
        <v/>
      </c>
      <c r="CV13" s="1439">
        <f>3410.18/CV7</f>
        <v/>
      </c>
      <c r="CW13" s="1439">
        <f>3410.18/CW7</f>
        <v/>
      </c>
      <c r="CX13" s="1439">
        <f>3580.3/CX7</f>
        <v/>
      </c>
      <c r="CY13" s="1439">
        <f>3580.3/CY7</f>
        <v/>
      </c>
      <c r="CZ13" s="1439">
        <f>3580.3/CZ7</f>
        <v/>
      </c>
      <c r="DA13" s="1439">
        <f>3249.3/DA7</f>
        <v/>
      </c>
      <c r="DB13" s="1439">
        <f>3450.1/DB7</f>
        <v/>
      </c>
      <c r="DC13" s="1439">
        <f>3750.8/DC7</f>
        <v/>
      </c>
      <c r="DD13" s="1439">
        <f>3750.8/DD7</f>
        <v/>
      </c>
      <c r="DE13" s="1439">
        <f>3640.3/DE7</f>
        <v/>
      </c>
      <c r="DF13" s="1439">
        <f>3370/DF7</f>
        <v/>
      </c>
      <c r="DG13" s="1439">
        <f>3370/DG7</f>
        <v/>
      </c>
      <c r="DH13" s="1439">
        <f>3255/DH7</f>
        <v/>
      </c>
      <c r="DI13" s="1439">
        <f>3255/DI7</f>
        <v/>
      </c>
      <c r="DJ13" s="1439">
        <f>3070/DJ7</f>
        <v/>
      </c>
      <c r="DK13" s="1439">
        <f>3149/DK7</f>
        <v/>
      </c>
      <c r="DL13" s="1439">
        <f>3149/DL7</f>
        <v/>
      </c>
      <c r="DM13" s="1439">
        <f>3070/DM7</f>
        <v/>
      </c>
      <c r="DN13" s="1439">
        <f>3070/DN7</f>
        <v/>
      </c>
      <c r="DO13" s="1439">
        <f>3070/DO7</f>
        <v/>
      </c>
      <c r="DP13" s="1439">
        <f>3070/DP7</f>
        <v/>
      </c>
      <c r="DQ13" s="1439">
        <f>3099/DQ7</f>
        <v/>
      </c>
      <c r="DR13" s="1439">
        <f>3014.5/DR7</f>
        <v/>
      </c>
      <c r="DS13" s="1439">
        <f>3014.5/DS7</f>
        <v/>
      </c>
      <c r="DT13" s="1439">
        <f>2792/DT7</f>
        <v/>
      </c>
      <c r="DU13" s="1439">
        <f>2792/DU7</f>
        <v/>
      </c>
      <c r="DV13" s="1439">
        <f>2592/DV7</f>
        <v/>
      </c>
      <c r="DW13" s="1439">
        <f>2592/DW7</f>
        <v/>
      </c>
      <c r="DX13" s="1439">
        <f>2592/DX7</f>
        <v/>
      </c>
      <c r="DY13" s="1439">
        <f>2712/DY7</f>
        <v/>
      </c>
      <c r="DZ13" s="1439">
        <f>2212/DZ7</f>
        <v/>
      </c>
      <c r="EA13" s="1439">
        <f>2617/EA7</f>
        <v/>
      </c>
      <c r="EB13" s="1439">
        <f>2433/EB7</f>
        <v/>
      </c>
      <c r="EC13" s="1439">
        <f>2433/EC7</f>
        <v/>
      </c>
      <c r="ED13" s="1439">
        <f>2435/ED7</f>
        <v/>
      </c>
      <c r="EE13" s="1439">
        <f>2431/EE7</f>
        <v/>
      </c>
      <c r="EF13" s="1439">
        <f>2431/EF7</f>
        <v/>
      </c>
      <c r="EG13" s="1439">
        <f>2431.1/EG7</f>
        <v/>
      </c>
      <c r="EH13" s="1439">
        <f>2431.1/EH7</f>
        <v/>
      </c>
      <c r="EI13" s="1439">
        <f>2431.1/EI7</f>
        <v/>
      </c>
      <c r="EJ13" s="1439">
        <f>2431.1/EJ7</f>
        <v/>
      </c>
      <c r="EK13" s="1439">
        <f>2431.1/EK7</f>
        <v/>
      </c>
      <c r="EL13" s="1439">
        <f>2438.2/EL7</f>
        <v/>
      </c>
      <c r="EM13" s="1439">
        <f>2438.2/EM7</f>
        <v/>
      </c>
      <c r="EN13" s="1439">
        <f>2588.2/EN7</f>
        <v/>
      </c>
      <c r="EO13" s="1439">
        <f>2738.2/EO7</f>
        <v/>
      </c>
      <c r="EP13" s="1439">
        <f>2739.2/EP7</f>
        <v/>
      </c>
      <c r="EQ13" s="1439">
        <f>2789.2/EQ7</f>
        <v/>
      </c>
      <c r="ER13" s="1439">
        <f>2789.2/ER7</f>
        <v/>
      </c>
      <c r="ES13" s="1439">
        <f>2789.2/ES7</f>
        <v/>
      </c>
      <c r="ET13" s="1439">
        <f>2789.2/ET7</f>
        <v/>
      </c>
      <c r="EU13" s="1439">
        <f>2789.2/EU7</f>
        <v/>
      </c>
      <c r="EV13" s="1439">
        <f>2810.2/EV7</f>
        <v/>
      </c>
      <c r="EW13" s="1439">
        <f>2861.2/EW7</f>
        <v/>
      </c>
      <c r="EX13" s="1439">
        <f>2861.2/EX7</f>
        <v/>
      </c>
      <c r="EY13" s="1439">
        <f>2788.2/EY7</f>
        <v/>
      </c>
      <c r="EZ13" s="1439">
        <f>2888.2/EZ7</f>
        <v/>
      </c>
      <c r="FA13" s="1439">
        <f>2888.2/FA7</f>
        <v/>
      </c>
      <c r="FB13" s="1439">
        <f>2888.2/FB7</f>
        <v/>
      </c>
      <c r="FC13" s="1439">
        <f>2888.2/FC7</f>
        <v/>
      </c>
      <c r="FD13" s="1439">
        <f>2889.1/FD7</f>
        <v/>
      </c>
      <c r="FE13" s="1439">
        <f>2889.1/FE7</f>
        <v/>
      </c>
      <c r="FF13" s="1439">
        <f>2958.1/FF7</f>
        <v/>
      </c>
      <c r="FG13" s="1439">
        <f>2958.1/FG7</f>
        <v/>
      </c>
      <c r="FH13" s="1439">
        <f>2958.1/FH7</f>
        <v/>
      </c>
      <c r="FI13" s="1439">
        <f>2451/FI7</f>
        <v/>
      </c>
      <c r="FJ13" s="1439">
        <f>2987/FJ7</f>
        <v/>
      </c>
      <c r="FK13" s="1439">
        <f>3024/FK7</f>
        <v/>
      </c>
      <c r="FL13" s="1439">
        <f>3042/FL7</f>
        <v/>
      </c>
      <c r="FM13" s="1439">
        <f>2941/FM7</f>
        <v/>
      </c>
      <c r="FN13" s="1439">
        <f>2941/FN7</f>
        <v/>
      </c>
      <c r="FO13" s="1439">
        <f>2895/FO7</f>
        <v/>
      </c>
      <c r="FP13" s="1439">
        <f>3055.8/FP7</f>
        <v/>
      </c>
      <c r="FQ13" s="1439">
        <f>3055.8/FQ7</f>
        <v/>
      </c>
      <c r="FR13" s="1439">
        <f>3055.8/FR7</f>
        <v/>
      </c>
      <c r="FS13" s="1439">
        <f>3256.3/FS7</f>
        <v/>
      </c>
      <c r="FT13" s="1439">
        <f>3018.3/FT7</f>
        <v/>
      </c>
      <c r="FU13" s="1439">
        <f>3330/FU7</f>
        <v/>
      </c>
      <c r="FV13" s="1439">
        <f>3330/FV7</f>
        <v/>
      </c>
      <c r="FW13" s="1439">
        <f>3330/FW7</f>
        <v/>
      </c>
      <c r="FX13" s="1439">
        <f>3330/FX7</f>
        <v/>
      </c>
      <c r="FY13" s="1439">
        <f>3710/FY7</f>
        <v/>
      </c>
      <c r="FZ13" s="1439">
        <f>3710/FZ7</f>
        <v/>
      </c>
      <c r="GA13" s="1439">
        <f>3710/GA7</f>
        <v/>
      </c>
      <c r="GB13" s="1439">
        <f>3777/GB7</f>
        <v/>
      </c>
      <c r="GC13" s="1439">
        <f>3844/GC7</f>
        <v/>
      </c>
      <c r="GD13" s="1439">
        <f>3777/GD7</f>
        <v/>
      </c>
      <c r="GE13" s="1439">
        <f>4149/GE7</f>
        <v/>
      </c>
      <c r="GF13" s="1439">
        <f>3777/GF7</f>
        <v/>
      </c>
      <c r="GG13" s="1439">
        <f>4169.4/GG7</f>
        <v/>
      </c>
      <c r="GH13" s="1439">
        <f>4169.4/GH7</f>
        <v/>
      </c>
      <c r="GI13" s="1439">
        <f>4169.9/GI7</f>
        <v/>
      </c>
      <c r="GJ13" s="1439">
        <f>4169.9/GJ7</f>
        <v/>
      </c>
      <c r="GK13" s="1439">
        <f>4168.6/GK7</f>
        <v/>
      </c>
      <c r="GL13" s="1439">
        <f>4241.2/GL7</f>
        <v/>
      </c>
      <c r="GM13" s="1439">
        <f>4561.2/GM7</f>
        <v/>
      </c>
      <c r="GN13" s="1439">
        <f>4561.2/GN7</f>
        <v/>
      </c>
      <c r="GO13" s="1439">
        <f>4561.2/GO7</f>
        <v/>
      </c>
      <c r="GP13" s="1439">
        <f>4561.2/GP7</f>
        <v/>
      </c>
      <c r="GQ13" s="1439">
        <f>4271.2/GQ7</f>
        <v/>
      </c>
      <c r="GR13" s="1439">
        <f>4545.2/GR7</f>
        <v/>
      </c>
      <c r="GS13" s="1439">
        <f>4545.2/GS7</f>
        <v/>
      </c>
      <c r="GT13" s="1439">
        <f>4545.2/GT7</f>
        <v/>
      </c>
      <c r="GU13" s="1439">
        <f>4545.2/GU7</f>
        <v/>
      </c>
      <c r="GV13" s="1439">
        <f>4545.8/GV7</f>
        <v/>
      </c>
      <c r="GW13" s="1439">
        <f>4545.8/GW7</f>
        <v/>
      </c>
      <c r="GX13" s="1439">
        <f>4545.8/GX7</f>
        <v/>
      </c>
      <c r="GY13" s="1439">
        <f>4566.2/GY7</f>
        <v/>
      </c>
      <c r="GZ13" s="1439">
        <f>2932.5/GZ7</f>
        <v/>
      </c>
      <c r="HA13" s="1439">
        <f>2932.5/HA7</f>
        <v/>
      </c>
      <c r="HB13" s="1439">
        <f>2932.5/HB7</f>
        <v/>
      </c>
      <c r="HC13" s="1439">
        <f>3132.5/HC7</f>
        <v/>
      </c>
      <c r="HD13" s="1439">
        <f>3132.5/HD7</f>
        <v/>
      </c>
      <c r="HE13" s="1439" t="n">
        <v>116.547477783173</v>
      </c>
      <c r="HF13" s="1439" t="n">
        <v>122.0338393687645</v>
      </c>
      <c r="HG13" s="1439" t="n">
        <v>127.4960022961171</v>
      </c>
      <c r="HH13" s="1439" t="n">
        <v>126.7993312400604</v>
      </c>
      <c r="HI13" s="1439" t="n">
        <v>126.4359805322275</v>
      </c>
      <c r="HJ13" s="1439" t="n">
        <v>125.929140646845</v>
      </c>
      <c r="HK13" s="1439" t="n">
        <v>125.9966661226774</v>
      </c>
      <c r="HL13" s="1439" t="n">
        <v>128.2273184112961</v>
      </c>
      <c r="HM13" s="1439" t="n">
        <v>127.8472329978117</v>
      </c>
      <c r="HN13" s="1439" t="n">
        <v>128.2478593530971</v>
      </c>
      <c r="HO13" s="1439" t="n">
        <v>127.8577733164881</v>
      </c>
      <c r="HP13" s="1439" t="n">
        <v>125.7179079205983</v>
      </c>
      <c r="HQ13" s="1439" t="n">
        <v>126.5722843918026</v>
      </c>
      <c r="HR13" s="1439" t="n">
        <v>125.9549305459851</v>
      </c>
      <c r="HS13" s="1439" t="n">
        <v>125.5724223113326</v>
      </c>
      <c r="HT13" s="1439" t="n">
        <v>123.8580368082731</v>
      </c>
      <c r="HU13" s="1439" t="n">
        <v>123.2039652545668</v>
      </c>
      <c r="HV13" s="1439" t="n">
        <v>118.5237834142247</v>
      </c>
      <c r="HW13" s="1439" t="n">
        <v>119.9430786832094</v>
      </c>
      <c r="HX13" s="1439" t="n">
        <v>119.0588934011782</v>
      </c>
      <c r="HY13" s="1439" t="n">
        <v>119.5745101496668</v>
      </c>
      <c r="HZ13" s="1439" t="n">
        <v>114.0469583863727</v>
      </c>
      <c r="IA13" s="1439" t="n">
        <v>111.3886226457366</v>
      </c>
      <c r="IB13" s="1439" t="n">
        <v>114.1932778943883</v>
      </c>
      <c r="IC13" s="1439" t="n">
        <v>100.0663814428755</v>
      </c>
      <c r="ID13" s="1439">
        <f>#REF!/ID$7</f>
        <v/>
      </c>
      <c r="IE13" s="1439" t="n">
        <v>107.4254565883338</v>
      </c>
      <c r="IF13" s="1439" t="n">
        <v>106.8168763207681</v>
      </c>
      <c r="IG13" s="1439" t="n">
        <v>108.4637203287833</v>
      </c>
      <c r="IH13" s="1439" t="n">
        <v>109.5425486782626</v>
      </c>
      <c r="II13" s="1439" t="n">
        <v>108.7428065223504</v>
      </c>
      <c r="IJ13" s="1439" t="n">
        <v>103.8719007453262</v>
      </c>
      <c r="IK13" s="1439" t="n">
        <v>102.7650688354293</v>
      </c>
      <c r="IL13" s="1439" t="n">
        <v>103.3065971865227</v>
      </c>
      <c r="IM13" s="1439" t="n">
        <v>108.1392057368112</v>
      </c>
      <c r="IN13" s="1439" t="n">
        <v>107.7734039301937</v>
      </c>
      <c r="IO13" s="1439" t="n">
        <v>107.7344279374728</v>
      </c>
      <c r="IP13" s="1439" t="n">
        <v>107.1967221846213</v>
      </c>
      <c r="IQ13" s="1439" t="n">
        <v>103.6487676798601</v>
      </c>
      <c r="IR13" s="1439" t="n">
        <v>96.956544793096</v>
      </c>
      <c r="IS13" s="1439" t="n">
        <v>98.67737424792499</v>
      </c>
      <c r="IT13" s="1439" t="n">
        <v>94.47265056460544</v>
      </c>
      <c r="IU13" s="1439" t="n">
        <v>94.30651314970169</v>
      </c>
      <c r="IV13" s="1439" t="n">
        <v>92.93267866019265</v>
      </c>
      <c r="IW13" s="1439" t="n">
        <v>90.98433472332123</v>
      </c>
      <c r="IX13" s="1439" t="n">
        <v>91.71304106351405</v>
      </c>
      <c r="IY13" s="1439" t="n">
        <v>91.22668681757948</v>
      </c>
      <c r="IZ13" s="1439" t="n">
        <v>91.5298915625373</v>
      </c>
      <c r="JA13" s="1439" t="n">
        <v>90.77352165512919</v>
      </c>
      <c r="JB13" s="1439" t="n">
        <v>92.93965363875616</v>
      </c>
      <c r="JC13" s="1439" t="n">
        <v>92.63989395782569</v>
      </c>
      <c r="JD13" s="1439" t="n">
        <v>91.78606616439632</v>
      </c>
      <c r="JE13" s="1439" t="n">
        <v>91.72750196252767</v>
      </c>
      <c r="JF13" s="1439" t="n">
        <v>92.22630080324633</v>
      </c>
      <c r="JG13" s="1439" t="n">
        <v>85.85246845175202</v>
      </c>
      <c r="JH13" s="1439" t="n">
        <v>87.23277288694486</v>
      </c>
      <c r="JI13" s="1439" t="n">
        <v>86.22696042545731</v>
      </c>
      <c r="JJ13" s="1439" t="n">
        <v>86.14509343676266</v>
      </c>
      <c r="JK13" s="1439" t="n">
        <v>86.23456812828822</v>
      </c>
      <c r="JL13" s="1439" t="n">
        <v>85.49695501016653</v>
      </c>
      <c r="JM13" s="1439" t="n">
        <v>88.58454569670927</v>
      </c>
      <c r="JN13" s="1439" t="n">
        <v>89.31482805448692</v>
      </c>
      <c r="JO13" s="1439" t="n">
        <v>90.10238647363889</v>
      </c>
      <c r="JP13" s="1439" t="n">
        <v>92.22774590702765</v>
      </c>
      <c r="JQ13" s="1439" t="n">
        <v>92.38143296185176</v>
      </c>
      <c r="JR13" s="1439" t="n">
        <v>93.36545227885499</v>
      </c>
      <c r="JS13" s="1439" t="n">
        <v>93.73401153565679</v>
      </c>
      <c r="JT13" s="1439" t="n">
        <v>91.4868951358021</v>
      </c>
      <c r="JU13" s="1439">
        <f>#REF!/JU$7</f>
        <v/>
      </c>
      <c r="JV13" s="1439" t="n">
        <v>90.41675933260532</v>
      </c>
      <c r="JW13" s="1439" t="n">
        <v>119.0994039492274</v>
      </c>
      <c r="JX13" s="1439" t="n">
        <v>119.0567928354385</v>
      </c>
      <c r="JY13" s="1439" t="n">
        <v>81.24964916766982</v>
      </c>
      <c r="JZ13" s="1439" t="n">
        <v>83.32822705394358</v>
      </c>
      <c r="KA13" s="1439" t="n">
        <v>83.31030792369984</v>
      </c>
      <c r="KB13" s="1439" t="n">
        <v>83.32843546126075</v>
      </c>
      <c r="KC13" s="1439" t="n">
        <v>85.35953182479655</v>
      </c>
      <c r="KD13" s="1439" t="n">
        <v>84.69125214408233</v>
      </c>
      <c r="KE13" s="1439" t="n">
        <v>87.45687962841782</v>
      </c>
      <c r="KF13" s="1439" t="n">
        <v>87.4876645295477</v>
      </c>
      <c r="KG13" s="1439" t="n">
        <v>87.58513074400683</v>
      </c>
      <c r="KH13" s="1439" t="n">
        <v>87.096425154987</v>
      </c>
      <c r="KI13" s="1439" t="n">
        <v>88.53516668266661</v>
      </c>
      <c r="KJ13" s="1439" t="n">
        <v>68.76541436640431</v>
      </c>
      <c r="KK13" s="1439" t="n">
        <v>68.59902793173596</v>
      </c>
      <c r="KL13" s="1439" t="n">
        <v>68.14356432648408</v>
      </c>
      <c r="KM13" s="1439" t="n">
        <v>79.2857527154907</v>
      </c>
      <c r="KN13" s="1439" t="n">
        <v>79.99416542444759</v>
      </c>
      <c r="KO13" s="1439" t="n">
        <v>80.3526871372576</v>
      </c>
      <c r="KP13" s="1439" t="n">
        <v>80.65171703937128</v>
      </c>
      <c r="KQ13" s="1439" t="n">
        <v>82.11428966049347</v>
      </c>
      <c r="KR13" s="1439" t="n">
        <v>77.83711013182389</v>
      </c>
      <c r="KS13" s="1439" t="n">
        <v>74.24741859325054</v>
      </c>
      <c r="KT13" s="1439" t="n">
        <v>77.20700366114605</v>
      </c>
      <c r="KU13" s="1439" t="n">
        <v>80.29443632380384</v>
      </c>
      <c r="KV13" s="1439" t="n">
        <v>76.60170092133239</v>
      </c>
      <c r="KW13" s="1439" t="n">
        <v>76.25008230413967</v>
      </c>
      <c r="KX13" s="1439" t="n">
        <v>56.22103453431006</v>
      </c>
      <c r="KY13" s="1439" t="n">
        <v>57.08796896848477</v>
      </c>
      <c r="KZ13" s="1439" t="n">
        <v>58.47864555283512</v>
      </c>
      <c r="LA13" s="1439" t="n">
        <v>58.3439219483798</v>
      </c>
      <c r="LB13" s="1439" t="n">
        <v>58.20090457311967</v>
      </c>
      <c r="LC13" s="1439" t="n">
        <v>58.6242777125905</v>
      </c>
      <c r="LD13" s="1439" t="n">
        <v>56.34685290511453</v>
      </c>
      <c r="LE13" s="1439" t="n">
        <v>59.06995361438096</v>
      </c>
      <c r="LF13" s="1439" t="n">
        <v>59.19572077020016</v>
      </c>
      <c r="LG13" s="1439" t="n">
        <v>59.84232828201913</v>
      </c>
      <c r="LH13" s="1439" t="n">
        <v>59.76256078600568</v>
      </c>
      <c r="LI13" s="1439" t="n">
        <v>62.27841868707423</v>
      </c>
      <c r="LJ13" s="1439" t="n">
        <v>62.31760228142789</v>
      </c>
      <c r="LK13" s="1439" t="n">
        <v>62.10898490074838</v>
      </c>
      <c r="LL13" s="1439" t="n">
        <v>53.73213982485505</v>
      </c>
      <c r="LM13" s="1439" t="n">
        <v>59.95311639983071</v>
      </c>
      <c r="LN13" s="1439" t="n">
        <v>60.18414057641613</v>
      </c>
      <c r="LO13" s="1439" t="n">
        <v>60.49703157396281</v>
      </c>
      <c r="LP13" s="1439" t="n">
        <v>63.19000099459603</v>
      </c>
      <c r="LQ13" s="1439" t="n">
        <v>63.69090233033093</v>
      </c>
      <c r="LR13" s="1439" t="n">
        <v>63.0721831469702</v>
      </c>
      <c r="LS13" s="1439" t="n">
        <v>58.89854697816698</v>
      </c>
      <c r="LT13" s="1439" t="n">
        <v>50.36298027707637</v>
      </c>
      <c r="LU13" s="1439" t="n">
        <v>49.81668136309748</v>
      </c>
      <c r="LV13" s="1439" t="n">
        <v>48.90914890003604</v>
      </c>
      <c r="LW13" s="1439" t="n">
        <v>56.94688031808317</v>
      </c>
      <c r="LX13" s="1439" t="n">
        <v>50.7515921474252</v>
      </c>
      <c r="LY13" s="1439" t="n">
        <v>50.81445814838496</v>
      </c>
      <c r="LZ13" s="1439" t="n">
        <v>40.15208753790478</v>
      </c>
      <c r="MA13" s="1439" t="n">
        <v>39.32307929837619</v>
      </c>
      <c r="MB13" s="1439" t="n">
        <v>51.04817509856633</v>
      </c>
      <c r="MC13" s="1439" t="n">
        <v>55.56308134574916</v>
      </c>
      <c r="MD13" s="1439" t="n">
        <v>57.3165788406972</v>
      </c>
      <c r="ME13" s="1439" t="n">
        <v>55.06361028941798</v>
      </c>
      <c r="MF13" s="1439" t="n">
        <v>61.35227060283146</v>
      </c>
      <c r="MG13" s="1439" t="n">
        <v>52.79355280842768</v>
      </c>
      <c r="MH13" s="1439" t="n">
        <v>62.11054180286123</v>
      </c>
      <c r="MI13" s="1439" t="n">
        <v>62.13778075798167</v>
      </c>
      <c r="MJ13" s="1439" t="n">
        <v>61.93374208255158</v>
      </c>
      <c r="MK13" s="1439" t="n">
        <v>62.59289401990328</v>
      </c>
      <c r="ML13" s="1439" t="n">
        <v>62.43900655124495</v>
      </c>
      <c r="MM13" s="1439" t="n">
        <v>60.22154046303334</v>
      </c>
      <c r="MN13" s="1439" t="n">
        <v>52.17606587055091</v>
      </c>
      <c r="MO13" s="1439" t="n">
        <v>54.04079878681062</v>
      </c>
      <c r="MP13" s="1439" t="n">
        <v>50.77991179870813</v>
      </c>
      <c r="MQ13" s="1439" t="n">
        <v>50.30177889095873</v>
      </c>
      <c r="MR13" s="1439" t="n">
        <v>56.10313979716671</v>
      </c>
      <c r="MS13" s="1439" t="n">
        <v>60.74324744058063</v>
      </c>
      <c r="MT13" s="1439" t="n">
        <v>60.57497592523189</v>
      </c>
      <c r="MU13" s="1439" t="n">
        <v>57.2152861463729</v>
      </c>
      <c r="MV13" s="1439" t="n">
        <v>58.30565924173869</v>
      </c>
      <c r="MW13" s="1439" t="n">
        <v>53.36301331327348</v>
      </c>
      <c r="MX13" s="1439" t="n">
        <v>59.34584638870893</v>
      </c>
      <c r="MY13" s="1439" t="n">
        <v>55.95091986447807</v>
      </c>
      <c r="MZ13" s="1439" t="n">
        <v>59.20243938779396</v>
      </c>
      <c r="NA13" s="1439" t="n">
        <v>56.3453248475426</v>
      </c>
      <c r="NB13" s="1439" t="n">
        <v>56.11578476710151</v>
      </c>
      <c r="NC13" s="1439" t="n">
        <v>56.43176978273495</v>
      </c>
      <c r="ND13" s="1439" t="n">
        <v>53.35952329139678</v>
      </c>
      <c r="NE13" s="1439" t="n">
        <v>53.30197117704815</v>
      </c>
      <c r="NF13" s="1439" t="n">
        <v>53.25090556932931</v>
      </c>
      <c r="NG13" s="1439" t="n">
        <v>55.17875647668394</v>
      </c>
      <c r="NH13" s="1439" t="n">
        <v>54.8933112581416</v>
      </c>
      <c r="NI13" s="1439" t="n">
        <v>56.35443110742013</v>
      </c>
      <c r="NJ13" s="1439" t="n">
        <v>56.62301923770163</v>
      </c>
      <c r="NK13" s="1439" t="n">
        <v>56.17285380843919</v>
      </c>
      <c r="NL13" s="1439" t="n">
        <v>53.55309661104715</v>
      </c>
      <c r="NM13" s="1439" t="n">
        <v>53.43452097892978</v>
      </c>
      <c r="NN13" s="1439" t="n">
        <v>53.79929167856656</v>
      </c>
      <c r="NO13" s="1439" t="n">
        <v>53.33820706039278</v>
      </c>
      <c r="NP13" s="1439" t="n">
        <v>51.09676399335968</v>
      </c>
      <c r="NQ13" s="1439" t="n">
        <v>54.0738821853796</v>
      </c>
      <c r="NR13" s="1439" t="n">
        <v>56.76953816080862</v>
      </c>
      <c r="NS13" s="1439" t="n">
        <v>56.58710787965984</v>
      </c>
      <c r="NT13" s="1439" t="n">
        <v>57.62721446449405</v>
      </c>
      <c r="NU13" s="1439" t="n">
        <v>57.59210977772025</v>
      </c>
      <c r="NV13" s="1439" t="n">
        <v>57.57637687886917</v>
      </c>
      <c r="NW13" s="1439" t="n">
        <v>57.6148371038585</v>
      </c>
      <c r="NX13" s="1439" t="n">
        <v>56.89935801253945</v>
      </c>
      <c r="NY13" s="1439" t="n">
        <v>61.84212332419296</v>
      </c>
      <c r="NZ13" s="1439" t="n">
        <v>63.69543553202227</v>
      </c>
      <c r="OA13" s="1439" t="n">
        <v>60.72901223501272</v>
      </c>
      <c r="OB13" s="1439" t="n">
        <v>60.46230504822491</v>
      </c>
      <c r="OC13" s="1439" t="n">
        <v>63.58201365839425</v>
      </c>
      <c r="OD13" s="1439" t="n">
        <v>63.56421627244794</v>
      </c>
      <c r="OE13" s="1439" t="n">
        <v>64.40754771110575</v>
      </c>
      <c r="OF13" s="1439" t="n">
        <v>59.62632973163622</v>
      </c>
      <c r="OG13" s="1439" t="n">
        <v>63.98795788479494</v>
      </c>
      <c r="OH13" s="1439" t="n">
        <v>66.87744732901884</v>
      </c>
      <c r="OI13" s="1439" t="n">
        <v>62.99782178453521</v>
      </c>
      <c r="OJ13" s="1439" t="n">
        <v>63.30933769210161</v>
      </c>
      <c r="OK13" s="1439" t="n">
        <v>57.97125097632242</v>
      </c>
      <c r="OL13" s="1439" t="n">
        <v>63.46309483072343</v>
      </c>
      <c r="OM13" s="1439" t="n">
        <v>63.41831445366566</v>
      </c>
      <c r="ON13" s="1439" t="n">
        <v>64.01700691453806</v>
      </c>
      <c r="OO13" s="1439" t="n">
        <v>65.30548367083442</v>
      </c>
      <c r="OP13" s="1439" t="n">
        <v>61.18277708197952</v>
      </c>
      <c r="OQ13" s="1439" t="n">
        <v>61.06119920963784</v>
      </c>
      <c r="OR13" s="1439" t="n">
        <v>68.36897737057519</v>
      </c>
      <c r="OS13" s="1439" t="n">
        <v>65.44137311781824</v>
      </c>
      <c r="OT13" s="1439" t="n">
        <v>68.62534707729162</v>
      </c>
      <c r="OU13" s="1439" t="n">
        <v>68.65976854447202</v>
      </c>
      <c r="OV13" s="1439" t="n">
        <v>73.75404359482195</v>
      </c>
      <c r="OW13" s="1439" t="n">
        <v>73.84450619754354</v>
      </c>
      <c r="OX13" s="1439" t="n">
        <v>69.40893937718231</v>
      </c>
      <c r="OY13" s="1439" t="n">
        <v>66.15738922934473</v>
      </c>
      <c r="OZ13" s="1439" t="n">
        <v>62.99639091055847</v>
      </c>
      <c r="PA13" s="1439" t="n">
        <v>57.71201367172487</v>
      </c>
      <c r="PB13" s="1439" t="n">
        <v>58.12481802701583</v>
      </c>
      <c r="PC13" s="1439" t="n">
        <v>63.0071531289343</v>
      </c>
      <c r="PD13" s="1439" t="n">
        <v>66.50320210901613</v>
      </c>
      <c r="PE13" s="1439" t="n">
        <v>62.33797941779542</v>
      </c>
      <c r="PF13" s="1439" t="n">
        <v>63.1310276494377</v>
      </c>
      <c r="PG13" s="1439" t="n">
        <v>63.58592553025457</v>
      </c>
      <c r="PH13" s="1439" t="n">
        <v>66.3446979353949</v>
      </c>
      <c r="PI13" s="1439" t="n">
        <v>66.58323377007673</v>
      </c>
      <c r="PJ13" s="1439" t="n">
        <v>64.51517216230773</v>
      </c>
      <c r="PK13" s="1439" t="n">
        <v>64.49898881339983</v>
      </c>
      <c r="PL13" s="1439" t="n">
        <v>68.2990437554332</v>
      </c>
      <c r="PM13" s="1439" t="n">
        <v>68.54862521784497</v>
      </c>
      <c r="PN13" s="1439" t="n">
        <v>63.88254709885228</v>
      </c>
      <c r="PO13" s="1439" t="n">
        <v>62.97654902285778</v>
      </c>
      <c r="PP13" s="1439" t="n">
        <v>58.57520592480441</v>
      </c>
      <c r="PQ13" s="1439" t="n">
        <v>62.90532679489829</v>
      </c>
      <c r="PR13" s="1439" t="n">
        <v>63.0851113711182</v>
      </c>
      <c r="PS13" s="1439" t="n">
        <v>49.54293708855887</v>
      </c>
      <c r="PT13" s="1439" t="n">
        <v>58.08529180845609</v>
      </c>
      <c r="PU13" s="1439" t="n">
        <v>57.90431973847202</v>
      </c>
      <c r="PV13" s="1439" t="n">
        <v>55.41801247732402</v>
      </c>
      <c r="PW13" s="1439" t="n">
        <v>61.63742716225604</v>
      </c>
      <c r="PX13" s="1439" t="n">
        <v>67.69416704775078</v>
      </c>
      <c r="PY13" s="1439" t="n">
        <v>68.21566189051926</v>
      </c>
      <c r="PZ13" s="1439" t="n">
        <v>64.00763254301005</v>
      </c>
      <c r="QA13" s="1439" t="n">
        <v>64.03063698504319</v>
      </c>
      <c r="QB13" s="1439" t="n">
        <v>63.63050908843969</v>
      </c>
      <c r="QC13" s="1439" t="n">
        <v>62.91199061594162</v>
      </c>
      <c r="QD13" s="1439" t="n">
        <v>62.9626953953963</v>
      </c>
      <c r="QE13" s="1439" t="n">
        <v>63.404431389845</v>
      </c>
      <c r="QF13" s="1439" t="n">
        <v>63.44229235929522</v>
      </c>
      <c r="QG13" s="1439" t="n">
        <v>69.97776466337196</v>
      </c>
      <c r="QH13" s="1439" t="n">
        <v>69.68311296897454</v>
      </c>
      <c r="QI13" s="1439" t="n">
        <v>73.51587818476941</v>
      </c>
      <c r="QJ13" s="1439" t="n">
        <v>68.97566092691582</v>
      </c>
      <c r="QK13" s="1439" t="n">
        <v>64.74324298595455</v>
      </c>
      <c r="QL13" s="1439" t="n">
        <v>64.46951971610768</v>
      </c>
      <c r="QM13" s="1439" t="n">
        <v>69.05515799086555</v>
      </c>
      <c r="QN13" s="1439" t="n">
        <v>63.21062930028479</v>
      </c>
      <c r="QO13" s="1439" t="n">
        <v>62.80826887204993</v>
      </c>
      <c r="QP13" s="1439" t="n">
        <v>63.19557320900444</v>
      </c>
      <c r="QQ13" s="1439" t="n">
        <v>62.87166187244519</v>
      </c>
      <c r="QR13" s="1439" t="n">
        <v>67.1827965472993</v>
      </c>
      <c r="QS13" s="1439" t="n">
        <v>67.45333100084608</v>
      </c>
      <c r="QT13" s="1439" t="n">
        <v>62.92385024342361</v>
      </c>
      <c r="QU13" s="1439" t="n">
        <v>62.83423075531464</v>
      </c>
      <c r="QV13" s="1439" t="n">
        <v>61.56339821243422</v>
      </c>
      <c r="QW13" s="1439" t="n">
        <v>61.30051391960899</v>
      </c>
      <c r="QX13" s="1439" t="n">
        <v>60.81997467293073</v>
      </c>
      <c r="QY13" s="1439" t="n">
        <v>59.24313549802944</v>
      </c>
      <c r="QZ13" s="1439" t="n">
        <v>59.28239612773284</v>
      </c>
      <c r="RA13" s="1439" t="n">
        <v>59.22487010310617</v>
      </c>
      <c r="RB13" s="1439" t="n">
        <v>55.68263291641465</v>
      </c>
      <c r="RC13" s="1439" t="n">
        <v>57.37395568059021</v>
      </c>
      <c r="RD13" s="1439" t="n">
        <v>57.74147812151995</v>
      </c>
      <c r="RE13" s="1439" t="n">
        <v>50.7751237629151</v>
      </c>
      <c r="RF13" s="1439" t="n">
        <v>51.34909618096416</v>
      </c>
      <c r="RG13" s="1439">
        <f>$D49/RG$7</f>
        <v/>
      </c>
      <c r="RH13" s="1439" t="n">
        <v>55.44041053753884</v>
      </c>
      <c r="RI13" s="1439" t="n">
        <v>55.55778605622617</v>
      </c>
      <c r="RJ13" s="1439" t="n">
        <v>56.06157544951805</v>
      </c>
      <c r="RK13" s="1439" t="n">
        <v>50.29978192669255</v>
      </c>
      <c r="RL13" s="1439" t="n">
        <v>55.33416753838888</v>
      </c>
      <c r="RM13" s="1439" t="n">
        <v>55.17793441591166</v>
      </c>
      <c r="RN13" s="1439" t="n">
        <v>56.07095534540974</v>
      </c>
      <c r="RO13" s="1439" t="n">
        <v>56.01527348997499</v>
      </c>
      <c r="RP13" s="1439" t="n">
        <v>58.0495265048438</v>
      </c>
      <c r="RQ13" s="1439" t="n">
        <v>56.65009474587124</v>
      </c>
      <c r="RR13" s="1439" t="n">
        <v>56.50181134473235</v>
      </c>
      <c r="RS13" s="1439" t="n">
        <v>56.22029624722585</v>
      </c>
      <c r="RT13" s="1439" t="n">
        <v>56.67042596022399</v>
      </c>
      <c r="RU13" s="1439" t="n">
        <v>56.26540030536066</v>
      </c>
      <c r="RV13" s="1439" t="n">
        <v>56.16575820712447</v>
      </c>
      <c r="RW13" s="1439" t="n">
        <v>56.28807068901263</v>
      </c>
      <c r="RX13" s="1439" t="n">
        <v>56.27749295564731</v>
      </c>
      <c r="RY13" s="1439" t="n">
        <v>55.57321043800969</v>
      </c>
      <c r="RZ13" s="1439" t="n">
        <v>55.51111880995172</v>
      </c>
      <c r="SA13" s="1439" t="n">
        <v>55.55598896538573</v>
      </c>
      <c r="SB13" s="1439" t="n">
        <v>57.57705451692184</v>
      </c>
      <c r="SC13" s="1439" t="n">
        <v>57.66193451182606</v>
      </c>
      <c r="SD13" s="1439" t="n">
        <v>57.71403313767932</v>
      </c>
      <c r="SE13" s="1439" t="n">
        <v>57.64552483079137</v>
      </c>
      <c r="SF13" s="1439">
        <f>$D49/SF$7</f>
        <v/>
      </c>
      <c r="SG13" s="1439" t="n">
        <v>59.97371323707792</v>
      </c>
      <c r="SH13" s="1439" t="n">
        <v>60.80618066119001</v>
      </c>
      <c r="SI13" s="1439" t="n">
        <v>60.48190559925565</v>
      </c>
      <c r="SJ13" s="1439" t="n">
        <v>60.66165178576206</v>
      </c>
      <c r="SK13" s="1439" t="n">
        <v>60.5662411541515</v>
      </c>
      <c r="SL13" s="1439" t="n">
        <v>60.25392721915254</v>
      </c>
      <c r="SM13" s="1439" t="n">
        <v>60.09422820442686</v>
      </c>
      <c r="SN13" s="1439" t="n">
        <v>60.24240053904574</v>
      </c>
      <c r="SO13" s="1439" t="n">
        <v>35.98360032919204</v>
      </c>
      <c r="SP13" s="1439" t="n">
        <v>30.69470970564675</v>
      </c>
      <c r="SQ13" s="1439" t="n">
        <v>30.68158187536311</v>
      </c>
      <c r="SR13" s="1439" t="n">
        <v>49.25464133059766</v>
      </c>
      <c r="SS13" s="1439" t="n">
        <v>49.45480042634759</v>
      </c>
      <c r="ST13" s="1439" t="n">
        <v>49.51822234587571</v>
      </c>
      <c r="SU13" s="1439" t="n">
        <v>49.64463587025804</v>
      </c>
      <c r="SV13" s="1439" t="n">
        <v>55.43866738798399</v>
      </c>
      <c r="SW13" s="1439" t="n">
        <v>50.78251272196641</v>
      </c>
      <c r="SX13" s="1439" t="n">
        <v>64.49660725158905</v>
      </c>
      <c r="SY13" s="1439" t="n">
        <v>64.63059312073449</v>
      </c>
      <c r="SZ13" s="1439" t="n">
        <v>65.3153481827716</v>
      </c>
      <c r="TA13" s="1439" t="n">
        <v>65.4514203398339</v>
      </c>
      <c r="TB13" s="1439" t="n">
        <v>60.22038308170725</v>
      </c>
      <c r="TC13" s="1439" t="n">
        <v>60.28756055679929</v>
      </c>
      <c r="TD13" s="1439" t="n">
        <v>67.10754818040141</v>
      </c>
      <c r="TE13" s="1439">
        <f>$D49/TE$7</f>
        <v/>
      </c>
      <c r="TF13" s="1439" t="n">
        <v>66.15846898692497</v>
      </c>
      <c r="TG13" s="1439" t="n">
        <v>66.33811977232155</v>
      </c>
      <c r="TH13" s="1439" t="n">
        <v>66.49957256285988</v>
      </c>
      <c r="TI13" s="1439" t="n">
        <v>68.5053286145159</v>
      </c>
      <c r="TJ13" s="1439" t="n">
        <v>70.26005935167989</v>
      </c>
      <c r="TK13" s="1439" t="n">
        <v>65.34923527262723</v>
      </c>
      <c r="TL13" s="1439" t="n">
        <v>69.19587279151943</v>
      </c>
      <c r="TM13" s="1439" t="n">
        <v>71.99853459991105</v>
      </c>
      <c r="TN13" s="1439" t="n">
        <v>71.57514069424381</v>
      </c>
      <c r="TO13" s="1439" t="n">
        <v>71.25405387425644</v>
      </c>
      <c r="TP13" s="1439" t="n">
        <v>71.90460472948403</v>
      </c>
      <c r="TQ13" s="1439" t="n">
        <v>72.40534310378628</v>
      </c>
      <c r="TR13" s="1439" t="n">
        <v>72.41660243668277</v>
      </c>
      <c r="TS13" s="1439" t="n">
        <v>72.40289588600322</v>
      </c>
      <c r="TT13" s="1439" t="n">
        <v>71.07331406051784</v>
      </c>
      <c r="TU13" s="1439" t="n">
        <v>73.81936391503287</v>
      </c>
      <c r="TV13" s="1439" t="n">
        <v>72.68488251139614</v>
      </c>
      <c r="TW13" s="1439" t="n">
        <v>72.22145383638673</v>
      </c>
      <c r="TX13" s="1439" t="n">
        <v>71.52588311113806</v>
      </c>
      <c r="TY13" s="1439" t="n">
        <v>71.53865417030228</v>
      </c>
      <c r="TZ13" s="1439" t="n">
        <v>72.03206970956646</v>
      </c>
      <c r="UA13" s="1439" t="n">
        <v>75.87409625285314</v>
      </c>
      <c r="UB13" s="1439" t="n">
        <v>75.90017988702637</v>
      </c>
      <c r="UC13" s="1439" t="n">
        <v>75.19530981520599</v>
      </c>
      <c r="UD13" s="1439" t="n">
        <v>75.69956719383727</v>
      </c>
      <c r="UE13" s="1439" t="n">
        <v>77.24106962744479</v>
      </c>
      <c r="UF13" s="1439" t="n">
        <v>75.54394432378938</v>
      </c>
      <c r="UG13" s="1439" t="n">
        <v>77.0071020534198</v>
      </c>
      <c r="UH13" s="1439" t="n">
        <v>75.20014258598299</v>
      </c>
      <c r="UI13" s="1439" t="n">
        <v>71.60836790743879</v>
      </c>
      <c r="UJ13" s="1439" t="n">
        <v>81.02826363952276</v>
      </c>
      <c r="UK13" s="1439" t="n">
        <v>82.90514618027034</v>
      </c>
      <c r="UL13" s="1439" t="n">
        <v>75.69328840219912</v>
      </c>
      <c r="UM13" s="1439" t="n">
        <v>80.88240362433642</v>
      </c>
      <c r="UN13" s="1439" t="n">
        <v>70.03740032460659</v>
      </c>
      <c r="UO13" s="1439" t="n">
        <v>69.27978256269755</v>
      </c>
      <c r="UP13" s="1439" t="n">
        <v>66.29560698491917</v>
      </c>
      <c r="UQ13" s="1439" t="n">
        <v>66.05320650071643</v>
      </c>
      <c r="UR13" s="1439" t="n">
        <v>63.04061949679004</v>
      </c>
      <c r="US13" s="1439" t="n">
        <v>65.56870073300082</v>
      </c>
      <c r="UT13" s="1439" t="n">
        <v>67.47408358706177</v>
      </c>
      <c r="UU13" s="1439" t="n">
        <v>64.98457192720468</v>
      </c>
      <c r="UV13" s="1439" t="n">
        <v>60.62821099583263</v>
      </c>
      <c r="UW13" s="1439" t="n">
        <v>66.11816976476683</v>
      </c>
      <c r="UX13" s="1439" t="n">
        <v>66.16027903618846</v>
      </c>
      <c r="UY13" s="1439" t="n">
        <v>65.95267157538292</v>
      </c>
      <c r="UZ13" s="1439" t="n">
        <v>61.32937488268127</v>
      </c>
      <c r="VA13" s="1439" t="n">
        <v>57.9530779164873</v>
      </c>
      <c r="VB13" s="1439" t="n">
        <v>60.3216867991514</v>
      </c>
      <c r="VC13" s="1439" t="n">
        <v>53.61730767986229</v>
      </c>
      <c r="VD13" s="1439" t="n">
        <v>57.36837080477698</v>
      </c>
      <c r="VE13" s="1439" t="n">
        <v>60.84099826367503</v>
      </c>
      <c r="VF13" s="1439" t="n">
        <v>50.95671096284016</v>
      </c>
      <c r="VG13" s="1439" t="n">
        <v>51.57772674942697</v>
      </c>
      <c r="VH13" s="1439" t="n">
        <v>49.47862741813135</v>
      </c>
      <c r="VI13" s="1439" t="n">
        <v>52.90841902644392</v>
      </c>
      <c r="VJ13" s="1439">
        <f>$D49/VJ$7</f>
        <v/>
      </c>
      <c r="VK13" s="1439" t="n">
        <v>45.70670513328621</v>
      </c>
      <c r="VL13" s="1439" t="n">
        <v>45.65837159732975</v>
      </c>
      <c r="VM13" s="1439" t="n">
        <v>45.45543281812382</v>
      </c>
      <c r="VN13" s="1439" t="n">
        <v>45.60793052340383</v>
      </c>
      <c r="VO13" s="1439" t="n">
        <v>45.41246836521271</v>
      </c>
      <c r="VP13" s="1439" t="n">
        <v>43.721213450757</v>
      </c>
      <c r="VQ13" s="1439" t="n">
        <v>40.42923303756605</v>
      </c>
      <c r="VR13" s="1439" t="n">
        <v>40.47777040477771</v>
      </c>
      <c r="VS13" s="1439" t="n">
        <v>40.47739850279564</v>
      </c>
      <c r="VT13" s="1439" t="n">
        <v>40.30876616544182</v>
      </c>
      <c r="VU13" s="1439" t="n">
        <v>39.69119073572207</v>
      </c>
      <c r="VV13" s="1439" t="n">
        <v>39.67619268494564</v>
      </c>
      <c r="VW13" s="1439" t="n">
        <v>36.60975142487667</v>
      </c>
      <c r="VX13" s="1439" t="n">
        <v>32.84491496356132</v>
      </c>
      <c r="VY13" s="1439" t="n">
        <v>28.52757209006901</v>
      </c>
      <c r="VZ13" s="1439" t="n">
        <v>29.10686656599304</v>
      </c>
      <c r="WA13" s="1439" t="n">
        <v>29.1390407162811</v>
      </c>
      <c r="WB13" s="1439" t="n">
        <v>35.99213415654499</v>
      </c>
      <c r="WC13" s="1439" t="n">
        <v>42.0448394365488</v>
      </c>
      <c r="WD13" s="1439" t="n">
        <v>33.38473661057425</v>
      </c>
      <c r="WE13" s="1439" t="n">
        <v>30.67827894174046</v>
      </c>
      <c r="WF13" s="1439" t="n">
        <v>20.9099134485919</v>
      </c>
      <c r="WG13" s="1439" t="n">
        <v>21.48324758438951</v>
      </c>
      <c r="WH13" s="1439" t="n">
        <v>27.52761859053479</v>
      </c>
      <c r="WI13" s="1439" t="n">
        <v>21.08628204398585</v>
      </c>
      <c r="WJ13" s="1439" t="n">
        <v>20.92337410583975</v>
      </c>
      <c r="WK13" s="1439" t="n">
        <v>28.11200259435299</v>
      </c>
      <c r="WL13" s="1439" t="n">
        <v>28.13100200461461</v>
      </c>
      <c r="WM13" s="1439" t="n">
        <v>28.83070044291802</v>
      </c>
      <c r="WN13" s="1439" t="n">
        <v>23.28430873690766</v>
      </c>
      <c r="WO13" s="1439" t="n">
        <v>26.91490685891405</v>
      </c>
      <c r="WP13" s="1439" t="n">
        <v>26.39496594569121</v>
      </c>
      <c r="WQ13" s="1439" t="n">
        <v>26.7725933082725</v>
      </c>
      <c r="WR13" s="1439">
        <f>$D49/WR$7</f>
        <v/>
      </c>
      <c r="WS13" s="1439" t="n">
        <v>27.11865800678892</v>
      </c>
      <c r="WT13" s="1439" t="n">
        <v>17.32371173431556</v>
      </c>
      <c r="WU13" s="1439" t="n">
        <v>23.80934153007556</v>
      </c>
      <c r="WV13" s="1439" t="n">
        <v>23.65449180995015</v>
      </c>
      <c r="WW13" s="1439" t="n">
        <v>24.26061274209574</v>
      </c>
      <c r="WX13" s="1439" t="n">
        <v>26.3067372489086</v>
      </c>
      <c r="WY13" s="1439" t="n">
        <v>26.0009783720482</v>
      </c>
      <c r="WZ13" s="1439" t="n">
        <v>25.68104808347377</v>
      </c>
      <c r="XA13" s="1439" t="n">
        <v>25.21858368632562</v>
      </c>
      <c r="XB13" s="1439" t="n">
        <v>25.94525159154365</v>
      </c>
      <c r="XC13" s="1439" t="n">
        <v>28.27529467309575</v>
      </c>
      <c r="XD13" s="1439" t="n">
        <v>30.65208375765934</v>
      </c>
      <c r="XE13" s="1439" t="n">
        <v>26.79583385134589</v>
      </c>
      <c r="XF13" s="1439" t="n">
        <v>22.70793950850662</v>
      </c>
      <c r="XG13" s="1439" t="n">
        <v>22.82850118180847</v>
      </c>
      <c r="XH13" s="1439" t="n">
        <v>22.82484131272526</v>
      </c>
      <c r="XI13" s="1439" t="n">
        <v>26.50453809699325</v>
      </c>
      <c r="XJ13" s="1439" t="n">
        <v>22.62203159668898</v>
      </c>
      <c r="XK13" s="1439" t="n">
        <v>23.85745137323452</v>
      </c>
      <c r="XL13" s="1439" t="n">
        <v>23.50570852921424</v>
      </c>
      <c r="XM13" s="1439" t="n">
        <v>18.96819834292996</v>
      </c>
      <c r="XN13" s="1439" t="n">
        <v>23.49888100566639</v>
      </c>
      <c r="XO13" s="1439" t="n">
        <v>30.01497033792845</v>
      </c>
      <c r="XP13" s="1439" t="n">
        <v>29.75620534727848</v>
      </c>
      <c r="XQ13" s="1439" t="n">
        <v>29.43044083740774</v>
      </c>
      <c r="XR13" s="1439" t="n">
        <v>26.84178193707388</v>
      </c>
      <c r="XS13" s="1439" t="n">
        <v>24.48735646646479</v>
      </c>
      <c r="XT13" s="1439">
        <f>$D49/XT$7</f>
        <v/>
      </c>
      <c r="XU13" s="1439" t="n">
        <v>27.72007023890307</v>
      </c>
      <c r="XV13" s="1439" t="n">
        <v>27.57780444541023</v>
      </c>
      <c r="XW13" s="1439" t="n">
        <v>27.901151617254</v>
      </c>
      <c r="XX13" s="1439" t="n">
        <v>27.93676077030764</v>
      </c>
      <c r="XY13" s="1439" t="n">
        <v>32.88485479358572</v>
      </c>
      <c r="XZ13" s="1439" t="n">
        <v>33.15728394476944</v>
      </c>
      <c r="YA13" s="1439" t="n">
        <v>33.68828943326821</v>
      </c>
      <c r="YB13" s="1439" t="n">
        <v>33.96737426805261</v>
      </c>
      <c r="YC13" s="1439" t="n">
        <v>33.92263030856546</v>
      </c>
      <c r="YD13" s="1439" t="n">
        <v>32.75218808217046</v>
      </c>
      <c r="YE13" s="1439" t="n">
        <v>38.98721699514081</v>
      </c>
      <c r="YF13" s="1439" t="n">
        <v>32.02083827384221</v>
      </c>
      <c r="YG13" s="1439" t="n">
        <v>38.22958476983894</v>
      </c>
      <c r="YH13" s="1439" t="n">
        <v>38.36034472523156</v>
      </c>
      <c r="YI13" s="1439" t="n">
        <v>38.69483106927856</v>
      </c>
      <c r="YJ13" s="1439" t="n">
        <v>45.30823483855519</v>
      </c>
      <c r="YK13" s="1439" t="n">
        <v>45.18919880325485</v>
      </c>
      <c r="YL13" s="1439" t="n">
        <v>38.31794442109889</v>
      </c>
      <c r="YM13" s="1439">
        <f>$D49/YM$7</f>
        <v/>
      </c>
      <c r="YN13" s="1439" t="n">
        <v>28.75611625377305</v>
      </c>
      <c r="YO13" s="1439" t="n">
        <v>28.62288993451641</v>
      </c>
      <c r="YP13" s="1439" t="n">
        <v>50.86547413978999</v>
      </c>
      <c r="YQ13" s="1439" t="n">
        <v>50.94101132516499</v>
      </c>
      <c r="YR13" s="1439" t="n">
        <v>54.49786486064666</v>
      </c>
      <c r="YS13" s="1439" t="n">
        <v>48.09863289869737</v>
      </c>
      <c r="YT13" s="1439" t="n">
        <v>55.3252831409357</v>
      </c>
      <c r="YU13" s="1439" t="n">
        <v>55.24918274592266</v>
      </c>
      <c r="YV13" s="1439" t="n">
        <v>58.57856178119756</v>
      </c>
      <c r="YW13" s="1439" t="n">
        <v>55.67409711554546</v>
      </c>
      <c r="YX13" s="1439" t="n">
        <v>53.91339536575308</v>
      </c>
      <c r="YY13" s="1439" t="n">
        <v>55.98365759050903</v>
      </c>
      <c r="YZ13" s="1439" t="n">
        <v>24.02100713089442</v>
      </c>
      <c r="ZA13" s="1439" t="n">
        <v>57.38561163798632</v>
      </c>
      <c r="ZB13" s="1439" t="n">
        <v>54.87888668190732</v>
      </c>
      <c r="ZC13" s="1439" t="n">
        <v>54.78143541576777</v>
      </c>
      <c r="ZD13" s="1439" t="n">
        <v>53.18402198055643</v>
      </c>
      <c r="ZE13" s="1439" t="n">
        <v>54.37490766406999</v>
      </c>
      <c r="ZF13" s="1440">
        <f>$D49/ZF$7</f>
        <v/>
      </c>
    </row>
    <row r="14">
      <c r="A14" s="120" t="n"/>
      <c r="B14" s="124" t="n"/>
      <c r="C14" s="415" t="inlineStr">
        <is>
          <t>Time Deposit Rate</t>
        </is>
      </c>
      <c r="D14" s="14" t="n">
        <v>0.0868</v>
      </c>
      <c r="E14" s="8" t="n">
        <v>0.08783446847676023</v>
      </c>
      <c r="F14" s="8" t="n">
        <v>0.08783446847676023</v>
      </c>
      <c r="G14" s="8" t="n">
        <v>0.08783446847676023</v>
      </c>
      <c r="H14" s="8" t="n">
        <v>0.08783446847676023</v>
      </c>
      <c r="I14" s="8" t="n">
        <v>0.08783446847676023</v>
      </c>
      <c r="J14" s="8" t="n">
        <v>0.08783446847676023</v>
      </c>
      <c r="K14" s="8" t="n">
        <v>0.08783446847676023</v>
      </c>
      <c r="L14" s="8" t="n">
        <v>0.08783446847676023</v>
      </c>
      <c r="M14" s="8" t="n">
        <v>0.09681033154973247</v>
      </c>
      <c r="N14" s="8" t="n">
        <v>0.09681033154973247</v>
      </c>
      <c r="O14" s="8" t="n">
        <v>0.09681033154973247</v>
      </c>
      <c r="P14" s="8" t="n">
        <v>0.09681033154973247</v>
      </c>
      <c r="Q14" s="8" t="n">
        <v>0.09681033154973247</v>
      </c>
      <c r="R14" s="8" t="n">
        <v>0.09681301130113011</v>
      </c>
      <c r="S14" s="8" t="n">
        <v>0.09681301130113011</v>
      </c>
      <c r="T14" s="8" t="n">
        <v>0.09681301130113011</v>
      </c>
      <c r="U14" s="8" t="n">
        <v>0.09681301130113011</v>
      </c>
      <c r="V14" s="8" t="n">
        <v>0.09827644078530716</v>
      </c>
      <c r="W14" s="8" t="n">
        <v>0.09827644078530716</v>
      </c>
      <c r="X14" s="8" t="n">
        <v>0.09827644078530716</v>
      </c>
      <c r="Y14" s="8" t="n">
        <v>0.09807514267596702</v>
      </c>
      <c r="Z14" s="8" t="n">
        <v>0.1060926133184107</v>
      </c>
      <c r="AA14" s="8" t="n">
        <v>0.1059767376681614</v>
      </c>
      <c r="AB14" s="8" t="n">
        <v>0.1059767376681614</v>
      </c>
      <c r="AC14" s="8" t="n">
        <v>0.103008896797153</v>
      </c>
      <c r="AD14" s="8" t="n">
        <v>0.103093009478673</v>
      </c>
      <c r="AE14" s="8" t="n">
        <v>0.09807116788321169</v>
      </c>
      <c r="AF14" s="8" t="n">
        <v>0.1451012150668287</v>
      </c>
      <c r="AG14" s="8" t="n">
        <v>0.1590594237695078</v>
      </c>
      <c r="AH14" s="8" t="n">
        <v>0.16087109375</v>
      </c>
      <c r="AI14" s="8" t="n">
        <v>0.16087109375</v>
      </c>
      <c r="AJ14" s="8" t="n">
        <v>0.1592827521206409</v>
      </c>
      <c r="AK14" s="8" t="n">
        <v>0.1592820267686424</v>
      </c>
      <c r="AL14" s="8">
        <f>#REF!</f>
        <v/>
      </c>
      <c r="AM14" s="8" t="n">
        <v>0.1562650339703158</v>
      </c>
      <c r="AN14" s="8" t="n">
        <v>0.1595037314853597</v>
      </c>
      <c r="AO14" s="8" t="n">
        <v>0.1595035028270098</v>
      </c>
      <c r="AP14" s="8" t="n">
        <v>0.15950350282701</v>
      </c>
      <c r="AQ14" s="8" t="n">
        <v>0.15950350282701</v>
      </c>
      <c r="AR14" s="8" t="n">
        <v>0.1575480090035392</v>
      </c>
      <c r="AS14" s="8" t="n">
        <v>0.1575480090035392</v>
      </c>
      <c r="AT14" s="8" t="n">
        <v>0.1546479449844714</v>
      </c>
      <c r="AU14" s="8" t="n">
        <v>0.1557867818389885</v>
      </c>
      <c r="AV14" s="8" t="n">
        <v>0.1557917251051893</v>
      </c>
      <c r="AW14" s="8" t="n">
        <v>0.1557917251051893</v>
      </c>
      <c r="AX14" s="8" t="n">
        <v>0.155791725105189</v>
      </c>
      <c r="AY14" s="8" t="n">
        <v>0.1417791304347826</v>
      </c>
      <c r="AZ14" s="8" t="n">
        <v>0.1422225732337737</v>
      </c>
      <c r="BA14" s="8" t="n">
        <v>0.1382063058589871</v>
      </c>
      <c r="BB14" s="8" t="n">
        <v>0.1380576122165664</v>
      </c>
      <c r="BC14" s="8" t="n">
        <v>0.1382348130841121</v>
      </c>
      <c r="BD14" s="8" t="n">
        <v>0.1394820875718709</v>
      </c>
      <c r="BE14" s="8" t="n">
        <v>0.13948208757187</v>
      </c>
      <c r="BF14" s="8" t="n">
        <v>0.140666985645933</v>
      </c>
      <c r="BG14" s="8" t="n">
        <v>0.14066698564593</v>
      </c>
      <c r="BH14" s="8" t="n">
        <v>0.1403544642857143</v>
      </c>
      <c r="BI14" s="8" t="n">
        <v>0.14035446428571</v>
      </c>
      <c r="BJ14" s="8" t="n">
        <v>0.14035446428571</v>
      </c>
      <c r="BK14" s="8" t="n">
        <v>0.14035446428571</v>
      </c>
      <c r="BL14" s="8" t="n">
        <v>0.1376</v>
      </c>
      <c r="BM14" s="8" t="n">
        <v>0.1376</v>
      </c>
      <c r="BN14" s="8" t="n">
        <v>0.1376</v>
      </c>
      <c r="BO14" s="8" t="n">
        <v>0.1376</v>
      </c>
      <c r="BP14" s="8" t="n">
        <v>0.1376</v>
      </c>
      <c r="BQ14" s="8" t="n">
        <v>0.1376</v>
      </c>
      <c r="BR14" s="8" t="n">
        <v>0.1376</v>
      </c>
      <c r="BS14" s="8" t="n">
        <v>0.1376</v>
      </c>
      <c r="BT14" s="8" t="n">
        <v>0.1376</v>
      </c>
      <c r="BU14" s="8" t="n">
        <v>0.1376</v>
      </c>
      <c r="BV14" s="8" t="n">
        <v>0.1376</v>
      </c>
      <c r="BW14" s="8" t="n">
        <v>0.1376</v>
      </c>
      <c r="BX14" s="8" t="n">
        <v>0.1376</v>
      </c>
      <c r="BY14" s="8" t="n">
        <v>0.1376</v>
      </c>
      <c r="BZ14" s="8" t="n">
        <v>0.1376</v>
      </c>
      <c r="CA14" s="8" t="n">
        <v>0.1376</v>
      </c>
      <c r="CB14" s="8" t="n">
        <v>0.1376</v>
      </c>
      <c r="CC14" s="8" t="n">
        <v>0.1128</v>
      </c>
      <c r="CD14" s="8" t="n">
        <v>0.1112</v>
      </c>
      <c r="CE14" s="8" t="n">
        <v>0.1031</v>
      </c>
      <c r="CF14" s="8" t="n">
        <v>0.1031</v>
      </c>
      <c r="CG14" s="8" t="n">
        <v>0.1031</v>
      </c>
      <c r="CH14" s="8" t="n">
        <v>0.09884248818897637</v>
      </c>
      <c r="CI14" s="8" t="n">
        <v>0.09884248818898</v>
      </c>
      <c r="CJ14" s="8" t="n">
        <v>0.08437159701751344</v>
      </c>
      <c r="CK14" s="8" t="n">
        <v>0.08342400023082694</v>
      </c>
      <c r="CL14" s="8" t="n">
        <v>0.08342400023083001</v>
      </c>
      <c r="CM14" s="8" t="n">
        <v>0.08441564690507306</v>
      </c>
      <c r="CN14" s="8" t="n">
        <v>0.08441564690507</v>
      </c>
      <c r="CO14" s="8" t="n">
        <v>0.08441564690507</v>
      </c>
      <c r="CP14" s="8" t="n">
        <v>0.09813934426229509</v>
      </c>
      <c r="CQ14" s="8" t="n">
        <v>0.07465430711610486</v>
      </c>
      <c r="CR14" s="8" t="n">
        <v>0.09137603305785123</v>
      </c>
      <c r="CS14" s="8" t="n">
        <v>0.08944721407624633</v>
      </c>
      <c r="CT14" s="8" t="n">
        <v>0.08944721407625</v>
      </c>
      <c r="CU14" s="8" t="n">
        <v>0.08944721407625</v>
      </c>
      <c r="CV14" s="8" t="n">
        <v>0.08988704995044251</v>
      </c>
      <c r="CW14" s="8" t="n">
        <v>0.08988704995044251</v>
      </c>
      <c r="CX14" s="8" t="n">
        <v>0.08854224506326284</v>
      </c>
      <c r="CY14" s="8" t="n">
        <v>0.08854224506326</v>
      </c>
      <c r="CZ14" s="8" t="n">
        <v>0.08854224506326</v>
      </c>
      <c r="DA14" s="8" t="n">
        <v>0.08611310128335331</v>
      </c>
      <c r="DB14" s="8" t="n">
        <v>0.08391574157270802</v>
      </c>
      <c r="DC14" s="8" t="n">
        <v>0.08391574157271001</v>
      </c>
      <c r="DD14" s="8" t="n">
        <v>0.08391574157271001</v>
      </c>
      <c r="DE14" s="8" t="n">
        <v>0.08360514243331592</v>
      </c>
      <c r="DF14" s="8" t="n">
        <v>0.08421513353115727</v>
      </c>
      <c r="DG14" s="8" t="n">
        <v>0.08421513353116</v>
      </c>
      <c r="DH14" s="8" t="n">
        <v>0.08452304147465436</v>
      </c>
      <c r="DI14" s="8" t="n">
        <v>0.08452304147464999</v>
      </c>
      <c r="DJ14" s="8" t="n">
        <v>0.08506677524429966</v>
      </c>
      <c r="DK14" s="8" t="n">
        <v>0.08482677040330262</v>
      </c>
      <c r="DL14" s="8" t="n">
        <v>0.0848267704033</v>
      </c>
      <c r="DM14" s="8" t="n">
        <v>0.08506677524429966</v>
      </c>
      <c r="DN14" s="8" t="n">
        <v>0.08506677524429999</v>
      </c>
      <c r="DO14" s="8" t="n">
        <v>0.08506677524429999</v>
      </c>
      <c r="DP14" s="8" t="n">
        <v>0.07645114006514657</v>
      </c>
      <c r="DQ14" s="8" t="n">
        <v>0.0746731203614069</v>
      </c>
      <c r="DR14" s="8" t="n">
        <v>0.07522458119091059</v>
      </c>
      <c r="DS14" s="8" t="n">
        <v>0.07522458119090999</v>
      </c>
      <c r="DT14" s="8" t="n">
        <v>0.07991654727793696</v>
      </c>
      <c r="DU14" s="8" t="n">
        <v>0.07991654727793999</v>
      </c>
      <c r="DV14" s="8" t="n">
        <v>0.08018016975308641</v>
      </c>
      <c r="DW14" s="8" t="n">
        <v>0.08018016975309</v>
      </c>
      <c r="DX14" s="8" t="n">
        <v>0.08018016975309</v>
      </c>
      <c r="DY14" s="8" t="n">
        <v>0.08001733038348081</v>
      </c>
      <c r="DZ14" s="8" t="n">
        <v>0.07855198915009041</v>
      </c>
      <c r="EA14" s="8" t="n">
        <v>0.07807967137944211</v>
      </c>
      <c r="EB14" s="8" t="n">
        <v>0.07832079736950268</v>
      </c>
      <c r="EC14" s="8" t="n">
        <v>0.0783207973695</v>
      </c>
      <c r="ED14" s="8" t="n">
        <v>0.07814065708418891</v>
      </c>
      <c r="EE14" s="8" t="n">
        <v>0.07832270670505964</v>
      </c>
      <c r="EF14" s="8" t="n">
        <v>0.07832270670506</v>
      </c>
      <c r="EG14" s="8" t="n">
        <v>0.07834731191641643</v>
      </c>
      <c r="EH14" s="8" t="n">
        <v>0.07834731191642</v>
      </c>
      <c r="EI14" s="8" t="n">
        <v>0.07834731191642</v>
      </c>
      <c r="EJ14" s="8" t="n">
        <v>0.07834731191642</v>
      </c>
      <c r="EK14" s="8" t="n">
        <v>0.07834731191642</v>
      </c>
      <c r="EL14" s="8" t="n">
        <v>0.07587382085144778</v>
      </c>
      <c r="EM14" s="8" t="n">
        <v>0.07587382085145</v>
      </c>
      <c r="EN14" s="8" t="n">
        <v>0.07579420060273548</v>
      </c>
      <c r="EO14" s="8" t="n">
        <v>0.07572330363012195</v>
      </c>
      <c r="EP14" s="8" t="n">
        <v>0.07333037018107476</v>
      </c>
      <c r="EQ14" s="8" t="n">
        <v>0.0733513373010182</v>
      </c>
      <c r="ER14" s="8" t="n">
        <v>0.0751081134375448</v>
      </c>
      <c r="ES14" s="8" t="n">
        <v>0.07510811343753999</v>
      </c>
      <c r="ET14" s="8" t="n">
        <v>0.07483921913093358</v>
      </c>
      <c r="EU14" s="8" t="n">
        <v>0.07483921913093</v>
      </c>
      <c r="EV14" s="8" t="n">
        <v>0.07471765354779018</v>
      </c>
      <c r="EW14" s="8" t="n">
        <v>0.07468319236683908</v>
      </c>
      <c r="EX14" s="8" t="n">
        <v>0.07468319236684</v>
      </c>
      <c r="EY14" s="8" t="n">
        <v>0.07442043253712073</v>
      </c>
      <c r="EZ14" s="8" t="n">
        <v>0.07444049927290354</v>
      </c>
      <c r="FA14" s="8" t="n">
        <v>0.0744404992729</v>
      </c>
      <c r="FB14" s="8" t="n">
        <v>0.0744404992729</v>
      </c>
      <c r="FC14" s="8" t="n">
        <v>0.0744404992729</v>
      </c>
      <c r="FD14" s="8" t="n">
        <v>0.07433643695268423</v>
      </c>
      <c r="FE14" s="8" t="n">
        <v>0.07433643695268</v>
      </c>
      <c r="FF14" s="8" t="n">
        <v>0.07499016260437442</v>
      </c>
      <c r="FG14" s="8" t="n">
        <v>0.07499016260437</v>
      </c>
      <c r="FH14" s="8" t="n">
        <v>0.07499016260437</v>
      </c>
      <c r="FI14" s="8" t="n">
        <v>0.07519502243982049</v>
      </c>
      <c r="FJ14" s="8" t="n">
        <v>0.07654178105122196</v>
      </c>
      <c r="FK14" s="8" t="n">
        <v>0.07747648809523809</v>
      </c>
      <c r="FL14" s="8" t="n">
        <v>0.07788944773175542</v>
      </c>
      <c r="FM14" s="8" t="n">
        <v>0.07812604556273377</v>
      </c>
      <c r="FN14" s="8" t="n">
        <v>0.07812604556273001</v>
      </c>
      <c r="FO14" s="8" t="n">
        <v>0.07970787564766839</v>
      </c>
      <c r="FP14" s="8" t="n">
        <v>0.08197634007461221</v>
      </c>
      <c r="FQ14" s="8" t="n">
        <v>0.08197634007460999</v>
      </c>
      <c r="FR14" s="8" t="n">
        <v>0.08197634007461221</v>
      </c>
      <c r="FS14" s="8" t="n">
        <v>0.0820312317661149</v>
      </c>
      <c r="FT14" s="8" t="n">
        <v>0.0830722260875327</v>
      </c>
      <c r="FU14" s="8" t="n">
        <v>0.08307222608753</v>
      </c>
      <c r="FV14" s="8" t="n">
        <v>0.08307222608753</v>
      </c>
      <c r="FW14" s="8" t="n">
        <v>0.08307222608753</v>
      </c>
      <c r="FX14" s="8" t="n">
        <v>0.08307222608753</v>
      </c>
      <c r="FY14" s="8" t="n">
        <v>0.0832471590296496</v>
      </c>
      <c r="FZ14" s="8" t="n">
        <v>0.08324715902965001</v>
      </c>
      <c r="GA14" s="8" t="n">
        <v>0.08324715902965001</v>
      </c>
      <c r="GB14" s="8" t="n">
        <v>0.08303522901773895</v>
      </c>
      <c r="GC14" s="8" t="n">
        <v>0.08303522901774001</v>
      </c>
      <c r="GD14" s="8" t="n">
        <v>0.08322503574265291</v>
      </c>
      <c r="GE14" s="8" t="n">
        <v>0.0834290093998554</v>
      </c>
      <c r="GF14" s="8" t="n">
        <v>0.08322503574265</v>
      </c>
      <c r="GG14" s="8" t="n">
        <v>0.08351066340480646</v>
      </c>
      <c r="GH14" s="8" t="n">
        <v>0.08351066340481</v>
      </c>
      <c r="GI14" s="8" t="n">
        <v>0.08356144272044895</v>
      </c>
      <c r="GJ14" s="8" t="n">
        <v>0.08356144272045</v>
      </c>
      <c r="GK14" s="8" t="n">
        <v>0.08358615842249199</v>
      </c>
      <c r="GL14" s="8" t="n">
        <v>0.08358615842249</v>
      </c>
      <c r="GM14" s="8" t="n">
        <v>0.08373683679733404</v>
      </c>
      <c r="GN14" s="8" t="n">
        <v>0.08373683679733</v>
      </c>
      <c r="GO14" s="8" t="n">
        <v>0.08373683679733</v>
      </c>
      <c r="GP14" s="8" t="n">
        <v>0.08373683679733</v>
      </c>
      <c r="GQ14" s="8" t="n">
        <v>0.08399055534744337</v>
      </c>
      <c r="GR14" s="8" t="n">
        <v>0.08397303969022268</v>
      </c>
      <c r="GS14" s="8" t="n">
        <v>0.08397303969022001</v>
      </c>
      <c r="GT14" s="8" t="n">
        <v>0.08397303969022001</v>
      </c>
      <c r="GU14" s="8" t="n">
        <v>0.08397303969022001</v>
      </c>
      <c r="GV14" s="8" t="n">
        <v>0.08399937524748122</v>
      </c>
      <c r="GW14" s="8" t="n">
        <v>0.08399937524748</v>
      </c>
      <c r="GX14" s="8" t="n">
        <v>0.08399937524748</v>
      </c>
      <c r="GY14" s="8" t="n">
        <v>0.08399937524748</v>
      </c>
      <c r="GZ14" s="8" t="n">
        <v>0.08427726513213982</v>
      </c>
      <c r="HA14" s="8" t="n">
        <v>0.08427726513214</v>
      </c>
      <c r="HB14" s="8" t="n">
        <v>0.08427726513214</v>
      </c>
      <c r="HC14" s="8" t="n">
        <v>0.08424040861931364</v>
      </c>
      <c r="HD14" s="8" t="n">
        <v>0.08424040861930999</v>
      </c>
      <c r="HE14" s="8" t="n">
        <v>0.08070335519179567</v>
      </c>
      <c r="HF14" s="8" t="n">
        <v>0.08069587073182315</v>
      </c>
      <c r="HG14" s="8" t="n">
        <v>0.08092163186548136</v>
      </c>
      <c r="HH14" s="8" t="n">
        <v>0.08092163186548136</v>
      </c>
      <c r="HI14" s="8" t="n">
        <v>0.08090820854386772</v>
      </c>
      <c r="HJ14" s="8" t="n">
        <v>0.08081662773216144</v>
      </c>
      <c r="HK14" s="8" t="n">
        <v>0.08081662773216144</v>
      </c>
      <c r="HL14" s="8" t="n">
        <v>0.08077605263157894</v>
      </c>
      <c r="HM14" s="8" t="n">
        <v>0.08077605263157894</v>
      </c>
      <c r="HN14" s="8" t="n">
        <v>0.08056472539000371</v>
      </c>
      <c r="HO14" s="8" t="n">
        <v>0.08042598220026395</v>
      </c>
      <c r="HP14" s="8" t="n">
        <v>0.08042598220026395</v>
      </c>
      <c r="HQ14" s="8" t="n">
        <v>0.0804408717133092</v>
      </c>
      <c r="HR14" s="8" t="n">
        <v>0.0804408717133092</v>
      </c>
      <c r="HS14" s="8" t="n">
        <v>0.0804408717133092</v>
      </c>
      <c r="HT14" s="8" t="n">
        <v>0.0804408717133092</v>
      </c>
      <c r="HU14" s="8" t="n">
        <v>0.08036900638917076</v>
      </c>
      <c r="HV14" s="8" t="n">
        <v>0.0800741498852045</v>
      </c>
      <c r="HW14" s="8" t="n">
        <v>0.08007457390991718</v>
      </c>
      <c r="HX14" s="8" t="n">
        <v>0.08007457390991718</v>
      </c>
      <c r="HY14" s="8" t="n">
        <v>0.07963446426776</v>
      </c>
      <c r="HZ14" s="8" t="n">
        <v>0.07993695996619839</v>
      </c>
      <c r="IA14" s="8" t="n">
        <v>0.07985742951334754</v>
      </c>
      <c r="IB14" s="8" t="n">
        <v>0.07982660570840594</v>
      </c>
      <c r="IC14" s="8" t="n">
        <v>0.08141838645180938</v>
      </c>
      <c r="ID14" s="8">
        <f>#REF!</f>
        <v/>
      </c>
      <c r="IE14" s="8" t="n">
        <v>0.07963976590155036</v>
      </c>
      <c r="IF14" s="8" t="n">
        <v>0.07963976590155036</v>
      </c>
      <c r="IG14" s="8" t="n">
        <v>0.08061499368686868</v>
      </c>
      <c r="IH14" s="8" t="n">
        <v>0.08061499368686868</v>
      </c>
      <c r="II14" s="8" t="n">
        <v>0.08061499368686868</v>
      </c>
      <c r="IJ14" s="8" t="n">
        <v>0.08071005694990424</v>
      </c>
      <c r="IK14" s="8" t="n">
        <v>0.08071190758144572</v>
      </c>
      <c r="IL14" s="8" t="n">
        <v>0.08071190758144572</v>
      </c>
      <c r="IM14" s="8" t="n">
        <v>0.08061251848081631</v>
      </c>
      <c r="IN14" s="8" t="n">
        <v>0.08061251848081631</v>
      </c>
      <c r="IO14" s="8" t="n">
        <v>0.08061251848081631</v>
      </c>
      <c r="IP14" s="8" t="n">
        <v>0.08061251848081631</v>
      </c>
      <c r="IQ14" s="8" t="n">
        <v>0.08056792200152693</v>
      </c>
      <c r="IR14" s="8" t="n">
        <v>0.08063640789649193</v>
      </c>
      <c r="IS14" s="8" t="n">
        <v>0.08031859724388976</v>
      </c>
      <c r="IT14" s="8" t="n">
        <v>0.08063640789649193</v>
      </c>
      <c r="IU14" s="8" t="n">
        <v>0.08063640789649193</v>
      </c>
      <c r="IV14" s="8" t="n">
        <v>0.08063640789649193</v>
      </c>
      <c r="IW14" s="8" t="n">
        <v>0.08063640789649193</v>
      </c>
      <c r="IX14" s="8" t="n">
        <v>0.08063640789649193</v>
      </c>
      <c r="IY14" s="8" t="n">
        <v>0.08063640789649193</v>
      </c>
      <c r="IZ14" s="8" t="n">
        <v>0.08023153446899123</v>
      </c>
      <c r="JA14" s="8" t="n">
        <v>0.08044102373887241</v>
      </c>
      <c r="JB14" s="8" t="n">
        <v>0.07998243564356436</v>
      </c>
      <c r="JC14" s="8" t="n">
        <v>0.07981596799788418</v>
      </c>
      <c r="JD14" s="8" t="n">
        <v>0.07994685580774367</v>
      </c>
      <c r="JE14" s="8" t="n">
        <v>0.07994685580774367</v>
      </c>
      <c r="JF14" s="8" t="n">
        <v>0.07885174827961847</v>
      </c>
      <c r="JG14" s="8" t="n">
        <v>0.07973116584236258</v>
      </c>
      <c r="JH14" s="8" t="n">
        <v>0.07949613388247906</v>
      </c>
      <c r="JI14" s="8" t="n">
        <v>0.07959838021559204</v>
      </c>
      <c r="JJ14" s="8" t="n">
        <v>0.07959838021559204</v>
      </c>
      <c r="JK14" s="8" t="n">
        <v>0.07957689704690545</v>
      </c>
      <c r="JL14" s="8" t="n">
        <v>0.07956767684105008</v>
      </c>
      <c r="JM14" s="8" t="n">
        <v>0.07942176527889544</v>
      </c>
      <c r="JN14" s="8" t="n">
        <v>0.07942176527889544</v>
      </c>
      <c r="JO14" s="8" t="n">
        <v>0.07942176527889544</v>
      </c>
      <c r="JP14" s="8" t="n">
        <v>0.07934491884262528</v>
      </c>
      <c r="JQ14" s="8" t="n">
        <v>0.07934491884262528</v>
      </c>
      <c r="JR14" s="8" t="n">
        <v>0.07934491884262528</v>
      </c>
      <c r="JS14" s="8" t="n">
        <v>0.07788104233312376</v>
      </c>
      <c r="JT14" s="8" t="n">
        <v>0.07788104233312376</v>
      </c>
      <c r="JU14" s="8">
        <f>#REF!</f>
        <v/>
      </c>
      <c r="JV14" s="8" t="n">
        <v>0.07788104233312376</v>
      </c>
      <c r="JW14" s="8" t="n">
        <v>0.07617853788670942</v>
      </c>
      <c r="JX14" s="8" t="n">
        <v>0.07617853788670942</v>
      </c>
      <c r="JY14" s="8" t="n">
        <v>0.07735015736547168</v>
      </c>
      <c r="JZ14" s="8" t="n">
        <v>0.07729725369550536</v>
      </c>
      <c r="KA14" s="8" t="n">
        <v>0.07729725369550536</v>
      </c>
      <c r="KB14" s="8" t="n">
        <v>0.07729725369550536</v>
      </c>
      <c r="KC14" s="8" t="n">
        <v>0.07719181239481963</v>
      </c>
      <c r="KD14" s="8" t="n">
        <v>0.07719181239481963</v>
      </c>
      <c r="KE14" s="8" t="n">
        <v>0.07541049622361827</v>
      </c>
      <c r="KF14" s="8" t="n">
        <v>0.07541049622361827</v>
      </c>
      <c r="KG14" s="8" t="n">
        <v>0.07541049622361827</v>
      </c>
      <c r="KH14" s="8" t="n">
        <v>0.07541049622361827</v>
      </c>
      <c r="KI14" s="8" t="n">
        <v>0.0754256273024258</v>
      </c>
      <c r="KJ14" s="8" t="n">
        <v>0.07654400606980274</v>
      </c>
      <c r="KK14" s="8" t="n">
        <v>0.07652246293172335</v>
      </c>
      <c r="KL14" s="8" t="n">
        <v>0.07652246293172335</v>
      </c>
      <c r="KM14" s="8" t="n">
        <v>0.07703178014023979</v>
      </c>
      <c r="KN14" s="8" t="n">
        <v>0.07767914164998888</v>
      </c>
      <c r="KO14" s="8" t="n">
        <v>0.07767837397168902</v>
      </c>
      <c r="KP14" s="8" t="n">
        <v>0.07767837397168902</v>
      </c>
      <c r="KQ14" s="8" t="n">
        <v>0.07695615892119191</v>
      </c>
      <c r="KR14" s="8" t="n">
        <v>0.07710945626477543</v>
      </c>
      <c r="KS14" s="8" t="n">
        <v>0.07688312736806767</v>
      </c>
      <c r="KT14" s="8" t="n">
        <v>0.07687435516103547</v>
      </c>
      <c r="KU14" s="8" t="n">
        <v>0.07705467997807765</v>
      </c>
      <c r="KV14" s="8" t="n">
        <v>0.07735634762763874</v>
      </c>
      <c r="KW14" s="8" t="n">
        <v>0.07735634762763874</v>
      </c>
      <c r="KX14" s="8" t="n">
        <v>0.07639820508559082</v>
      </c>
      <c r="KY14" s="8" t="n">
        <v>0.07651368594775187</v>
      </c>
      <c r="KZ14" s="8" t="n">
        <v>0.07662924196107262</v>
      </c>
      <c r="LA14" s="8" t="n">
        <v>0.07639782408473404</v>
      </c>
      <c r="LB14" s="8" t="n">
        <v>0.07639782408473404</v>
      </c>
      <c r="LC14" s="8" t="n">
        <v>0.07645305891238671</v>
      </c>
      <c r="LD14" s="8" t="n">
        <v>0.07645157208588958</v>
      </c>
      <c r="LE14" s="8" t="n">
        <v>0.0765087518463811</v>
      </c>
      <c r="LF14" s="8" t="n">
        <v>0.07645336041358937</v>
      </c>
      <c r="LG14" s="8" t="n">
        <v>0.07645336041358937</v>
      </c>
      <c r="LH14" s="8" t="n">
        <v>0.07645336041358937</v>
      </c>
      <c r="LI14" s="8" t="n">
        <v>0.07645502136752137</v>
      </c>
      <c r="LJ14" s="8" t="n">
        <v>0.07645502136752137</v>
      </c>
      <c r="LK14" s="8" t="n">
        <v>0.07645502136752137</v>
      </c>
      <c r="LL14" s="8" t="n">
        <v>0.07698181818181818</v>
      </c>
      <c r="LM14" s="8" t="n">
        <v>0.0765329462326262</v>
      </c>
      <c r="LN14" s="8" t="n">
        <v>0.0765329462326262</v>
      </c>
      <c r="LO14" s="8" t="n">
        <v>0.0765329462326262</v>
      </c>
      <c r="LP14" s="8" t="n">
        <v>0.07718907834907311</v>
      </c>
      <c r="LQ14" s="8" t="n">
        <v>0.07739358335366492</v>
      </c>
      <c r="LR14" s="8" t="n">
        <v>0.07739358335366492</v>
      </c>
      <c r="LS14" s="8" t="n">
        <v>0.07751030686514761</v>
      </c>
      <c r="LT14" s="8" t="n">
        <v>0.07813516832521704</v>
      </c>
      <c r="LU14" s="8" t="n">
        <v>0.07813516832521704</v>
      </c>
      <c r="LV14" s="8" t="n">
        <v>0.07813516832521704</v>
      </c>
      <c r="LW14" s="8" t="n">
        <v>0.07893719842082177</v>
      </c>
      <c r="LX14" s="8" t="n">
        <v>0.07940487943032852</v>
      </c>
      <c r="LY14" s="8" t="n">
        <v>0.07940487943032852</v>
      </c>
      <c r="LZ14" s="8" t="n">
        <v>0.07927931629133698</v>
      </c>
      <c r="MA14" s="8" t="n">
        <v>0.07932477599919462</v>
      </c>
      <c r="MB14" s="8" t="n">
        <v>0.08765446794820236</v>
      </c>
      <c r="MC14" s="8" t="n">
        <v>0.09135211791855878</v>
      </c>
      <c r="MD14" s="8" t="n">
        <v>0.09135211791855878</v>
      </c>
      <c r="ME14" s="8" t="n">
        <v>0.09196496344688132</v>
      </c>
      <c r="MF14" s="8" t="n">
        <v>0.1003873109585602</v>
      </c>
      <c r="MG14" s="8" t="n">
        <v>0.1000134135665194</v>
      </c>
      <c r="MH14" s="8" t="n">
        <v>0.106081224374984</v>
      </c>
      <c r="MI14" s="8" t="n">
        <v>0.106081224374984</v>
      </c>
      <c r="MJ14" s="8" t="n">
        <v>0.106081224374984</v>
      </c>
      <c r="MK14" s="8" t="n">
        <v>0.1082238593672867</v>
      </c>
      <c r="ML14" s="8" t="n">
        <v>0.1082238593672867</v>
      </c>
      <c r="MM14" s="8" t="n">
        <v>0.1096244333082336</v>
      </c>
      <c r="MN14" s="8" t="n">
        <v>0.1085230176967382</v>
      </c>
      <c r="MO14" s="8" t="n">
        <v>0.1158367512748854</v>
      </c>
      <c r="MP14" s="8" t="n">
        <v>0.1156188755388425</v>
      </c>
      <c r="MQ14" s="8" t="n">
        <v>0.1156188755388425</v>
      </c>
      <c r="MR14" s="8" t="n">
        <v>0.1153938389791141</v>
      </c>
      <c r="MS14" s="8" t="n">
        <v>0.1161343677438283</v>
      </c>
      <c r="MT14" s="8" t="n">
        <v>0.1171318700214945</v>
      </c>
      <c r="MU14" s="8" t="n">
        <v>0.1169708824195228</v>
      </c>
      <c r="MV14" s="8" t="n">
        <v>0.1169708824195228</v>
      </c>
      <c r="MW14" s="8" t="n">
        <v>0.1165703070239664</v>
      </c>
      <c r="MX14" s="8" t="n">
        <v>0.1163170753931747</v>
      </c>
      <c r="MY14" s="8" t="n">
        <v>0.1162791825033523</v>
      </c>
      <c r="MZ14" s="8" t="n">
        <v>0.118487170883034</v>
      </c>
      <c r="NA14" s="8" t="n">
        <v>0.1185639267764098</v>
      </c>
      <c r="NB14" s="8" t="n">
        <v>0.1185639267764098</v>
      </c>
      <c r="NC14" s="8" t="n">
        <v>0.1185639267764098</v>
      </c>
      <c r="ND14" s="8" t="n">
        <v>0.1194924767061808</v>
      </c>
      <c r="NE14" s="8" t="n">
        <v>0.1194924767061808</v>
      </c>
      <c r="NF14" s="8" t="n">
        <v>0.1194924767061808</v>
      </c>
      <c r="NG14" s="8" t="n">
        <v>0.1195941724963613</v>
      </c>
      <c r="NH14" s="8" t="n">
        <v>0.1195941724963613</v>
      </c>
      <c r="NI14" s="8" t="n">
        <v>0.1203240712236441</v>
      </c>
      <c r="NJ14" s="8" t="n">
        <v>0.1221319135962985</v>
      </c>
      <c r="NK14" s="8" t="n">
        <v>0.1221319135962985</v>
      </c>
      <c r="NL14" s="8" t="n">
        <v>0.1238025346638754</v>
      </c>
      <c r="NM14" s="8" t="n">
        <v>0.1238025346638754</v>
      </c>
      <c r="NN14" s="8" t="n">
        <v>0.1268195307370037</v>
      </c>
      <c r="NO14" s="8" t="n">
        <v>0.1268195307370037</v>
      </c>
      <c r="NP14" s="8" t="n">
        <v>0.1269499290099582</v>
      </c>
      <c r="NQ14" s="8" t="n">
        <v>0.1273133944343226</v>
      </c>
      <c r="NR14" s="8" t="n">
        <v>0.1278543445294978</v>
      </c>
      <c r="NS14" s="8" t="n">
        <v>0.1289192423293107</v>
      </c>
      <c r="NT14" s="8" t="n">
        <v>0.1293469851150927</v>
      </c>
      <c r="NU14" s="8" t="n">
        <v>0.1293469851150927</v>
      </c>
      <c r="NV14" s="8" t="n">
        <v>0.1293469851150927</v>
      </c>
      <c r="NW14" s="8" t="n">
        <v>0.1297822058915337</v>
      </c>
      <c r="NX14" s="8" t="n">
        <v>0.1303686473213059</v>
      </c>
      <c r="NY14" s="8" t="n">
        <v>0.1306849452360017</v>
      </c>
      <c r="NZ14" s="8" t="n">
        <v>0.1307473102846255</v>
      </c>
      <c r="OA14" s="8" t="n">
        <v>0.1312218050362828</v>
      </c>
      <c r="OB14" s="8" t="n">
        <v>0.1312218050362828</v>
      </c>
      <c r="OC14" s="8" t="n">
        <v>0.1319906849222619</v>
      </c>
      <c r="OD14" s="8" t="n">
        <v>0.1319906849222619</v>
      </c>
      <c r="OE14" s="8" t="n">
        <v>0.1319906849222619</v>
      </c>
      <c r="OF14" s="8" t="n">
        <v>0.1319900736252573</v>
      </c>
      <c r="OG14" s="8" t="n">
        <v>0.1332721995320323</v>
      </c>
      <c r="OH14" s="8" t="n">
        <v>0.1379820136773841</v>
      </c>
      <c r="OI14" s="8" t="n">
        <v>0.1384136225834987</v>
      </c>
      <c r="OJ14" s="8" t="n">
        <v>0.1392400465996796</v>
      </c>
      <c r="OK14" s="8" t="n">
        <v>0.1406870428402544</v>
      </c>
      <c r="OL14" s="8" t="n">
        <v>0.1420991098938719</v>
      </c>
      <c r="OM14" s="8" t="n">
        <v>0.1420991098938719</v>
      </c>
      <c r="ON14" s="8" t="n">
        <v>0.1420991098938719</v>
      </c>
      <c r="OO14" s="8" t="n">
        <v>0.1420991098938719</v>
      </c>
      <c r="OP14" s="8" t="n">
        <v>0.1426062109518559</v>
      </c>
      <c r="OQ14" s="8" t="n">
        <v>0.1426062109518559</v>
      </c>
      <c r="OR14" s="8" t="n">
        <v>0.1435386707193315</v>
      </c>
      <c r="OS14" s="8" t="n">
        <v>0.1440623964843818</v>
      </c>
      <c r="OT14" s="8" t="n">
        <v>0.1445551425209162</v>
      </c>
      <c r="OU14" s="8" t="n">
        <v>0.1445551425209162</v>
      </c>
      <c r="OV14" s="8" t="n">
        <v>0.1469416489831062</v>
      </c>
      <c r="OW14" s="8" t="n">
        <v>0.1469416489831062</v>
      </c>
      <c r="OX14" s="8" t="n">
        <v>0.1462419575177958</v>
      </c>
      <c r="OY14" s="8" t="n">
        <v>0.1476871679188618</v>
      </c>
      <c r="OZ14" s="8" t="n">
        <v>0.1483746081779963</v>
      </c>
      <c r="PA14" s="8" t="n">
        <v>0.1494150501704521</v>
      </c>
      <c r="PB14" s="8" t="n">
        <v>0.1494591925758111</v>
      </c>
      <c r="PC14" s="8" t="n">
        <v>0.150251243600897</v>
      </c>
      <c r="PD14" s="8" t="n">
        <v>0.1507924621657802</v>
      </c>
      <c r="PE14" s="8" t="n">
        <v>0.151894127729042</v>
      </c>
      <c r="PF14" s="8" t="n">
        <v>0.1526556366609395</v>
      </c>
      <c r="PG14" s="8" t="n">
        <v>0.1526556366609395</v>
      </c>
      <c r="PH14" s="8" t="n">
        <v>0.1534607492640351</v>
      </c>
      <c r="PI14" s="8" t="n">
        <v>0.1534607492640351</v>
      </c>
      <c r="PJ14" s="8" t="n">
        <v>0.153552731732275</v>
      </c>
      <c r="PK14" s="8" t="n">
        <v>0.153552731732275</v>
      </c>
      <c r="PL14" s="8" t="n">
        <v>0.1542883081741248</v>
      </c>
      <c r="PM14" s="8" t="n">
        <v>0.1542883081741248</v>
      </c>
      <c r="PN14" s="8" t="n">
        <v>0.1544467963790876</v>
      </c>
      <c r="PO14" s="8" t="n">
        <v>0.1544467963790876</v>
      </c>
      <c r="PP14" s="8" t="n">
        <v>0.1545088631358466</v>
      </c>
      <c r="PQ14" s="8" t="n">
        <v>0.1556456078640149</v>
      </c>
      <c r="PR14" s="8" t="n">
        <v>0.1556456078640149</v>
      </c>
      <c r="PS14" s="8" t="n">
        <v>0.158559355232054</v>
      </c>
      <c r="PT14" s="8" t="n">
        <v>0.1593699666751822</v>
      </c>
      <c r="PU14" s="8" t="n">
        <v>0.1594357505959556</v>
      </c>
      <c r="PV14" s="8" t="n">
        <v>0.1597560897084038</v>
      </c>
      <c r="PW14" s="8" t="n">
        <v>0.1613843907724305</v>
      </c>
      <c r="PX14" s="8" t="n">
        <v>0.1616019951713891</v>
      </c>
      <c r="PY14" s="8" t="n">
        <v>0.1617835311318511</v>
      </c>
      <c r="PZ14" s="8" t="n">
        <v>0.1620104395751255</v>
      </c>
      <c r="QA14" s="8" t="n">
        <v>0.1620104395751255</v>
      </c>
      <c r="QB14" s="8" t="n">
        <v>0.1615038406192803</v>
      </c>
      <c r="QC14" s="8" t="n">
        <v>0.1617104983291023</v>
      </c>
      <c r="QD14" s="8" t="n">
        <v>0.1617104983291023</v>
      </c>
      <c r="QE14" s="8" t="n">
        <v>0.1617104983291023</v>
      </c>
      <c r="QF14" s="8" t="n">
        <v>0.1620332038925462</v>
      </c>
      <c r="QG14" s="8" t="n">
        <v>0.1623601915879984</v>
      </c>
      <c r="QH14" s="8" t="n">
        <v>0.1623601915879984</v>
      </c>
      <c r="QI14" s="8" t="n">
        <v>0.162173033533713</v>
      </c>
      <c r="QJ14" s="8" t="n">
        <v>0.1624042664103908</v>
      </c>
      <c r="QK14" s="8" t="n">
        <v>0.1627090156447852</v>
      </c>
      <c r="QL14" s="8" t="n">
        <v>0.1627090156447852</v>
      </c>
      <c r="QM14" s="8" t="n">
        <v>0.162701944842108</v>
      </c>
      <c r="QN14" s="8" t="n">
        <v>0.1630598282276245</v>
      </c>
      <c r="QO14" s="8" t="n">
        <v>0.1630598282276245</v>
      </c>
      <c r="QP14" s="8" t="n">
        <v>0.1630598282276245</v>
      </c>
      <c r="QQ14" s="8" t="n">
        <v>0.1630598282276245</v>
      </c>
      <c r="QR14" s="8" t="n">
        <v>0.1627819003594939</v>
      </c>
      <c r="QS14" s="8" t="n">
        <v>0.1627819003594939</v>
      </c>
      <c r="QT14" s="8" t="n">
        <v>0.1630598282276245</v>
      </c>
      <c r="QU14" s="8" t="n">
        <v>0.1630598282276245</v>
      </c>
      <c r="QV14" s="8" t="n">
        <v>0.1630735970466384</v>
      </c>
      <c r="QW14" s="8" t="n">
        <v>0.1630735970466384</v>
      </c>
      <c r="QX14" s="8" t="n">
        <v>0.1634995983319543</v>
      </c>
      <c r="QY14" s="8" t="n">
        <v>0.1634995983319543</v>
      </c>
      <c r="QZ14" s="8" t="n">
        <v>0.1634995983319543</v>
      </c>
      <c r="RA14" s="8" t="n">
        <v>0.1634995983319543</v>
      </c>
      <c r="RB14" s="8" t="n">
        <v>0.1633803023232849</v>
      </c>
      <c r="RC14" s="8" t="n">
        <v>0.1634260162907575</v>
      </c>
      <c r="RD14" s="8" t="n">
        <v>0.1634260162907575</v>
      </c>
      <c r="RE14" s="8" t="n">
        <v>0.1631370163377045</v>
      </c>
      <c r="RF14" s="8" t="n">
        <v>0.1631370163377045</v>
      </c>
      <c r="RG14" s="8">
        <f>$C$49</f>
        <v/>
      </c>
      <c r="RH14" s="8" t="n">
        <v>0.163286126440617</v>
      </c>
      <c r="RI14" s="8" t="n">
        <v>0.163286126440617</v>
      </c>
      <c r="RJ14" s="8" t="n">
        <v>0.163286126440617</v>
      </c>
      <c r="RK14" s="8" t="n">
        <v>0.163207930912859</v>
      </c>
      <c r="RL14" s="8" t="n">
        <v>0.1631892718763149</v>
      </c>
      <c r="RM14" s="8" t="n">
        <v>0.1631892718763149</v>
      </c>
      <c r="RN14" s="8" t="n">
        <v>0.1631675229543678</v>
      </c>
      <c r="RO14" s="8" t="n">
        <v>0.1631675229543678</v>
      </c>
      <c r="RP14" s="8" t="n">
        <v>0.1631424893259153</v>
      </c>
      <c r="RQ14" s="8" t="n">
        <v>0.1631378973447659</v>
      </c>
      <c r="RR14" s="8" t="n">
        <v>0.1631378973447659</v>
      </c>
      <c r="RS14" s="8" t="n">
        <v>0.1631378973447659</v>
      </c>
      <c r="RT14" s="8" t="n">
        <v>0.1631378973447659</v>
      </c>
      <c r="RU14" s="8" t="n">
        <v>0.1631378973447659</v>
      </c>
      <c r="RV14" s="8" t="n">
        <v>0.1631378973447659</v>
      </c>
      <c r="RW14" s="8" t="n">
        <v>0.1631378973447659</v>
      </c>
      <c r="RX14" s="8" t="n">
        <v>0.1631378973447659</v>
      </c>
      <c r="RY14" s="8" t="n">
        <v>0.1631448238267796</v>
      </c>
      <c r="RZ14" s="8" t="n">
        <v>0.1631508113368725</v>
      </c>
      <c r="SA14" s="8" t="n">
        <v>0.1631508113368725</v>
      </c>
      <c r="SB14" s="8" t="n">
        <v>0.1632052170501601</v>
      </c>
      <c r="SC14" s="8" t="n">
        <v>0.1632052170501601</v>
      </c>
      <c r="SD14" s="8" t="n">
        <v>0.1632052170501601</v>
      </c>
      <c r="SE14" s="8" t="n">
        <v>0.1632052170501601</v>
      </c>
      <c r="SF14" s="8">
        <f>$C$49</f>
        <v/>
      </c>
      <c r="SG14" s="8" t="n">
        <v>0.1632810437693488</v>
      </c>
      <c r="SH14" s="8" t="n">
        <v>0.1631497900619935</v>
      </c>
      <c r="SI14" s="8" t="n">
        <v>0.1631497900619935</v>
      </c>
      <c r="SJ14" s="8" t="n">
        <v>0.1631497900619935</v>
      </c>
      <c r="SK14" s="8" t="n">
        <v>0.1631497900619935</v>
      </c>
      <c r="SL14" s="8" t="n">
        <v>0.1631497900619935</v>
      </c>
      <c r="SM14" s="8" t="n">
        <v>0.1631497900619935</v>
      </c>
      <c r="SN14" s="8" t="n">
        <v>0.1631534948503442</v>
      </c>
      <c r="SO14" s="8" t="n">
        <v>0.1629878837357316</v>
      </c>
      <c r="SP14" s="8" t="n">
        <v>0.1627062756346206</v>
      </c>
      <c r="SQ14" s="8" t="n">
        <v>0.1627062756346206</v>
      </c>
      <c r="SR14" s="8" t="n">
        <v>0.1615969574263554</v>
      </c>
      <c r="SS14" s="8" t="n">
        <v>0.1615969574263554</v>
      </c>
      <c r="ST14" s="8" t="n">
        <v>0.1615969574263554</v>
      </c>
      <c r="SU14" s="8" t="n">
        <v>0.1615969574263554</v>
      </c>
      <c r="SV14" s="8" t="n">
        <v>0.1624342648148075</v>
      </c>
      <c r="SW14" s="8" t="n">
        <v>0.1622176819132623</v>
      </c>
      <c r="SX14" s="8" t="n">
        <v>0.1637638226015139</v>
      </c>
      <c r="SY14" s="8" t="n">
        <v>0.1637638226015139</v>
      </c>
      <c r="SZ14" s="8" t="n">
        <v>0.163511947624931</v>
      </c>
      <c r="TA14" s="8" t="n">
        <v>0.163511947624931</v>
      </c>
      <c r="TB14" s="8" t="n">
        <v>0.163324749167527</v>
      </c>
      <c r="TC14" s="8" t="n">
        <v>0.163324749167527</v>
      </c>
      <c r="TD14" s="8" t="n">
        <v>0.163417371281352</v>
      </c>
      <c r="TE14" s="8">
        <f>$C$49</f>
        <v/>
      </c>
      <c r="TF14" s="8" t="n">
        <v>0.1634055147886372</v>
      </c>
      <c r="TG14" s="8" t="n">
        <v>0.1634055147886372</v>
      </c>
      <c r="TH14" s="8" t="n">
        <v>0.1634055147886372</v>
      </c>
      <c r="TI14" s="8" t="n">
        <v>0.1634490213521692</v>
      </c>
      <c r="TJ14" s="8" t="n">
        <v>0.1634271439474114</v>
      </c>
      <c r="TK14" s="8" t="n">
        <v>0.1645618261378204</v>
      </c>
      <c r="TL14" s="8" t="n">
        <v>0.164265065176787</v>
      </c>
      <c r="TM14" s="8" t="n">
        <v>0.1630103600554578</v>
      </c>
      <c r="TN14" s="8" t="n">
        <v>0.1630103600554578</v>
      </c>
      <c r="TO14" s="8" t="n">
        <v>0.1630103600554578</v>
      </c>
      <c r="TP14" s="8" t="n">
        <v>0.1630103600554578</v>
      </c>
      <c r="TQ14" s="8" t="n">
        <v>0.1630103600554578</v>
      </c>
      <c r="TR14" s="8" t="n">
        <v>0.1630103600554578</v>
      </c>
      <c r="TS14" s="8" t="n">
        <v>0.1630103600554578</v>
      </c>
      <c r="TT14" s="8" t="n">
        <v>0.1629290765965339</v>
      </c>
      <c r="TU14" s="8" t="n">
        <v>0.1628524363308679</v>
      </c>
      <c r="TV14" s="8" t="n">
        <v>0.1629190294119011</v>
      </c>
      <c r="TW14" s="8" t="n">
        <v>0.1630904290237359</v>
      </c>
      <c r="TX14" s="8" t="n">
        <v>0.1630904290237359</v>
      </c>
      <c r="TY14" s="8" t="n">
        <v>0.1630904290237359</v>
      </c>
      <c r="TZ14" s="8" t="n">
        <v>0.1630739958273119</v>
      </c>
      <c r="UA14" s="8" t="n">
        <v>0.1630739958273119</v>
      </c>
      <c r="UB14" s="8" t="n">
        <v>0.1502264867141481</v>
      </c>
      <c r="UC14" s="8" t="n">
        <v>0.1506611974699665</v>
      </c>
      <c r="UD14" s="8" t="n">
        <v>0.1637214054123703</v>
      </c>
      <c r="UE14" s="8" t="n">
        <v>0.1644075441102261</v>
      </c>
      <c r="UF14" s="8" t="n">
        <v>0.165124330277055</v>
      </c>
      <c r="UG14" s="8" t="n">
        <v>0.1650346031600951</v>
      </c>
      <c r="UH14" s="8" t="n">
        <v>0.1654348567443166</v>
      </c>
      <c r="UI14" s="8" t="n">
        <v>0.1676940765475742</v>
      </c>
      <c r="UJ14" s="8" t="n">
        <v>0.1702492169597022</v>
      </c>
      <c r="UK14" s="8" t="n">
        <v>0.1738167017819419</v>
      </c>
      <c r="UL14" s="8" t="n">
        <v>0.1758000883676706</v>
      </c>
      <c r="UM14" s="8" t="n">
        <v>0.1768431067590173</v>
      </c>
      <c r="UN14" s="8" t="n">
        <v>0.1785126102015113</v>
      </c>
      <c r="UO14" s="8" t="n">
        <v>0.1785126102015113</v>
      </c>
      <c r="UP14" s="8" t="n">
        <v>0.1790832947785856</v>
      </c>
      <c r="UQ14" s="8" t="n">
        <v>0.1793932860442099</v>
      </c>
      <c r="UR14" s="8" t="n">
        <v>0.1801397780475117</v>
      </c>
      <c r="US14" s="8" t="n">
        <v>0.1808580699113564</v>
      </c>
      <c r="UT14" s="8" t="n">
        <v>0.1808580699113564</v>
      </c>
      <c r="UU14" s="8" t="n">
        <v>0.1809189133068005</v>
      </c>
      <c r="UV14" s="8" t="n">
        <v>0.182738848660391</v>
      </c>
      <c r="UW14" s="8" t="n">
        <v>0.1835490371845949</v>
      </c>
      <c r="UX14" s="8" t="n">
        <v>0.183853631840796</v>
      </c>
      <c r="UY14" s="8" t="n">
        <v>0.183853631840796</v>
      </c>
      <c r="UZ14" s="8" t="n">
        <v>0.1840391204925242</v>
      </c>
      <c r="VA14" s="8" t="n">
        <v>0.1840412999071495</v>
      </c>
      <c r="VB14" s="8" t="n">
        <v>0.1851279741611341</v>
      </c>
      <c r="VC14" s="8" t="n">
        <v>0.1881073224703279</v>
      </c>
      <c r="VD14" s="8" t="n">
        <v>0.1873957554225879</v>
      </c>
      <c r="VE14" s="8" t="n">
        <v>0.1889626936619718</v>
      </c>
      <c r="VF14" s="8" t="n">
        <v>0.1827690413723511</v>
      </c>
      <c r="VG14" s="8" t="n">
        <v>0.1827690413723511</v>
      </c>
      <c r="VH14" s="8" t="n">
        <v>0.1826752050473186</v>
      </c>
      <c r="VI14" s="8" t="n">
        <v>0.1854315369649805</v>
      </c>
      <c r="VJ14" s="8">
        <f>$C$49</f>
        <v/>
      </c>
      <c r="VK14" s="8" t="n">
        <v>0.1895802128141272</v>
      </c>
      <c r="VL14" s="8" t="n">
        <v>0.1895802128141272</v>
      </c>
      <c r="VM14" s="8" t="n">
        <v>0.2052834764918626</v>
      </c>
      <c r="VN14" s="8" t="n">
        <v>0.2080652203389831</v>
      </c>
      <c r="VO14" s="8" t="n">
        <v>0.2080652203389831</v>
      </c>
      <c r="VP14" s="8" t="n">
        <v>0.2173758733880422</v>
      </c>
      <c r="VQ14" s="8" t="n">
        <v>0.2178658511979823</v>
      </c>
      <c r="VR14" s="8" t="n">
        <v>0.2178658511979823</v>
      </c>
      <c r="VS14" s="8" t="n">
        <v>0.2178658511979823</v>
      </c>
      <c r="VT14" s="8" t="n">
        <v>0.2178658511979823</v>
      </c>
      <c r="VU14" s="8" t="n">
        <v>0.2199897455278408</v>
      </c>
      <c r="VV14" s="8" t="n">
        <v>0.2199897455278408</v>
      </c>
      <c r="VW14" s="8" t="n">
        <v>0.2198171981466339</v>
      </c>
      <c r="VX14" s="8" t="n">
        <v>0.220555676151364</v>
      </c>
      <c r="VY14" s="8" t="n">
        <v>0.2180435700575816</v>
      </c>
      <c r="VZ14" s="8" t="n">
        <v>0.225162181122449</v>
      </c>
      <c r="WA14" s="8" t="n">
        <v>0.2254519052193404</v>
      </c>
      <c r="WB14" s="8" t="n">
        <v>0.2357448535339962</v>
      </c>
      <c r="WC14" s="8" t="n">
        <v>0.2354190695532013</v>
      </c>
      <c r="WD14" s="8" t="n">
        <v>0.2312748624384593</v>
      </c>
      <c r="WE14" s="8" t="n">
        <v>0.231757722803679</v>
      </c>
      <c r="WF14" s="8" t="n">
        <v>0.2331622897196262</v>
      </c>
      <c r="WG14" s="8" t="n">
        <v>0.2331622897196262</v>
      </c>
      <c r="WH14" s="8" t="n">
        <v>0.2266135405501965</v>
      </c>
      <c r="WI14" s="8" t="n">
        <v>0.2313058631921824</v>
      </c>
      <c r="WJ14" s="8" t="n">
        <v>0.2313058631921824</v>
      </c>
      <c r="WK14" s="8" t="n">
        <v>0.2228884642112578</v>
      </c>
      <c r="WL14" s="8" t="n">
        <v>0.2226232558139535</v>
      </c>
      <c r="WM14" s="8" t="n">
        <v>0.2226232558139535</v>
      </c>
      <c r="WN14" s="8" t="n">
        <v>0.2215769667832168</v>
      </c>
      <c r="WO14" s="8" t="n">
        <v>0.2209697119029568</v>
      </c>
      <c r="WP14" s="8" t="n">
        <v>0.2209697119029568</v>
      </c>
      <c r="WQ14" s="8" t="n">
        <v>0.2209697119029568</v>
      </c>
      <c r="WR14" s="8">
        <f>$C$49</f>
        <v/>
      </c>
      <c r="WS14" s="8" t="n">
        <v>0.2209697119029568</v>
      </c>
      <c r="WT14" s="8" t="n">
        <v>0.2203596068484464</v>
      </c>
      <c r="WU14" s="8" t="n">
        <v>0.2165563160312357</v>
      </c>
      <c r="WV14" s="8" t="n">
        <v>0.2098263674614306</v>
      </c>
      <c r="WW14" s="8" t="n">
        <v>0.2098263674614306</v>
      </c>
      <c r="WX14" s="8" t="n">
        <v>0.2099511189118034</v>
      </c>
      <c r="WY14" s="8" t="n">
        <v>0.2086851153407596</v>
      </c>
      <c r="WZ14" s="8" t="n">
        <v>0.2090298660500021</v>
      </c>
      <c r="XA14" s="8" t="n">
        <v>0.2091300134589502</v>
      </c>
      <c r="XB14" s="8" t="n">
        <v>0.2090918521816562</v>
      </c>
      <c r="XC14" s="8" t="n">
        <v>0.2084800785286216</v>
      </c>
      <c r="XD14" s="8" t="n">
        <v>0.203373348811144</v>
      </c>
      <c r="XE14" s="8" t="n">
        <v>0.2020138738738739</v>
      </c>
      <c r="XF14" s="8" t="n">
        <v>0.2002655567117586</v>
      </c>
      <c r="XG14" s="8" t="n">
        <v>0.201725494276795</v>
      </c>
      <c r="XH14" s="8" t="n">
        <v>0.2021417273673257</v>
      </c>
      <c r="XI14" s="8" t="n">
        <v>0.2035132313231323</v>
      </c>
      <c r="XJ14" s="8" t="n">
        <v>0.2024070833979629</v>
      </c>
      <c r="XK14" s="8" t="n">
        <v>0.2022541146143169</v>
      </c>
      <c r="XL14" s="8" t="n">
        <v>0.2023409893992933</v>
      </c>
      <c r="XM14" s="8" t="n">
        <v>0.2026477391894393</v>
      </c>
      <c r="XN14" s="8" t="n">
        <v>0.204489766970618</v>
      </c>
      <c r="XO14" s="8" t="n">
        <v>0.205999504950495</v>
      </c>
      <c r="XP14" s="8" t="n">
        <v>0.205999504950495</v>
      </c>
      <c r="XQ14" s="8" t="n">
        <v>0.205999504950495</v>
      </c>
      <c r="XR14" s="8" t="n">
        <v>0.2054059352517986</v>
      </c>
      <c r="XS14" s="8" t="n">
        <v>0.204754347826087</v>
      </c>
      <c r="XT14" s="8">
        <f>$C$49</f>
        <v/>
      </c>
      <c r="XU14" s="8" t="n">
        <v>0.2047378486055777</v>
      </c>
      <c r="XV14" s="8" t="n">
        <v>0.2047378486055777</v>
      </c>
      <c r="XW14" s="8" t="n">
        <v>0.2047378486055777</v>
      </c>
      <c r="XX14" s="8" t="n">
        <v>0.2048817175741479</v>
      </c>
      <c r="XY14" s="8" t="n">
        <v>0.2039636466165414</v>
      </c>
      <c r="XZ14" s="8" t="n">
        <v>0.2039636466165414</v>
      </c>
      <c r="YA14" s="8" t="n">
        <v>0.2045728313030639</v>
      </c>
      <c r="YB14" s="8" t="n">
        <v>0.2045728313030639</v>
      </c>
      <c r="YC14" s="8" t="n">
        <v>0.2065846153846154</v>
      </c>
      <c r="YD14" s="8" t="n">
        <v>0.2065961287849751</v>
      </c>
      <c r="YE14" s="8" t="n">
        <v>0.2042529983792545</v>
      </c>
      <c r="YF14" s="8" t="n">
        <v>0.2054520792079208</v>
      </c>
      <c r="YG14" s="8" t="n">
        <v>0.2052120661157025</v>
      </c>
      <c r="YH14" s="8" t="n">
        <v>0.204197069476457</v>
      </c>
      <c r="YI14" s="8" t="n">
        <v>0.2024463526333006</v>
      </c>
      <c r="YJ14" s="8" t="n">
        <v>0.2011550463874051</v>
      </c>
      <c r="YK14" s="8" t="n">
        <v>0.2011550463874051</v>
      </c>
      <c r="YL14" s="8" t="n">
        <v>0.2002521666666667</v>
      </c>
      <c r="YM14" s="8">
        <f>$C$49</f>
        <v/>
      </c>
      <c r="YN14" s="8" t="n">
        <v>0.1988392461197339</v>
      </c>
      <c r="YO14" s="8" t="n">
        <v>0.1988392461197339</v>
      </c>
      <c r="YP14" s="8" t="n">
        <v>0.1959739401496259</v>
      </c>
      <c r="YQ14" s="8" t="n">
        <v>0.1959739401496259</v>
      </c>
      <c r="YR14" s="8" t="n">
        <v>0.1948886150234742</v>
      </c>
      <c r="YS14" s="8" t="n">
        <v>0.1936769946808511</v>
      </c>
      <c r="YT14" s="8" t="n">
        <v>0.1934629930394432</v>
      </c>
      <c r="YU14" s="8" t="n">
        <v>0.1933869515011547</v>
      </c>
      <c r="YV14" s="8" t="n">
        <v>0.1931267467248908</v>
      </c>
      <c r="YW14" s="8" t="n">
        <v>0.1924850917431193</v>
      </c>
      <c r="YX14" s="8" t="n">
        <v>0.1925771971496437</v>
      </c>
      <c r="YY14" s="8" t="n">
        <v>0.1905859569648924</v>
      </c>
      <c r="YZ14" s="8" t="n">
        <v>0.1838567088607595</v>
      </c>
      <c r="ZA14" s="8" t="n">
        <v>0.1800860056411369</v>
      </c>
      <c r="ZB14" s="8" t="n">
        <v>0.1802435693148191</v>
      </c>
      <c r="ZC14" s="8" t="n">
        <v>0.1802435693148191</v>
      </c>
      <c r="ZD14" s="8" t="n">
        <v>0.1790502003299552</v>
      </c>
      <c r="ZE14" s="8" t="n">
        <v>0.1789477319825006</v>
      </c>
      <c r="ZF14" s="14">
        <f>$C$49</f>
        <v/>
      </c>
    </row>
    <row r="15" customFormat="1" s="87">
      <c r="A15" s="120" t="n"/>
      <c r="B15" s="89" t="inlineStr">
        <is>
          <t xml:space="preserve">2. USD </t>
        </is>
      </c>
      <c r="C15" s="416" t="inlineStr">
        <is>
          <t>Overnight / Saving</t>
        </is>
      </c>
      <c r="D15" s="669" t="n"/>
      <c r="E15" s="1441" t="n"/>
      <c r="F15" s="1441" t="n"/>
      <c r="G15" s="1441" t="n"/>
      <c r="H15" s="1441" t="n"/>
      <c r="I15" s="1441" t="n"/>
      <c r="J15" s="1441" t="n"/>
      <c r="K15" s="1441" t="n"/>
      <c r="L15" s="1441" t="n"/>
      <c r="M15" s="1441" t="n"/>
      <c r="N15" s="1441" t="n"/>
      <c r="O15" s="1441" t="n"/>
      <c r="P15" s="1441" t="n"/>
      <c r="Q15" s="1441" t="n"/>
      <c r="R15" s="1441" t="n">
        <v>0.18939</v>
      </c>
      <c r="S15" s="1441" t="n">
        <v>0.183275</v>
      </c>
      <c r="T15" s="1441" t="n">
        <v>0.185975</v>
      </c>
      <c r="U15" s="1441" t="n">
        <v>0.185975</v>
      </c>
      <c r="V15" s="1441" t="n">
        <v>1.942451</v>
      </c>
      <c r="W15" s="1441" t="n">
        <v>1.942451</v>
      </c>
      <c r="X15" s="1441" t="n">
        <v>1.942451</v>
      </c>
      <c r="Y15" s="1441" t="n">
        <v>1.942451</v>
      </c>
      <c r="Z15" s="1441" t="n">
        <v>1.921119</v>
      </c>
      <c r="AA15" s="1441" t="n">
        <v>2.48011151</v>
      </c>
      <c r="AB15" s="1441" t="n">
        <v>2.48011151</v>
      </c>
      <c r="AC15" s="1441" t="n">
        <v>1.957119</v>
      </c>
      <c r="AD15" s="1441" t="n">
        <v>2.090758</v>
      </c>
      <c r="AE15" s="1441" t="n">
        <v>1.756633</v>
      </c>
      <c r="AF15" s="1441" t="n">
        <v>1.649722</v>
      </c>
      <c r="AG15" s="1441">
        <f>1.651269+21.46187</f>
        <v/>
      </c>
      <c r="AH15" s="1441">
        <f>1.651269+14.46187008+26.1</f>
        <v/>
      </c>
      <c r="AI15" s="1441" t="n">
        <v>42.18273286</v>
      </c>
      <c r="AJ15" s="1441">
        <f>1.483879+24.29509121+14.3568</f>
        <v/>
      </c>
      <c r="AK15" s="1441">
        <f>1.447113+14.3568+24.21575411</f>
        <v/>
      </c>
      <c r="AL15" s="1441">
        <f>1.452183+14.3568+24.21575411</f>
        <v/>
      </c>
      <c r="AM15" s="1441">
        <f>1.483879+14.3568+24.21575411</f>
        <v/>
      </c>
      <c r="AN15" s="1441">
        <f>1.459847+14.3568+24.21575411</f>
        <v/>
      </c>
      <c r="AO15" s="1441">
        <f>1.952677+14.3568+24.21575411</f>
        <v/>
      </c>
      <c r="AP15" s="1441">
        <f>1.884412+14.3568+24.21575411</f>
        <v/>
      </c>
      <c r="AQ15" s="1441">
        <f>1.468456+14.3568+24.21575411</f>
        <v/>
      </c>
      <c r="AR15" s="1441">
        <f>1.718264+14.3568+23.67097145</f>
        <v/>
      </c>
      <c r="AS15" s="1441">
        <f>1.718264+14.3568+23.67097145</f>
        <v/>
      </c>
      <c r="AT15" s="1441">
        <f>1.556239+14.3568+22.58763812</f>
        <v/>
      </c>
      <c r="AU15" s="1441">
        <f>1.556223+14.3568+21.76727037</f>
        <v/>
      </c>
      <c r="AV15" s="1441">
        <f>1.657473+14.3568+21.76727037</f>
        <v/>
      </c>
      <c r="AW15" s="1441">
        <f>2.09961596+14.3568+21.76727037</f>
        <v/>
      </c>
      <c r="AX15" s="1441">
        <f>2.09961596+14.3568+20.47802928</f>
        <v/>
      </c>
      <c r="AY15" s="1441">
        <f>2.09961596+14.3568+20.47802928</f>
        <v/>
      </c>
      <c r="AZ15" s="1441">
        <f>2.07183696+14.3568+20.47802928</f>
        <v/>
      </c>
      <c r="BA15" s="1441">
        <f>2.08177296+14.3568+20.16056896</f>
        <v/>
      </c>
      <c r="BB15" s="1441">
        <f>1.94628296+13.72443693+20.16056896</f>
        <v/>
      </c>
      <c r="BC15" s="1441">
        <f>1.94628296+13.69+20.16056896</f>
        <v/>
      </c>
      <c r="BD15" s="1441">
        <f>1.94628296+13.69+18.30340025</f>
        <v/>
      </c>
      <c r="BE15" s="1441">
        <f>2.06264796+13.69+18.30340025</f>
        <v/>
      </c>
      <c r="BF15" s="1441">
        <f>1.91165796+13.69+18.30340025</f>
        <v/>
      </c>
      <c r="BG15" s="1441">
        <f>1.83065796+13.69+18.30340025</f>
        <v/>
      </c>
      <c r="BH15" s="1441">
        <f>1.83065796+13.69+18.30340025</f>
        <v/>
      </c>
      <c r="BI15" s="1441">
        <f>1.83065796+13.5+16.35055217</f>
        <v/>
      </c>
      <c r="BJ15" s="1441">
        <f>1.83065796+13.5+16.35055217</f>
        <v/>
      </c>
      <c r="BK15" s="1441">
        <f>1.83065796+13.5+16.35055217</f>
        <v/>
      </c>
      <c r="BL15" s="1441">
        <f>2.35038596+13.34+16.35055217</f>
        <v/>
      </c>
      <c r="BM15" s="1441">
        <f>2.35038596+13.34+16.35055217</f>
        <v/>
      </c>
      <c r="BN15" s="1441">
        <f>2.27396796+13.34+14.35169458</f>
        <v/>
      </c>
      <c r="BO15" s="1441">
        <f>2.09142796+13.34+14.36757268</f>
        <v/>
      </c>
      <c r="BP15" s="1441">
        <f>2.13866696+13.34+14.36757268</f>
        <v/>
      </c>
      <c r="BQ15" s="1441">
        <f>1.99402896+12.6+14.12366721</f>
        <v/>
      </c>
      <c r="BR15" s="1441">
        <f>1.99402896+11.9+14.12366721</f>
        <v/>
      </c>
      <c r="BS15" s="1441">
        <f>1.99402896+11.9+12.95635546</f>
        <v/>
      </c>
      <c r="BT15" s="1441">
        <f>2.34631196+11.9+12.95635546</f>
        <v/>
      </c>
      <c r="BU15" s="1441">
        <f>2.34631196+11.9+12.75659448</f>
        <v/>
      </c>
      <c r="BV15" s="1441">
        <f>2.44620096+11.9+12.75659448</f>
        <v/>
      </c>
      <c r="BW15" s="1441">
        <f>2.36724196+11.5+12.75659448</f>
        <v/>
      </c>
      <c r="BX15" s="1441">
        <f>1.88724196+11.3+11.92372098</f>
        <v/>
      </c>
      <c r="BY15" s="1441">
        <f>1.88724196+11.3+11.92372098</f>
        <v/>
      </c>
      <c r="BZ15" s="1441">
        <f>2.04662296+11.3+11.92372098</f>
        <v/>
      </c>
      <c r="CA15" s="1441">
        <f>2.59783396+9.3+11.92372098</f>
        <v/>
      </c>
      <c r="CB15" s="1441">
        <f>2.59783396+9.3+10.85935901</f>
        <v/>
      </c>
      <c r="CC15" s="1441">
        <f>2.59783396+9.3+10.85935901</f>
        <v/>
      </c>
      <c r="CD15" s="1441">
        <f>2.59783396+9.3+10.85935901</f>
        <v/>
      </c>
      <c r="CE15" s="1441">
        <f>2.19379296+9.3+10.85935901</f>
        <v/>
      </c>
      <c r="CF15" s="1441">
        <f>2.19379296+9.1+10.85935901</f>
        <v/>
      </c>
      <c r="CG15" s="1441">
        <f>2.19379296+9.1+5.85935901</f>
        <v/>
      </c>
      <c r="CH15" s="1441">
        <f>2.19379296+9.93+5.85935901</f>
        <v/>
      </c>
      <c r="CI15" s="1441">
        <f>2.19379296+9.03+5.85935901</f>
        <v/>
      </c>
      <c r="CJ15" s="1441">
        <f>2.19379296+9.03+5.85935901</f>
        <v/>
      </c>
      <c r="CK15" s="1441">
        <f>2.29369296+7.08+5.85935901</f>
        <v/>
      </c>
      <c r="CL15" s="1441">
        <f>2.29369296+7.08+5.85935901</f>
        <v/>
      </c>
      <c r="CM15" s="1441">
        <f>2.29369296+7.08+5.85935901</f>
        <v/>
      </c>
      <c r="CN15" s="1441">
        <f>2.62145696+7.08+5.85935901</f>
        <v/>
      </c>
      <c r="CO15" s="1441">
        <f>2.57479896+7.08+5.85935901</f>
        <v/>
      </c>
      <c r="CP15" s="1441">
        <f>2.57479896+7.08+5.85935901</f>
        <v/>
      </c>
      <c r="CQ15" s="1441">
        <f>2.57479896+7.08+5.85935901</f>
        <v/>
      </c>
      <c r="CR15" s="1441">
        <f>2.57479896+7.08+5.85935901</f>
        <v/>
      </c>
      <c r="CS15" s="1441">
        <f>2.57479896+7.08+5.85935901</f>
        <v/>
      </c>
      <c r="CT15" s="1441">
        <f>2.57479896+7.08+5.85935901</f>
        <v/>
      </c>
      <c r="CU15" s="1441">
        <f>2.67603796+6.874377+5.85935901</f>
        <v/>
      </c>
      <c r="CV15" s="1441">
        <f>2.67603796+6.63+5.85935901</f>
        <v/>
      </c>
      <c r="CW15" s="1441">
        <f>2.67603796+6.63+5.85935901</f>
        <v/>
      </c>
      <c r="CX15" s="1441">
        <f>2.67603796+6.63+5.85935901</f>
        <v/>
      </c>
      <c r="CY15" s="1441">
        <f>2.39628696+6.63+5.85935901</f>
        <v/>
      </c>
      <c r="CZ15" s="1441">
        <f>2.39628696+6.63+5.85935901</f>
        <v/>
      </c>
      <c r="DA15" s="1441">
        <f>2.39628696+4.93+5.85935901</f>
        <v/>
      </c>
      <c r="DB15" s="1441">
        <f>2.39628696+4.93+5.85935901</f>
        <v/>
      </c>
      <c r="DC15" s="1441">
        <f>2.39628696+4.93+5.85935901</f>
        <v/>
      </c>
      <c r="DD15" s="1441">
        <f>2.39628696+4.93+5.85935901</f>
        <v/>
      </c>
      <c r="DE15" s="1441">
        <f>2.39628696+4.53+5.85935901</f>
        <v/>
      </c>
      <c r="DF15" s="1441">
        <f>2.39628696+4.53+5.85935901</f>
        <v/>
      </c>
      <c r="DG15" s="1441">
        <f>2.50535696+4.53+5.85935901</f>
        <v/>
      </c>
      <c r="DH15" s="1441">
        <f>2.50535696+4.185+5.85935901</f>
        <v/>
      </c>
      <c r="DI15" s="1441">
        <f>2.50535696+3.73+5.85935901</f>
        <v/>
      </c>
      <c r="DJ15" s="1441">
        <f>2.50535696+3.73+5.85935901</f>
        <v/>
      </c>
      <c r="DK15" s="1441">
        <f>2.32088196+3.73+5.85935901</f>
        <v/>
      </c>
      <c r="DL15" s="1441">
        <f>2.32088196+3.73+5.85935901</f>
        <v/>
      </c>
      <c r="DM15" s="1441">
        <f>2.32088196+3.73+5.85935901</f>
        <v/>
      </c>
      <c r="DN15" s="1441">
        <f>2.35068596+3.73+5.85935901</f>
        <v/>
      </c>
      <c r="DO15" s="1441">
        <f>2.35068596+3.7+5.85935901</f>
        <v/>
      </c>
      <c r="DP15" s="1441">
        <f>2.35068596+3.7+5.85935901</f>
        <v/>
      </c>
      <c r="DQ15" s="1441">
        <f>1.88290696+3.7+5.85935901</f>
        <v/>
      </c>
      <c r="DR15" s="1441">
        <f>1.88290696+3.3+5.85935901</f>
        <v/>
      </c>
      <c r="DS15" s="1441">
        <f>1.49791496+3.3+5.85935901</f>
        <v/>
      </c>
      <c r="DT15" s="1441">
        <f>1.49791496+3.3+5.85935901</f>
        <v/>
      </c>
      <c r="DU15" s="1441">
        <f>1.49791496+3.3+5.85935901</f>
        <v/>
      </c>
      <c r="DV15" s="1441">
        <f>1.49791496+3.3+5.85935901</f>
        <v/>
      </c>
      <c r="DW15" s="1441">
        <f>1.60490496+3.09+5.85935901</f>
        <v/>
      </c>
      <c r="DX15" s="1441">
        <f>1.60490496+3.09+5.85935901</f>
        <v/>
      </c>
      <c r="DY15" s="1441">
        <f>1.715604966+3.09+5.85935901</f>
        <v/>
      </c>
      <c r="DZ15" s="1441">
        <f>1.49790396+3.07524169+5.85935901</f>
        <v/>
      </c>
      <c r="EA15" s="1441">
        <f>1.49790396+3.03+5.85935901</f>
        <v/>
      </c>
      <c r="EB15" s="1441">
        <f>1.71139696+3.03+5.85935901</f>
        <v/>
      </c>
      <c r="EC15" s="1441">
        <f>1.71139696+3.03+5.85935901</f>
        <v/>
      </c>
      <c r="ED15" s="1441">
        <f>1.71139696+3.03+5.85935901</f>
        <v/>
      </c>
      <c r="EE15" s="1441">
        <f>1.71139696+3.03+5.85935901</f>
        <v/>
      </c>
      <c r="EF15" s="1441">
        <f>0.83216981+3.03+5.85935901</f>
        <v/>
      </c>
      <c r="EG15" s="1441">
        <f>1.69992381+3.03+5.85935901</f>
        <v/>
      </c>
      <c r="EH15" s="1441">
        <f>1.69992381+3.03+5.85935901</f>
        <v/>
      </c>
      <c r="EI15" s="1441">
        <f>1.69992381+3.03+5.85935901</f>
        <v/>
      </c>
      <c r="EJ15" s="1441">
        <f>1.69992381+3.03+5.85935901</f>
        <v/>
      </c>
      <c r="EK15" s="1441">
        <f>1.69992381+3.03+5.85935901</f>
        <v/>
      </c>
      <c r="EL15" s="1441">
        <f>1.69992381+3.03+5.85935901</f>
        <v/>
      </c>
      <c r="EM15" s="1441">
        <f>1.69992381+3.03+5.85935901</f>
        <v/>
      </c>
      <c r="EN15" s="1441">
        <f>1.69992381+3.03+5.85935901</f>
        <v/>
      </c>
      <c r="EO15" s="1441">
        <f>1.69992381+3.03+5.85935901</f>
        <v/>
      </c>
      <c r="EP15" s="1441">
        <f>1.69992381+3.03+5.85935901</f>
        <v/>
      </c>
      <c r="EQ15" s="1441">
        <f>1.69992381+3.03+5.85935901</f>
        <v/>
      </c>
      <c r="ER15" s="1441">
        <f>1.64577981+3.03+5.85935901</f>
        <v/>
      </c>
      <c r="ES15" s="1441">
        <f>1.64577981+3.03+5.85935901</f>
        <v/>
      </c>
      <c r="ET15" s="1441">
        <f>1.64577981+2.905+5.85935901</f>
        <v/>
      </c>
      <c r="EU15" s="1441">
        <f>1.64577981+1.905+5.85935901</f>
        <v/>
      </c>
      <c r="EV15" s="1441">
        <f>1.64577981+1.905+5.85935901</f>
        <v/>
      </c>
      <c r="EW15" s="1441">
        <f>1.64577981+0.905+5.85935901</f>
        <v/>
      </c>
      <c r="EX15" s="1441">
        <f>1.64577981+0.905+5.85935901</f>
        <v/>
      </c>
      <c r="EY15" s="1441">
        <f>1.64577981+0.905+5.85935901</f>
        <v/>
      </c>
      <c r="EZ15" s="1441">
        <f>1.64577981+0.905+5.85935901</f>
        <v/>
      </c>
      <c r="FA15" s="1441">
        <f>1.64577981+0.905+5.85935901</f>
        <v/>
      </c>
      <c r="FB15" s="1441">
        <f>1.64577981+0.905+5.85935901</f>
        <v/>
      </c>
      <c r="FC15" s="1441">
        <f>1.75777981+0.526793+5.85935901</f>
        <v/>
      </c>
      <c r="FD15" s="1441">
        <f>1.46067281+0.526793+5.85935901</f>
        <v/>
      </c>
      <c r="FE15" s="1441">
        <f>1.43767281+0.526793+5.85935901</f>
        <v/>
      </c>
      <c r="FF15" s="1441">
        <f>1.41387281+0.526793+5.85935901</f>
        <v/>
      </c>
      <c r="FG15" s="1441">
        <f>1.41387281+0.526793+5.85935901</f>
        <v/>
      </c>
      <c r="FH15" s="1441">
        <f>1.41387281+0.526793+5.85935901</f>
        <v/>
      </c>
      <c r="FI15" s="1441">
        <f>1.41387281+0.526793+5.85935901</f>
        <v/>
      </c>
      <c r="FJ15" s="1441">
        <f>1.41387281+0.526793+5.85935901</f>
        <v/>
      </c>
      <c r="FK15" s="1441">
        <f>1.41387281+0.526793+5.85935901</f>
        <v/>
      </c>
      <c r="FL15" s="1441">
        <f>1.41387281+0.526793+5.85935901</f>
        <v/>
      </c>
      <c r="FM15" s="1441">
        <f>1.41387281+0.526793+5.85935901</f>
        <v/>
      </c>
      <c r="FN15" s="1441">
        <f>1.41387281+0.526793+5.85935901</f>
        <v/>
      </c>
      <c r="FO15" s="1441">
        <f>1.41387281+0.526793+5.85935901</f>
        <v/>
      </c>
      <c r="FP15" s="1441">
        <f>1.32592281+0.526793+5.85935901</f>
        <v/>
      </c>
      <c r="FQ15" s="1441">
        <f>1.41383181+0.526793+5.85935901</f>
        <v/>
      </c>
      <c r="FR15" s="1441">
        <f>1.41383181+0.526793+5.85935901</f>
        <v/>
      </c>
      <c r="FS15" s="1441">
        <f>1.41383181+0.526793+5.85935901</f>
        <v/>
      </c>
      <c r="FT15" s="1441">
        <f>1.41383181+0.526793+5.85935901</f>
        <v/>
      </c>
      <c r="FU15" s="1441">
        <f>1.41383181+0.526793+5.85935901</f>
        <v/>
      </c>
      <c r="FV15" s="1441">
        <f>1.41383181+0.526793+5.85935901</f>
        <v/>
      </c>
      <c r="FW15" s="1441">
        <f>1.41383181+0.526793+5.85935901</f>
        <v/>
      </c>
      <c r="FX15" s="1441">
        <f>1.41383181+0.32047794+5.85935901</f>
        <v/>
      </c>
      <c r="FY15" s="1441">
        <f>1.41383181+0.32047794+5.85935901</f>
        <v/>
      </c>
      <c r="FZ15" s="1441">
        <f>1.41383181+0.32047794+5.85935901</f>
        <v/>
      </c>
      <c r="GA15" s="1441">
        <f>1.41383181+0.32047794+5.85935901</f>
        <v/>
      </c>
      <c r="GB15" s="1441">
        <f>1.41383181+0.32047794+5.85935901</f>
        <v/>
      </c>
      <c r="GC15" s="1441">
        <f>1.41383181+0.32047794+5.85935901</f>
        <v/>
      </c>
      <c r="GD15" s="1441">
        <f>1.41383181+0.32047794+5.85935901</f>
        <v/>
      </c>
      <c r="GE15" s="1441">
        <f>1.41383181+0.32047794+5.85935901</f>
        <v/>
      </c>
      <c r="GF15" s="1441">
        <f>1.41383181+0.32047794+5.85935901</f>
        <v/>
      </c>
      <c r="GG15" s="1441">
        <f>1.41383181+0.32047794+5.85935901</f>
        <v/>
      </c>
      <c r="GH15" s="1441">
        <f>1.41383181+0.32047794+5.85935901</f>
        <v/>
      </c>
      <c r="GI15" s="1441">
        <f>1.41383181+0.32047794+5.85935901</f>
        <v/>
      </c>
      <c r="GJ15" s="1441">
        <f>1.41383181+0.32047794+5.85935901</f>
        <v/>
      </c>
      <c r="GK15" s="1441">
        <f>1.41383181+0.32047794+5.85935901</f>
        <v/>
      </c>
      <c r="GL15" s="1441">
        <f>1.41383181+0.32047794+5.85935901</f>
        <v/>
      </c>
      <c r="GM15" s="1441">
        <f>1.41383181+0.32047794+5.85935901</f>
        <v/>
      </c>
      <c r="GN15" s="1441">
        <f>1.41383181+0.32047794+5.85935901</f>
        <v/>
      </c>
      <c r="GO15" s="1441">
        <f>1.41383181+0.25506116+5.85935901</f>
        <v/>
      </c>
      <c r="GP15" s="1441">
        <f>1.41383181+0.25506116+5.85935901</f>
        <v/>
      </c>
      <c r="GQ15" s="1441">
        <f>1.41383181+0.25506116+5.85935901</f>
        <v/>
      </c>
      <c r="GR15" s="1441">
        <f>1.41383181+0.25506116+5.85935901</f>
        <v/>
      </c>
      <c r="GS15" s="1441">
        <f>1.41383181+0.25506116+5.85935901</f>
        <v/>
      </c>
      <c r="GT15" s="1441">
        <f>1.41383181+0.25506116+5.85935901</f>
        <v/>
      </c>
      <c r="GU15" s="1441">
        <f>1.41383181+0.25506116+5.85935901</f>
        <v/>
      </c>
      <c r="GV15" s="1441">
        <f>1.41383181+0.25506116+5.85935901</f>
        <v/>
      </c>
      <c r="GW15" s="1441">
        <f>1.41383181+0.25506116+5.85935901</f>
        <v/>
      </c>
      <c r="GX15" s="1441">
        <f>1.41383181+0.25506116+5.85935901</f>
        <v/>
      </c>
      <c r="GY15" s="1441">
        <f>1.41383181+0.25506116+5.85935901</f>
        <v/>
      </c>
      <c r="GZ15" s="1441">
        <f>1.41383181+0.12610705+5.85935901</f>
        <v/>
      </c>
      <c r="HA15" s="1441">
        <f>1.41383181+0.12610705+5.85935901</f>
        <v/>
      </c>
      <c r="HB15" s="1441">
        <f>1.41383181+0.12610705+5.85935901</f>
        <v/>
      </c>
      <c r="HC15" s="1441">
        <f>0.60884581+0.12610705+5.85935901</f>
        <v/>
      </c>
      <c r="HD15" s="1441">
        <f>1.38994581+0.12610705+5.85935901</f>
        <v/>
      </c>
      <c r="HE15" s="1441" t="n">
        <v>1.54032945</v>
      </c>
      <c r="HF15" s="1441" t="n">
        <v>1.54032945</v>
      </c>
      <c r="HG15" s="1441" t="n">
        <v>1.62877489</v>
      </c>
      <c r="HH15" s="1441" t="n">
        <v>1.62877489</v>
      </c>
      <c r="HI15" s="1441" t="n">
        <v>1.53664289</v>
      </c>
      <c r="HJ15" s="1441" t="n">
        <v>1.53364289</v>
      </c>
      <c r="HK15" s="1441" t="n">
        <v>1.52947837</v>
      </c>
      <c r="HL15" s="1441" t="n">
        <v>1.52947837</v>
      </c>
      <c r="HM15" s="1441" t="n">
        <v>1.40077788</v>
      </c>
      <c r="HN15" s="1441" t="n">
        <v>1.40077788</v>
      </c>
      <c r="HO15" s="1441" t="n">
        <v>1.40077788</v>
      </c>
      <c r="HP15" s="1441" t="n">
        <v>0.8827905899999999</v>
      </c>
      <c r="HQ15" s="1441" t="n">
        <v>0.8827905899999999</v>
      </c>
      <c r="HR15" s="1441" t="n">
        <v>0.8827905899999999</v>
      </c>
      <c r="HS15" s="1441" t="n">
        <v>0.8827905899999999</v>
      </c>
      <c r="HT15" s="1441" t="n">
        <v>0.8827905899999999</v>
      </c>
      <c r="HU15" s="1441" t="n">
        <v>0.8827905899999999</v>
      </c>
      <c r="HV15" s="1441" t="n">
        <v>0.88279059</v>
      </c>
      <c r="HW15" s="1441" t="n">
        <v>0.8827905899999998</v>
      </c>
      <c r="HX15" s="1441" t="n">
        <v>0.8827905899999999</v>
      </c>
      <c r="HY15" s="1441" t="n">
        <v>0.8827905899999999</v>
      </c>
      <c r="HZ15" s="1441" t="n">
        <v>1.88279059</v>
      </c>
      <c r="IA15" s="1441" t="n">
        <v>2.88279059</v>
      </c>
      <c r="IB15" s="1441" t="n">
        <v>3.88279059</v>
      </c>
      <c r="IC15" s="1441" t="n">
        <v>1.38279059</v>
      </c>
      <c r="ID15" s="1441" t="n">
        <v>1.38279059</v>
      </c>
      <c r="IE15" s="1441" t="n">
        <v>1.28120959</v>
      </c>
      <c r="IF15" s="1441" t="n">
        <v>1.28120959</v>
      </c>
      <c r="IG15" s="1441" t="n">
        <v>1.28120959</v>
      </c>
      <c r="IH15" s="1441" t="n">
        <v>1.28120959</v>
      </c>
      <c r="II15" s="1441" t="n">
        <v>1.28120959</v>
      </c>
      <c r="IJ15" s="1441" t="n">
        <v>1.28120959</v>
      </c>
      <c r="IK15" s="1441" t="n">
        <v>1.28120959</v>
      </c>
      <c r="IL15" s="1441" t="n">
        <v>1.28120959</v>
      </c>
      <c r="IM15" s="1441" t="n">
        <v>1.28120959</v>
      </c>
      <c r="IN15" s="1441" t="n">
        <v>1.28120959</v>
      </c>
      <c r="IO15" s="1441" t="n">
        <v>1.28120959</v>
      </c>
      <c r="IP15" s="1441" t="n">
        <v>1.28120959</v>
      </c>
      <c r="IQ15" s="1441" t="n">
        <v>1.28120959</v>
      </c>
      <c r="IR15" s="1441" t="n">
        <v>1.28120959</v>
      </c>
      <c r="IS15" s="1441" t="n">
        <v>1.45624659</v>
      </c>
      <c r="IT15" s="1441" t="n">
        <v>1.45624659</v>
      </c>
      <c r="IU15" s="1441" t="n">
        <v>1.45624659</v>
      </c>
      <c r="IV15" s="1441" t="n">
        <v>1.45624659</v>
      </c>
      <c r="IW15" s="1441" t="n">
        <v>1.45624659</v>
      </c>
      <c r="IX15" s="1441" t="n">
        <v>3.25624659</v>
      </c>
      <c r="IY15" s="1441" t="n">
        <v>3.25624659</v>
      </c>
      <c r="IZ15" s="1441" t="n">
        <v>3.25624659</v>
      </c>
      <c r="JA15" s="1441" t="n">
        <v>3.25622159</v>
      </c>
      <c r="JB15" s="1441" t="n">
        <v>3.75622159</v>
      </c>
      <c r="JC15" s="1441" t="n">
        <v>3.75622159</v>
      </c>
      <c r="JD15" s="1441" t="n">
        <v>4.24562459</v>
      </c>
      <c r="JE15" s="1441" t="n">
        <v>4.24562459</v>
      </c>
      <c r="JF15" s="1441" t="n">
        <v>4.245624589999999</v>
      </c>
      <c r="JG15" s="1441" t="n">
        <v>4.24562459</v>
      </c>
      <c r="JH15" s="1441" t="n">
        <v>4.24562459</v>
      </c>
      <c r="JI15" s="1441" t="n">
        <v>4.24562459</v>
      </c>
      <c r="JJ15" s="1441" t="n">
        <v>4.24562459</v>
      </c>
      <c r="JK15" s="1441" t="n">
        <v>4.245624589999999</v>
      </c>
      <c r="JL15" s="1441" t="n">
        <v>4.24562459</v>
      </c>
      <c r="JM15" s="1441" t="n">
        <v>4.24562459</v>
      </c>
      <c r="JN15" s="1441" t="n">
        <v>4.256010589999999</v>
      </c>
      <c r="JO15" s="1441" t="n">
        <v>4.256010589999999</v>
      </c>
      <c r="JP15" s="1441" t="n">
        <v>4.25601059</v>
      </c>
      <c r="JQ15" s="1441" t="n">
        <v>4.75601059</v>
      </c>
      <c r="JR15" s="1441" t="n">
        <v>4.75601059</v>
      </c>
      <c r="JS15" s="1441" t="n">
        <v>4.75601059</v>
      </c>
      <c r="JT15" s="1441" t="n">
        <v>4.756010589999999</v>
      </c>
      <c r="JU15" s="1441">
        <f>'Cash in bank report'!$D$13-'Cash in bank report'!$D$56</f>
        <v/>
      </c>
      <c r="JV15" s="1441" t="n">
        <v>5.50601059</v>
      </c>
      <c r="JW15" s="1441" t="n">
        <v>5.50601059</v>
      </c>
      <c r="JX15" s="1441" t="n">
        <v>5.506010589999999</v>
      </c>
      <c r="JY15" s="1441" t="n">
        <v>5.50601059</v>
      </c>
      <c r="JZ15" s="1441" t="n">
        <v>5.50601059</v>
      </c>
      <c r="KA15" s="1441" t="n">
        <v>5.59837759</v>
      </c>
      <c r="KB15" s="1441" t="n">
        <v>5.59837759</v>
      </c>
      <c r="KC15" s="1441" t="n">
        <v>5.59837759</v>
      </c>
      <c r="KD15" s="1441" t="n">
        <v>5.59837759</v>
      </c>
      <c r="KE15" s="1441" t="n">
        <v>5.59837759</v>
      </c>
      <c r="KF15" s="1441" t="n">
        <v>5.59837759</v>
      </c>
      <c r="KG15" s="1441" t="n">
        <v>5.598377590000001</v>
      </c>
      <c r="KH15" s="1441" t="n">
        <v>5.59837759</v>
      </c>
      <c r="KI15" s="1441" t="n">
        <v>5.59837759</v>
      </c>
      <c r="KJ15" s="1441" t="n">
        <v>6.59837759</v>
      </c>
      <c r="KK15" s="1441" t="n">
        <v>6.59837759</v>
      </c>
      <c r="KL15" s="1441" t="n">
        <v>6.59837759</v>
      </c>
      <c r="KM15" s="1441" t="n">
        <v>6.59837759</v>
      </c>
      <c r="KN15" s="1441" t="n">
        <v>6.59837759</v>
      </c>
      <c r="KO15" s="1441" t="n">
        <v>6.59837759</v>
      </c>
      <c r="KP15" s="1441" t="n">
        <v>6.59837759</v>
      </c>
      <c r="KQ15" s="1441" t="n">
        <v>6.59837759</v>
      </c>
      <c r="KR15" s="1441" t="n">
        <v>6.59837759</v>
      </c>
      <c r="KS15" s="1441" t="n">
        <v>6.59837759</v>
      </c>
      <c r="KT15" s="1441" t="n">
        <v>6.598377589999999</v>
      </c>
      <c r="KU15" s="1441" t="n">
        <v>6.59837759</v>
      </c>
      <c r="KV15" s="1441" t="n">
        <v>6.598377589999999</v>
      </c>
      <c r="KW15" s="1441" t="n">
        <v>6.59837759</v>
      </c>
      <c r="KX15" s="1441" t="n">
        <v>6.598377589999999</v>
      </c>
      <c r="KY15" s="1441" t="n">
        <v>6.59735059</v>
      </c>
      <c r="KZ15" s="1441" t="n">
        <v>6.59735059</v>
      </c>
      <c r="LA15" s="1441" t="n">
        <v>6.59735459</v>
      </c>
      <c r="LB15" s="1441" t="n">
        <v>6.597354589999999</v>
      </c>
      <c r="LC15" s="1441" t="n">
        <v>6.597354589999999</v>
      </c>
      <c r="LD15" s="1441" t="n">
        <v>6.597354589999999</v>
      </c>
      <c r="LE15" s="1441" t="n">
        <v>6.597354589999999</v>
      </c>
      <c r="LF15" s="1441" t="n">
        <v>6.59735459</v>
      </c>
      <c r="LG15" s="1441" t="n">
        <v>6.597354589999999</v>
      </c>
      <c r="LH15" s="1441" t="n">
        <v>6.59735459</v>
      </c>
      <c r="LI15" s="1441" t="n">
        <v>6.59735459</v>
      </c>
      <c r="LJ15" s="1441" t="n">
        <v>6.597354589999999</v>
      </c>
      <c r="LK15" s="1441" t="n">
        <v>6.59735459</v>
      </c>
      <c r="LL15" s="1441" t="n">
        <v>6.59735459</v>
      </c>
      <c r="LM15" s="1441" t="n">
        <v>6.67121159</v>
      </c>
      <c r="LN15" s="1441" t="n">
        <v>6.67121159</v>
      </c>
      <c r="LO15" s="1441" t="n">
        <v>6.67121159</v>
      </c>
      <c r="LP15" s="1441" t="n">
        <v>6.67121159</v>
      </c>
      <c r="LQ15" s="1441" t="n">
        <v>6.65148107</v>
      </c>
      <c r="LR15" s="1441" t="n">
        <v>6.65148107</v>
      </c>
      <c r="LS15" s="1441" t="n">
        <v>6.65148107</v>
      </c>
      <c r="LT15" s="1441" t="n">
        <v>6.65148107</v>
      </c>
      <c r="LU15" s="1441" t="n">
        <v>6.65148107</v>
      </c>
      <c r="LV15" s="1441" t="n">
        <v>6.65148107</v>
      </c>
      <c r="LW15" s="1441" t="n">
        <v>6.65148107</v>
      </c>
      <c r="LX15" s="1441" t="n">
        <v>6.65148107</v>
      </c>
      <c r="LY15" s="1441" t="n">
        <v>6.65148107</v>
      </c>
      <c r="LZ15" s="1441" t="n">
        <v>6.65148107</v>
      </c>
      <c r="MA15" s="1441" t="n">
        <v>6.65148107</v>
      </c>
      <c r="MB15" s="1441" t="n">
        <v>6.65148107</v>
      </c>
      <c r="MC15" s="1441" t="n">
        <v>6.65148107</v>
      </c>
      <c r="MD15" s="1441" t="n">
        <v>6.65148107</v>
      </c>
      <c r="ME15" s="1441" t="n">
        <v>6.65148107</v>
      </c>
      <c r="MF15" s="1441" t="n">
        <v>6.65148107</v>
      </c>
      <c r="MG15" s="1441" t="n">
        <v>6.65148107</v>
      </c>
      <c r="MH15" s="1441" t="n">
        <v>6.65148107</v>
      </c>
      <c r="MI15" s="1441" t="n">
        <v>6.65148107</v>
      </c>
      <c r="MJ15" s="1441" t="n">
        <v>6.65148107</v>
      </c>
      <c r="MK15" s="1441" t="n">
        <v>6.65148107</v>
      </c>
      <c r="ML15" s="1441" t="n">
        <v>6.65148107</v>
      </c>
      <c r="MM15" s="1441" t="n">
        <v>6.65148107</v>
      </c>
      <c r="MN15" s="1441" t="n">
        <v>5.060183</v>
      </c>
      <c r="MO15" s="1441" t="n">
        <v>5.060183</v>
      </c>
      <c r="MP15" s="1441" t="n">
        <v>5.060183</v>
      </c>
      <c r="MQ15" s="1441" t="n">
        <v>5.060183</v>
      </c>
      <c r="MR15" s="1441" t="n">
        <v>5.060183</v>
      </c>
      <c r="MS15" s="1441" t="n">
        <v>6.700183000000001</v>
      </c>
      <c r="MT15" s="1441" t="n">
        <v>6.700183</v>
      </c>
      <c r="MU15" s="1441" t="n">
        <v>6.748903</v>
      </c>
      <c r="MV15" s="1441" t="n">
        <v>6.698724</v>
      </c>
      <c r="MW15" s="1441" t="n">
        <v>6.698724</v>
      </c>
      <c r="MX15" s="1441" t="n">
        <v>6.650005</v>
      </c>
      <c r="MY15" s="1441" t="n">
        <v>6.650005</v>
      </c>
      <c r="MZ15" s="1441" t="n">
        <v>6.650004999999999</v>
      </c>
      <c r="NA15" s="1441" t="n">
        <v>6.650005</v>
      </c>
      <c r="NB15" s="1441" t="n">
        <v>6.650005</v>
      </c>
      <c r="NC15" s="1441" t="n">
        <v>6.650005</v>
      </c>
      <c r="ND15" s="1441" t="n">
        <v>6.650005</v>
      </c>
      <c r="NE15" s="1441" t="n">
        <v>6.650004999999999</v>
      </c>
      <c r="NF15" s="1441" t="n">
        <v>6.650005</v>
      </c>
      <c r="NG15" s="1441" t="n">
        <v>6.650005</v>
      </c>
      <c r="NH15" s="1441" t="n">
        <v>6.650005</v>
      </c>
      <c r="NI15" s="1441" t="n">
        <v>6.650005</v>
      </c>
      <c r="NJ15" s="1441" t="n">
        <v>6.650004999999999</v>
      </c>
      <c r="NK15" s="1441" t="n">
        <v>6.650005000000001</v>
      </c>
      <c r="NL15" s="1441" t="n">
        <v>6.650005000000001</v>
      </c>
      <c r="NM15" s="1441" t="n">
        <v>6.698705999999999</v>
      </c>
      <c r="NN15" s="1441" t="n">
        <v>6.698706</v>
      </c>
      <c r="NO15" s="1441" t="n">
        <v>6.698706</v>
      </c>
      <c r="NP15" s="1441" t="n">
        <v>6.698706</v>
      </c>
      <c r="NQ15" s="1441" t="n">
        <v>6.698706</v>
      </c>
      <c r="NR15" s="1441" t="n">
        <v>6.698706</v>
      </c>
      <c r="NS15" s="1441" t="n">
        <v>6.698706</v>
      </c>
      <c r="NT15" s="1441" t="n">
        <v>6.698706</v>
      </c>
      <c r="NU15" s="1441" t="n">
        <v>6.698706</v>
      </c>
      <c r="NV15" s="1441" t="n">
        <v>6.698706</v>
      </c>
      <c r="NW15" s="1441" t="n">
        <v>6.682367</v>
      </c>
      <c r="NX15" s="1441" t="n">
        <v>6.682367</v>
      </c>
      <c r="NY15" s="1441" t="n">
        <v>6.682367</v>
      </c>
      <c r="NZ15" s="1441" t="n">
        <v>6.682366999999999</v>
      </c>
      <c r="OA15" s="1441" t="n">
        <v>6.682367</v>
      </c>
      <c r="OB15" s="1441" t="n">
        <v>6.682367</v>
      </c>
      <c r="OC15" s="1441" t="n">
        <v>6.682366999999999</v>
      </c>
      <c r="OD15" s="1441" t="n">
        <v>6.682367</v>
      </c>
      <c r="OE15" s="1441" t="n">
        <v>6.682367000000001</v>
      </c>
      <c r="OF15" s="1441" t="n">
        <v>6.682367</v>
      </c>
      <c r="OG15" s="1441" t="n">
        <v>6.682367</v>
      </c>
      <c r="OH15" s="1441" t="n">
        <v>6.682366999999999</v>
      </c>
      <c r="OI15" s="1441" t="n">
        <v>6.682367</v>
      </c>
      <c r="OJ15" s="1441" t="n">
        <v>6.682367</v>
      </c>
      <c r="OK15" s="1441" t="n">
        <v>6.682367</v>
      </c>
      <c r="OL15" s="1441" t="n">
        <v>6.682367</v>
      </c>
      <c r="OM15" s="1441" t="n">
        <v>6.682367</v>
      </c>
      <c r="ON15" s="1441" t="n">
        <v>6.682367</v>
      </c>
      <c r="OO15" s="1441" t="n">
        <v>6.682367</v>
      </c>
      <c r="OP15" s="1441" t="n">
        <v>6.682367000000001</v>
      </c>
      <c r="OQ15" s="1441" t="n">
        <v>6.682367000000001</v>
      </c>
      <c r="OR15" s="1441" t="n">
        <v>6.682367</v>
      </c>
      <c r="OS15" s="1441" t="n">
        <v>6.682367</v>
      </c>
      <c r="OT15" s="1441" t="n">
        <v>6.682367</v>
      </c>
      <c r="OU15" s="1441" t="n">
        <v>6.682367</v>
      </c>
      <c r="OV15" s="1441" t="n">
        <v>6.682367</v>
      </c>
      <c r="OW15" s="1441" t="n">
        <v>6.682367</v>
      </c>
      <c r="OX15" s="1441" t="n">
        <v>6.682367</v>
      </c>
      <c r="OY15" s="1441" t="n">
        <v>6.682367</v>
      </c>
      <c r="OZ15" s="1441" t="n">
        <v>6.682367</v>
      </c>
      <c r="PA15" s="1441" t="n">
        <v>6.682367</v>
      </c>
      <c r="PB15" s="1441" t="n">
        <v>5.682367000000001</v>
      </c>
      <c r="PC15" s="1441" t="n">
        <v>5.682367000000001</v>
      </c>
      <c r="PD15" s="1441" t="n">
        <v>5.682367</v>
      </c>
      <c r="PE15" s="1441" t="n">
        <v>5.682367000000001</v>
      </c>
      <c r="PF15" s="1441" t="n">
        <v>5.682368</v>
      </c>
      <c r="PG15" s="1441" t="n">
        <v>5.682368</v>
      </c>
      <c r="PH15" s="1441" t="n">
        <v>5.682368</v>
      </c>
      <c r="PI15" s="1441" t="n">
        <v>5.682368</v>
      </c>
      <c r="PJ15" s="1441" t="n">
        <v>5.682368</v>
      </c>
      <c r="PK15" s="1441" t="n">
        <v>5.682368</v>
      </c>
      <c r="PL15" s="1441" t="n">
        <v>5.682368</v>
      </c>
      <c r="PM15" s="1441" t="n">
        <v>5.692368</v>
      </c>
      <c r="PN15" s="1441" t="n">
        <v>5.692368</v>
      </c>
      <c r="PO15" s="1441" t="n">
        <v>5.692368000000001</v>
      </c>
      <c r="PP15" s="1441" t="n">
        <v>5.692368</v>
      </c>
      <c r="PQ15" s="1441" t="n">
        <v>5.68365448</v>
      </c>
      <c r="PR15" s="1441" t="n">
        <v>5.68365448</v>
      </c>
      <c r="PS15" s="1441" t="n">
        <v>5.68365448</v>
      </c>
      <c r="PT15" s="1441" t="n">
        <v>5.61790848</v>
      </c>
      <c r="PU15" s="1441" t="n">
        <v>5.61790848</v>
      </c>
      <c r="PV15" s="1441" t="n">
        <v>5.61790848</v>
      </c>
      <c r="PW15" s="1441" t="n">
        <v>5.61790848</v>
      </c>
      <c r="PX15" s="1441" t="n">
        <v>5.61790848</v>
      </c>
      <c r="PY15" s="1441" t="n">
        <v>5.61790848</v>
      </c>
      <c r="PZ15" s="1441" t="n">
        <v>5.61790848</v>
      </c>
      <c r="QA15" s="1441" t="n">
        <v>5.61790848</v>
      </c>
      <c r="QB15" s="1441" t="n">
        <v>5.61790848</v>
      </c>
      <c r="QC15" s="1441" t="n">
        <v>5.61790848</v>
      </c>
      <c r="QD15" s="1441" t="n">
        <v>5.61790848</v>
      </c>
      <c r="QE15" s="1441" t="n">
        <v>5.61790848</v>
      </c>
      <c r="QF15" s="1441" t="n">
        <v>5.61790848</v>
      </c>
      <c r="QG15" s="1441" t="n">
        <v>5.61790848</v>
      </c>
      <c r="QH15" s="1441" t="n">
        <v>5.61790848</v>
      </c>
      <c r="QI15" s="1441" t="n">
        <v>5.61790848</v>
      </c>
      <c r="QJ15" s="1441" t="n">
        <v>5.61790848</v>
      </c>
      <c r="QK15" s="1441" t="n">
        <v>5.61790848</v>
      </c>
      <c r="QL15" s="1441" t="n">
        <v>5.61790848</v>
      </c>
      <c r="QM15" s="1441" t="n">
        <v>5.61790848</v>
      </c>
      <c r="QN15" s="1441" t="n">
        <v>5.61790848</v>
      </c>
      <c r="QO15" s="1441" t="n">
        <v>5.61790848</v>
      </c>
      <c r="QP15" s="1441" t="n">
        <v>5.61790848</v>
      </c>
      <c r="QQ15" s="1441" t="n">
        <v>5.617908479999999</v>
      </c>
      <c r="QR15" s="1441" t="n">
        <v>5.617908479999999</v>
      </c>
      <c r="QS15" s="1441" t="n">
        <v>5.61790848</v>
      </c>
      <c r="QT15" s="1441" t="n">
        <v>5.61790848</v>
      </c>
      <c r="QU15" s="1441" t="n">
        <v>5.61790848</v>
      </c>
      <c r="QV15" s="1441" t="n">
        <v>5.617908480000001</v>
      </c>
      <c r="QW15" s="1441" t="n">
        <v>5.617908479999999</v>
      </c>
      <c r="QX15" s="1441" t="n">
        <v>5.617908479999999</v>
      </c>
      <c r="QY15" s="1441" t="n">
        <v>5.61790848</v>
      </c>
      <c r="QZ15" s="1441" t="n">
        <v>5.617908479999999</v>
      </c>
      <c r="RA15" s="1441" t="n">
        <v>5.61790848</v>
      </c>
      <c r="RB15" s="1441" t="n">
        <v>5.61790848</v>
      </c>
      <c r="RC15" s="1441" t="n">
        <v>5.61790848</v>
      </c>
      <c r="RD15" s="1441" t="n">
        <v>5.61790848</v>
      </c>
      <c r="RE15" s="1441" t="n">
        <v>2.901053180000001</v>
      </c>
      <c r="RF15" s="1441" t="n">
        <v>2.8997667</v>
      </c>
      <c r="RG15" s="1441">
        <f>'Cash in bank report'!$D$13-'Cash in bank report'!$D$56</f>
        <v/>
      </c>
      <c r="RH15" s="1441" t="n">
        <v>2.8997667</v>
      </c>
      <c r="RI15" s="1441" t="n">
        <v>2.8997667</v>
      </c>
      <c r="RJ15" s="1441" t="n">
        <v>2.8997667</v>
      </c>
      <c r="RK15" s="1441" t="n">
        <v>2.8997667</v>
      </c>
      <c r="RL15" s="1441" t="n">
        <v>2.8997667</v>
      </c>
      <c r="RM15" s="1441" t="n">
        <v>2.8997667</v>
      </c>
      <c r="RN15" s="1441" t="n">
        <v>2.8997667</v>
      </c>
      <c r="RO15" s="1441" t="n">
        <v>2.8997667</v>
      </c>
      <c r="RP15" s="1441" t="n">
        <v>2.899766700000001</v>
      </c>
      <c r="RQ15" s="1441" t="n">
        <v>2.8997667</v>
      </c>
      <c r="RR15" s="1441" t="n">
        <v>2.899766700000001</v>
      </c>
      <c r="RS15" s="1441" t="n">
        <v>2.8997667</v>
      </c>
      <c r="RT15" s="1441" t="n">
        <v>2.8997667</v>
      </c>
      <c r="RU15" s="1441" t="n">
        <v>3.030766</v>
      </c>
      <c r="RV15" s="1441" t="n">
        <v>3.030765999999999</v>
      </c>
      <c r="RW15" s="1441" t="n">
        <v>3.017653000000001</v>
      </c>
      <c r="RX15" s="1441" t="n">
        <v>3.017652999999999</v>
      </c>
      <c r="RY15" s="1441" t="n">
        <v>3.017653000000001</v>
      </c>
      <c r="RZ15" s="1441" t="n">
        <v>3.017653</v>
      </c>
      <c r="SA15" s="1441" t="n">
        <v>3.017653</v>
      </c>
      <c r="SB15" s="1441" t="n">
        <v>3.017652999999999</v>
      </c>
      <c r="SC15" s="1441" t="n">
        <v>3.017652999999999</v>
      </c>
      <c r="SD15" s="1441" t="n">
        <v>3.017653</v>
      </c>
      <c r="SE15" s="1441" t="n">
        <v>3.017653</v>
      </c>
      <c r="SF15" s="1441">
        <f>'Cash in bank report'!$D$13-'Cash in bank report'!$D$56</f>
        <v/>
      </c>
      <c r="SG15" s="1441" t="n">
        <v>3.017653</v>
      </c>
      <c r="SH15" s="1441" t="n">
        <v>3.017653</v>
      </c>
      <c r="SI15" s="1441" t="n">
        <v>3.017653</v>
      </c>
      <c r="SJ15" s="1441" t="n">
        <v>3.017652999999999</v>
      </c>
      <c r="SK15" s="1441" t="n">
        <v>3.017653</v>
      </c>
      <c r="SL15" s="1441" t="n">
        <v>3.017653</v>
      </c>
      <c r="SM15" s="1441" t="n">
        <v>3.017653</v>
      </c>
      <c r="SN15" s="1441" t="n">
        <v>3.017653</v>
      </c>
      <c r="SO15" s="1441" t="n">
        <v>3.017653000000001</v>
      </c>
      <c r="SP15" s="1441" t="n">
        <v>3.017653</v>
      </c>
      <c r="SQ15" s="1441" t="n">
        <v>3.017652999999999</v>
      </c>
      <c r="SR15" s="1441" t="n">
        <v>3.017653</v>
      </c>
      <c r="SS15" s="1441" t="n">
        <v>3.017653</v>
      </c>
      <c r="ST15" s="1441" t="n">
        <v>3.017653</v>
      </c>
      <c r="SU15" s="1441" t="n">
        <v>3.017653</v>
      </c>
      <c r="SV15" s="1441" t="n">
        <v>3.017653</v>
      </c>
      <c r="SW15" s="1441" t="n">
        <v>3.017653</v>
      </c>
      <c r="SX15" s="1441" t="n">
        <v>3.017653</v>
      </c>
      <c r="SY15" s="1441" t="n">
        <v>3.017653</v>
      </c>
      <c r="SZ15" s="1441" t="n">
        <v>3.017652999999999</v>
      </c>
      <c r="TA15" s="1441" t="n">
        <v>3.017652999999999</v>
      </c>
      <c r="TB15" s="1441" t="n">
        <v>3.017652999999999</v>
      </c>
      <c r="TC15" s="1441" t="n">
        <v>3.017653</v>
      </c>
      <c r="TD15" s="1441" t="n">
        <v>3.017652999999999</v>
      </c>
      <c r="TE15" s="1441">
        <f>'Cash in bank report'!$D$13-'Cash in bank report'!$D$56</f>
        <v/>
      </c>
      <c r="TF15" s="1441" t="n">
        <v>3.017653</v>
      </c>
      <c r="TG15" s="1441" t="n">
        <v>3.017653000000001</v>
      </c>
      <c r="TH15" s="1441" t="n">
        <v>3.017653</v>
      </c>
      <c r="TI15" s="1441" t="n">
        <v>3.017652999999999</v>
      </c>
      <c r="TJ15" s="1441" t="n">
        <v>3.017653</v>
      </c>
      <c r="TK15" s="1441" t="n">
        <v>3.017653</v>
      </c>
      <c r="TL15" s="1441" t="n">
        <v>3.017653</v>
      </c>
      <c r="TM15" s="1441" t="n">
        <v>3.017653</v>
      </c>
      <c r="TN15" s="1441" t="n">
        <v>3.017653</v>
      </c>
      <c r="TO15" s="1441" t="n">
        <v>3.017653</v>
      </c>
      <c r="TP15" s="1441" t="n">
        <v>3.017653</v>
      </c>
      <c r="TQ15" s="1441" t="n">
        <v>3.017653</v>
      </c>
      <c r="TR15" s="1441" t="n">
        <v>3.017653</v>
      </c>
      <c r="TS15" s="1441" t="n">
        <v>3.017653</v>
      </c>
      <c r="TT15" s="1441" t="n">
        <v>3.017653</v>
      </c>
      <c r="TU15" s="1441" t="n">
        <v>3.017653</v>
      </c>
      <c r="TV15" s="1441" t="n">
        <v>3.017653</v>
      </c>
      <c r="TW15" s="1441" t="n">
        <v>3.017653</v>
      </c>
      <c r="TX15" s="1441" t="n">
        <v>3.017653</v>
      </c>
      <c r="TY15" s="1441" t="n">
        <v>3.017653</v>
      </c>
      <c r="TZ15" s="1441" t="n">
        <v>3.017653</v>
      </c>
      <c r="UA15" s="1441" t="n">
        <v>3.017653</v>
      </c>
      <c r="UB15" s="1441" t="n">
        <v>3.017653</v>
      </c>
      <c r="UC15" s="1441" t="n">
        <v>3.017653</v>
      </c>
      <c r="UD15" s="1441" t="n">
        <v>3.017653</v>
      </c>
      <c r="UE15" s="1441" t="n">
        <v>3.017653</v>
      </c>
      <c r="UF15" s="1441" t="n">
        <v>3.017653</v>
      </c>
      <c r="UG15" s="1441" t="n">
        <v>3.017653</v>
      </c>
      <c r="UH15" s="1441" t="n">
        <v>3.017081</v>
      </c>
      <c r="UI15" s="1441" t="n">
        <v>3.017653</v>
      </c>
      <c r="UJ15" s="1441" t="n">
        <v>3.017653</v>
      </c>
      <c r="UK15" s="1441" t="n">
        <v>3.017653</v>
      </c>
      <c r="UL15" s="1441" t="n">
        <v>3.017653</v>
      </c>
      <c r="UM15" s="1441" t="n">
        <v>3.01765403</v>
      </c>
      <c r="UN15" s="1441" t="n">
        <v>3.017653</v>
      </c>
      <c r="UO15" s="1441" t="n">
        <v>3.017653000000001</v>
      </c>
      <c r="UP15" s="1441" t="n">
        <v>3.017653</v>
      </c>
      <c r="UQ15" s="1441" t="n">
        <v>3.017653</v>
      </c>
      <c r="UR15" s="1441" t="n">
        <v>3.017653000000001</v>
      </c>
      <c r="US15" s="1441" t="n">
        <v>5.741413</v>
      </c>
      <c r="UT15" s="1441" t="n">
        <v>5.741413</v>
      </c>
      <c r="UU15" s="1441" t="n">
        <v>5.741413</v>
      </c>
      <c r="UV15" s="1441" t="n">
        <v>2.899766</v>
      </c>
      <c r="UW15" s="1441" t="n">
        <v>2.899766</v>
      </c>
      <c r="UX15" s="1441" t="n">
        <v>3.899766</v>
      </c>
      <c r="UY15" s="1441" t="n">
        <v>3.899766</v>
      </c>
      <c r="UZ15" s="1441" t="n">
        <v>3.899766</v>
      </c>
      <c r="VA15" s="1441" t="n">
        <v>3.899766</v>
      </c>
      <c r="VB15" s="1441" t="n">
        <v>2.899766000000001</v>
      </c>
      <c r="VC15" s="1441" t="n">
        <v>2.899766</v>
      </c>
      <c r="VD15" s="1441" t="n">
        <v>2.899766</v>
      </c>
      <c r="VE15" s="1441" t="n">
        <v>2.899766</v>
      </c>
      <c r="VF15" s="1441" t="n">
        <v>2.899766</v>
      </c>
      <c r="VG15" s="1441" t="n">
        <v>2.899766</v>
      </c>
      <c r="VH15" s="1441" t="n">
        <v>2.899766</v>
      </c>
      <c r="VI15" s="1441" t="n">
        <v>2.899766</v>
      </c>
      <c r="VJ15" s="1441">
        <f>'Cash in bank report'!$D$13-'Cash in bank report'!$D$56</f>
        <v/>
      </c>
      <c r="VK15" s="1441" t="n">
        <v>2.899766</v>
      </c>
      <c r="VL15" s="1441" t="n">
        <v>2.899766000000001</v>
      </c>
      <c r="VM15" s="1441" t="n">
        <v>2.899766</v>
      </c>
      <c r="VN15" s="1441" t="n">
        <v>2.899766</v>
      </c>
      <c r="VO15" s="1441" t="n">
        <v>2.899766</v>
      </c>
      <c r="VP15" s="1441" t="n">
        <v>2.899766</v>
      </c>
      <c r="VQ15" s="1441" t="n">
        <v>2.899766</v>
      </c>
      <c r="VR15" s="1441" t="n">
        <v>2.899766</v>
      </c>
      <c r="VS15" s="1441" t="n">
        <v>2.899766</v>
      </c>
      <c r="VT15" s="1441" t="n">
        <v>2.899766</v>
      </c>
      <c r="VU15" s="1441" t="n">
        <v>2.899766</v>
      </c>
      <c r="VV15" s="1441" t="n">
        <v>2.899766</v>
      </c>
      <c r="VW15" s="1441" t="n">
        <v>2.899766</v>
      </c>
      <c r="VX15" s="1441" t="n">
        <v>2.899766</v>
      </c>
      <c r="VY15" s="1441" t="n">
        <v>2.899766</v>
      </c>
      <c r="VZ15" s="1441" t="n">
        <v>2.899766</v>
      </c>
      <c r="WA15" s="1441" t="n">
        <v>2.899766</v>
      </c>
      <c r="WB15" s="1441" t="n">
        <v>2.899766</v>
      </c>
      <c r="WC15" s="1441" t="n">
        <v>2.899766000000001</v>
      </c>
      <c r="WD15" s="1441" t="n">
        <v>2.899766</v>
      </c>
      <c r="WE15" s="1441" t="n">
        <v>2.899766</v>
      </c>
      <c r="WF15" s="1441" t="n">
        <v>2.899766</v>
      </c>
      <c r="WG15" s="1441" t="n">
        <v>2.899766</v>
      </c>
      <c r="WH15" s="1441" t="n">
        <v>2.899766</v>
      </c>
      <c r="WI15" s="1441" t="n">
        <v>2.899766</v>
      </c>
      <c r="WJ15" s="1441" t="n">
        <v>2.899766</v>
      </c>
      <c r="WK15" s="1441" t="n">
        <v>2.899766</v>
      </c>
      <c r="WL15" s="1441" t="n">
        <v>2.899766000000001</v>
      </c>
      <c r="WM15" s="1441" t="n">
        <v>2.899766</v>
      </c>
      <c r="WN15" s="1441" t="n">
        <v>2.899766</v>
      </c>
      <c r="WO15" s="1441" t="n">
        <v>2.899766</v>
      </c>
      <c r="WP15" s="1441" t="n">
        <v>2.899766</v>
      </c>
      <c r="WQ15" s="1441" t="n">
        <v>2.899766</v>
      </c>
      <c r="WR15" s="1441">
        <f>'Cash in bank report'!$D$13-'Cash in bank report'!$D$56</f>
        <v/>
      </c>
      <c r="WS15" s="1441" t="n">
        <v>2.899766</v>
      </c>
      <c r="WT15" s="1441" t="n">
        <v>2.899766</v>
      </c>
      <c r="WU15" s="1441" t="n">
        <v>2.899766</v>
      </c>
      <c r="WV15" s="1441" t="n">
        <v>2.899766</v>
      </c>
      <c r="WW15" s="1441" t="n">
        <v>2.899766</v>
      </c>
      <c r="WX15" s="1441" t="n">
        <v>2.899766</v>
      </c>
      <c r="WY15" s="1441" t="n">
        <v>2.899766</v>
      </c>
      <c r="WZ15" s="1441" t="n">
        <v>2.899766</v>
      </c>
      <c r="XA15" s="1441" t="n">
        <v>2.899766</v>
      </c>
      <c r="XB15" s="1441" t="n">
        <v>2.899766</v>
      </c>
      <c r="XC15" s="1441" t="n">
        <v>2.899766</v>
      </c>
      <c r="XD15" s="1441" t="n">
        <v>2.899766</v>
      </c>
      <c r="XE15" s="1441" t="n">
        <v>2.944355715952091</v>
      </c>
      <c r="XF15" s="1441" t="n">
        <v>2.943412030245747</v>
      </c>
      <c r="XG15" s="1441" t="n">
        <v>2.964456603731902</v>
      </c>
      <c r="XH15" s="1441" t="n">
        <v>2.94386615853883</v>
      </c>
      <c r="XI15" s="1441" t="n">
        <v>2.921529973151929</v>
      </c>
      <c r="XJ15" s="1441" t="n">
        <v>2.921106995575247</v>
      </c>
      <c r="XK15" s="1441" t="n">
        <v>2.943685850695783</v>
      </c>
      <c r="XL15" s="1441" t="n">
        <v>2.899766</v>
      </c>
      <c r="XM15" s="1441" t="n">
        <v>2.899766</v>
      </c>
      <c r="XN15" s="1441" t="n">
        <v>2.899766</v>
      </c>
      <c r="XO15" s="1441" t="n">
        <v>2.916506</v>
      </c>
      <c r="XP15" s="1441" t="n">
        <v>2.916506</v>
      </c>
      <c r="XQ15" s="1441" t="n">
        <v>2.916506</v>
      </c>
      <c r="XR15" s="1441" t="n">
        <v>2.916506</v>
      </c>
      <c r="XS15" s="1441" t="n">
        <v>2.916506</v>
      </c>
      <c r="XT15" s="1441">
        <f>'Cash in bank report'!$D$13-'Cash in bank report'!$D$56</f>
        <v/>
      </c>
      <c r="XU15" s="1441" t="n">
        <v>2.916506</v>
      </c>
      <c r="XV15" s="1441" t="n">
        <v>2.916506</v>
      </c>
      <c r="XW15" s="1441" t="n">
        <v>2.916506</v>
      </c>
      <c r="XX15" s="1441" t="n">
        <v>2.916506</v>
      </c>
      <c r="XY15" s="1441" t="n">
        <v>2.933246</v>
      </c>
      <c r="XZ15" s="1441" t="n">
        <v>3.653727354013839</v>
      </c>
      <c r="YA15" s="1441" t="n">
        <v>3.416823607372873</v>
      </c>
      <c r="YB15" s="1441" t="n">
        <v>3.606353743156998</v>
      </c>
      <c r="YC15" s="1441" t="n">
        <v>3.139028823105527</v>
      </c>
      <c r="YD15" s="1441" t="n">
        <v>3.035016576618653</v>
      </c>
      <c r="YE15" s="1441" t="n">
        <v>3.086489872053495</v>
      </c>
      <c r="YF15" s="1441" t="n">
        <v>3.032691159735349</v>
      </c>
      <c r="YG15" s="1441" t="n">
        <v>3.037663805550683</v>
      </c>
      <c r="YH15" s="1441" t="n">
        <v>2.952837838548464</v>
      </c>
      <c r="YI15" s="1441" t="n">
        <v>2.952806573020263</v>
      </c>
      <c r="YJ15" s="1441" t="n">
        <v>2.933499864566114</v>
      </c>
      <c r="YK15" s="1441" t="n">
        <v>2.985784676566781</v>
      </c>
      <c r="YL15" s="1441" t="n">
        <v>2.933500892472686</v>
      </c>
      <c r="YM15" s="1441">
        <f>'Cash in bank report'!$D$13-'Cash in bank report'!$D$56</f>
        <v/>
      </c>
      <c r="YN15" s="1441" t="n">
        <v>2.933499801346585</v>
      </c>
      <c r="YO15" s="1441" t="n">
        <v>2.933500853106101</v>
      </c>
      <c r="YP15" s="1441" t="n">
        <v>2.933500428902017</v>
      </c>
      <c r="YQ15" s="1441" t="n">
        <v>2.933499185706812</v>
      </c>
      <c r="YR15" s="1441" t="n">
        <v>2.933499645714722</v>
      </c>
      <c r="YS15" s="1441" t="n">
        <v>2.933498472229561</v>
      </c>
      <c r="YT15" s="1441" t="n">
        <v>2.933499346613025</v>
      </c>
      <c r="YU15" s="1441" t="n">
        <v>2.933246</v>
      </c>
      <c r="YV15" s="1441" t="n">
        <v>2.933246</v>
      </c>
      <c r="YW15" s="1441" t="n">
        <v>2.933246</v>
      </c>
      <c r="YX15" s="1441" t="n">
        <v>2.933246</v>
      </c>
      <c r="YY15" s="1441" t="n">
        <v>2.933246</v>
      </c>
      <c r="YZ15" s="1441" t="n">
        <v>2.933246</v>
      </c>
      <c r="ZA15" s="1441" t="n">
        <v>2.933246</v>
      </c>
      <c r="ZB15" s="1441" t="n">
        <v>2.933246</v>
      </c>
      <c r="ZC15" s="1441" t="n">
        <v>2.933246</v>
      </c>
      <c r="ZD15" s="1441" t="n">
        <v>2.933246</v>
      </c>
      <c r="ZE15" s="1441" t="n">
        <v>2.933246</v>
      </c>
      <c r="ZF15" s="1442">
        <f>'Cash in bank report'!$D$13-'Cash in bank report'!$D$56</f>
        <v/>
      </c>
    </row>
    <row r="16" customFormat="1" s="87">
      <c r="A16" s="120" t="n"/>
      <c r="B16" s="90" t="inlineStr">
        <is>
          <t>(Equivalent  to USD)</t>
        </is>
      </c>
      <c r="C16" s="417" t="inlineStr">
        <is>
          <t>Deposit Rate</t>
        </is>
      </c>
      <c r="D16" s="671" t="n"/>
      <c r="E16" s="1443" t="n"/>
      <c r="F16" s="1443" t="n"/>
      <c r="G16" s="1443" t="n"/>
      <c r="H16" s="1443" t="n"/>
      <c r="I16" s="1443" t="n"/>
      <c r="J16" s="1443" t="n"/>
      <c r="K16" s="1443" t="n"/>
      <c r="L16" s="1443" t="n"/>
      <c r="M16" s="1443" t="n"/>
      <c r="N16" s="1443" t="n"/>
      <c r="O16" s="1443" t="n"/>
      <c r="P16" s="1443" t="n"/>
      <c r="Q16" s="1443" t="n"/>
      <c r="R16" s="1443" t="n"/>
      <c r="S16" s="1443" t="n"/>
      <c r="T16" s="1443" t="n"/>
      <c r="U16" s="1443" t="n"/>
      <c r="V16" s="1443" t="n"/>
      <c r="W16" s="1443" t="n"/>
      <c r="X16" s="1443" t="n"/>
      <c r="Y16" s="1443" t="n"/>
      <c r="Z16" s="1443" t="n"/>
      <c r="AA16" s="1443" t="n"/>
      <c r="AB16" s="1443" t="n"/>
      <c r="AC16" s="1443" t="n"/>
      <c r="AD16" s="1443" t="n"/>
      <c r="AE16" s="1443" t="n"/>
      <c r="AF16" s="1443" t="n"/>
      <c r="AG16" s="1443" t="n"/>
      <c r="AH16" s="1443" t="n"/>
      <c r="AI16" s="1443" t="n"/>
      <c r="AJ16" s="1443" t="n"/>
      <c r="AK16" s="1443" t="n"/>
      <c r="AL16" s="1443" t="n"/>
      <c r="AM16" s="1443" t="n"/>
      <c r="AN16" s="1443" t="n"/>
      <c r="AO16" s="1443" t="n"/>
      <c r="AP16" s="1443" t="n"/>
      <c r="AQ16" s="1443" t="n"/>
      <c r="AR16" s="1443" t="n"/>
      <c r="AS16" s="1443" t="n"/>
      <c r="AT16" s="1443" t="n"/>
      <c r="AU16" s="1443" t="n"/>
      <c r="AV16" s="1443" t="n"/>
      <c r="AW16" s="1443" t="n"/>
      <c r="AX16" s="1443" t="n"/>
      <c r="AY16" s="1443" t="n"/>
      <c r="AZ16" s="1443" t="n"/>
      <c r="BA16" s="1443" t="n"/>
      <c r="BB16" s="1443" t="n"/>
      <c r="BC16" s="1443" t="n"/>
      <c r="BD16" s="1443" t="n"/>
      <c r="BE16" s="1443" t="n"/>
      <c r="BF16" s="1443" t="n"/>
      <c r="BG16" s="1443" t="n"/>
      <c r="BH16" s="1443" t="n"/>
      <c r="BI16" s="1443" t="n"/>
      <c r="BJ16" s="1443" t="n"/>
      <c r="BK16" s="1443" t="n"/>
      <c r="BL16" s="1443" t="n"/>
      <c r="BM16" s="1443" t="n"/>
      <c r="BN16" s="1443" t="n"/>
      <c r="BO16" s="1443" t="n"/>
      <c r="BP16" s="1443" t="n"/>
      <c r="BQ16" s="1443" t="n"/>
      <c r="BR16" s="1443" t="n"/>
      <c r="BS16" s="1443" t="n"/>
      <c r="BT16" s="1443" t="n"/>
      <c r="BU16" s="1443" t="n"/>
      <c r="BV16" s="1443" t="n"/>
      <c r="BW16" s="1443" t="n"/>
      <c r="BX16" s="1443" t="n"/>
      <c r="BY16" s="1443" t="n"/>
      <c r="BZ16" s="1443" t="n"/>
      <c r="CA16" s="1443" t="n"/>
      <c r="CB16" s="1443" t="n"/>
      <c r="CC16" s="1443" t="n"/>
      <c r="CD16" s="1443" t="n"/>
      <c r="CE16" s="1443" t="n"/>
      <c r="CF16" s="1443" t="n"/>
      <c r="CG16" s="1443" t="n"/>
      <c r="CH16" s="1443" t="n"/>
      <c r="CI16" s="1443" t="n"/>
      <c r="CJ16" s="1443" t="n"/>
      <c r="CK16" s="1443" t="n"/>
      <c r="CL16" s="1443" t="n"/>
      <c r="CM16" s="1443" t="n"/>
      <c r="CN16" s="1443" t="n"/>
      <c r="CO16" s="1443" t="n"/>
      <c r="CP16" s="1443" t="n"/>
      <c r="CQ16" s="1443" t="n"/>
      <c r="CR16" s="1443" t="n"/>
      <c r="CS16" s="1443" t="n"/>
      <c r="CT16" s="1443" t="n"/>
      <c r="CU16" s="1443" t="n"/>
      <c r="CV16" s="1443" t="n"/>
      <c r="CW16" s="1443" t="n"/>
      <c r="CX16" s="1443" t="n"/>
      <c r="CY16" s="1443" t="n"/>
      <c r="CZ16" s="1443" t="n"/>
      <c r="DA16" s="1443" t="n"/>
      <c r="DB16" s="1443" t="n"/>
      <c r="DC16" s="1443" t="n"/>
      <c r="DD16" s="1443" t="n"/>
      <c r="DE16" s="1443" t="n"/>
      <c r="DF16" s="1443" t="n"/>
      <c r="DG16" s="1443" t="n"/>
      <c r="DH16" s="1443" t="n"/>
      <c r="DI16" s="1443" t="n"/>
      <c r="DJ16" s="1443" t="n"/>
      <c r="DK16" s="1443" t="n"/>
      <c r="DL16" s="1443" t="n"/>
      <c r="DM16" s="1443" t="n"/>
      <c r="DN16" s="1443" t="n"/>
      <c r="DO16" s="1443" t="n"/>
      <c r="DP16" s="1443" t="n"/>
      <c r="DQ16" s="1443" t="n"/>
      <c r="DR16" s="1443" t="n"/>
      <c r="DS16" s="1443" t="n"/>
      <c r="DT16" s="1443" t="n"/>
      <c r="DU16" s="1443" t="n"/>
      <c r="DV16" s="1443" t="n"/>
      <c r="DW16" s="1443" t="n"/>
      <c r="DX16" s="1443" t="n"/>
      <c r="DY16" s="1443" t="n"/>
      <c r="DZ16" s="1443" t="n"/>
      <c r="EA16" s="1443" t="n"/>
      <c r="EB16" s="1443" t="n"/>
      <c r="EC16" s="1443" t="n"/>
      <c r="ED16" s="1443" t="n"/>
      <c r="EE16" s="1443" t="n"/>
      <c r="EF16" s="1443" t="n"/>
      <c r="EG16" s="1443" t="n"/>
      <c r="EH16" s="1443" t="n"/>
      <c r="EI16" s="1443" t="n"/>
      <c r="EJ16" s="1443" t="n"/>
      <c r="EK16" s="1443" t="n"/>
      <c r="EL16" s="1443" t="n"/>
      <c r="EM16" s="1443" t="n"/>
      <c r="EN16" s="1443" t="n"/>
      <c r="EO16" s="1443" t="n"/>
      <c r="EP16" s="1443" t="n"/>
      <c r="EQ16" s="1443" t="n"/>
      <c r="ER16" s="1443" t="n"/>
      <c r="ES16" s="1443" t="n"/>
      <c r="ET16" s="1443" t="n"/>
      <c r="EU16" s="1443" t="n"/>
      <c r="EV16" s="1443" t="n"/>
      <c r="EW16" s="1443" t="n"/>
      <c r="EX16" s="1443" t="n"/>
      <c r="EY16" s="1443" t="n"/>
      <c r="EZ16" s="1443" t="n"/>
      <c r="FA16" s="1443" t="n"/>
      <c r="FB16" s="1443" t="n"/>
      <c r="FC16" s="1443" t="n"/>
      <c r="FD16" s="1443" t="n"/>
      <c r="FE16" s="1443" t="n"/>
      <c r="FF16" s="1443" t="n"/>
      <c r="FG16" s="1443" t="n"/>
      <c r="FH16" s="1443" t="n"/>
      <c r="FI16" s="1443" t="n"/>
      <c r="FJ16" s="1443" t="n"/>
      <c r="FK16" s="1443" t="n"/>
      <c r="FL16" s="1443" t="n"/>
      <c r="FM16" s="1443" t="n"/>
      <c r="FN16" s="1443" t="n"/>
      <c r="FO16" s="1443" t="n"/>
      <c r="FP16" s="1443" t="n"/>
      <c r="FQ16" s="1443" t="n"/>
      <c r="FR16" s="1443" t="n"/>
      <c r="FS16" s="1443" t="n"/>
      <c r="FT16" s="1443" t="n"/>
      <c r="FU16" s="1443" t="n"/>
      <c r="FV16" s="1443" t="n"/>
      <c r="FW16" s="1443" t="n"/>
      <c r="FX16" s="1443" t="n"/>
      <c r="FY16" s="1443" t="n"/>
      <c r="FZ16" s="1443" t="n"/>
      <c r="GA16" s="1443" t="n"/>
      <c r="GB16" s="1443" t="n"/>
      <c r="GC16" s="1443" t="n"/>
      <c r="GD16" s="1443" t="n"/>
      <c r="GE16" s="1443" t="n"/>
      <c r="GF16" s="1443" t="n"/>
      <c r="GG16" s="1443" t="n"/>
      <c r="GH16" s="1443" t="n"/>
      <c r="GI16" s="1443" t="n"/>
      <c r="GJ16" s="1443" t="n"/>
      <c r="GK16" s="1443" t="n"/>
      <c r="GL16" s="1443" t="n"/>
      <c r="GM16" s="1443" t="n"/>
      <c r="GN16" s="1443" t="n"/>
      <c r="GO16" s="1443" t="n"/>
      <c r="GP16" s="1443" t="n"/>
      <c r="GQ16" s="1443" t="n"/>
      <c r="GR16" s="1443" t="n"/>
      <c r="GS16" s="1443" t="n"/>
      <c r="GT16" s="1443" t="n"/>
      <c r="GU16" s="1443" t="n"/>
      <c r="GV16" s="1443" t="n"/>
      <c r="GW16" s="1443" t="n"/>
      <c r="GX16" s="1443" t="n"/>
      <c r="GY16" s="1443" t="n"/>
      <c r="GZ16" s="1443" t="n"/>
      <c r="HA16" s="1443" t="n"/>
      <c r="HB16" s="1443" t="n"/>
      <c r="HC16" s="1443" t="n"/>
      <c r="HD16" s="1443" t="n"/>
      <c r="HE16" s="1443" t="n"/>
      <c r="HF16" s="1443" t="n"/>
      <c r="HG16" s="1443" t="n"/>
      <c r="HH16" s="1443" t="n"/>
      <c r="HI16" s="1443" t="n"/>
      <c r="HJ16" s="1443" t="n"/>
      <c r="HK16" s="1443" t="n"/>
      <c r="HL16" s="1443" t="n"/>
      <c r="HM16" s="1443" t="n"/>
      <c r="HN16" s="1443" t="n"/>
      <c r="HO16" s="1443" t="n"/>
      <c r="HP16" s="1443" t="n"/>
      <c r="HQ16" s="1443" t="n"/>
      <c r="HR16" s="1443" t="n"/>
      <c r="HS16" s="1443" t="n"/>
      <c r="HT16" s="1443" t="n"/>
      <c r="HU16" s="1443" t="n"/>
      <c r="HV16" s="1443" t="n"/>
      <c r="HW16" s="1443" t="n"/>
      <c r="HX16" s="1443" t="n"/>
      <c r="HY16" s="1443" t="n"/>
      <c r="HZ16" s="1443" t="n"/>
      <c r="IA16" s="1443" t="n"/>
      <c r="IB16" s="1443" t="n"/>
      <c r="IC16" s="1443" t="n"/>
      <c r="ID16" s="1443" t="n"/>
      <c r="IE16" s="1443" t="n"/>
      <c r="IF16" s="1443" t="n"/>
      <c r="IG16" s="1443" t="n"/>
      <c r="IH16" s="1443" t="n"/>
      <c r="II16" s="1443" t="n"/>
      <c r="IJ16" s="1443" t="n"/>
      <c r="IK16" s="1443" t="n"/>
      <c r="IL16" s="1443" t="n"/>
      <c r="IM16" s="1443" t="n"/>
      <c r="IN16" s="1443" t="n"/>
      <c r="IO16" s="1443" t="n"/>
      <c r="IP16" s="1443" t="n"/>
      <c r="IQ16" s="1443" t="n"/>
      <c r="IR16" s="1443" t="n"/>
      <c r="IS16" s="1443" t="n"/>
      <c r="IT16" s="1443" t="n"/>
      <c r="IU16" s="1443" t="n"/>
      <c r="IV16" s="1443" t="n"/>
      <c r="IW16" s="1443" t="n"/>
      <c r="IX16" s="1443" t="n"/>
      <c r="IY16" s="1443" t="n"/>
      <c r="IZ16" s="1443" t="n"/>
      <c r="JA16" s="1443" t="n"/>
      <c r="JB16" s="1443" t="n"/>
      <c r="JC16" s="1443" t="n"/>
      <c r="JD16" s="1443" t="n"/>
      <c r="JE16" s="1443" t="n"/>
      <c r="JF16" s="1443" t="n"/>
      <c r="JG16" s="1443" t="n"/>
      <c r="JH16" s="1443" t="n"/>
      <c r="JI16" s="1443" t="n"/>
      <c r="JJ16" s="1443" t="n"/>
      <c r="JK16" s="1443" t="n"/>
      <c r="JL16" s="1443" t="n"/>
      <c r="JM16" s="1443" t="n"/>
      <c r="JN16" s="1443" t="n"/>
      <c r="JO16" s="1443" t="n"/>
      <c r="JP16" s="1443" t="n"/>
      <c r="JQ16" s="1443" t="n"/>
      <c r="JR16" s="1443" t="n"/>
      <c r="JS16" s="1443" t="n"/>
      <c r="JT16" s="1443" t="n"/>
      <c r="JU16" s="1443" t="n"/>
      <c r="JV16" s="1443" t="n"/>
      <c r="JW16" s="1443" t="n"/>
      <c r="JX16" s="1443" t="n"/>
      <c r="JY16" s="1443" t="n"/>
      <c r="JZ16" s="1443" t="n"/>
      <c r="KA16" s="1443" t="n"/>
      <c r="KB16" s="1443" t="n"/>
      <c r="KC16" s="1443" t="n"/>
      <c r="KD16" s="1443" t="n"/>
      <c r="KE16" s="1443" t="n"/>
      <c r="KF16" s="1443" t="n"/>
      <c r="KG16" s="1443" t="n"/>
      <c r="KH16" s="1443" t="n"/>
      <c r="KI16" s="1443" t="n"/>
      <c r="KJ16" s="1443" t="n"/>
      <c r="KK16" s="1443" t="n"/>
      <c r="KL16" s="1443" t="n"/>
      <c r="KM16" s="1443" t="n"/>
      <c r="KN16" s="1443" t="n"/>
      <c r="KO16" s="1443" t="n"/>
      <c r="KP16" s="1443" t="n"/>
      <c r="KQ16" s="1443" t="n"/>
      <c r="KR16" s="1443" t="n"/>
      <c r="KS16" s="1443" t="n"/>
      <c r="KT16" s="1443" t="n"/>
      <c r="KU16" s="1443" t="n"/>
      <c r="KV16" s="1443" t="n"/>
      <c r="KW16" s="1443" t="n"/>
      <c r="KX16" s="1443" t="n"/>
      <c r="KY16" s="1443" t="n"/>
      <c r="KZ16" s="1443" t="n"/>
      <c r="LA16" s="1443" t="n"/>
      <c r="LB16" s="1443" t="n"/>
      <c r="LC16" s="1443" t="n"/>
      <c r="LD16" s="1443" t="n"/>
      <c r="LE16" s="1443" t="n"/>
      <c r="LF16" s="1443" t="n"/>
      <c r="LG16" s="1443" t="n"/>
      <c r="LH16" s="1443" t="n"/>
      <c r="LI16" s="1443" t="n"/>
      <c r="LJ16" s="1443" t="n"/>
      <c r="LK16" s="1443" t="n"/>
      <c r="LL16" s="1443" t="n"/>
      <c r="LM16" s="1443" t="n"/>
      <c r="LN16" s="1443" t="n"/>
      <c r="LO16" s="1443" t="n"/>
      <c r="LP16" s="1443" t="n"/>
      <c r="LQ16" s="1443" t="n"/>
      <c r="LR16" s="1443" t="n"/>
      <c r="LS16" s="1443" t="n"/>
      <c r="LT16" s="1443" t="n"/>
      <c r="LU16" s="1443" t="n"/>
      <c r="LV16" s="1443" t="n"/>
      <c r="LW16" s="1443" t="n"/>
      <c r="LX16" s="1443" t="n"/>
      <c r="LY16" s="1443" t="n"/>
      <c r="LZ16" s="1443" t="n"/>
      <c r="MA16" s="1443" t="n"/>
      <c r="MB16" s="1443" t="n"/>
      <c r="MC16" s="1443" t="n"/>
      <c r="MD16" s="1443" t="n"/>
      <c r="ME16" s="1443" t="n"/>
      <c r="MF16" s="1443" t="n"/>
      <c r="MG16" s="1443" t="n"/>
      <c r="MH16" s="1443" t="n"/>
      <c r="MI16" s="1443" t="n"/>
      <c r="MJ16" s="1443" t="n"/>
      <c r="MK16" s="1443" t="n"/>
      <c r="ML16" s="1443" t="n"/>
      <c r="MM16" s="1443" t="n"/>
      <c r="MN16" s="1443" t="n"/>
      <c r="MO16" s="1443" t="n"/>
      <c r="MP16" s="1443" t="n"/>
      <c r="MQ16" s="1443" t="n"/>
      <c r="MR16" s="1443" t="n"/>
      <c r="MS16" s="1443" t="n"/>
      <c r="MT16" s="1443" t="n"/>
      <c r="MU16" s="1443" t="n"/>
      <c r="MV16" s="1443" t="n"/>
      <c r="MW16" s="1443" t="n"/>
      <c r="MX16" s="1443" t="n"/>
      <c r="MY16" s="1443" t="n"/>
      <c r="MZ16" s="1443" t="n"/>
      <c r="NA16" s="1443" t="n"/>
      <c r="NB16" s="1443" t="n"/>
      <c r="NC16" s="1443" t="n"/>
      <c r="ND16" s="1443" t="n"/>
      <c r="NE16" s="1443" t="n"/>
      <c r="NF16" s="1443" t="n"/>
      <c r="NG16" s="1443" t="n"/>
      <c r="NH16" s="1443" t="n"/>
      <c r="NI16" s="1443" t="n"/>
      <c r="NJ16" s="1443" t="n"/>
      <c r="NK16" s="1443" t="n"/>
      <c r="NL16" s="1443" t="n"/>
      <c r="NM16" s="1443" t="n"/>
      <c r="NN16" s="1443" t="n"/>
      <c r="NO16" s="1443" t="n"/>
      <c r="NP16" s="1443" t="n"/>
      <c r="NQ16" s="1443" t="n"/>
      <c r="NR16" s="1443" t="n"/>
      <c r="NS16" s="1443" t="n"/>
      <c r="NT16" s="1443" t="n"/>
      <c r="NU16" s="1443" t="n"/>
      <c r="NV16" s="1443" t="n"/>
      <c r="NW16" s="1443" t="n"/>
      <c r="NX16" s="1443" t="n"/>
      <c r="NY16" s="1443" t="n"/>
      <c r="NZ16" s="1443" t="n"/>
      <c r="OA16" s="1443" t="n"/>
      <c r="OB16" s="1443" t="n"/>
      <c r="OC16" s="1443" t="n"/>
      <c r="OD16" s="1443" t="n"/>
      <c r="OE16" s="1443" t="n"/>
      <c r="OF16" s="1443" t="n"/>
      <c r="OG16" s="1443" t="n"/>
      <c r="OH16" s="1443" t="n"/>
      <c r="OI16" s="1443" t="n"/>
      <c r="OJ16" s="1443" t="n"/>
      <c r="OK16" s="1443" t="n"/>
      <c r="OL16" s="1443" t="n"/>
      <c r="OM16" s="1443" t="n"/>
      <c r="ON16" s="1443" t="n"/>
      <c r="OO16" s="1443" t="n"/>
      <c r="OP16" s="1443" t="n"/>
      <c r="OQ16" s="1443" t="n"/>
      <c r="OR16" s="1443" t="n"/>
      <c r="OS16" s="1443" t="n"/>
      <c r="OT16" s="1443" t="n"/>
      <c r="OU16" s="1443" t="n"/>
      <c r="OV16" s="1443" t="n"/>
      <c r="OW16" s="1443" t="n"/>
      <c r="OX16" s="1443" t="n"/>
      <c r="OY16" s="1443" t="n"/>
      <c r="OZ16" s="1443" t="n"/>
      <c r="PA16" s="1443" t="n"/>
      <c r="PB16" s="1443" t="n"/>
      <c r="PC16" s="1443" t="n"/>
      <c r="PD16" s="1443" t="n"/>
      <c r="PE16" s="1443" t="n"/>
      <c r="PF16" s="1443" t="n"/>
      <c r="PG16" s="1443" t="n"/>
      <c r="PH16" s="1443" t="n"/>
      <c r="PI16" s="1443" t="n"/>
      <c r="PJ16" s="1443" t="n"/>
      <c r="PK16" s="1443" t="n"/>
      <c r="PL16" s="1443" t="n"/>
      <c r="PM16" s="1443" t="n"/>
      <c r="PN16" s="1443" t="n"/>
      <c r="PO16" s="1443" t="n"/>
      <c r="PP16" s="1443" t="n"/>
      <c r="PQ16" s="1443" t="n"/>
      <c r="PR16" s="1443" t="n"/>
      <c r="PS16" s="1443" t="n"/>
      <c r="PT16" s="1443" t="n"/>
      <c r="PU16" s="1443" t="n"/>
      <c r="PV16" s="1443" t="n"/>
      <c r="PW16" s="1443" t="n"/>
      <c r="PX16" s="1443" t="n"/>
      <c r="PY16" s="1443" t="n"/>
      <c r="PZ16" s="1443" t="n"/>
      <c r="QA16" s="1443" t="n"/>
      <c r="QB16" s="1443" t="n"/>
      <c r="QC16" s="1443" t="n"/>
      <c r="QD16" s="1443" t="n"/>
      <c r="QE16" s="1443" t="n"/>
      <c r="QF16" s="1443" t="n"/>
      <c r="QG16" s="1443" t="n"/>
      <c r="QH16" s="1443" t="n"/>
      <c r="QI16" s="1443" t="n"/>
      <c r="QJ16" s="1443" t="n"/>
      <c r="QK16" s="1443" t="n"/>
      <c r="QL16" s="1443" t="n"/>
      <c r="QM16" s="1443" t="n"/>
      <c r="QN16" s="1443" t="n"/>
      <c r="QO16" s="1443" t="n"/>
      <c r="QP16" s="1443" t="n"/>
      <c r="QQ16" s="1443" t="n"/>
      <c r="QR16" s="1443" t="n"/>
      <c r="QS16" s="1443" t="n"/>
      <c r="QT16" s="1443" t="n"/>
      <c r="QU16" s="1443" t="n"/>
      <c r="QV16" s="1443" t="n"/>
      <c r="QW16" s="1443" t="n"/>
      <c r="QX16" s="1443" t="n"/>
      <c r="QY16" s="1443" t="n"/>
      <c r="QZ16" s="1443" t="n"/>
      <c r="RA16" s="1443" t="n"/>
      <c r="RB16" s="1443" t="n"/>
      <c r="RC16" s="1443" t="n"/>
      <c r="RD16" s="1443" t="n"/>
      <c r="RE16" s="1443" t="n"/>
      <c r="RF16" s="1443" t="n"/>
      <c r="RG16" s="1443" t="n"/>
      <c r="RH16" s="1443" t="n"/>
      <c r="RI16" s="1443" t="n"/>
      <c r="RJ16" s="1443" t="n"/>
      <c r="RK16" s="1443" t="n"/>
      <c r="RL16" s="1443" t="n"/>
      <c r="RM16" s="1443" t="n"/>
      <c r="RN16" s="1443" t="n"/>
      <c r="RO16" s="1443" t="n"/>
      <c r="RP16" s="1443" t="n"/>
      <c r="RQ16" s="1443" t="n"/>
      <c r="RR16" s="1443" t="n"/>
      <c r="RS16" s="1443" t="n"/>
      <c r="RT16" s="1443" t="n"/>
      <c r="RU16" s="1443" t="n"/>
      <c r="RV16" s="1443" t="n"/>
      <c r="RW16" s="1443" t="n"/>
      <c r="RX16" s="1443" t="n"/>
      <c r="RY16" s="1443" t="n"/>
      <c r="RZ16" s="1443" t="n"/>
      <c r="SA16" s="1443" t="n"/>
      <c r="SB16" s="1443" t="n"/>
      <c r="SC16" s="1443" t="n"/>
      <c r="SD16" s="1443" t="n"/>
      <c r="SE16" s="1443" t="n"/>
      <c r="SF16" s="1443" t="n"/>
      <c r="SG16" s="1443" t="n"/>
      <c r="SH16" s="1443" t="n"/>
      <c r="SI16" s="1443" t="n"/>
      <c r="SJ16" s="1443" t="n"/>
      <c r="SK16" s="1443" t="n"/>
      <c r="SL16" s="1443" t="n"/>
      <c r="SM16" s="1443" t="n"/>
      <c r="SN16" s="1443" t="n"/>
      <c r="SO16" s="1443" t="n"/>
      <c r="SP16" s="1443" t="n"/>
      <c r="SQ16" s="1443" t="n"/>
      <c r="SR16" s="1443" t="n"/>
      <c r="SS16" s="1443" t="n"/>
      <c r="ST16" s="1443" t="n"/>
      <c r="SU16" s="1443" t="n"/>
      <c r="SV16" s="1443" t="n"/>
      <c r="SW16" s="1443" t="n"/>
      <c r="SX16" s="1443" t="n"/>
      <c r="SY16" s="1443" t="n"/>
      <c r="SZ16" s="1443" t="n"/>
      <c r="TA16" s="1443" t="n"/>
      <c r="TB16" s="1443" t="n"/>
      <c r="TC16" s="1443" t="n"/>
      <c r="TD16" s="1443" t="n"/>
      <c r="TE16" s="1443" t="n"/>
      <c r="TF16" s="1443" t="n"/>
      <c r="TG16" s="1443" t="n"/>
      <c r="TH16" s="1443" t="n"/>
      <c r="TI16" s="1443" t="n"/>
      <c r="TJ16" s="1443" t="n"/>
      <c r="TK16" s="1443" t="n"/>
      <c r="TL16" s="1443" t="n"/>
      <c r="TM16" s="1443" t="n"/>
      <c r="TN16" s="1443" t="n"/>
      <c r="TO16" s="1443" t="n"/>
      <c r="TP16" s="1443" t="n"/>
      <c r="TQ16" s="1443" t="n"/>
      <c r="TR16" s="1443" t="n"/>
      <c r="TS16" s="1443" t="n"/>
      <c r="TT16" s="1443" t="n"/>
      <c r="TU16" s="1443" t="n"/>
      <c r="TV16" s="1443" t="n"/>
      <c r="TW16" s="1443" t="n"/>
      <c r="TX16" s="1443" t="n"/>
      <c r="TY16" s="1443" t="n"/>
      <c r="TZ16" s="1443" t="n"/>
      <c r="UA16" s="1443" t="n"/>
      <c r="UB16" s="1443" t="n"/>
      <c r="UC16" s="1443" t="n"/>
      <c r="UD16" s="1443" t="n"/>
      <c r="UE16" s="1443" t="n"/>
      <c r="UF16" s="1443" t="n"/>
      <c r="UG16" s="1443" t="n"/>
      <c r="UH16" s="1443" t="n"/>
      <c r="UI16" s="1443" t="n"/>
      <c r="UJ16" s="1443" t="n"/>
      <c r="UK16" s="1443" t="n"/>
      <c r="UL16" s="1443" t="n"/>
      <c r="UM16" s="1443" t="n"/>
      <c r="UN16" s="1443" t="n"/>
      <c r="UO16" s="1443" t="n"/>
      <c r="UP16" s="1443" t="n"/>
      <c r="UQ16" s="1443" t="n"/>
      <c r="UR16" s="1443" t="n"/>
      <c r="US16" s="1443" t="n"/>
      <c r="UT16" s="1443" t="n"/>
      <c r="UU16" s="1443" t="n"/>
      <c r="UV16" s="1443" t="n"/>
      <c r="UW16" s="1443" t="n"/>
      <c r="UX16" s="1443" t="n"/>
      <c r="UY16" s="1443" t="n"/>
      <c r="UZ16" s="1443" t="n"/>
      <c r="VA16" s="1443" t="n"/>
      <c r="VB16" s="1443" t="n"/>
      <c r="VC16" s="1443" t="n"/>
      <c r="VD16" s="1443" t="n"/>
      <c r="VE16" s="1443" t="n"/>
      <c r="VF16" s="1443" t="n"/>
      <c r="VG16" s="1443" t="n"/>
      <c r="VH16" s="1443" t="n"/>
      <c r="VI16" s="1443" t="n"/>
      <c r="VJ16" s="1443" t="n"/>
      <c r="VK16" s="1443" t="n"/>
      <c r="VL16" s="1443" t="n"/>
      <c r="VM16" s="1443" t="n"/>
      <c r="VN16" s="1443" t="n"/>
      <c r="VO16" s="1443" t="n"/>
      <c r="VP16" s="1443" t="n"/>
      <c r="VQ16" s="1443" t="n"/>
      <c r="VR16" s="1443" t="n"/>
      <c r="VS16" s="1443" t="n"/>
      <c r="VT16" s="1443" t="n"/>
      <c r="VU16" s="1443" t="n"/>
      <c r="VV16" s="1443" t="n"/>
      <c r="VW16" s="1443" t="n"/>
      <c r="VX16" s="1443" t="n"/>
      <c r="VY16" s="1443" t="n"/>
      <c r="VZ16" s="1443" t="n"/>
      <c r="WA16" s="1443" t="n"/>
      <c r="WB16" s="1443" t="n"/>
      <c r="WC16" s="1443" t="n"/>
      <c r="WD16" s="1443" t="n"/>
      <c r="WE16" s="1443" t="n"/>
      <c r="WF16" s="1443" t="n"/>
      <c r="WG16" s="1443" t="n"/>
      <c r="WH16" s="1443" t="n"/>
      <c r="WI16" s="1443" t="n"/>
      <c r="WJ16" s="1443" t="n"/>
      <c r="WK16" s="1443" t="n"/>
      <c r="WL16" s="1443" t="n"/>
      <c r="WM16" s="1443" t="n"/>
      <c r="WN16" s="1443" t="n"/>
      <c r="WO16" s="1443" t="n"/>
      <c r="WP16" s="1443" t="n"/>
      <c r="WQ16" s="1443" t="n"/>
      <c r="WR16" s="1443" t="n"/>
      <c r="WS16" s="1443" t="n"/>
      <c r="WT16" s="1443" t="n"/>
      <c r="WU16" s="1443" t="n"/>
      <c r="WV16" s="1443" t="n"/>
      <c r="WW16" s="1443" t="n"/>
      <c r="WX16" s="1443" t="n"/>
      <c r="WY16" s="1443" t="n"/>
      <c r="WZ16" s="1443" t="n"/>
      <c r="XA16" s="1443" t="n"/>
      <c r="XB16" s="1443" t="n"/>
      <c r="XC16" s="1443" t="n"/>
      <c r="XD16" s="1443" t="n"/>
      <c r="XE16" s="1443" t="n"/>
      <c r="XF16" s="1443" t="n"/>
      <c r="XG16" s="1443" t="n"/>
      <c r="XH16" s="1443" t="n"/>
      <c r="XI16" s="1443" t="n"/>
      <c r="XJ16" s="1443" t="n"/>
      <c r="XK16" s="1443" t="n"/>
      <c r="XL16" s="1443" t="n"/>
      <c r="XM16" s="1443" t="n"/>
      <c r="XN16" s="1443" t="n"/>
      <c r="XO16" s="1443" t="n"/>
      <c r="XP16" s="1443" t="n"/>
      <c r="XQ16" s="1443" t="n"/>
      <c r="XR16" s="1443" t="n"/>
      <c r="XS16" s="1443" t="n"/>
      <c r="XT16" s="1443" t="n"/>
      <c r="XU16" s="1443" t="n"/>
      <c r="XV16" s="1443" t="n"/>
      <c r="XW16" s="1443" t="n"/>
      <c r="XX16" s="1443" t="n"/>
      <c r="XY16" s="1443" t="n"/>
      <c r="XZ16" s="1443" t="n"/>
      <c r="YA16" s="1443" t="n"/>
      <c r="YB16" s="1443" t="n"/>
      <c r="YC16" s="1443" t="n"/>
      <c r="YD16" s="1443" t="n"/>
      <c r="YE16" s="1443" t="n"/>
      <c r="YF16" s="1443" t="n"/>
      <c r="YG16" s="1443" t="n"/>
      <c r="YH16" s="1443" t="n"/>
      <c r="YI16" s="1443" t="n"/>
      <c r="YJ16" s="1443" t="n"/>
      <c r="YK16" s="1443" t="n"/>
      <c r="YL16" s="1443" t="n"/>
      <c r="YM16" s="1443" t="n"/>
      <c r="YN16" s="1443" t="n"/>
      <c r="YO16" s="1443" t="n"/>
      <c r="YP16" s="1443" t="n"/>
      <c r="YQ16" s="1443" t="n"/>
      <c r="YR16" s="1443" t="n"/>
      <c r="YS16" s="1443" t="n"/>
      <c r="YT16" s="1443" t="n"/>
      <c r="YU16" s="1443" t="n"/>
      <c r="YV16" s="1443" t="n"/>
      <c r="YW16" s="1443" t="n"/>
      <c r="YX16" s="1443" t="n"/>
      <c r="YY16" s="1443" t="n"/>
      <c r="YZ16" s="1443" t="n"/>
      <c r="ZA16" s="1443" t="n"/>
      <c r="ZB16" s="1443" t="n"/>
      <c r="ZC16" s="1443" t="n"/>
      <c r="ZD16" s="1443" t="n"/>
      <c r="ZE16" s="1443" t="n"/>
      <c r="ZF16" s="1444" t="n"/>
    </row>
    <row r="17" customFormat="1" s="87">
      <c r="A17" s="120" t="n"/>
      <c r="B17" s="90" t="n"/>
      <c r="C17" s="416" t="inlineStr">
        <is>
          <t xml:space="preserve">Time Deposit </t>
        </is>
      </c>
      <c r="D17" s="1441" t="n">
        <v>0.512</v>
      </c>
      <c r="E17" s="1441" t="n">
        <v>0.512</v>
      </c>
      <c r="F17" s="1441" t="n">
        <v>1.964</v>
      </c>
      <c r="G17" s="1441">
        <f>(1.964-0.110863-0.76082+0.78025)</f>
        <v/>
      </c>
      <c r="H17" s="1441">
        <f>(1.964-0.110863-0.76082+0.78025)</f>
        <v/>
      </c>
      <c r="I17" s="1441">
        <f>H17</f>
        <v/>
      </c>
      <c r="J17" s="1441">
        <f>I17</f>
        <v/>
      </c>
      <c r="K17" s="1441">
        <f>J17</f>
        <v/>
      </c>
      <c r="L17" s="1441">
        <f>K17</f>
        <v/>
      </c>
      <c r="M17" s="1441" t="n">
        <v>2.27920547</v>
      </c>
      <c r="N17" s="1441" t="n">
        <v>2.27920547</v>
      </c>
      <c r="O17" s="1441" t="n">
        <v>2.27920547</v>
      </c>
      <c r="P17" s="1441" t="n">
        <v>2.27920547</v>
      </c>
      <c r="Q17" s="1441" t="n">
        <v>2.27920547</v>
      </c>
      <c r="R17" s="1441" t="n">
        <v>2.28266096</v>
      </c>
      <c r="S17" s="1441" t="n">
        <v>2.28266096</v>
      </c>
      <c r="T17" s="1441" t="n">
        <v>2.28266096</v>
      </c>
      <c r="U17" s="1441" t="n">
        <v>2.28266096</v>
      </c>
      <c r="V17" s="1441" t="n">
        <v>0.5216643400000001</v>
      </c>
      <c r="W17" s="1441" t="n">
        <v>0.5216643400000001</v>
      </c>
      <c r="X17" s="1441" t="n">
        <v>0.5216643400000001</v>
      </c>
      <c r="Y17" s="1441" t="n">
        <v>0.5216643400000001</v>
      </c>
      <c r="Z17" s="1441" t="n">
        <v>0.5216643400000001</v>
      </c>
      <c r="AA17" s="1441" t="n">
        <v>0.5216643400000001</v>
      </c>
      <c r="AB17" s="1441" t="n">
        <v>0.5216643400000001</v>
      </c>
      <c r="AC17" s="1441" t="n">
        <v>0.52299251</v>
      </c>
      <c r="AD17" s="1441" t="n">
        <v>0.52299251</v>
      </c>
      <c r="AE17" s="1441" t="n">
        <v>0.52299251</v>
      </c>
      <c r="AF17" s="1441" t="n">
        <v>0.52299251</v>
      </c>
      <c r="AG17" s="1441" t="n">
        <v>0.52299251</v>
      </c>
      <c r="AH17" s="1441" t="n">
        <v>0.52299251</v>
      </c>
      <c r="AI17" s="1441" t="n">
        <v>0.52299251</v>
      </c>
      <c r="AJ17" s="1441" t="n">
        <v>0.52299251</v>
      </c>
      <c r="AK17" s="1441" t="n">
        <v>0.52299251</v>
      </c>
      <c r="AL17" s="1441" t="n">
        <v>0.52299251</v>
      </c>
      <c r="AM17" s="1441" t="n">
        <v>0.52299251</v>
      </c>
      <c r="AN17" s="1441" t="n">
        <v>0.52299251</v>
      </c>
      <c r="AO17" s="1441" t="n">
        <v>0.52299251</v>
      </c>
      <c r="AP17" s="1441" t="n">
        <v>0.52299251</v>
      </c>
      <c r="AQ17" s="1441" t="n">
        <v>0.52299251</v>
      </c>
      <c r="AR17" s="416" t="n">
        <v>0.52299251</v>
      </c>
      <c r="AS17" s="416" t="n">
        <v>0.52299251</v>
      </c>
      <c r="AT17" s="416" t="n">
        <v>0.52299251</v>
      </c>
      <c r="AU17" s="416" t="n">
        <v>0.52299251</v>
      </c>
      <c r="AV17" s="416" t="n">
        <v>0.52299251</v>
      </c>
      <c r="AW17" s="416" t="n"/>
      <c r="AX17" s="416" t="n"/>
      <c r="AY17" s="416" t="n"/>
      <c r="AZ17" s="416" t="n"/>
      <c r="BA17" s="416" t="n"/>
      <c r="BB17" s="416" t="n"/>
      <c r="BC17" s="416" t="n"/>
      <c r="BD17" s="416" t="n"/>
      <c r="BE17" s="416" t="n"/>
      <c r="BF17" s="416" t="n"/>
      <c r="BG17" s="416" t="n"/>
      <c r="BH17" s="416" t="n"/>
      <c r="BI17" s="416" t="n"/>
      <c r="BJ17" s="416" t="n"/>
      <c r="BK17" s="416" t="n"/>
      <c r="BL17" s="416" t="n"/>
      <c r="BM17" s="416" t="n"/>
      <c r="BN17" s="416" t="n"/>
      <c r="BO17" s="416" t="n"/>
      <c r="BP17" s="416" t="n"/>
      <c r="BQ17" s="416" t="n"/>
      <c r="BR17" s="416" t="n"/>
      <c r="BS17" s="416" t="n"/>
      <c r="BT17" s="416" t="n"/>
      <c r="BU17" s="416" t="n"/>
      <c r="BV17" s="416" t="n"/>
      <c r="BW17" s="416" t="n"/>
      <c r="BX17" s="416" t="n"/>
      <c r="BY17" s="416" t="n"/>
      <c r="BZ17" s="416" t="n"/>
      <c r="CA17" s="416" t="n"/>
      <c r="CB17" s="416" t="n"/>
      <c r="CC17" s="416" t="n"/>
      <c r="CD17" s="416" t="n"/>
      <c r="CE17" s="416" t="n"/>
      <c r="CF17" s="416" t="n"/>
      <c r="CG17" s="416" t="n"/>
      <c r="CH17" s="416" t="n"/>
      <c r="CI17" s="416" t="n"/>
      <c r="CJ17" s="416" t="n"/>
      <c r="CK17" s="416" t="n"/>
      <c r="CL17" s="416" t="n"/>
      <c r="CM17" s="416" t="n"/>
      <c r="CN17" s="416" t="n"/>
      <c r="CO17" s="416" t="n"/>
      <c r="CP17" s="416" t="n"/>
      <c r="CQ17" s="416" t="n"/>
      <c r="CR17" s="416" t="n"/>
      <c r="CS17" s="416" t="n"/>
      <c r="CT17" s="416" t="n"/>
      <c r="CU17" s="416" t="n"/>
      <c r="CV17" s="416" t="n"/>
      <c r="CW17" s="416" t="n"/>
      <c r="CX17" s="416" t="n"/>
      <c r="CY17" s="416" t="n"/>
      <c r="CZ17" s="416" t="n"/>
      <c r="DA17" s="416" t="n"/>
      <c r="DB17" s="416" t="n"/>
      <c r="DC17" s="416" t="n"/>
      <c r="DD17" s="416" t="n"/>
      <c r="DE17" s="416" t="n"/>
      <c r="DF17" s="416" t="n"/>
      <c r="DG17" s="416" t="n"/>
      <c r="DH17" s="416" t="n"/>
      <c r="DI17" s="416" t="n"/>
      <c r="DJ17" s="416" t="n"/>
      <c r="DK17" s="416" t="n"/>
      <c r="DL17" s="416" t="n"/>
      <c r="DM17" s="416" t="n"/>
      <c r="DN17" s="416" t="n"/>
      <c r="DO17" s="416" t="n"/>
      <c r="DP17" s="416" t="n"/>
      <c r="DQ17" s="416" t="n"/>
      <c r="DR17" s="416" t="n"/>
      <c r="DS17" s="416" t="n"/>
      <c r="DT17" s="416" t="n"/>
      <c r="DU17" s="416" t="n"/>
      <c r="DV17" s="416" t="n"/>
      <c r="DW17" s="416" t="n"/>
      <c r="DX17" s="416" t="n"/>
      <c r="DY17" s="416" t="n"/>
      <c r="DZ17" s="416" t="n"/>
      <c r="EA17" s="416" t="n"/>
      <c r="EB17" s="416" t="n"/>
      <c r="EC17" s="416" t="n"/>
      <c r="ED17" s="416" t="n"/>
      <c r="EE17" s="416" t="n"/>
      <c r="EF17" s="416" t="n"/>
      <c r="EG17" s="416" t="n"/>
      <c r="EH17" s="416" t="n"/>
      <c r="EI17" s="416" t="n"/>
      <c r="EJ17" s="416" t="n"/>
      <c r="EK17" s="416" t="n"/>
      <c r="EL17" s="416" t="n"/>
      <c r="EM17" s="416" t="n"/>
      <c r="EN17" s="416" t="n"/>
      <c r="EO17" s="416" t="n"/>
      <c r="EP17" s="416" t="n"/>
      <c r="EQ17" s="416" t="n"/>
      <c r="ER17" s="416" t="n"/>
      <c r="ES17" s="416" t="n"/>
      <c r="ET17" s="416" t="n"/>
      <c r="EU17" s="416" t="n"/>
      <c r="EV17" s="416" t="n"/>
      <c r="EW17" s="416" t="n"/>
      <c r="EX17" s="416" t="n"/>
      <c r="EY17" s="416" t="n"/>
      <c r="EZ17" s="416" t="n"/>
      <c r="FA17" s="416" t="n"/>
      <c r="FB17" s="416" t="n"/>
      <c r="FC17" s="416" t="n"/>
      <c r="FD17" s="416" t="n"/>
      <c r="FE17" s="416" t="n"/>
      <c r="FF17" s="416" t="n"/>
      <c r="FG17" s="416" t="n"/>
      <c r="FH17" s="416" t="n"/>
      <c r="FI17" s="416" t="n"/>
      <c r="FJ17" s="416" t="n"/>
      <c r="FK17" s="416" t="n"/>
      <c r="FL17" s="416" t="n"/>
      <c r="FM17" s="416" t="n"/>
      <c r="FN17" s="416" t="n"/>
      <c r="FO17" s="416" t="n"/>
      <c r="FP17" s="416" t="n"/>
      <c r="FQ17" s="416" t="n"/>
      <c r="FR17" s="416" t="n"/>
      <c r="FS17" s="416" t="n"/>
      <c r="FT17" s="416" t="n"/>
      <c r="FU17" s="416" t="n"/>
      <c r="FV17" s="416" t="n"/>
      <c r="FW17" s="416" t="n"/>
      <c r="FX17" s="416" t="n"/>
      <c r="FY17" s="416" t="n"/>
      <c r="FZ17" s="416" t="n"/>
      <c r="GA17" s="416" t="n"/>
      <c r="GB17" s="416" t="n"/>
      <c r="GC17" s="416" t="n"/>
      <c r="GD17" s="416" t="n"/>
      <c r="GE17" s="416" t="n"/>
      <c r="GF17" s="416" t="n"/>
      <c r="GG17" s="416" t="n"/>
      <c r="GH17" s="416" t="n"/>
      <c r="GI17" s="416" t="n"/>
      <c r="GJ17" s="416" t="n"/>
      <c r="GK17" s="416" t="n"/>
      <c r="GL17" s="416" t="n"/>
      <c r="GM17" s="416" t="n"/>
      <c r="GN17" s="416" t="n"/>
      <c r="GO17" s="416" t="n"/>
      <c r="GP17" s="416" t="n"/>
      <c r="GQ17" s="416" t="n"/>
      <c r="GR17" s="416" t="n"/>
      <c r="GS17" s="416" t="n"/>
      <c r="GT17" s="416" t="n"/>
      <c r="GU17" s="416" t="n"/>
      <c r="GV17" s="416" t="n"/>
      <c r="GW17" s="416" t="n"/>
      <c r="GX17" s="416" t="n"/>
      <c r="GY17" s="416" t="n"/>
      <c r="GZ17" s="416" t="n"/>
      <c r="HA17" s="416" t="n"/>
      <c r="HB17" s="416" t="n"/>
      <c r="HC17" s="416" t="n"/>
      <c r="HD17" s="416" t="n"/>
      <c r="HE17" s="416" t="n"/>
      <c r="HF17" s="416" t="n"/>
      <c r="HG17" s="416" t="n"/>
      <c r="HH17" s="416" t="n"/>
      <c r="HI17" s="416" t="n"/>
      <c r="HJ17" s="416" t="n"/>
      <c r="HK17" s="416" t="n"/>
      <c r="HL17" s="416" t="n"/>
      <c r="HM17" s="416" t="n"/>
      <c r="HN17" s="416" t="n"/>
      <c r="HO17" s="416" t="n"/>
      <c r="HP17" s="416" t="n"/>
      <c r="HQ17" s="416" t="n"/>
      <c r="HR17" s="416" t="n"/>
      <c r="HS17" s="416" t="n"/>
      <c r="HT17" s="416" t="n"/>
      <c r="HU17" s="416" t="n"/>
      <c r="HV17" s="416" t="n"/>
      <c r="HW17" s="416" t="n"/>
      <c r="HX17" s="416" t="n"/>
      <c r="HY17" s="416" t="n"/>
      <c r="HZ17" s="416" t="n"/>
      <c r="IA17" s="416" t="n"/>
      <c r="IB17" s="416" t="n"/>
      <c r="IC17" s="416" t="n"/>
      <c r="ID17" s="416" t="n"/>
      <c r="IE17" s="416" t="n"/>
      <c r="IF17" s="416" t="n"/>
      <c r="IG17" s="416" t="n"/>
      <c r="IH17" s="416" t="n"/>
      <c r="II17" s="416" t="n"/>
      <c r="IJ17" s="416" t="n"/>
      <c r="IK17" s="416" t="n"/>
      <c r="IL17" s="416" t="n"/>
      <c r="IM17" s="416" t="n"/>
      <c r="IN17" s="416" t="n"/>
      <c r="IO17" s="416" t="n"/>
      <c r="IP17" s="416" t="n"/>
      <c r="IQ17" s="416" t="n"/>
      <c r="IR17" s="416" t="n"/>
      <c r="IS17" s="416" t="n"/>
      <c r="IT17" s="416" t="n"/>
      <c r="IU17" s="416" t="n"/>
      <c r="IV17" s="416" t="n"/>
      <c r="IW17" s="416" t="n"/>
      <c r="IX17" s="416" t="n"/>
      <c r="IY17" s="416" t="n"/>
      <c r="IZ17" s="416" t="n"/>
      <c r="JA17" s="416" t="n"/>
      <c r="JB17" s="416" t="n"/>
      <c r="JC17" s="416" t="n"/>
      <c r="JD17" s="416" t="n"/>
      <c r="JE17" s="416" t="n"/>
      <c r="JF17" s="416" t="n"/>
      <c r="JG17" s="416" t="n"/>
      <c r="JH17" s="416" t="n"/>
      <c r="JI17" s="416" t="n"/>
      <c r="JJ17" s="416" t="n"/>
      <c r="JK17" s="416" t="n"/>
      <c r="JL17" s="416" t="n"/>
      <c r="JM17" s="416" t="n"/>
      <c r="JN17" s="416" t="n"/>
      <c r="JO17" s="416" t="n"/>
      <c r="JP17" s="416" t="n"/>
      <c r="JQ17" s="416" t="n"/>
      <c r="JR17" s="416" t="n"/>
      <c r="JS17" s="416" t="n"/>
      <c r="JT17" s="416" t="n"/>
      <c r="JU17" s="416" t="n"/>
      <c r="JV17" s="416" t="n"/>
      <c r="JW17" s="416" t="n"/>
      <c r="JX17" s="416" t="n"/>
      <c r="JY17" s="416" t="n"/>
      <c r="JZ17" s="416" t="n"/>
      <c r="KA17" s="416" t="n"/>
      <c r="KB17" s="416" t="n"/>
      <c r="KC17" s="416" t="n"/>
      <c r="KD17" s="416" t="n"/>
      <c r="KE17" s="416" t="n"/>
      <c r="KF17" s="416" t="n"/>
      <c r="KG17" s="416" t="n"/>
      <c r="KH17" s="416" t="n"/>
      <c r="KI17" s="416" t="n"/>
      <c r="KJ17" s="416" t="n"/>
      <c r="KK17" s="416" t="n"/>
      <c r="KL17" s="416" t="n"/>
      <c r="KM17" s="416" t="n"/>
      <c r="KN17" s="416" t="n"/>
      <c r="KO17" s="416" t="n"/>
      <c r="KP17" s="416" t="n"/>
      <c r="KQ17" s="416" t="n"/>
      <c r="KR17" s="416" t="n"/>
      <c r="KS17" s="416" t="n"/>
      <c r="KT17" s="416" t="n"/>
      <c r="KU17" s="416" t="n"/>
      <c r="KV17" s="416" t="n"/>
      <c r="KW17" s="416" t="n"/>
      <c r="KX17" s="416" t="n"/>
      <c r="KY17" s="416" t="n"/>
      <c r="KZ17" s="416" t="n"/>
      <c r="LA17" s="416" t="n"/>
      <c r="LB17" s="416" t="n"/>
      <c r="LC17" s="416" t="n"/>
      <c r="LD17" s="416" t="n"/>
      <c r="LE17" s="416" t="n"/>
      <c r="LF17" s="416" t="n"/>
      <c r="LG17" s="416" t="n"/>
      <c r="LH17" s="416" t="n"/>
      <c r="LI17" s="416" t="n"/>
      <c r="LJ17" s="416" t="n"/>
      <c r="LK17" s="416" t="n"/>
      <c r="LL17" s="416" t="n"/>
      <c r="LM17" s="416" t="n"/>
      <c r="LN17" s="416" t="n"/>
      <c r="LO17" s="416" t="n"/>
      <c r="LP17" s="416" t="n"/>
      <c r="LQ17" s="416" t="n"/>
      <c r="LR17" s="416" t="n"/>
      <c r="LS17" s="416" t="n"/>
      <c r="LT17" s="416" t="n"/>
      <c r="LU17" s="416" t="n"/>
      <c r="LV17" s="416" t="n"/>
      <c r="LW17" s="416" t="n"/>
      <c r="LX17" s="416" t="n"/>
      <c r="LY17" s="416" t="n"/>
      <c r="LZ17" s="416" t="n"/>
      <c r="MA17" s="416" t="n"/>
      <c r="MB17" s="416" t="n"/>
      <c r="MC17" s="416" t="n"/>
      <c r="MD17" s="416" t="n"/>
      <c r="ME17" s="416" t="n"/>
      <c r="MF17" s="416" t="n"/>
      <c r="MG17" s="416" t="n"/>
      <c r="MH17" s="416" t="n"/>
      <c r="MI17" s="416" t="n"/>
      <c r="MJ17" s="416" t="n"/>
      <c r="MK17" s="416" t="n"/>
      <c r="ML17" s="416" t="n"/>
      <c r="MM17" s="416" t="n"/>
      <c r="MN17" s="416" t="n"/>
      <c r="MO17" s="416" t="n"/>
      <c r="MP17" s="416" t="n"/>
      <c r="MQ17" s="416" t="n"/>
      <c r="MR17" s="416" t="n"/>
      <c r="MS17" s="416" t="n"/>
      <c r="MT17" s="416" t="n"/>
      <c r="MU17" s="416" t="n"/>
      <c r="MV17" s="416" t="n"/>
      <c r="MW17" s="416" t="n"/>
      <c r="MX17" s="416" t="n"/>
      <c r="MY17" s="416" t="n"/>
      <c r="MZ17" s="416" t="n"/>
      <c r="NA17" s="416" t="n"/>
      <c r="NB17" s="416" t="n"/>
      <c r="NC17" s="416" t="n"/>
      <c r="ND17" s="416" t="n"/>
      <c r="NE17" s="416" t="n"/>
      <c r="NF17" s="416" t="n"/>
      <c r="NG17" s="416" t="n"/>
      <c r="NH17" s="416" t="n"/>
      <c r="NI17" s="416" t="n"/>
      <c r="NJ17" s="416" t="n"/>
      <c r="NK17" s="416" t="n"/>
      <c r="NL17" s="416" t="n"/>
      <c r="NM17" s="416" t="n"/>
      <c r="NN17" s="416" t="n"/>
      <c r="NO17" s="416" t="n"/>
      <c r="NP17" s="416" t="n"/>
      <c r="NQ17" s="416" t="n"/>
      <c r="NR17" s="416" t="n"/>
      <c r="NS17" s="416" t="n"/>
      <c r="NT17" s="416" t="n"/>
      <c r="NU17" s="416" t="n"/>
      <c r="NV17" s="416" t="n"/>
      <c r="NW17" s="416" t="n"/>
      <c r="NX17" s="416" t="n"/>
      <c r="NY17" s="416" t="n"/>
      <c r="NZ17" s="416" t="n"/>
      <c r="OA17" s="416" t="n"/>
      <c r="OB17" s="416" t="n"/>
      <c r="OC17" s="416" t="n"/>
      <c r="OD17" s="416" t="n"/>
      <c r="OE17" s="416" t="n"/>
      <c r="OF17" s="416" t="n"/>
      <c r="OG17" s="416" t="n"/>
      <c r="OH17" s="416" t="n"/>
      <c r="OI17" s="416" t="n"/>
      <c r="OJ17" s="416" t="n"/>
      <c r="OK17" s="416" t="n"/>
      <c r="OL17" s="416" t="n"/>
      <c r="OM17" s="416" t="n"/>
      <c r="ON17" s="416" t="n"/>
      <c r="OO17" s="416" t="n"/>
      <c r="OP17" s="416" t="n"/>
      <c r="OQ17" s="416" t="n"/>
      <c r="OR17" s="416" t="n"/>
      <c r="OS17" s="416" t="n"/>
      <c r="OT17" s="416" t="n"/>
      <c r="OU17" s="416" t="n"/>
      <c r="OV17" s="416" t="n"/>
      <c r="OW17" s="416" t="n"/>
      <c r="OX17" s="416" t="n"/>
      <c r="OY17" s="416" t="n"/>
      <c r="OZ17" s="416" t="n"/>
      <c r="PA17" s="416" t="n"/>
      <c r="PB17" s="416" t="n"/>
      <c r="PC17" s="416" t="n"/>
      <c r="PD17" s="416" t="n"/>
      <c r="PE17" s="416" t="n"/>
      <c r="PF17" s="416" t="n"/>
      <c r="PG17" s="416" t="n"/>
      <c r="PH17" s="416" t="n"/>
      <c r="PI17" s="416" t="n"/>
      <c r="PJ17" s="416" t="n"/>
      <c r="PK17" s="416" t="n"/>
      <c r="PL17" s="416" t="n"/>
      <c r="PM17" s="416" t="n"/>
      <c r="PN17" s="416" t="n"/>
      <c r="PO17" s="416" t="n"/>
      <c r="PP17" s="416" t="n"/>
      <c r="PQ17" s="416" t="n"/>
      <c r="PR17" s="416" t="n"/>
      <c r="PS17" s="416" t="n"/>
      <c r="PT17" s="416" t="n"/>
      <c r="PU17" s="416" t="n"/>
      <c r="PV17" s="416" t="n"/>
      <c r="PW17" s="416" t="n"/>
      <c r="PX17" s="416" t="n"/>
      <c r="PY17" s="416" t="n"/>
      <c r="PZ17" s="416" t="n"/>
      <c r="QA17" s="416" t="n"/>
      <c r="QB17" s="416" t="n"/>
      <c r="QC17" s="416" t="n"/>
      <c r="QD17" s="416" t="n"/>
      <c r="QE17" s="416" t="n"/>
      <c r="QF17" s="416" t="n"/>
      <c r="QG17" s="416" t="n"/>
      <c r="QH17" s="416" t="n"/>
      <c r="QI17" s="416" t="n"/>
      <c r="QJ17" s="416" t="n"/>
      <c r="QK17" s="416" t="n"/>
      <c r="QL17" s="416" t="n"/>
      <c r="QM17" s="416" t="n"/>
      <c r="QN17" s="416" t="n"/>
      <c r="QO17" s="416" t="n"/>
      <c r="QP17" s="416" t="n"/>
      <c r="QQ17" s="416" t="n"/>
      <c r="QR17" s="416" t="n"/>
      <c r="QS17" s="416" t="n"/>
      <c r="QT17" s="416" t="n"/>
      <c r="QU17" s="416" t="n"/>
      <c r="QV17" s="416" t="n"/>
      <c r="QW17" s="416" t="n"/>
      <c r="QX17" s="416" t="n"/>
      <c r="QY17" s="416" t="n"/>
      <c r="QZ17" s="416" t="n"/>
      <c r="RA17" s="416" t="n"/>
      <c r="RB17" s="416" t="n"/>
      <c r="RC17" s="416" t="n"/>
      <c r="RD17" s="416" t="n"/>
      <c r="RE17" s="1441" t="n">
        <v>2.71685629</v>
      </c>
      <c r="RF17" s="1441" t="n">
        <v>2.71685629</v>
      </c>
      <c r="RG17" s="1441">
        <f>$D$62</f>
        <v/>
      </c>
      <c r="RH17" s="1441" t="n">
        <v>2.71685629</v>
      </c>
      <c r="RI17" s="1441" t="n">
        <v>2.71685629</v>
      </c>
      <c r="RJ17" s="1441" t="n">
        <v>2.71685629</v>
      </c>
      <c r="RK17" s="1441" t="n">
        <v>2.71685629</v>
      </c>
      <c r="RL17" s="1441" t="n">
        <v>2.71685629</v>
      </c>
      <c r="RM17" s="1441" t="n">
        <v>2.71685629</v>
      </c>
      <c r="RN17" s="1441" t="n">
        <v>2.71685629</v>
      </c>
      <c r="RO17" s="1441" t="n">
        <v>2.71685629</v>
      </c>
      <c r="RP17" s="1441" t="n">
        <v>2.71685629</v>
      </c>
      <c r="RQ17" s="1441" t="n">
        <v>2.71685629</v>
      </c>
      <c r="RR17" s="1441" t="n">
        <v>2.71685629</v>
      </c>
      <c r="RS17" s="1441" t="n">
        <v>2.71685629</v>
      </c>
      <c r="RT17" s="1441" t="n">
        <v>2.71685629</v>
      </c>
      <c r="RU17" s="1441" t="n">
        <v>2.71685629</v>
      </c>
      <c r="RV17" s="1441" t="n">
        <v>2.71685629</v>
      </c>
      <c r="RW17" s="1441" t="n">
        <v>2.71685629</v>
      </c>
      <c r="RX17" s="1441" t="n">
        <v>2.71685629</v>
      </c>
      <c r="RY17" s="1441" t="n">
        <v>2.71685629</v>
      </c>
      <c r="RZ17" s="1441" t="n">
        <v>2.71685629</v>
      </c>
      <c r="SA17" s="1441" t="n">
        <v>2.71685629</v>
      </c>
      <c r="SB17" s="1441" t="n">
        <v>2.71685629</v>
      </c>
      <c r="SC17" s="1441" t="n">
        <v>2.71685629</v>
      </c>
      <c r="SD17" s="1441" t="n">
        <v>2.71685629</v>
      </c>
      <c r="SE17" s="1441" t="n">
        <v>2.71685629</v>
      </c>
      <c r="SF17" s="1441">
        <f>$D$62</f>
        <v/>
      </c>
      <c r="SG17" s="1441" t="n">
        <v>2.71685629</v>
      </c>
      <c r="SH17" s="1441" t="n">
        <v>2.71685629</v>
      </c>
      <c r="SI17" s="1441" t="n">
        <v>2.71685629</v>
      </c>
      <c r="SJ17" s="1441" t="n">
        <v>2.71685629</v>
      </c>
      <c r="SK17" s="1441" t="n">
        <v>2.71685629</v>
      </c>
      <c r="SL17" s="1441" t="n">
        <v>2.71685629</v>
      </c>
      <c r="SM17" s="1441" t="n">
        <v>2.71685629</v>
      </c>
      <c r="SN17" s="1441" t="n">
        <v>2.71685629</v>
      </c>
      <c r="SO17" s="1441" t="n">
        <v>2.71685629</v>
      </c>
      <c r="SP17" s="1441" t="n">
        <v>2.71685629</v>
      </c>
      <c r="SQ17" s="1441" t="n">
        <v>2.71685629</v>
      </c>
      <c r="SR17" s="1441" t="n">
        <v>2.71685629</v>
      </c>
      <c r="SS17" s="1441" t="n">
        <v>2.71685629</v>
      </c>
      <c r="ST17" s="1441" t="n">
        <v>2.71685629</v>
      </c>
      <c r="SU17" s="1441" t="n">
        <v>2.71685629</v>
      </c>
      <c r="SV17" s="1441" t="n">
        <v>2.71685629</v>
      </c>
      <c r="SW17" s="1441" t="n">
        <v>2.71685629</v>
      </c>
      <c r="SX17" s="1441" t="n">
        <v>2.71685629</v>
      </c>
      <c r="SY17" s="1441" t="n">
        <v>2.71685629</v>
      </c>
      <c r="SZ17" s="1441" t="n">
        <v>2.71685629</v>
      </c>
      <c r="TA17" s="1441" t="n">
        <v>2.71685629</v>
      </c>
      <c r="TB17" s="1441" t="n">
        <v>2.71685629</v>
      </c>
      <c r="TC17" s="1441" t="n">
        <v>2.71685629</v>
      </c>
      <c r="TD17" s="1441" t="n">
        <v>2.71685629</v>
      </c>
      <c r="TE17" s="1441">
        <f>$D$62</f>
        <v/>
      </c>
      <c r="TF17" s="1441" t="n">
        <v>2.71685629</v>
      </c>
      <c r="TG17" s="1441" t="n">
        <v>2.71685629</v>
      </c>
      <c r="TH17" s="1441" t="n">
        <v>2.71685629</v>
      </c>
      <c r="TI17" s="1441" t="n">
        <v>2.71685629</v>
      </c>
      <c r="TJ17" s="1441" t="n">
        <v>2.71685629</v>
      </c>
      <c r="TK17" s="1441" t="n">
        <v>2.71685629</v>
      </c>
      <c r="TL17" s="1441" t="n">
        <v>2.71685629</v>
      </c>
      <c r="TM17" s="1441" t="n">
        <v>2.71685629</v>
      </c>
      <c r="TN17" s="1441" t="n">
        <v>2.71685629</v>
      </c>
      <c r="TO17" s="1441" t="n">
        <v>2.71685629</v>
      </c>
      <c r="TP17" s="1441" t="n">
        <v>2.71685629</v>
      </c>
      <c r="TQ17" s="1441" t="n">
        <v>2.71685629</v>
      </c>
      <c r="TR17" s="1441" t="n">
        <v>2.71685629</v>
      </c>
      <c r="TS17" s="1441" t="n">
        <v>2.71685629</v>
      </c>
      <c r="TT17" s="1441" t="n">
        <v>2.71685629</v>
      </c>
      <c r="TU17" s="1441" t="n">
        <v>2.71685629</v>
      </c>
      <c r="TV17" s="1441" t="n">
        <v>2.71685629</v>
      </c>
      <c r="TW17" s="1441" t="n">
        <v>2.71685629</v>
      </c>
      <c r="TX17" s="1441" t="n">
        <v>2.71685629</v>
      </c>
      <c r="TY17" s="1441" t="n">
        <v>2.71685629</v>
      </c>
      <c r="TZ17" s="1441" t="n">
        <v>2.71685629</v>
      </c>
      <c r="UA17" s="1441" t="n">
        <v>2.71685629</v>
      </c>
      <c r="UB17" s="1441" t="n">
        <v>2.71685629</v>
      </c>
      <c r="UC17" s="1441" t="n">
        <v>2.71685629</v>
      </c>
      <c r="UD17" s="1441" t="n">
        <v>2.71685629</v>
      </c>
      <c r="UE17" s="1441" t="n">
        <v>2.71685629</v>
      </c>
      <c r="UF17" s="1441" t="n">
        <v>2.71685629</v>
      </c>
      <c r="UG17" s="1441" t="n">
        <v>2.71685629</v>
      </c>
      <c r="UH17" s="1441" t="n">
        <v>2.71685629</v>
      </c>
      <c r="UI17" s="1441" t="n">
        <v>2.71685629</v>
      </c>
      <c r="UJ17" s="1441" t="n">
        <v>2.71685629</v>
      </c>
      <c r="UK17" s="1441" t="n">
        <v>2.71685629</v>
      </c>
      <c r="UL17" s="1441" t="n">
        <v>2.71685629</v>
      </c>
      <c r="UM17" s="1441" t="n">
        <v>2.71685629</v>
      </c>
      <c r="UN17" s="1441" t="n">
        <v>2.71685629</v>
      </c>
      <c r="UO17" s="1441" t="n">
        <v>2.71685629</v>
      </c>
      <c r="UP17" s="1441" t="n">
        <v>2.71685629</v>
      </c>
      <c r="UQ17" s="1441" t="n">
        <v>2.71685629</v>
      </c>
      <c r="UR17" s="1441" t="n">
        <v>2.71685629</v>
      </c>
      <c r="US17" s="1441" t="n">
        <v>0</v>
      </c>
      <c r="UT17" s="1441" t="n">
        <v>0</v>
      </c>
      <c r="UU17" s="1441" t="n">
        <v>0</v>
      </c>
      <c r="UV17" s="1441" t="n">
        <v>0</v>
      </c>
      <c r="UW17" s="1441" t="n">
        <v>0</v>
      </c>
      <c r="UX17" s="1441" t="n">
        <v>0</v>
      </c>
      <c r="UY17" s="1441" t="n">
        <v>0</v>
      </c>
      <c r="UZ17" s="1441" t="n">
        <v>0</v>
      </c>
      <c r="VA17" s="1441" t="n">
        <v>0</v>
      </c>
      <c r="VB17" s="1441" t="n">
        <v>0</v>
      </c>
      <c r="VC17" s="1441" t="n">
        <v>0</v>
      </c>
      <c r="VD17" s="1441" t="n">
        <v>0</v>
      </c>
      <c r="VE17" s="1441" t="n">
        <v>0</v>
      </c>
      <c r="VF17" s="1441" t="n">
        <v>0</v>
      </c>
      <c r="VG17" s="1441" t="n">
        <v>0</v>
      </c>
      <c r="VH17" s="1441" t="n">
        <v>0</v>
      </c>
      <c r="VI17" s="1441" t="n">
        <v>0</v>
      </c>
      <c r="VJ17" s="1441">
        <f>$D$62</f>
        <v/>
      </c>
      <c r="VK17" s="1441" t="n">
        <v>0</v>
      </c>
      <c r="VL17" s="1441" t="n">
        <v>0</v>
      </c>
      <c r="VM17" s="1441" t="n">
        <v>0</v>
      </c>
      <c r="VN17" s="1441" t="n">
        <v>0</v>
      </c>
      <c r="VO17" s="1441" t="n">
        <v>0</v>
      </c>
      <c r="VP17" s="1441" t="n">
        <v>0</v>
      </c>
      <c r="VQ17" s="1441" t="n">
        <v>0</v>
      </c>
      <c r="VR17" s="1441" t="n">
        <v>0</v>
      </c>
      <c r="VS17" s="1441" t="n">
        <v>0</v>
      </c>
      <c r="VT17" s="1441" t="n">
        <v>0</v>
      </c>
      <c r="VU17" s="1441" t="n">
        <v>0</v>
      </c>
      <c r="VV17" s="1441" t="n">
        <v>0</v>
      </c>
      <c r="VW17" s="1441" t="n">
        <v>0</v>
      </c>
      <c r="VX17" s="1441" t="n">
        <v>0</v>
      </c>
      <c r="VY17" s="1441" t="n">
        <v>0</v>
      </c>
      <c r="VZ17" s="1441" t="n">
        <v>0</v>
      </c>
      <c r="WA17" s="1441" t="n">
        <v>0</v>
      </c>
      <c r="WB17" s="1441" t="n">
        <v>0</v>
      </c>
      <c r="WC17" s="1441" t="n">
        <v>0</v>
      </c>
      <c r="WD17" s="1441" t="n">
        <v>0</v>
      </c>
      <c r="WE17" s="1441" t="n">
        <v>0</v>
      </c>
      <c r="WF17" s="1441" t="n">
        <v>0</v>
      </c>
      <c r="WG17" s="1441" t="n">
        <v>0</v>
      </c>
      <c r="WH17" s="1441" t="n">
        <v>0</v>
      </c>
      <c r="WI17" s="1441" t="n">
        <v>0</v>
      </c>
      <c r="WJ17" s="1441" t="n">
        <v>0</v>
      </c>
      <c r="WK17" s="1441" t="n">
        <v>0</v>
      </c>
      <c r="WL17" s="1441" t="n">
        <v>0</v>
      </c>
      <c r="WM17" s="1441" t="n">
        <v>0</v>
      </c>
      <c r="WN17" s="1441" t="n">
        <v>0</v>
      </c>
      <c r="WO17" s="1441" t="n">
        <v>0</v>
      </c>
      <c r="WP17" s="1441" t="n">
        <v>0</v>
      </c>
      <c r="WQ17" s="1441" t="n">
        <v>0</v>
      </c>
      <c r="WR17" s="1441">
        <f>$D$62</f>
        <v/>
      </c>
      <c r="WS17" s="1441" t="n">
        <v>0</v>
      </c>
      <c r="WT17" s="1441" t="n">
        <v>0</v>
      </c>
      <c r="WU17" s="1441" t="n">
        <v>0</v>
      </c>
      <c r="WV17" s="1441" t="n">
        <v>0</v>
      </c>
      <c r="WW17" s="1441" t="n">
        <v>0</v>
      </c>
      <c r="WX17" s="1441" t="n">
        <v>0</v>
      </c>
      <c r="WY17" s="1441" t="n">
        <v>0</v>
      </c>
      <c r="WZ17" s="1441" t="n">
        <v>0</v>
      </c>
      <c r="XA17" s="1441" t="n">
        <v>0</v>
      </c>
      <c r="XB17" s="1441" t="n">
        <v>0</v>
      </c>
      <c r="XC17" s="1441" t="n">
        <v>0</v>
      </c>
      <c r="XD17" s="1441" t="n">
        <v>0</v>
      </c>
      <c r="XE17" s="1441" t="n">
        <v>0</v>
      </c>
      <c r="XF17" s="1441" t="n">
        <v>0</v>
      </c>
      <c r="XG17" s="1441" t="n">
        <v>0</v>
      </c>
      <c r="XH17" s="1441" t="n">
        <v>0</v>
      </c>
      <c r="XI17" s="1441" t="n">
        <v>0</v>
      </c>
      <c r="XJ17" s="1441" t="n">
        <v>0</v>
      </c>
      <c r="XK17" s="1441" t="n">
        <v>0</v>
      </c>
      <c r="XL17" s="1441" t="n">
        <v>0</v>
      </c>
      <c r="XM17" s="1441" t="n">
        <v>0</v>
      </c>
      <c r="XN17" s="1441" t="n">
        <v>0</v>
      </c>
      <c r="XO17" s="1441" t="n">
        <v>0</v>
      </c>
      <c r="XP17" s="1441" t="n">
        <v>0</v>
      </c>
      <c r="XQ17" s="1441" t="n">
        <v>0</v>
      </c>
      <c r="XR17" s="1441" t="n">
        <v>0</v>
      </c>
      <c r="XS17" s="1441" t="n">
        <v>0</v>
      </c>
      <c r="XT17" s="1441">
        <f>$D$62</f>
        <v/>
      </c>
      <c r="XU17" s="1441" t="n">
        <v>0</v>
      </c>
      <c r="XV17" s="1441" t="n">
        <v>0</v>
      </c>
      <c r="XW17" s="1441" t="n">
        <v>0</v>
      </c>
      <c r="XX17" s="1441" t="n">
        <v>0</v>
      </c>
      <c r="XY17" s="1441" t="n">
        <v>0</v>
      </c>
      <c r="XZ17" s="1441" t="n">
        <v>0</v>
      </c>
      <c r="YA17" s="1441" t="n">
        <v>0</v>
      </c>
      <c r="YB17" s="1441" t="n">
        <v>0</v>
      </c>
      <c r="YC17" s="1441" t="n">
        <v>0</v>
      </c>
      <c r="YD17" s="1441" t="n">
        <v>0</v>
      </c>
      <c r="YE17" s="1441" t="n">
        <v>0</v>
      </c>
      <c r="YF17" s="1441" t="n">
        <v>0</v>
      </c>
      <c r="YG17" s="1441" t="n">
        <v>0</v>
      </c>
      <c r="YH17" s="1441" t="n">
        <v>0</v>
      </c>
      <c r="YI17" s="1441" t="n">
        <v>0</v>
      </c>
      <c r="YJ17" s="1441" t="n">
        <v>0</v>
      </c>
      <c r="YK17" s="1441" t="n">
        <v>0</v>
      </c>
      <c r="YL17" s="1441" t="n">
        <v>0</v>
      </c>
      <c r="YM17" s="1441">
        <f>$D$62</f>
        <v/>
      </c>
      <c r="YN17" s="1441" t="n">
        <v>0</v>
      </c>
      <c r="YO17" s="1441" t="n">
        <v>0</v>
      </c>
      <c r="YP17" s="1441" t="n">
        <v>0</v>
      </c>
      <c r="YQ17" s="1441" t="n">
        <v>0</v>
      </c>
      <c r="YR17" s="1441" t="n">
        <v>0</v>
      </c>
      <c r="YS17" s="1441" t="n">
        <v>0</v>
      </c>
      <c r="YT17" s="1441" t="n">
        <v>0</v>
      </c>
      <c r="YU17" s="1441" t="n">
        <v>0</v>
      </c>
      <c r="YV17" s="1441" t="n">
        <v>0</v>
      </c>
      <c r="YW17" s="1441" t="n">
        <v>0</v>
      </c>
      <c r="YX17" s="1441" t="n">
        <v>0</v>
      </c>
      <c r="YY17" s="1441" t="n">
        <v>0</v>
      </c>
      <c r="YZ17" s="1441" t="n">
        <v>0</v>
      </c>
      <c r="ZA17" s="1441" t="n">
        <v>0</v>
      </c>
      <c r="ZB17" s="1441" t="n">
        <v>0</v>
      </c>
      <c r="ZC17" s="1441" t="n">
        <v>0</v>
      </c>
      <c r="ZD17" s="1441" t="n">
        <v>0</v>
      </c>
      <c r="ZE17" s="1441" t="n">
        <v>0</v>
      </c>
      <c r="ZF17" s="1442">
        <f>$D$62</f>
        <v/>
      </c>
    </row>
    <row r="18" customFormat="1" s="87">
      <c r="A18" s="120" t="n"/>
      <c r="B18" s="91" t="n"/>
      <c r="C18" s="417" t="inlineStr">
        <is>
          <t>Time Deposit Rate</t>
        </is>
      </c>
      <c r="D18" s="673" t="n">
        <v>0.002</v>
      </c>
      <c r="E18" s="673" t="n">
        <v>0.002</v>
      </c>
      <c r="F18" s="673" t="n">
        <v>0.002</v>
      </c>
      <c r="G18" s="673" t="n">
        <v>0.002</v>
      </c>
      <c r="H18" s="673" t="n">
        <v>0.002</v>
      </c>
      <c r="I18" s="673" t="n">
        <v>0.002</v>
      </c>
      <c r="J18" s="673" t="n">
        <v>0.002</v>
      </c>
      <c r="K18" s="673" t="n">
        <v>0.05</v>
      </c>
      <c r="L18" s="673" t="n">
        <v>0.05</v>
      </c>
      <c r="M18" s="673" t="n">
        <v>0.08590620661550095</v>
      </c>
      <c r="N18" s="673" t="n">
        <v>0.08590620661550095</v>
      </c>
      <c r="O18" s="673" t="n">
        <v>0.08590620661550095</v>
      </c>
      <c r="P18" s="673" t="n">
        <v>0.08590620661550095</v>
      </c>
      <c r="Q18" s="673" t="n">
        <v>0.08590620661550095</v>
      </c>
      <c r="R18" s="673" t="n">
        <v>0.04272919839571795</v>
      </c>
      <c r="S18" s="673" t="n">
        <v>0.04272919839571795</v>
      </c>
      <c r="T18" s="673" t="n">
        <v>0.04272919839571795</v>
      </c>
      <c r="U18" s="673" t="n">
        <v>0.04272919839571795</v>
      </c>
      <c r="V18" s="673" t="n">
        <v>0.03</v>
      </c>
      <c r="W18" s="673" t="n">
        <v>0.03</v>
      </c>
      <c r="X18" s="673" t="n">
        <v>0.03</v>
      </c>
      <c r="Y18" s="673" t="n">
        <v>0.03</v>
      </c>
      <c r="Z18" s="673" t="n">
        <v>0.03</v>
      </c>
      <c r="AA18" s="673" t="n">
        <v>0.03</v>
      </c>
      <c r="AB18" s="673" t="n">
        <v>0.03</v>
      </c>
      <c r="AC18" s="673" t="n">
        <v>0.0035</v>
      </c>
      <c r="AD18" s="673" t="n">
        <v>0.0035</v>
      </c>
      <c r="AE18" s="673" t="n">
        <v>0.0035</v>
      </c>
      <c r="AF18" s="673" t="n">
        <v>0.0035</v>
      </c>
      <c r="AG18" s="673" t="n">
        <v>0.0035</v>
      </c>
      <c r="AH18" s="673" t="n">
        <v>0.0035</v>
      </c>
      <c r="AI18" s="673" t="n">
        <v>0.0035</v>
      </c>
      <c r="AJ18" s="673" t="n">
        <v>0.0035</v>
      </c>
      <c r="AK18" s="673" t="n">
        <v>0.0035</v>
      </c>
      <c r="AL18" s="673" t="n">
        <v>0.0035</v>
      </c>
      <c r="AM18" s="673" t="n">
        <v>0.0035</v>
      </c>
      <c r="AN18" s="673" t="n">
        <v>0.0035</v>
      </c>
      <c r="AO18" s="673" t="n">
        <v>0.0035</v>
      </c>
      <c r="AP18" s="673" t="n">
        <v>0.0035</v>
      </c>
      <c r="AQ18" s="673" t="n">
        <v>0.0035</v>
      </c>
      <c r="AR18" s="673" t="n">
        <v>0.0035</v>
      </c>
      <c r="AS18" s="673" t="n">
        <v>0.0035</v>
      </c>
      <c r="AT18" s="673" t="n">
        <v>0.0035</v>
      </c>
      <c r="AU18" s="673" t="n">
        <v>0.0035</v>
      </c>
      <c r="AV18" s="673" t="n">
        <v>0.0035</v>
      </c>
      <c r="AW18" s="673" t="n"/>
      <c r="AX18" s="673" t="n"/>
      <c r="AY18" s="673" t="n"/>
      <c r="AZ18" s="673" t="n"/>
      <c r="BA18" s="673" t="n"/>
      <c r="BB18" s="673" t="n"/>
      <c r="BC18" s="673" t="n"/>
      <c r="BD18" s="673" t="n"/>
      <c r="BE18" s="673" t="n"/>
      <c r="BF18" s="673" t="n"/>
      <c r="BG18" s="673" t="n"/>
      <c r="BH18" s="673" t="n"/>
      <c r="BI18" s="673" t="n"/>
      <c r="BJ18" s="673" t="n"/>
      <c r="BK18" s="673" t="n"/>
      <c r="BL18" s="673" t="n"/>
      <c r="BM18" s="673" t="n"/>
      <c r="BN18" s="673" t="n"/>
      <c r="BO18" s="673" t="n"/>
      <c r="BP18" s="673" t="n"/>
      <c r="BQ18" s="673" t="n"/>
      <c r="BR18" s="673" t="n"/>
      <c r="BS18" s="673" t="n"/>
      <c r="BT18" s="673" t="n"/>
      <c r="BU18" s="673" t="n"/>
      <c r="BV18" s="673" t="n"/>
      <c r="BW18" s="673" t="n"/>
      <c r="BX18" s="673" t="n"/>
      <c r="BY18" s="673" t="n"/>
      <c r="BZ18" s="673" t="n"/>
      <c r="CA18" s="673" t="n"/>
      <c r="CB18" s="673" t="n"/>
      <c r="CC18" s="673" t="n"/>
      <c r="CD18" s="673" t="n"/>
      <c r="CE18" s="673" t="n"/>
      <c r="CF18" s="673" t="n"/>
      <c r="CG18" s="673" t="n"/>
      <c r="CH18" s="673" t="n"/>
      <c r="CI18" s="673" t="n"/>
      <c r="CJ18" s="673" t="n"/>
      <c r="CK18" s="673" t="n"/>
      <c r="CL18" s="673" t="n"/>
      <c r="CM18" s="673" t="n"/>
      <c r="CN18" s="673" t="n"/>
      <c r="CO18" s="673" t="n"/>
      <c r="CP18" s="673" t="n"/>
      <c r="CQ18" s="673" t="n"/>
      <c r="CR18" s="673" t="n"/>
      <c r="CS18" s="673" t="n"/>
      <c r="CT18" s="673" t="n"/>
      <c r="CU18" s="673" t="n"/>
      <c r="CV18" s="673" t="n"/>
      <c r="CW18" s="673" t="n"/>
      <c r="CX18" s="673" t="n"/>
      <c r="CY18" s="673" t="n"/>
      <c r="CZ18" s="673" t="n"/>
      <c r="DA18" s="673" t="n"/>
      <c r="DB18" s="673" t="n"/>
      <c r="DC18" s="673" t="n"/>
      <c r="DD18" s="673" t="n"/>
      <c r="DE18" s="673" t="n"/>
      <c r="DF18" s="673" t="n"/>
      <c r="DG18" s="673" t="n"/>
      <c r="DH18" s="673" t="n"/>
      <c r="DI18" s="673" t="n"/>
      <c r="DJ18" s="673" t="n"/>
      <c r="DK18" s="673" t="n"/>
      <c r="DL18" s="673" t="n"/>
      <c r="DM18" s="673" t="n"/>
      <c r="DN18" s="673" t="n"/>
      <c r="DO18" s="673" t="n"/>
      <c r="DP18" s="673" t="n"/>
      <c r="DQ18" s="673" t="n"/>
      <c r="DR18" s="673" t="n"/>
      <c r="DS18" s="673" t="n"/>
      <c r="DT18" s="673" t="n"/>
      <c r="DU18" s="673" t="n"/>
      <c r="DV18" s="673" t="n"/>
      <c r="DW18" s="673" t="n"/>
      <c r="DX18" s="673" t="n"/>
      <c r="DY18" s="673" t="n"/>
      <c r="DZ18" s="673" t="n"/>
      <c r="EA18" s="673" t="n"/>
      <c r="EB18" s="673" t="n"/>
      <c r="EC18" s="673" t="n"/>
      <c r="ED18" s="673" t="n"/>
      <c r="EE18" s="673" t="n"/>
      <c r="EF18" s="673" t="n"/>
      <c r="EG18" s="673" t="n"/>
      <c r="EH18" s="673" t="n"/>
      <c r="EI18" s="673" t="n"/>
      <c r="EJ18" s="673" t="n"/>
      <c r="EK18" s="673" t="n"/>
      <c r="EL18" s="673" t="n"/>
      <c r="EM18" s="673" t="n"/>
      <c r="EN18" s="673" t="n"/>
      <c r="EO18" s="673" t="n"/>
      <c r="EP18" s="673" t="n"/>
      <c r="EQ18" s="673" t="n"/>
      <c r="ER18" s="673" t="n"/>
      <c r="ES18" s="673" t="n"/>
      <c r="ET18" s="673" t="n"/>
      <c r="EU18" s="673" t="n"/>
      <c r="EV18" s="673" t="n"/>
      <c r="EW18" s="673" t="n"/>
      <c r="EX18" s="673" t="n"/>
      <c r="EY18" s="673" t="n"/>
      <c r="EZ18" s="673" t="n"/>
      <c r="FA18" s="673" t="n"/>
      <c r="FB18" s="673" t="n"/>
      <c r="FC18" s="673" t="n"/>
      <c r="FD18" s="673" t="n"/>
      <c r="FE18" s="673" t="n"/>
      <c r="FF18" s="673" t="n"/>
      <c r="FG18" s="673" t="n"/>
      <c r="FH18" s="673" t="n"/>
      <c r="FI18" s="673" t="n"/>
      <c r="FJ18" s="673" t="n"/>
      <c r="FK18" s="673" t="n"/>
      <c r="FL18" s="673" t="n"/>
      <c r="FM18" s="673" t="n"/>
      <c r="FN18" s="673" t="n"/>
      <c r="FO18" s="673" t="n"/>
      <c r="FP18" s="673" t="n"/>
      <c r="FQ18" s="673" t="n"/>
      <c r="FR18" s="673" t="n"/>
      <c r="FS18" s="673" t="n"/>
      <c r="FT18" s="673" t="n"/>
      <c r="FU18" s="673" t="n"/>
      <c r="FV18" s="673" t="n"/>
      <c r="FW18" s="673" t="n"/>
      <c r="FX18" s="673" t="n"/>
      <c r="FY18" s="673" t="n"/>
      <c r="FZ18" s="673" t="n"/>
      <c r="GA18" s="673" t="n"/>
      <c r="GB18" s="673" t="n"/>
      <c r="GC18" s="673" t="n"/>
      <c r="GD18" s="673" t="n"/>
      <c r="GE18" s="673" t="n"/>
      <c r="GF18" s="673" t="n"/>
      <c r="GG18" s="673" t="n"/>
      <c r="GH18" s="673" t="n"/>
      <c r="GI18" s="673" t="n"/>
      <c r="GJ18" s="673" t="n"/>
      <c r="GK18" s="673" t="n"/>
      <c r="GL18" s="673" t="n"/>
      <c r="GM18" s="673" t="n"/>
      <c r="GN18" s="673" t="n"/>
      <c r="GO18" s="673" t="n"/>
      <c r="GP18" s="673" t="n"/>
      <c r="GQ18" s="673" t="n"/>
      <c r="GR18" s="673" t="n"/>
      <c r="GS18" s="673" t="n"/>
      <c r="GT18" s="673" t="n"/>
      <c r="GU18" s="673" t="n"/>
      <c r="GV18" s="673" t="n"/>
      <c r="GW18" s="673" t="n"/>
      <c r="GX18" s="673" t="n"/>
      <c r="GY18" s="673" t="n"/>
      <c r="GZ18" s="673" t="n"/>
      <c r="HA18" s="673" t="n"/>
      <c r="HB18" s="673" t="n"/>
      <c r="HC18" s="673" t="n"/>
      <c r="HD18" s="673" t="n"/>
      <c r="HE18" s="673" t="n"/>
      <c r="HF18" s="673" t="n"/>
      <c r="HG18" s="673" t="n"/>
      <c r="HH18" s="673" t="n"/>
      <c r="HI18" s="673" t="n"/>
      <c r="HJ18" s="673" t="n"/>
      <c r="HK18" s="673" t="n"/>
      <c r="HL18" s="673" t="n"/>
      <c r="HM18" s="673" t="n"/>
      <c r="HN18" s="673" t="n"/>
      <c r="HO18" s="673" t="n"/>
      <c r="HP18" s="673" t="n"/>
      <c r="HQ18" s="673" t="n"/>
      <c r="HR18" s="673" t="n"/>
      <c r="HS18" s="673" t="n"/>
      <c r="HT18" s="673" t="n"/>
      <c r="HU18" s="673" t="n"/>
      <c r="HV18" s="673" t="n"/>
      <c r="HW18" s="673" t="n"/>
      <c r="HX18" s="673" t="n"/>
      <c r="HY18" s="673" t="n"/>
      <c r="HZ18" s="673" t="n"/>
      <c r="IA18" s="673" t="n"/>
      <c r="IB18" s="673" t="n"/>
      <c r="IC18" s="673" t="n"/>
      <c r="ID18" s="673" t="n"/>
      <c r="IE18" s="673" t="n"/>
      <c r="IF18" s="673" t="n"/>
      <c r="IG18" s="673" t="n"/>
      <c r="IH18" s="673" t="n"/>
      <c r="II18" s="673" t="n"/>
      <c r="IJ18" s="673" t="n"/>
      <c r="IK18" s="673" t="n"/>
      <c r="IL18" s="673" t="n"/>
      <c r="IM18" s="673" t="n"/>
      <c r="IN18" s="673" t="n"/>
      <c r="IO18" s="673" t="n"/>
      <c r="IP18" s="673" t="n"/>
      <c r="IQ18" s="673" t="n"/>
      <c r="IR18" s="673" t="n"/>
      <c r="IS18" s="673" t="n"/>
      <c r="IT18" s="673" t="n"/>
      <c r="IU18" s="673" t="n"/>
      <c r="IV18" s="673" t="n"/>
      <c r="IW18" s="673" t="n"/>
      <c r="IX18" s="673" t="n"/>
      <c r="IY18" s="673" t="n"/>
      <c r="IZ18" s="673" t="n"/>
      <c r="JA18" s="673" t="n"/>
      <c r="JB18" s="673" t="n"/>
      <c r="JC18" s="673" t="n"/>
      <c r="JD18" s="673" t="n"/>
      <c r="JE18" s="673" t="n"/>
      <c r="JF18" s="673" t="n"/>
      <c r="JG18" s="673" t="n"/>
      <c r="JH18" s="673" t="n"/>
      <c r="JI18" s="673" t="n"/>
      <c r="JJ18" s="673" t="n"/>
      <c r="JK18" s="673" t="n"/>
      <c r="JL18" s="673" t="n"/>
      <c r="JM18" s="673" t="n"/>
      <c r="JN18" s="673" t="n"/>
      <c r="JO18" s="673" t="n"/>
      <c r="JP18" s="673" t="n"/>
      <c r="JQ18" s="673" t="n"/>
      <c r="JR18" s="673" t="n"/>
      <c r="JS18" s="673" t="n"/>
      <c r="JT18" s="673" t="n"/>
      <c r="JU18" s="673" t="n"/>
      <c r="JV18" s="673" t="n"/>
      <c r="JW18" s="673" t="n"/>
      <c r="JX18" s="673" t="n"/>
      <c r="JY18" s="673" t="n"/>
      <c r="JZ18" s="673" t="n"/>
      <c r="KA18" s="673" t="n"/>
      <c r="KB18" s="673" t="n"/>
      <c r="KC18" s="673" t="n"/>
      <c r="KD18" s="673" t="n"/>
      <c r="KE18" s="673" t="n"/>
      <c r="KF18" s="673" t="n"/>
      <c r="KG18" s="673" t="n"/>
      <c r="KH18" s="673" t="n"/>
      <c r="KI18" s="673" t="n"/>
      <c r="KJ18" s="673" t="n"/>
      <c r="KK18" s="673" t="n"/>
      <c r="KL18" s="673" t="n"/>
      <c r="KM18" s="673" t="n"/>
      <c r="KN18" s="673" t="n"/>
      <c r="KO18" s="673" t="n"/>
      <c r="KP18" s="673" t="n"/>
      <c r="KQ18" s="673" t="n"/>
      <c r="KR18" s="673" t="n"/>
      <c r="KS18" s="673" t="n"/>
      <c r="KT18" s="673" t="n"/>
      <c r="KU18" s="673" t="n"/>
      <c r="KV18" s="673" t="n"/>
      <c r="KW18" s="673" t="n"/>
      <c r="KX18" s="673" t="n"/>
      <c r="KY18" s="673" t="n"/>
      <c r="KZ18" s="673" t="n"/>
      <c r="LA18" s="673" t="n"/>
      <c r="LB18" s="673" t="n"/>
      <c r="LC18" s="673" t="n"/>
      <c r="LD18" s="673" t="n"/>
      <c r="LE18" s="673" t="n"/>
      <c r="LF18" s="673" t="n"/>
      <c r="LG18" s="673" t="n"/>
      <c r="LH18" s="673" t="n"/>
      <c r="LI18" s="673" t="n"/>
      <c r="LJ18" s="673" t="n"/>
      <c r="LK18" s="673" t="n"/>
      <c r="LL18" s="673" t="n"/>
      <c r="LM18" s="673" t="n"/>
      <c r="LN18" s="673" t="n"/>
      <c r="LO18" s="673" t="n"/>
      <c r="LP18" s="673" t="n"/>
      <c r="LQ18" s="673" t="n"/>
      <c r="LR18" s="673" t="n"/>
      <c r="LS18" s="673" t="n"/>
      <c r="LT18" s="673" t="n"/>
      <c r="LU18" s="673" t="n"/>
      <c r="LV18" s="673" t="n"/>
      <c r="LW18" s="673" t="n"/>
      <c r="LX18" s="673" t="n"/>
      <c r="LY18" s="673" t="n"/>
      <c r="LZ18" s="673" t="n"/>
      <c r="MA18" s="673" t="n"/>
      <c r="MB18" s="673" t="n"/>
      <c r="MC18" s="673" t="n"/>
      <c r="MD18" s="673" t="n"/>
      <c r="ME18" s="673" t="n"/>
      <c r="MF18" s="673" t="n"/>
      <c r="MG18" s="673" t="n"/>
      <c r="MH18" s="673" t="n"/>
      <c r="MI18" s="673" t="n"/>
      <c r="MJ18" s="673" t="n"/>
      <c r="MK18" s="673" t="n"/>
      <c r="ML18" s="673" t="n"/>
      <c r="MM18" s="673" t="n"/>
      <c r="MN18" s="673" t="n"/>
      <c r="MO18" s="673" t="n"/>
      <c r="MP18" s="673" t="n"/>
      <c r="MQ18" s="673" t="n"/>
      <c r="MR18" s="673" t="n"/>
      <c r="MS18" s="673" t="n"/>
      <c r="MT18" s="673" t="n"/>
      <c r="MU18" s="673" t="n"/>
      <c r="MV18" s="673" t="n"/>
      <c r="MW18" s="673" t="n"/>
      <c r="MX18" s="673" t="n"/>
      <c r="MY18" s="673" t="n"/>
      <c r="MZ18" s="673" t="n"/>
      <c r="NA18" s="673" t="n"/>
      <c r="NB18" s="673" t="n"/>
      <c r="NC18" s="673" t="n"/>
      <c r="ND18" s="673" t="n"/>
      <c r="NE18" s="673" t="n"/>
      <c r="NF18" s="673" t="n"/>
      <c r="NG18" s="673" t="n"/>
      <c r="NH18" s="673" t="n"/>
      <c r="NI18" s="673" t="n"/>
      <c r="NJ18" s="673" t="n"/>
      <c r="NK18" s="673" t="n"/>
      <c r="NL18" s="673" t="n"/>
      <c r="NM18" s="673" t="n"/>
      <c r="NN18" s="673" t="n"/>
      <c r="NO18" s="673" t="n"/>
      <c r="NP18" s="673" t="n"/>
      <c r="NQ18" s="673" t="n"/>
      <c r="NR18" s="673" t="n"/>
      <c r="NS18" s="673" t="n"/>
      <c r="NT18" s="673" t="n"/>
      <c r="NU18" s="673" t="n"/>
      <c r="NV18" s="673" t="n"/>
      <c r="NW18" s="673" t="n"/>
      <c r="NX18" s="673" t="n"/>
      <c r="NY18" s="673" t="n"/>
      <c r="NZ18" s="673" t="n"/>
      <c r="OA18" s="673" t="n"/>
      <c r="OB18" s="673" t="n"/>
      <c r="OC18" s="673" t="n"/>
      <c r="OD18" s="673" t="n"/>
      <c r="OE18" s="673" t="n"/>
      <c r="OF18" s="673" t="n"/>
      <c r="OG18" s="673" t="n"/>
      <c r="OH18" s="673" t="n"/>
      <c r="OI18" s="673" t="n"/>
      <c r="OJ18" s="673" t="n"/>
      <c r="OK18" s="673" t="n"/>
      <c r="OL18" s="673" t="n"/>
      <c r="OM18" s="673" t="n"/>
      <c r="ON18" s="673" t="n"/>
      <c r="OO18" s="673" t="n"/>
      <c r="OP18" s="673" t="n"/>
      <c r="OQ18" s="673" t="n"/>
      <c r="OR18" s="673" t="n"/>
      <c r="OS18" s="673" t="n"/>
      <c r="OT18" s="673" t="n"/>
      <c r="OU18" s="673" t="n"/>
      <c r="OV18" s="673" t="n"/>
      <c r="OW18" s="673" t="n"/>
      <c r="OX18" s="673" t="n"/>
      <c r="OY18" s="673" t="n"/>
      <c r="OZ18" s="673" t="n"/>
      <c r="PA18" s="673" t="n"/>
      <c r="PB18" s="673" t="n"/>
      <c r="PC18" s="673" t="n"/>
      <c r="PD18" s="673" t="n"/>
      <c r="PE18" s="673" t="n"/>
      <c r="PF18" s="673" t="n"/>
      <c r="PG18" s="673" t="n"/>
      <c r="PH18" s="673" t="n"/>
      <c r="PI18" s="673" t="n"/>
      <c r="PJ18" s="673" t="n"/>
      <c r="PK18" s="673" t="n"/>
      <c r="PL18" s="673" t="n"/>
      <c r="PM18" s="673" t="n"/>
      <c r="PN18" s="673" t="n"/>
      <c r="PO18" s="673" t="n"/>
      <c r="PP18" s="673" t="n"/>
      <c r="PQ18" s="673" t="n"/>
      <c r="PR18" s="673" t="n"/>
      <c r="PS18" s="673" t="n"/>
      <c r="PT18" s="673" t="n"/>
      <c r="PU18" s="673" t="n"/>
      <c r="PV18" s="673" t="n"/>
      <c r="PW18" s="673" t="n"/>
      <c r="PX18" s="673" t="n"/>
      <c r="PY18" s="673" t="n"/>
      <c r="PZ18" s="673" t="n"/>
      <c r="QA18" s="673" t="n"/>
      <c r="QB18" s="673" t="n"/>
      <c r="QC18" s="673" t="n"/>
      <c r="QD18" s="673" t="n"/>
      <c r="QE18" s="673" t="n"/>
      <c r="QF18" s="673" t="n"/>
      <c r="QG18" s="673" t="n"/>
      <c r="QH18" s="673" t="n"/>
      <c r="QI18" s="673" t="n"/>
      <c r="QJ18" s="673" t="n"/>
      <c r="QK18" s="673" t="n"/>
      <c r="QL18" s="673" t="n"/>
      <c r="QM18" s="673" t="n"/>
      <c r="QN18" s="673" t="n"/>
      <c r="QO18" s="673" t="n"/>
      <c r="QP18" s="673" t="n"/>
      <c r="QQ18" s="673" t="n"/>
      <c r="QR18" s="673" t="n"/>
      <c r="QS18" s="673" t="n"/>
      <c r="QT18" s="673" t="n"/>
      <c r="QU18" s="673" t="n"/>
      <c r="QV18" s="673" t="n"/>
      <c r="QW18" s="673" t="n"/>
      <c r="QX18" s="673" t="n"/>
      <c r="QY18" s="673" t="n"/>
      <c r="QZ18" s="673" t="n"/>
      <c r="RA18" s="673" t="n"/>
      <c r="RB18" s="673" t="n"/>
      <c r="RC18" s="673" t="n"/>
      <c r="RD18" s="673" t="n"/>
      <c r="RE18" s="673" t="n">
        <v>0.005</v>
      </c>
      <c r="RF18" s="673" t="n">
        <v>2.71685629</v>
      </c>
      <c r="RG18" s="673">
        <f>E62</f>
        <v/>
      </c>
      <c r="RH18" s="673" t="n">
        <v>0</v>
      </c>
      <c r="RI18" s="673" t="n">
        <v>0</v>
      </c>
      <c r="RJ18" s="673" t="n">
        <v>0</v>
      </c>
      <c r="RK18" s="673" t="n">
        <v>0</v>
      </c>
      <c r="RL18" s="673" t="n">
        <v>0</v>
      </c>
      <c r="RM18" s="673" t="n">
        <v>0</v>
      </c>
      <c r="RN18" s="673" t="n">
        <v>0</v>
      </c>
      <c r="RO18" s="673" t="n">
        <v>0</v>
      </c>
      <c r="RP18" s="673" t="n">
        <v>0</v>
      </c>
      <c r="RQ18" s="673" t="n">
        <v>0</v>
      </c>
      <c r="RR18" s="673" t="n">
        <v>0</v>
      </c>
      <c r="RS18" s="673" t="n">
        <v>0</v>
      </c>
      <c r="RT18" s="673" t="n">
        <v>0</v>
      </c>
      <c r="RU18" s="673" t="n">
        <v>0</v>
      </c>
      <c r="RV18" s="673" t="n">
        <v>0</v>
      </c>
      <c r="RW18" s="673" t="n">
        <v>0</v>
      </c>
      <c r="RX18" s="673" t="n">
        <v>0</v>
      </c>
      <c r="RY18" s="673" t="n">
        <v>0</v>
      </c>
      <c r="RZ18" s="673" t="n">
        <v>0</v>
      </c>
      <c r="SA18" s="673" t="n">
        <v>0</v>
      </c>
      <c r="SB18" s="673" t="n">
        <v>0</v>
      </c>
      <c r="SC18" s="673" t="n">
        <v>0</v>
      </c>
      <c r="SD18" s="673" t="n">
        <v>0</v>
      </c>
      <c r="SE18" s="673" t="n">
        <v>0</v>
      </c>
      <c r="SF18" s="673">
        <f>AA62</f>
        <v/>
      </c>
      <c r="SG18" s="673" t="n">
        <v>0</v>
      </c>
      <c r="SH18" s="673" t="n">
        <v>0</v>
      </c>
      <c r="SI18" s="673" t="n">
        <v>0</v>
      </c>
      <c r="SJ18" s="673" t="n">
        <v>0</v>
      </c>
      <c r="SK18" s="673" t="n">
        <v>0</v>
      </c>
      <c r="SL18" s="673" t="n">
        <v>0</v>
      </c>
      <c r="SM18" s="673" t="n">
        <v>0</v>
      </c>
      <c r="SN18" s="673" t="n">
        <v>0</v>
      </c>
      <c r="SO18" s="673" t="n">
        <v>0</v>
      </c>
      <c r="SP18" s="673" t="n">
        <v>0</v>
      </c>
      <c r="SQ18" s="673" t="n">
        <v>0</v>
      </c>
      <c r="SR18" s="673" t="n">
        <v>0</v>
      </c>
      <c r="SS18" s="673" t="n">
        <v>0</v>
      </c>
      <c r="ST18" s="673" t="n">
        <v>0</v>
      </c>
      <c r="SU18" s="673" t="n">
        <v>0</v>
      </c>
      <c r="SV18" s="673" t="n">
        <v>0</v>
      </c>
      <c r="SW18" s="673" t="n">
        <v>0</v>
      </c>
      <c r="SX18" s="673" t="n">
        <v>0</v>
      </c>
      <c r="SY18" s="673" t="n">
        <v>0</v>
      </c>
      <c r="SZ18" s="673" t="n">
        <v>0</v>
      </c>
      <c r="TA18" s="673" t="n">
        <v>0</v>
      </c>
      <c r="TB18" s="673" t="n">
        <v>0</v>
      </c>
      <c r="TC18" s="673" t="n">
        <v>0</v>
      </c>
      <c r="TD18" s="673" t="n">
        <v>0</v>
      </c>
      <c r="TE18" s="673">
        <f>AT62</f>
        <v/>
      </c>
      <c r="TF18" s="673" t="n">
        <v>0</v>
      </c>
      <c r="TG18" s="673" t="n">
        <v>0</v>
      </c>
      <c r="TH18" s="673" t="n">
        <v>0</v>
      </c>
      <c r="TI18" s="673" t="n">
        <v>0</v>
      </c>
      <c r="TJ18" s="673" t="n">
        <v>0</v>
      </c>
      <c r="TK18" s="673" t="n">
        <v>0</v>
      </c>
      <c r="TL18" s="673" t="n">
        <v>0</v>
      </c>
      <c r="TM18" s="673" t="n">
        <v>0</v>
      </c>
      <c r="TN18" s="673" t="n">
        <v>0</v>
      </c>
      <c r="TO18" s="673" t="n">
        <v>0.005</v>
      </c>
      <c r="TP18" s="673" t="n">
        <v>0.005</v>
      </c>
      <c r="TQ18" s="673" t="n">
        <v>0.005</v>
      </c>
      <c r="TR18" s="673" t="n">
        <v>0.005</v>
      </c>
      <c r="TS18" s="673" t="n">
        <v>0.005</v>
      </c>
      <c r="TT18" s="673" t="n">
        <v>0.005</v>
      </c>
      <c r="TU18" s="673" t="n">
        <v>0.005</v>
      </c>
      <c r="TV18" s="673" t="n">
        <v>0.005</v>
      </c>
      <c r="TW18" s="673" t="n">
        <v>0.005</v>
      </c>
      <c r="TX18" s="673" t="n">
        <v>0.005</v>
      </c>
      <c r="TY18" s="673" t="n">
        <v>0.005</v>
      </c>
      <c r="TZ18" s="673" t="n">
        <v>0.005</v>
      </c>
      <c r="UA18" s="673" t="n">
        <v>0.005</v>
      </c>
      <c r="UB18" s="673" t="n">
        <v>0.005</v>
      </c>
      <c r="UC18" s="673" t="n">
        <v>0.005</v>
      </c>
      <c r="UD18" s="673" t="n">
        <v>0.005</v>
      </c>
      <c r="UE18" s="673" t="n">
        <v>0.005</v>
      </c>
      <c r="UF18" s="673" t="n">
        <v>0.005</v>
      </c>
      <c r="UG18" s="673" t="n">
        <v>0.005</v>
      </c>
      <c r="UH18" s="673" t="n">
        <v>0.005</v>
      </c>
      <c r="UI18" s="673" t="n">
        <v>0.005</v>
      </c>
      <c r="UJ18" s="673" t="n">
        <v>0.005</v>
      </c>
      <c r="UK18" s="673" t="n">
        <v>0.005</v>
      </c>
      <c r="UL18" s="673" t="n">
        <v>0.005</v>
      </c>
      <c r="UM18" s="673" t="n">
        <v>0.005</v>
      </c>
      <c r="UN18" s="673" t="n">
        <v>0.005</v>
      </c>
      <c r="UO18" s="673" t="n">
        <v>0.005</v>
      </c>
      <c r="UP18" s="673" t="n">
        <v>0.005</v>
      </c>
      <c r="UQ18" s="673" t="n">
        <v>0.005</v>
      </c>
      <c r="UR18" s="673" t="n">
        <v>0.005</v>
      </c>
      <c r="US18" s="673" t="n">
        <v>0</v>
      </c>
      <c r="UT18" s="673" t="n">
        <v>0</v>
      </c>
      <c r="UU18" s="673" t="n">
        <v>0</v>
      </c>
      <c r="UV18" s="673" t="n">
        <v>0</v>
      </c>
      <c r="UW18" s="673" t="n">
        <v>0</v>
      </c>
      <c r="UX18" s="673" t="n">
        <v>0</v>
      </c>
      <c r="UY18" s="673" t="n">
        <v>0</v>
      </c>
      <c r="UZ18" s="673" t="n">
        <v>0</v>
      </c>
      <c r="VA18" s="673" t="n">
        <v>0</v>
      </c>
      <c r="VB18" s="673" t="n">
        <v>0</v>
      </c>
      <c r="VC18" s="673" t="n">
        <v>0</v>
      </c>
      <c r="VD18" s="673" t="n">
        <v>0</v>
      </c>
      <c r="VE18" s="673" t="n">
        <v>0</v>
      </c>
      <c r="VF18" s="673" t="n">
        <v>0</v>
      </c>
      <c r="VG18" s="673" t="n">
        <v>0</v>
      </c>
      <c r="VH18" s="673" t="n">
        <v>0</v>
      </c>
      <c r="VI18" s="673" t="n">
        <v>0</v>
      </c>
      <c r="VJ18" s="673">
        <f>$C$64</f>
        <v/>
      </c>
      <c r="VK18" s="673" t="n">
        <v>0</v>
      </c>
      <c r="VL18" s="673" t="n">
        <v>0</v>
      </c>
      <c r="VM18" s="673" t="n">
        <v>0</v>
      </c>
      <c r="VN18" s="673" t="n">
        <v>0</v>
      </c>
      <c r="VO18" s="673" t="n">
        <v>0</v>
      </c>
      <c r="VP18" s="673" t="n">
        <v>0</v>
      </c>
      <c r="VQ18" s="673" t="n">
        <v>0</v>
      </c>
      <c r="VR18" s="673" t="n">
        <v>0</v>
      </c>
      <c r="VS18" s="673" t="n">
        <v>0</v>
      </c>
      <c r="VT18" s="673" t="n">
        <v>0</v>
      </c>
      <c r="VU18" s="673" t="n">
        <v>0</v>
      </c>
      <c r="VV18" s="673" t="n">
        <v>0</v>
      </c>
      <c r="VW18" s="673" t="n">
        <v>0</v>
      </c>
      <c r="VX18" s="673" t="n">
        <v>0</v>
      </c>
      <c r="VY18" s="673" t="n">
        <v>0</v>
      </c>
      <c r="VZ18" s="673" t="n">
        <v>0</v>
      </c>
      <c r="WA18" s="673" t="n">
        <v>0</v>
      </c>
      <c r="WB18" s="673" t="n">
        <v>0</v>
      </c>
      <c r="WC18" s="673" t="n">
        <v>0</v>
      </c>
      <c r="WD18" s="673" t="n">
        <v>0</v>
      </c>
      <c r="WE18" s="673" t="n">
        <v>0</v>
      </c>
      <c r="WF18" s="673" t="n">
        <v>0</v>
      </c>
      <c r="WG18" s="673" t="n">
        <v>0</v>
      </c>
      <c r="WH18" s="673" t="n">
        <v>0</v>
      </c>
      <c r="WI18" s="673" t="n">
        <v>0</v>
      </c>
      <c r="WJ18" s="673" t="n">
        <v>0</v>
      </c>
      <c r="WK18" s="673" t="n">
        <v>0</v>
      </c>
      <c r="WL18" s="673" t="n">
        <v>0</v>
      </c>
      <c r="WM18" s="673" t="n">
        <v>0</v>
      </c>
      <c r="WN18" s="673" t="n">
        <v>0</v>
      </c>
      <c r="WO18" s="673" t="n">
        <v>0</v>
      </c>
      <c r="WP18" s="673" t="n">
        <v>0</v>
      </c>
      <c r="WQ18" s="673" t="n">
        <v>0</v>
      </c>
      <c r="WR18" s="673">
        <f>$C$64</f>
        <v/>
      </c>
      <c r="WS18" s="673" t="n">
        <v>0</v>
      </c>
      <c r="WT18" s="673" t="n">
        <v>0</v>
      </c>
      <c r="WU18" s="673" t="n">
        <v>0</v>
      </c>
      <c r="WV18" s="673" t="n">
        <v>0</v>
      </c>
      <c r="WW18" s="673" t="n">
        <v>0</v>
      </c>
      <c r="WX18" s="673" t="n">
        <v>0</v>
      </c>
      <c r="WY18" s="673" t="n">
        <v>0</v>
      </c>
      <c r="WZ18" s="673" t="n">
        <v>0</v>
      </c>
      <c r="XA18" s="673" t="n">
        <v>0</v>
      </c>
      <c r="XB18" s="673" t="n">
        <v>0</v>
      </c>
      <c r="XC18" s="673" t="n">
        <v>0</v>
      </c>
      <c r="XD18" s="673" t="n">
        <v>0</v>
      </c>
      <c r="XE18" s="673" t="n">
        <v>0</v>
      </c>
      <c r="XF18" s="673" t="n">
        <v>0</v>
      </c>
      <c r="XG18" s="673" t="n">
        <v>0</v>
      </c>
      <c r="XH18" s="673" t="n">
        <v>0</v>
      </c>
      <c r="XI18" s="673" t="n">
        <v>0</v>
      </c>
      <c r="XJ18" s="673" t="n">
        <v>0</v>
      </c>
      <c r="XK18" s="673" t="n">
        <v>0</v>
      </c>
      <c r="XL18" s="673" t="n">
        <v>0</v>
      </c>
      <c r="XM18" s="673" t="n">
        <v>0</v>
      </c>
      <c r="XN18" s="673" t="n">
        <v>0</v>
      </c>
      <c r="XO18" s="673" t="n">
        <v>0</v>
      </c>
      <c r="XP18" s="673" t="n">
        <v>0</v>
      </c>
      <c r="XQ18" s="673" t="n">
        <v>0</v>
      </c>
      <c r="XR18" s="673" t="n">
        <v>0</v>
      </c>
      <c r="XS18" s="673" t="n">
        <v>0</v>
      </c>
      <c r="XT18" s="673">
        <f>$C$64</f>
        <v/>
      </c>
      <c r="XU18" s="673" t="n">
        <v>0</v>
      </c>
      <c r="XV18" s="673" t="n">
        <v>0</v>
      </c>
      <c r="XW18" s="673" t="n">
        <v>0</v>
      </c>
      <c r="XX18" s="673" t="n">
        <v>0</v>
      </c>
      <c r="XY18" s="673" t="n">
        <v>0</v>
      </c>
      <c r="XZ18" s="673" t="n">
        <v>0</v>
      </c>
      <c r="YA18" s="673" t="n">
        <v>0</v>
      </c>
      <c r="YB18" s="673" t="n">
        <v>0</v>
      </c>
      <c r="YC18" s="673" t="n">
        <v>0</v>
      </c>
      <c r="YD18" s="673" t="n">
        <v>0</v>
      </c>
      <c r="YE18" s="673" t="n">
        <v>0</v>
      </c>
      <c r="YF18" s="673" t="n">
        <v>0</v>
      </c>
      <c r="YG18" s="673" t="n">
        <v>0</v>
      </c>
      <c r="YH18" s="673" t="n">
        <v>0</v>
      </c>
      <c r="YI18" s="673" t="n">
        <v>0</v>
      </c>
      <c r="YJ18" s="673" t="n">
        <v>0</v>
      </c>
      <c r="YK18" s="673" t="n">
        <v>0</v>
      </c>
      <c r="YL18" s="673" t="n">
        <v>0</v>
      </c>
      <c r="YM18" s="673">
        <f>$C$64</f>
        <v/>
      </c>
      <c r="YN18" s="673" t="n">
        <v>0</v>
      </c>
      <c r="YO18" s="673" t="n">
        <v>0</v>
      </c>
      <c r="YP18" s="673" t="n">
        <v>0</v>
      </c>
      <c r="YQ18" s="673" t="n">
        <v>0</v>
      </c>
      <c r="YR18" s="673" t="n">
        <v>0</v>
      </c>
      <c r="YS18" s="673" t="n">
        <v>0</v>
      </c>
      <c r="YT18" s="673" t="n">
        <v>0</v>
      </c>
      <c r="YU18" s="673" t="n">
        <v>0</v>
      </c>
      <c r="YV18" s="673" t="n">
        <v>0</v>
      </c>
      <c r="YW18" s="673" t="n">
        <v>0</v>
      </c>
      <c r="YX18" s="673" t="n">
        <v>0</v>
      </c>
      <c r="YY18" s="673" t="n">
        <v>0</v>
      </c>
      <c r="YZ18" s="673" t="n">
        <v>0</v>
      </c>
      <c r="ZA18" s="673" t="n">
        <v>0</v>
      </c>
      <c r="ZB18" s="673" t="n">
        <v>0</v>
      </c>
      <c r="ZC18" s="673" t="n">
        <v>0</v>
      </c>
      <c r="ZD18" s="673" t="n">
        <v>0</v>
      </c>
      <c r="ZE18" s="673" t="n">
        <v>0</v>
      </c>
      <c r="ZF18" s="1445">
        <f>$C$64</f>
        <v/>
      </c>
    </row>
    <row r="19" ht="13.2" customFormat="1" customHeight="1" s="1446">
      <c r="A19" s="1447" t="n"/>
      <c r="B19" s="1448" t="inlineStr">
        <is>
          <t xml:space="preserve">3. EUR 
</t>
        </is>
      </c>
      <c r="C19" s="412" t="inlineStr">
        <is>
          <t>Overnight / Saving</t>
        </is>
      </c>
      <c r="D19" s="1449" t="n"/>
      <c r="E19" s="1449" t="n"/>
      <c r="F19" s="1449">
        <f>3.276*F8/F7</f>
        <v/>
      </c>
      <c r="G19" s="1449">
        <f>(3.276+0.323159)*G8/G7</f>
        <v/>
      </c>
      <c r="H19" s="1449">
        <f>(3.276+0.323159+0.86913)*H8/H7</f>
        <v/>
      </c>
      <c r="I19" s="1449">
        <f>(3.276+0.323159+0.86913)*I8/I7</f>
        <v/>
      </c>
      <c r="J19" s="1449">
        <f>(3.276+0.323159+0.86913)*J8/J7</f>
        <v/>
      </c>
      <c r="K19" s="1449">
        <f>(0.323159+0.86913)*K8/K7</f>
        <v/>
      </c>
      <c r="L19" s="1449">
        <f>(0.323159+0.86913)*L8/L7</f>
        <v/>
      </c>
      <c r="M19" s="1449" t="n">
        <v>0.6050842098435602</v>
      </c>
      <c r="N19" s="1449" t="n">
        <v>0.7098797726583422</v>
      </c>
      <c r="O19" s="1449" t="n">
        <v>0.585001460919762</v>
      </c>
      <c r="P19" s="1449" t="n">
        <v>0.592219060321223</v>
      </c>
      <c r="Q19" s="1449" t="n">
        <v>0.756465041332414</v>
      </c>
      <c r="R19" s="1449" t="n">
        <v>3.822746818595121</v>
      </c>
      <c r="S19" s="1449" t="n">
        <v>3.800478004188444</v>
      </c>
      <c r="T19" s="1449" t="n">
        <v>3.593441571516534</v>
      </c>
      <c r="U19" s="1449" t="n">
        <v>3.593441571516534</v>
      </c>
      <c r="V19" s="1449" t="n">
        <v>0.2548626860131618</v>
      </c>
      <c r="W19" s="1449" t="n">
        <v>3.349156930881506</v>
      </c>
      <c r="X19" s="1449" t="n">
        <v>3.352313467727675</v>
      </c>
      <c r="Y19" s="1449" t="n">
        <v>2.36759181295447</v>
      </c>
      <c r="Z19" s="1449" t="n">
        <v>2.855357969128411</v>
      </c>
      <c r="AA19" s="1449" t="n">
        <v>2.83212394431566</v>
      </c>
      <c r="AB19" s="1449" t="n">
        <v>2.699433457259342</v>
      </c>
      <c r="AC19" s="1449" t="n">
        <v>2.30219864189544</v>
      </c>
      <c r="AD19" s="1449" t="n">
        <v>2.302301589281459</v>
      </c>
      <c r="AE19" s="1449" t="n">
        <v>2.282499864660639</v>
      </c>
      <c r="AF19" s="1449" t="n">
        <v>2.298822888620429</v>
      </c>
      <c r="AG19" s="1449" t="n">
        <v>2.259569972431695</v>
      </c>
      <c r="AH19" s="1449" t="n">
        <v>2.267685687626408</v>
      </c>
      <c r="AI19" s="1449" t="n">
        <v>2.125417299504466</v>
      </c>
      <c r="AJ19" s="1449" t="n">
        <v>2.01544503210619</v>
      </c>
      <c r="AK19" s="1449" t="n">
        <v>2.024696013290927</v>
      </c>
      <c r="AL19" s="1449" t="n">
        <v>2.024697699223729</v>
      </c>
      <c r="AM19" s="1449" t="n">
        <v>2.124093016902695</v>
      </c>
      <c r="AN19" s="1449" t="n">
        <v>2.104718087409267</v>
      </c>
      <c r="AO19" s="1449" t="n">
        <v>2.109977885295844</v>
      </c>
      <c r="AP19" s="1449" t="n">
        <v>2.121083648283423</v>
      </c>
      <c r="AQ19" s="1449" t="n">
        <v>1.893617137047114</v>
      </c>
      <c r="AR19" s="1449" t="n">
        <v>1.890918536775966</v>
      </c>
      <c r="AS19" s="1449" t="n">
        <v>3.951842336419582</v>
      </c>
      <c r="AT19" s="1449" t="n">
        <v>3.951563624880304</v>
      </c>
      <c r="AU19" s="1449" t="n">
        <v>3.676366166705662</v>
      </c>
      <c r="AV19" s="1449" t="n">
        <v>0.6830141262353779</v>
      </c>
      <c r="AW19" s="1449" t="n">
        <v>1.894590744030961</v>
      </c>
      <c r="AX19" s="1449" t="n">
        <v>1.688180131032763</v>
      </c>
      <c r="AY19" s="1449" t="n">
        <v>0.9418438117950462</v>
      </c>
      <c r="AZ19" s="1449" t="n">
        <v>1.280374675897759</v>
      </c>
      <c r="BA19" s="1449" t="n">
        <v>0.844146726393472</v>
      </c>
      <c r="BB19" s="1449" t="n">
        <v>0.8489021011810638</v>
      </c>
      <c r="BC19" s="1449" t="n">
        <v>0.8062426021168095</v>
      </c>
      <c r="BD19" s="1449" t="n">
        <v>0.7540961480248346</v>
      </c>
      <c r="BE19" s="1449" t="n">
        <v>0.7487826431245563</v>
      </c>
      <c r="BF19" s="1449" t="n">
        <v>0.7441285764318465</v>
      </c>
      <c r="BG19" s="1449" t="n">
        <v>0.7464824948715054</v>
      </c>
      <c r="BH19" s="1449" t="n">
        <v>0.7435956943036564</v>
      </c>
      <c r="BI19" s="1449" t="n">
        <v>0.7403012457667549</v>
      </c>
      <c r="BJ19" s="1449" t="n">
        <v>0.69925950791842</v>
      </c>
      <c r="BK19" s="1449" t="n">
        <v>0.7040764139560319</v>
      </c>
      <c r="BL19" s="1449" t="n">
        <v>0.834884193178652</v>
      </c>
      <c r="BM19" s="1449" t="n">
        <v>0.7328446863252168</v>
      </c>
      <c r="BN19" s="1449" t="n">
        <v>0.7452444527174074</v>
      </c>
      <c r="BO19" s="1449" t="n">
        <v>0.7585332151145919</v>
      </c>
      <c r="BP19" s="1449" t="n">
        <v>0.7655214585264961</v>
      </c>
      <c r="BQ19" s="1449" t="n">
        <v>1.13202160145269</v>
      </c>
      <c r="BR19" s="1449" t="n">
        <v>0.7132420824386244</v>
      </c>
      <c r="BS19" s="1449" t="n">
        <v>0.7148024487764868</v>
      </c>
      <c r="BT19" s="1449" t="n">
        <v>0.7160398796653166</v>
      </c>
      <c r="BU19" s="1449" t="n">
        <v>0.7104751201964762</v>
      </c>
      <c r="BV19" s="1449" t="n">
        <v>0.6987488930218102</v>
      </c>
      <c r="BW19" s="1449" t="n">
        <v>0.4397551044627125</v>
      </c>
      <c r="BX19" s="1449" t="n">
        <v>0.2268983950007297</v>
      </c>
      <c r="BY19" s="1449" t="n">
        <v>0.2289368156875583</v>
      </c>
      <c r="BZ19" s="1449" t="n">
        <v>0.1347199811639996</v>
      </c>
      <c r="CA19" s="1449" t="n">
        <v>0.1351655642397012</v>
      </c>
      <c r="CB19" s="1449" t="n">
        <v>0.1351655642397</v>
      </c>
      <c r="CC19" s="1449" t="n">
        <v>0.1350452968942123</v>
      </c>
      <c r="CD19" s="1449" t="n">
        <v>0.1350730435096037</v>
      </c>
      <c r="CE19" s="1449" t="n">
        <v>0.13518587510508</v>
      </c>
      <c r="CF19" s="1449" t="n">
        <v>0.1357271509933</v>
      </c>
      <c r="CG19" s="1449" t="n">
        <v>0.1395130439422964</v>
      </c>
      <c r="CH19" s="1449" t="n">
        <v>0.2250817381356368</v>
      </c>
      <c r="CI19" s="1449" t="n">
        <v>1.22508173813564</v>
      </c>
      <c r="CJ19" s="1449" t="n">
        <v>1.246348731135792</v>
      </c>
      <c r="CK19" s="1449" t="n">
        <v>1.234482980985032</v>
      </c>
      <c r="CL19" s="1449" t="n">
        <v>1.22763059045318</v>
      </c>
      <c r="CM19" s="1449" t="n">
        <v>1.219492173242513</v>
      </c>
      <c r="CN19" s="1449" t="n">
        <v>1.149678919992035</v>
      </c>
      <c r="CO19" s="1449" t="n">
        <v>2.456161772607231</v>
      </c>
      <c r="CP19" s="1450" t="n">
        <v>2.432530755655086</v>
      </c>
      <c r="CQ19" s="1450" t="n">
        <v>2.451565026593909</v>
      </c>
      <c r="CR19" s="1450" t="n">
        <v>2.439861171804837</v>
      </c>
      <c r="CS19" s="1450" t="n">
        <v>2.438472256936003</v>
      </c>
      <c r="CT19" s="1450" t="n">
        <v>2.461703831659642</v>
      </c>
      <c r="CU19" s="1450" t="n">
        <v>2.480602945368617</v>
      </c>
      <c r="CV19" s="1450" t="n">
        <v>2.479639243816216</v>
      </c>
      <c r="CW19" s="1450" t="n">
        <v>1.425302874994467</v>
      </c>
      <c r="CX19" s="1450" t="n">
        <v>1.418520554797994</v>
      </c>
      <c r="CY19" s="1450" t="n">
        <v>1.431214204565082</v>
      </c>
      <c r="CZ19" s="1450" t="n">
        <v>1.427387606665473</v>
      </c>
      <c r="DA19" s="1450" t="n">
        <v>1.326439063165271</v>
      </c>
      <c r="DB19" s="1450" t="n">
        <v>1.331459290725893</v>
      </c>
      <c r="DC19" s="1450" t="n">
        <v>1.336275578420195</v>
      </c>
      <c r="DD19" s="1450" t="n">
        <v>1.334620966391945</v>
      </c>
      <c r="DE19" s="1450" t="n">
        <v>1.333453404074169</v>
      </c>
      <c r="DF19" s="1450" t="n">
        <v>1.328657525220212</v>
      </c>
      <c r="DG19" s="1450" t="n">
        <v>1.327397139778951</v>
      </c>
      <c r="DH19" s="1450" t="n">
        <v>1.330881848132172</v>
      </c>
      <c r="DI19" s="1450" t="n">
        <v>0.3517594416858433</v>
      </c>
      <c r="DJ19" s="1450" t="n">
        <v>0.3498538091134025</v>
      </c>
      <c r="DK19" s="1450" t="n">
        <v>0.1592128181664798</v>
      </c>
      <c r="DL19" s="1450" t="n">
        <v>0.1556988838541211</v>
      </c>
      <c r="DM19" s="1450" t="n">
        <v>0.3448394973915956</v>
      </c>
      <c r="DN19" s="1450" t="n">
        <v>0.130823969146896</v>
      </c>
      <c r="DO19" s="1450" t="n">
        <v>0.1304027383235083</v>
      </c>
      <c r="DP19" s="1450" t="n">
        <v>0.1307341415286263</v>
      </c>
      <c r="DQ19" s="1450" t="n">
        <v>0.1304681510899478</v>
      </c>
      <c r="DR19" s="1450" t="n">
        <v>0.1290246411644437</v>
      </c>
      <c r="DS19" s="1450" t="n">
        <v>0.1280108336159379</v>
      </c>
      <c r="DT19" s="1450" t="n">
        <v>0.1272433387838648</v>
      </c>
      <c r="DU19" s="1450" t="n">
        <v>0.1274096018727478</v>
      </c>
      <c r="DV19" s="1450" t="n">
        <v>0.1280881986267335</v>
      </c>
      <c r="DW19" s="1450" t="n">
        <v>0.1279357691022492</v>
      </c>
      <c r="DX19" s="1450" t="n">
        <v>0.1279357691022492</v>
      </c>
      <c r="DY19" s="1450" t="n">
        <v>0.05154857936280495</v>
      </c>
      <c r="DZ19" s="1449" t="n">
        <v>0.1283387813312394</v>
      </c>
      <c r="EA19" s="1449" t="n">
        <v>0.1284936051031758</v>
      </c>
      <c r="EB19" s="1449" t="n">
        <v>0.1280684621517178</v>
      </c>
      <c r="EC19" s="1449" t="n">
        <v>0.1267855392794807</v>
      </c>
      <c r="ED19" s="1449" t="n">
        <v>0.1276302931209576</v>
      </c>
      <c r="EE19" s="1449" t="n">
        <v>0.1270591535891627</v>
      </c>
      <c r="EF19" s="1449" t="n">
        <v>0.1247725045311755</v>
      </c>
      <c r="EG19" s="1449" t="n">
        <v>0.1257909582500959</v>
      </c>
      <c r="EH19" s="1449" t="n">
        <v>0.1267595104769025</v>
      </c>
      <c r="EI19" s="1449" t="n">
        <v>0.1733870640078845</v>
      </c>
      <c r="EJ19" s="1449" t="n">
        <v>0.1733870640078845</v>
      </c>
      <c r="EK19" s="1449" t="n">
        <v>0.1733870640078845</v>
      </c>
      <c r="EL19" s="1449" t="n">
        <v>0.1704662995822201</v>
      </c>
      <c r="EM19" s="1449" t="n">
        <v>0.1705638876811233</v>
      </c>
      <c r="EN19" s="1449" t="n">
        <v>0.1710143893857951</v>
      </c>
      <c r="EO19" s="1449" t="n">
        <v>0.1690687804858014</v>
      </c>
      <c r="EP19" s="1449" t="n">
        <v>0.1683640639592992</v>
      </c>
      <c r="EQ19" s="1449" t="n">
        <v>0.1661332536410984</v>
      </c>
      <c r="ER19" s="1449" t="n">
        <v>0.1648114611803652</v>
      </c>
      <c r="ES19" s="1449" t="n">
        <v>0.1645094627214846</v>
      </c>
      <c r="ET19" s="1449" t="n">
        <v>0.1629456825752585</v>
      </c>
      <c r="EU19" s="1449" t="n">
        <v>0.1649414741609043</v>
      </c>
      <c r="EV19" s="1449" t="n">
        <v>0.1629544050637718</v>
      </c>
      <c r="EW19" s="1449" t="n">
        <v>0.1614528475794908</v>
      </c>
      <c r="EX19" s="1449" t="n">
        <v>0.1632558993847729</v>
      </c>
      <c r="EY19" s="1449" t="n">
        <v>0.1670040745720427</v>
      </c>
      <c r="EZ19" s="1449" t="n">
        <v>0.1651551179916818</v>
      </c>
      <c r="FA19" s="1449" t="n">
        <v>0.1673186798677497</v>
      </c>
      <c r="FB19" s="1449" t="n">
        <v>0.1667245187538315</v>
      </c>
      <c r="FC19" s="1449" t="n">
        <v>0.1672827209770115</v>
      </c>
      <c r="FD19" s="1449" t="n">
        <v>0.1677335222136304</v>
      </c>
      <c r="FE19" s="1449" t="n">
        <v>0.1684411787698235</v>
      </c>
      <c r="FF19" s="1449" t="n">
        <v>0.1692782592005811</v>
      </c>
      <c r="FG19" s="1449" t="n">
        <v>0.1675400352571264</v>
      </c>
      <c r="FH19" s="1449" t="n">
        <v>0.1676182031077805</v>
      </c>
      <c r="FI19" s="1449" t="n">
        <v>0.1667558496229126</v>
      </c>
      <c r="FJ19" s="1449" t="n">
        <v>0.1679090037315981</v>
      </c>
      <c r="FK19" s="1449" t="n">
        <v>0.1670752792283131</v>
      </c>
      <c r="FL19" s="1449" t="n">
        <v>0.1680582763815973</v>
      </c>
      <c r="FM19" s="1449" t="n">
        <v>0.1684493887687787</v>
      </c>
      <c r="FN19" s="1449" t="n">
        <v>0.168449388768779</v>
      </c>
      <c r="FO19" s="1449" t="n">
        <v>0.168449388768779</v>
      </c>
      <c r="FP19" s="1449" t="n">
        <v>0.1697521242234006</v>
      </c>
      <c r="FQ19" s="1449" t="n">
        <v>0.1693316093465254</v>
      </c>
      <c r="FR19" s="1449" t="n">
        <v>0.1694455723706809</v>
      </c>
      <c r="FS19" s="1449" t="n">
        <v>0.1687978428465939</v>
      </c>
      <c r="FT19" s="1449" t="n">
        <v>0.1666337778840657</v>
      </c>
      <c r="FU19" s="1449" t="n">
        <v>0.1697909153138559</v>
      </c>
      <c r="FV19" s="1449" t="n">
        <v>0.1702939871263779</v>
      </c>
      <c r="FW19" s="1449" t="n">
        <v>0.1712387838902345</v>
      </c>
      <c r="FX19" s="1449" t="n">
        <v>0.1700577970230261</v>
      </c>
      <c r="FY19" s="1449" t="n">
        <v>0.1744788709270831</v>
      </c>
      <c r="FZ19" s="1449" t="n">
        <v>0.1756930309247626</v>
      </c>
      <c r="GA19" s="1449" t="n">
        <v>0.1772879207681441</v>
      </c>
      <c r="GB19" s="1449" t="n">
        <v>0.1772867483644968</v>
      </c>
      <c r="GC19" s="1449" t="n">
        <v>0.1768941352489013</v>
      </c>
      <c r="GD19" s="1449" t="n">
        <v>0.1765917096635809</v>
      </c>
      <c r="GE19" s="1449" t="n">
        <v>0.1746235445578461</v>
      </c>
      <c r="GF19" s="1449" t="n">
        <v>0.1750064921607871</v>
      </c>
      <c r="GG19" s="1449" t="n">
        <v>0.1757506311121689</v>
      </c>
      <c r="GH19" s="1449" t="n">
        <v>0.1774966183954718</v>
      </c>
      <c r="GI19" s="1449" t="n">
        <v>0.1774909948495114</v>
      </c>
      <c r="GJ19" s="1449" t="n">
        <v>0.1778886683697656</v>
      </c>
      <c r="GK19" s="1449" t="n">
        <v>0.1771945245815746</v>
      </c>
      <c r="GL19" s="1449" t="n">
        <v>0.176763949454914</v>
      </c>
      <c r="GM19" s="1449" t="n">
        <v>0.1781605905026992</v>
      </c>
      <c r="GN19" s="1449" t="n">
        <v>0.179554269193475</v>
      </c>
      <c r="GO19" s="1449" t="n">
        <v>0.1798352805906257</v>
      </c>
      <c r="GP19" s="1449" t="n">
        <v>0.1793574806669178</v>
      </c>
      <c r="GQ19" s="1449" t="n">
        <v>0.1787056254170825</v>
      </c>
      <c r="GR19" s="1449" t="n">
        <v>0.1791468705910932</v>
      </c>
      <c r="GS19" s="1449" t="n">
        <v>0.1297450609333246</v>
      </c>
      <c r="GT19" s="1449" t="n">
        <v>0.04844445811042038</v>
      </c>
      <c r="GU19" s="1449" t="n">
        <v>0</v>
      </c>
      <c r="GV19" s="1449" t="n">
        <v>0</v>
      </c>
      <c r="GW19" s="1449" t="n">
        <v>0</v>
      </c>
      <c r="GX19" s="1449" t="n">
        <v>0</v>
      </c>
      <c r="GY19" s="1449" t="n">
        <v>0</v>
      </c>
      <c r="GZ19" s="1449" t="n">
        <v>0</v>
      </c>
      <c r="HA19" s="1449" t="n">
        <v>0</v>
      </c>
      <c r="HB19" s="1449" t="n">
        <v>0</v>
      </c>
      <c r="HC19" s="1449" t="n">
        <v>0</v>
      </c>
      <c r="HD19" s="1449" t="n">
        <v>0</v>
      </c>
      <c r="HE19" s="412" t="n">
        <v>0.01153075100195305</v>
      </c>
      <c r="HF19" s="412" t="n">
        <v>0.01153075100195305</v>
      </c>
      <c r="HG19" s="412" t="n">
        <v>0.05943640970909017</v>
      </c>
      <c r="HH19" s="412" t="n">
        <v>0.05945975529767973</v>
      </c>
      <c r="HI19" s="412" t="n">
        <v>0.05953814344057451</v>
      </c>
      <c r="HJ19" s="412" t="n">
        <v>0.05952180608773535</v>
      </c>
      <c r="HK19" s="412" t="n">
        <v>0.05986397432679866</v>
      </c>
      <c r="HL19" s="412" t="n">
        <v>0.0597272127278413</v>
      </c>
      <c r="HM19" s="412" t="n">
        <v>0.05975873181966231</v>
      </c>
      <c r="HN19" s="412" t="n">
        <v>0.0599135742077328</v>
      </c>
      <c r="HO19" s="412" t="n">
        <v>0.0597879491674599</v>
      </c>
      <c r="HP19" s="412" t="n">
        <v>0.05948444641163741</v>
      </c>
      <c r="HQ19" s="412" t="n">
        <v>0.0604036004093008</v>
      </c>
      <c r="HR19" s="412" t="n">
        <v>0.0599355836192809</v>
      </c>
      <c r="HS19" s="412" t="n">
        <v>0.05920870643052107</v>
      </c>
      <c r="HT19" s="412" t="n">
        <v>0.0590145854056161</v>
      </c>
      <c r="HU19" s="412" t="n">
        <v>0.0590145854056161</v>
      </c>
      <c r="HV19" s="412" t="n">
        <v>0.05904793328236161</v>
      </c>
      <c r="HW19" s="412" t="n">
        <v>0.05894516395789116</v>
      </c>
      <c r="HX19" s="412" t="n">
        <v>0.05854372946178911</v>
      </c>
      <c r="HY19" s="412" t="n">
        <v>0.05855443736073577</v>
      </c>
      <c r="HZ19" s="412" t="n">
        <v>0.05855443736073577</v>
      </c>
      <c r="IA19" s="1449" t="n">
        <v>0.585808090954538</v>
      </c>
      <c r="IB19" s="1449" t="n">
        <v>0.5892127228239413</v>
      </c>
      <c r="IC19" s="1449" t="n">
        <v>3.245901595692083</v>
      </c>
      <c r="ID19" s="1449" t="n">
        <v>3.245901595692083</v>
      </c>
      <c r="IE19" s="1449" t="n">
        <v>3.042964319406979</v>
      </c>
      <c r="IF19" s="1449" t="n">
        <v>3.042964319406979</v>
      </c>
      <c r="IG19" s="1449" t="n">
        <v>3.086343532864546</v>
      </c>
      <c r="IH19" s="1449" t="n">
        <v>3.086343532864546</v>
      </c>
      <c r="II19" s="1449" t="n">
        <v>3.077398827953415</v>
      </c>
      <c r="IJ19" s="1449" t="n">
        <v>3.060678922418626</v>
      </c>
      <c r="IK19" s="1449" t="n">
        <v>2.549748595964278</v>
      </c>
      <c r="IL19" s="1449" t="n">
        <v>2.568449615524179</v>
      </c>
      <c r="IM19" s="1449" t="n">
        <v>2.034664144689414</v>
      </c>
      <c r="IN19" s="1449" t="n">
        <v>2.034664144689414</v>
      </c>
      <c r="IO19" s="1449" t="n">
        <v>2.018022822532212</v>
      </c>
      <c r="IP19" s="1449" t="n">
        <v>2.025195778311273</v>
      </c>
      <c r="IQ19" s="1449" t="n">
        <v>2.029087410786133</v>
      </c>
      <c r="IR19" s="1449" t="n">
        <v>2.031264980990878</v>
      </c>
      <c r="IS19" s="1449" t="n">
        <v>2.027051109882426</v>
      </c>
      <c r="IT19" s="1449" t="n">
        <v>2.040621376366829</v>
      </c>
      <c r="IU19" s="1449" t="n">
        <v>2.040621376366829</v>
      </c>
      <c r="IV19" s="1449" t="n">
        <v>2.327106287905587</v>
      </c>
      <c r="IW19" s="1449" t="n">
        <v>2.334153321947941</v>
      </c>
      <c r="IX19" s="1449" t="n">
        <v>2.323779049833432</v>
      </c>
      <c r="IY19" s="1449" t="n">
        <v>2.323779049833432</v>
      </c>
      <c r="IZ19" s="1449" t="n">
        <v>2.323779049833432</v>
      </c>
      <c r="JA19" s="1449" t="n">
        <v>2.347364126196438</v>
      </c>
      <c r="JB19" s="1449" t="n">
        <v>2.356484565733046</v>
      </c>
      <c r="JC19" s="1449" t="n">
        <v>1.960149025017549</v>
      </c>
      <c r="JD19" s="1449" t="n">
        <v>1.958834031738628</v>
      </c>
      <c r="JE19" s="1449" t="n">
        <v>1.953263454420886</v>
      </c>
      <c r="JF19" s="1449" t="n">
        <v>1.956099579335717</v>
      </c>
      <c r="JG19" s="1449" t="n">
        <v>1.956777076441255</v>
      </c>
      <c r="JH19" s="1449" t="n">
        <v>1.964278536910507</v>
      </c>
      <c r="JI19" s="1449" t="n">
        <v>1.970212533138655</v>
      </c>
      <c r="JJ19" s="1449" t="n">
        <v>1.483939206948794</v>
      </c>
      <c r="JK19" s="1449" t="n">
        <v>1.486130805500864</v>
      </c>
      <c r="JL19" s="1449" t="n">
        <v>1.474965548875273</v>
      </c>
      <c r="JM19" s="1449" t="n">
        <v>1.473055696570849</v>
      </c>
      <c r="JN19" s="1449" t="n">
        <v>1.102204384257525</v>
      </c>
      <c r="JO19" s="1449" t="n">
        <v>1.102204384257525</v>
      </c>
      <c r="JP19" s="1449" t="n">
        <v>1.103216702250578</v>
      </c>
      <c r="JQ19" s="1449" t="n">
        <v>1.095196344724296</v>
      </c>
      <c r="JR19" s="1449" t="n">
        <v>0.8071404722113444</v>
      </c>
      <c r="JS19" s="1449" t="n">
        <v>0.8063846087513487</v>
      </c>
      <c r="JT19" s="1449" t="n">
        <v>0.8042064333759882</v>
      </c>
      <c r="JU19" s="1449">
        <f>'Cash in bank report'!$D$14-'Cash in bank report'!$D$57</f>
        <v/>
      </c>
      <c r="JV19" s="1449" t="n">
        <v>0.7985867240675889</v>
      </c>
      <c r="JW19" s="1449" t="n">
        <v>0.7978300579993818</v>
      </c>
      <c r="JX19" s="1449" t="n">
        <v>0.7995718214377786</v>
      </c>
      <c r="JY19" s="1449" t="n">
        <v>0.7977886210910292</v>
      </c>
      <c r="JZ19" s="1449" t="n">
        <v>0.7965392323700807</v>
      </c>
      <c r="KA19" s="1449" t="n">
        <v>0.4111927775182693</v>
      </c>
      <c r="KB19" s="1449" t="n">
        <v>0.4114848331171599</v>
      </c>
      <c r="KC19" s="1449" t="n">
        <v>0.4916328228761422</v>
      </c>
      <c r="KD19" s="1449" t="n">
        <v>0.5019729610030215</v>
      </c>
      <c r="KE19" s="1449" t="n">
        <v>0.5000067012622261</v>
      </c>
      <c r="KF19" s="1449" t="n">
        <v>0.500619275188234</v>
      </c>
      <c r="KG19" s="1449" t="n">
        <v>0.50421381928505</v>
      </c>
      <c r="KH19" s="1449" t="n">
        <v>0.5010020654996348</v>
      </c>
      <c r="KI19" s="1449" t="n">
        <v>0.06953563247651082</v>
      </c>
      <c r="KJ19" s="1449" t="n">
        <v>0.0695282227629542</v>
      </c>
      <c r="KK19" s="1449" t="n">
        <v>0.0695282227629542</v>
      </c>
      <c r="KL19" s="1449" t="n">
        <v>0.14701772818476</v>
      </c>
      <c r="KM19" s="1449" t="n">
        <v>0.14701772818476</v>
      </c>
      <c r="KN19" s="1449" t="n">
        <v>0.1375771457018745</v>
      </c>
      <c r="KO19" s="1449" t="n">
        <v>0.1380210792736755</v>
      </c>
      <c r="KP19" s="1449" t="n">
        <v>0.1395495942346903</v>
      </c>
      <c r="KQ19" s="1449" t="n">
        <v>0.139238279836331</v>
      </c>
      <c r="KR19" s="1449" t="n">
        <v>0.139238279836331</v>
      </c>
      <c r="KS19" s="1449" t="n">
        <v>0.1391180852040258</v>
      </c>
      <c r="KT19" s="1449" t="n">
        <v>0.1400923586907665</v>
      </c>
      <c r="KU19" s="1449" t="n">
        <v>0.138625223197636</v>
      </c>
      <c r="KV19" s="1449" t="n">
        <v>0.1388882451098512</v>
      </c>
      <c r="KW19" s="1449" t="n">
        <v>1.54755461901509</v>
      </c>
      <c r="KX19" s="1449" t="n">
        <v>0.06027020152568582</v>
      </c>
      <c r="KY19" s="1449" t="n">
        <v>0.06007416198988672</v>
      </c>
      <c r="KZ19" s="1449" t="n">
        <v>0.05972507763151642</v>
      </c>
      <c r="LA19" s="1449" t="n">
        <v>0.05972507763151642</v>
      </c>
      <c r="LB19" s="1449" t="n">
        <v>0.06000616841871684</v>
      </c>
      <c r="LC19" s="1449" t="n">
        <v>0.05989093296251854</v>
      </c>
      <c r="LD19" s="1449" t="n">
        <v>0.05989093296251854</v>
      </c>
      <c r="LE19" s="1449" t="n">
        <v>0.05985130918946775</v>
      </c>
      <c r="LF19" s="1449" t="n">
        <v>0.06033722232097283</v>
      </c>
      <c r="LG19" s="1449" t="n">
        <v>0.06054800865896171</v>
      </c>
      <c r="LH19" s="1449" t="n">
        <v>0.06059560263337059</v>
      </c>
      <c r="LI19" s="1449" t="n">
        <v>0.06137922620435438</v>
      </c>
      <c r="LJ19" s="1449" t="n">
        <v>0.06173530757358604</v>
      </c>
      <c r="LK19" s="1449" t="n">
        <v>0.06180248060047534</v>
      </c>
      <c r="LL19" s="1449" t="n">
        <v>0.06184807233370383</v>
      </c>
      <c r="LM19" s="1449" t="n">
        <v>0.06175087405982813</v>
      </c>
      <c r="LN19" s="1449" t="n">
        <v>0.06161904972246834</v>
      </c>
      <c r="LO19" s="1449" t="n">
        <v>0.06122361808885584</v>
      </c>
      <c r="LP19" s="1449" t="n">
        <v>0.06097387876491064</v>
      </c>
      <c r="LQ19" s="1449" t="n">
        <v>0.5161730905061976</v>
      </c>
      <c r="LR19" s="1449" t="n">
        <v>0.5161730905061976</v>
      </c>
      <c r="LS19" s="1449" t="n">
        <v>0.515776549584774</v>
      </c>
      <c r="LT19" s="1449" t="n">
        <v>0.5136433644134307</v>
      </c>
      <c r="LU19" s="1449" t="n">
        <v>0.5145478360384611</v>
      </c>
      <c r="LV19" s="1449" t="n">
        <v>0.5159569348885953</v>
      </c>
      <c r="LW19" s="1449" t="n">
        <v>0.5155680372207275</v>
      </c>
      <c r="LX19" s="1449" t="n">
        <v>0.5155732301573205</v>
      </c>
      <c r="LY19" s="1449" t="n">
        <v>0.5174993856870006</v>
      </c>
      <c r="LZ19" s="1449" t="n">
        <v>0.5165170827622584</v>
      </c>
      <c r="MA19" s="1449" t="n">
        <v>0.5146449279937926</v>
      </c>
      <c r="MB19" s="1449" t="n">
        <v>0.5139335207659074</v>
      </c>
      <c r="MC19" s="1449" t="n">
        <v>0.5133023300880517</v>
      </c>
      <c r="MD19" s="1449" t="n">
        <v>0.5120712755744246</v>
      </c>
      <c r="ME19" s="1449" t="n">
        <v>0.5104175481533584</v>
      </c>
      <c r="MF19" s="1449" t="n">
        <v>0.5485288568700182</v>
      </c>
      <c r="MG19" s="1449" t="n">
        <v>0.5496368710721059</v>
      </c>
      <c r="MH19" s="1449" t="n">
        <v>0.5450466046392445</v>
      </c>
      <c r="MI19" s="1449" t="n">
        <v>0.5464946558129335</v>
      </c>
      <c r="MJ19" s="1449" t="n">
        <v>0.5435663404838051</v>
      </c>
      <c r="MK19" s="1449" t="n">
        <v>0.5444324310764341</v>
      </c>
      <c r="ML19" s="1449" t="n">
        <v>0.507938392176121</v>
      </c>
      <c r="MM19" s="1449" t="n">
        <v>0.5115322806721271</v>
      </c>
      <c r="MN19" s="1449" t="n">
        <v>0.5117708820525171</v>
      </c>
      <c r="MO19" s="1449" t="n">
        <v>0.5101265590698051</v>
      </c>
      <c r="MP19" s="1449" t="n">
        <v>0.507712733919203</v>
      </c>
      <c r="MQ19" s="1449" t="n">
        <v>0.5052788508719139</v>
      </c>
      <c r="MR19" s="1449" t="n">
        <v>0.7751708574801293</v>
      </c>
      <c r="MS19" s="1449" t="n">
        <v>0.7738511114473997</v>
      </c>
      <c r="MT19" s="1449" t="n">
        <v>0.7731229716239415</v>
      </c>
      <c r="MU19" s="1449" t="n">
        <v>0.7731229716239415</v>
      </c>
      <c r="MV19" s="1449" t="n">
        <v>0.7740909802784481</v>
      </c>
      <c r="MW19" s="1449" t="n">
        <v>0.50468622100159</v>
      </c>
      <c r="MX19" s="1449" t="n">
        <v>0.5043311493548833</v>
      </c>
      <c r="MY19" s="1449" t="n">
        <v>1.057501529081957</v>
      </c>
      <c r="MZ19" s="1449" t="n">
        <v>1.057957288234941</v>
      </c>
      <c r="NA19" s="1449" t="n">
        <v>1.060827410058447</v>
      </c>
      <c r="NB19" s="1449" t="n">
        <v>1.06111282432631</v>
      </c>
      <c r="NC19" s="1449" t="n">
        <v>1.056668886540059</v>
      </c>
      <c r="ND19" s="1449" t="n">
        <v>1.055888638786821</v>
      </c>
      <c r="NE19" s="1449" t="n">
        <v>1.054716776571159</v>
      </c>
      <c r="NF19" s="1449" t="n">
        <v>0.497874413588008</v>
      </c>
      <c r="NG19" s="1449" t="n">
        <v>0.4964690611398964</v>
      </c>
      <c r="NH19" s="1449" t="n">
        <v>0.4944814778694828</v>
      </c>
      <c r="NI19" s="1449" t="n">
        <v>0.4975226981143503</v>
      </c>
      <c r="NJ19" s="1449" t="n">
        <v>0.4955110648517189</v>
      </c>
      <c r="NK19" s="1449" t="n">
        <v>0.4924902519147719</v>
      </c>
      <c r="NL19" s="1449" t="n">
        <v>0.4926954016620499</v>
      </c>
      <c r="NM19" s="1449" t="n">
        <v>0.4938918363661537</v>
      </c>
      <c r="NN19" s="1449" t="n">
        <v>0.4956010830809893</v>
      </c>
      <c r="NO19" s="1449" t="n">
        <v>0.4960914244108611</v>
      </c>
      <c r="NP19" s="1449" t="n">
        <v>0.4968381488348916</v>
      </c>
      <c r="NQ19" s="1449" t="n">
        <v>0.4968381488348916</v>
      </c>
      <c r="NR19" s="1449" t="n">
        <v>0.4990560627992428</v>
      </c>
      <c r="NS19" s="1449" t="n">
        <v>0.4951218615214654</v>
      </c>
      <c r="NT19" s="1449" t="n">
        <v>0.4950727593242639</v>
      </c>
      <c r="NU19" s="1449" t="n">
        <v>0.4958942086869696</v>
      </c>
      <c r="NV19" s="1449" t="n">
        <v>0.4964978969399953</v>
      </c>
      <c r="NW19" s="1449" t="n">
        <v>0.4954757798481925</v>
      </c>
      <c r="NX19" s="1449" t="n">
        <v>0.496842133437881</v>
      </c>
      <c r="NY19" s="1449" t="n">
        <v>0.4975535292123904</v>
      </c>
      <c r="NZ19" s="1449" t="n">
        <v>0.5000960980470989</v>
      </c>
      <c r="OA19" s="1449" t="n">
        <v>0.4975570783687079</v>
      </c>
      <c r="OB19" s="1449" t="n">
        <v>0.495790201108147</v>
      </c>
      <c r="OC19" s="1449" t="n">
        <v>0.4956694557024761</v>
      </c>
      <c r="OD19" s="1449" t="n">
        <v>0.496870931700333</v>
      </c>
      <c r="OE19" s="1449" t="n">
        <v>0.8932668167167631</v>
      </c>
      <c r="OF19" s="1449" t="n">
        <v>0.8857418212030218</v>
      </c>
      <c r="OG19" s="1449" t="n">
        <v>0.8918317144237065</v>
      </c>
      <c r="OH19" s="1449" t="n">
        <v>0.8932582726132395</v>
      </c>
      <c r="OI19" s="1449" t="n">
        <v>0.5021885356397386</v>
      </c>
      <c r="OJ19" s="1449" t="n">
        <v>0.8433826067444492</v>
      </c>
      <c r="OK19" s="1449" t="n">
        <v>0.8455851691414673</v>
      </c>
      <c r="OL19" s="1449" t="n">
        <v>0.7513517789980827</v>
      </c>
      <c r="OM19" s="1449" t="n">
        <v>0.7524704133740781</v>
      </c>
      <c r="ON19" s="1449" t="n">
        <v>0.753766858844801</v>
      </c>
      <c r="OO19" s="1449" t="n">
        <v>0.7638680069799286</v>
      </c>
      <c r="OP19" s="1449" t="n">
        <v>0.7638455890318737</v>
      </c>
      <c r="OQ19" s="1449" t="n">
        <v>0.7638455890318737</v>
      </c>
      <c r="OR19" s="1449" t="n">
        <v>0.7683982705451357</v>
      </c>
      <c r="OS19" s="1449" t="n">
        <v>0.7706350775246643</v>
      </c>
      <c r="OT19" s="1449" t="n">
        <v>0.7706350775246643</v>
      </c>
      <c r="OU19" s="1449" t="n">
        <v>0.7682144769872198</v>
      </c>
      <c r="OV19" s="1449" t="n">
        <v>0.767699407354529</v>
      </c>
      <c r="OW19" s="1449" t="n">
        <v>0.9711766848536435</v>
      </c>
      <c r="OX19" s="1449" t="n">
        <v>0.971274629304527</v>
      </c>
      <c r="OY19" s="1449" t="n">
        <v>0.7706276747643049</v>
      </c>
      <c r="OZ19" s="1449" t="n">
        <v>0.7694189435900562</v>
      </c>
      <c r="PA19" s="1449" t="n">
        <v>0.7694189435900562</v>
      </c>
      <c r="PB19" s="1449" t="n">
        <v>0.764820149954562</v>
      </c>
      <c r="PC19" s="1449" t="n">
        <v>0.764820149954562</v>
      </c>
      <c r="PD19" s="1449" t="n">
        <v>1.288577198612671</v>
      </c>
      <c r="PE19" s="1449" t="n">
        <v>1.287444864668656</v>
      </c>
      <c r="PF19" s="1449" t="n">
        <v>0.7587737454348639</v>
      </c>
      <c r="PG19" s="1449" t="n">
        <v>0.7583339031264632</v>
      </c>
      <c r="PH19" s="1449" t="n">
        <v>1.289078918326945</v>
      </c>
      <c r="PI19" s="1449" t="n">
        <v>0.5847849678393995</v>
      </c>
      <c r="PJ19" s="1449" t="n">
        <v>0.5909726971689708</v>
      </c>
      <c r="PK19" s="1449" t="n">
        <v>0.5949404951536624</v>
      </c>
      <c r="PL19" s="1449" t="n">
        <v>0.5922396571056957</v>
      </c>
      <c r="PM19" s="1449" t="n">
        <v>1.195282701490559</v>
      </c>
      <c r="PN19" s="1449" t="n">
        <v>0.5940495983434654</v>
      </c>
      <c r="PO19" s="1449" t="n">
        <v>0.5942764506740004</v>
      </c>
      <c r="PP19" s="1449" t="n">
        <v>0.5973429358062801</v>
      </c>
      <c r="PQ19" s="1449" t="n">
        <v>0.5988677822918593</v>
      </c>
      <c r="PR19" s="1449" t="n">
        <v>0.5978578388845333</v>
      </c>
      <c r="PS19" s="1449" t="n">
        <v>0.5992135087536025</v>
      </c>
      <c r="PT19" s="1449" t="n">
        <v>0.6037394108307376</v>
      </c>
      <c r="PU19" s="1449" t="n">
        <v>0.5996705841274725</v>
      </c>
      <c r="PV19" s="1449" t="n">
        <v>0.5936672627317375</v>
      </c>
      <c r="PW19" s="1449" t="n">
        <v>0.5936672627317375</v>
      </c>
      <c r="PX19" s="1449" t="n">
        <v>0.5957054583439397</v>
      </c>
      <c r="PY19" s="1449" t="n">
        <v>0.5952444250604773</v>
      </c>
      <c r="PZ19" s="1449" t="n">
        <v>0.594107876747889</v>
      </c>
      <c r="QA19" s="1449" t="n">
        <v>0.5914292332789857</v>
      </c>
      <c r="QB19" s="1449" t="n">
        <v>0.5894642876338365</v>
      </c>
      <c r="QC19" s="1449" t="n">
        <v>0.5906956548110218</v>
      </c>
      <c r="QD19" s="1449" t="n">
        <v>0.5899188599564734</v>
      </c>
      <c r="QE19" s="1449" t="n">
        <v>0.5909876057308885</v>
      </c>
      <c r="QF19" s="1449" t="n">
        <v>0.5909778758347086</v>
      </c>
      <c r="QG19" s="1449" t="n">
        <v>0.5906305886100253</v>
      </c>
      <c r="QH19" s="1449" t="n">
        <v>0.5910230359974824</v>
      </c>
      <c r="QI19" s="1449" t="n">
        <v>0.5881211205160201</v>
      </c>
      <c r="QJ19" s="1449" t="n">
        <v>0.5868033409947662</v>
      </c>
      <c r="QK19" s="1449" t="n">
        <v>0.5877654790807795</v>
      </c>
      <c r="QL19" s="1449" t="n">
        <v>0.5877654790807795</v>
      </c>
      <c r="QM19" s="1449" t="n">
        <v>0.585308488587486</v>
      </c>
      <c r="QN19" s="1449" t="n">
        <v>0.5899477010277667</v>
      </c>
      <c r="QO19" s="1449" t="n">
        <v>0.5837215516563391</v>
      </c>
      <c r="QP19" s="1449" t="n">
        <v>0.582633974871036</v>
      </c>
      <c r="QQ19" s="1449" t="n">
        <v>0.5835118211854126</v>
      </c>
      <c r="QR19" s="1449" t="n">
        <v>0.584391346209185</v>
      </c>
      <c r="QS19" s="1449" t="n">
        <v>0.5842515638380859</v>
      </c>
      <c r="QT19" s="1449" t="n">
        <v>0.584339100608504</v>
      </c>
      <c r="QU19" s="1449" t="n">
        <v>0.5837476255014764</v>
      </c>
      <c r="QV19" s="1449" t="n">
        <v>0.5800613384519138</v>
      </c>
      <c r="QW19" s="1449" t="n">
        <v>0.5811072995141778</v>
      </c>
      <c r="QX19" s="1449" t="n">
        <v>0.582073175098218</v>
      </c>
      <c r="QY19" s="1449" t="n">
        <v>0.5837502072541776</v>
      </c>
      <c r="QZ19" s="1449" t="n">
        <v>0.584548057070461</v>
      </c>
      <c r="RA19" s="1449" t="n">
        <v>0.5859628414159871</v>
      </c>
      <c r="RB19" s="1449" t="n">
        <v>0.5871742851628915</v>
      </c>
      <c r="RC19" s="1449" t="n">
        <v>0.5863830957259957</v>
      </c>
      <c r="RD19" s="1449" t="n">
        <v>0.5886300548377109</v>
      </c>
      <c r="RE19" s="1449" t="n">
        <v>0.5869582101509536</v>
      </c>
      <c r="RF19" s="1449" t="n">
        <v>0.5881897866434469</v>
      </c>
      <c r="RG19" s="1449">
        <f>'Cash in bank report'!$D$14-'Cash in bank report'!$D$57</f>
        <v/>
      </c>
      <c r="RH19" s="1449" t="n">
        <v>0.5882311235006032</v>
      </c>
      <c r="RI19" s="1449" t="n">
        <v>0.5884683207357582</v>
      </c>
      <c r="RJ19" s="1449" t="n">
        <v>0.5893936871239258</v>
      </c>
      <c r="RK19" s="1449" t="n">
        <v>0.5907762238077868</v>
      </c>
      <c r="RL19" s="1449" t="n">
        <v>0.5931108990347055</v>
      </c>
      <c r="RM19" s="1449" t="n">
        <v>0.5927750893754306</v>
      </c>
      <c r="RN19" s="1449" t="n">
        <v>0.5934021466012853</v>
      </c>
      <c r="RO19" s="1449" t="n">
        <v>0.5932601927847054</v>
      </c>
      <c r="RP19" s="1449" t="n">
        <v>0.5900327583411341</v>
      </c>
      <c r="RQ19" s="1449" t="n">
        <v>0.5909083854846934</v>
      </c>
      <c r="RR19" s="1449" t="n">
        <v>0.5885473786756852</v>
      </c>
      <c r="RS19" s="1449" t="n">
        <v>0.5885938280108883</v>
      </c>
      <c r="RT19" s="1449" t="n">
        <v>0.5918386952024961</v>
      </c>
      <c r="RU19" s="1449" t="n">
        <v>0.5867423035941425</v>
      </c>
      <c r="RV19" s="1449" t="n">
        <v>0.5865687721471371</v>
      </c>
      <c r="RW19" s="1449" t="n">
        <v>0.588121428834074</v>
      </c>
      <c r="RX19" s="1449" t="n">
        <v>0.5871811163438703</v>
      </c>
      <c r="RY19" s="1449" t="n">
        <v>0.5859569168852452</v>
      </c>
      <c r="RZ19" s="1449" t="n">
        <v>0.5842702321027217</v>
      </c>
      <c r="SA19" s="1449" t="n">
        <v>0.5849551797632283</v>
      </c>
      <c r="SB19" s="1449" t="n">
        <v>0.5825704088347633</v>
      </c>
      <c r="SC19" s="1449" t="n">
        <v>0.5835237212055089</v>
      </c>
      <c r="SD19" s="1449" t="n">
        <v>0.5878051003165564</v>
      </c>
      <c r="SE19" s="1449" t="n">
        <v>0.5874541066639255</v>
      </c>
      <c r="SF19" s="1449">
        <f>'Cash in bank report'!$D$14-'Cash in bank report'!$D$57</f>
        <v/>
      </c>
      <c r="SG19" s="1449" t="n">
        <v>0.5889916688514797</v>
      </c>
      <c r="SH19" s="1449" t="n">
        <v>0.5888267835030756</v>
      </c>
      <c r="SI19" s="1449" t="n">
        <v>0.5824814374879961</v>
      </c>
      <c r="SJ19" s="1449" t="n">
        <v>0.5786831143459198</v>
      </c>
      <c r="SK19" s="1449" t="n">
        <v>0.5781611125056231</v>
      </c>
      <c r="SL19" s="1449" t="n">
        <v>0.5759907388593259</v>
      </c>
      <c r="SM19" s="1449" t="n">
        <v>0.576445022583812</v>
      </c>
      <c r="SN19" s="1449" t="n">
        <v>0.5793237061690555</v>
      </c>
      <c r="SO19" s="1449" t="n">
        <v>0.5778380411061965</v>
      </c>
      <c r="SP19" s="1449" t="n">
        <v>0.5777596423965624</v>
      </c>
      <c r="SQ19" s="1449" t="n">
        <v>0.5786522819197401</v>
      </c>
      <c r="SR19" s="1449" t="n">
        <v>0.5791275773242491</v>
      </c>
      <c r="SS19" s="1449" t="n">
        <v>0.5809203236507857</v>
      </c>
      <c r="ST19" s="1449" t="n">
        <v>0.5817289507745611</v>
      </c>
      <c r="SU19" s="1449" t="n">
        <v>0.5791275773242491</v>
      </c>
      <c r="SV19" s="1449" t="n">
        <v>0.5810377698172156</v>
      </c>
      <c r="SW19" s="1449" t="n">
        <v>0.5828320242726177</v>
      </c>
      <c r="SX19" s="1449" t="n">
        <v>0.3103625087436099</v>
      </c>
      <c r="SY19" s="1449" t="n">
        <v>0.3099709640124184</v>
      </c>
      <c r="SZ19" s="1449" t="n">
        <v>0.3086231795316906</v>
      </c>
      <c r="TA19" s="1449" t="n">
        <v>0.07811836584636539</v>
      </c>
      <c r="TB19" s="1449" t="n">
        <v>0.07820957486665259</v>
      </c>
      <c r="TC19" s="1449" t="n">
        <v>0.07842259531237501</v>
      </c>
      <c r="TD19" s="1449" t="n">
        <v>0.07876678282387799</v>
      </c>
      <c r="TE19" s="1449">
        <f>'Cash in bank report'!$D$14-'Cash in bank report'!$D$57</f>
        <v/>
      </c>
      <c r="TF19" s="1449" t="n">
        <v>1.73831110508672</v>
      </c>
      <c r="TG19" s="1449" t="n">
        <v>0.6650796387230361</v>
      </c>
      <c r="TH19" s="1449" t="n">
        <v>0.6647795826128994</v>
      </c>
      <c r="TI19" s="1449" t="n">
        <v>0.07853851672823733</v>
      </c>
      <c r="TJ19" s="1449" t="n">
        <v>0.07838413252681638</v>
      </c>
      <c r="TK19" s="1449" t="n">
        <v>0.07863664979500525</v>
      </c>
      <c r="TL19" s="1449" t="n">
        <v>1.695329966731307</v>
      </c>
      <c r="TM19" s="1449" t="n">
        <v>1.695059646220153</v>
      </c>
      <c r="TN19" s="1449" t="n">
        <v>1.697043961148007</v>
      </c>
      <c r="TO19" s="1449" t="n">
        <v>1.694883994309885</v>
      </c>
      <c r="TP19" s="1449" t="n">
        <v>1.696239119150102</v>
      </c>
      <c r="TQ19" s="1449" t="n">
        <v>1.697695126355662</v>
      </c>
      <c r="TR19" s="1449" t="n">
        <v>1.697809284599678</v>
      </c>
      <c r="TS19" s="1449" t="n">
        <v>1.697683021221175</v>
      </c>
      <c r="TT19" s="1449" t="n">
        <v>1.112199770006061</v>
      </c>
      <c r="TU19" s="1449" t="n">
        <v>1.107770570588711</v>
      </c>
      <c r="TV19" s="1449" t="n">
        <v>1.108335104431069</v>
      </c>
      <c r="TW19" s="1449" t="n">
        <v>1.101639115254852</v>
      </c>
      <c r="TX19" s="1449" t="n">
        <v>1.101570229901938</v>
      </c>
      <c r="TY19" s="1449" t="n">
        <v>1.098912583726652</v>
      </c>
      <c r="TZ19" s="1449" t="n">
        <v>1.0941452483748</v>
      </c>
      <c r="UA19" s="1449" t="n">
        <v>1.091523751242312</v>
      </c>
      <c r="UB19" s="1449" t="n">
        <v>0.07777412187861635</v>
      </c>
      <c r="UC19" s="1449" t="n">
        <v>0</v>
      </c>
      <c r="UD19" s="1449" t="n">
        <v>0</v>
      </c>
      <c r="UE19" s="1449" t="n">
        <v>0</v>
      </c>
      <c r="UF19" s="1449" t="n">
        <v>0</v>
      </c>
      <c r="UG19" s="1449" t="n">
        <v>0</v>
      </c>
      <c r="UH19" s="1449" t="n">
        <v>0</v>
      </c>
      <c r="UI19" s="1449" t="n">
        <v>0</v>
      </c>
      <c r="UJ19" s="1449" t="n">
        <v>0</v>
      </c>
      <c r="UK19" s="1449" t="n">
        <v>0</v>
      </c>
      <c r="UL19" s="1449" t="n">
        <v>0</v>
      </c>
      <c r="UM19" s="1449" t="n">
        <v>0</v>
      </c>
      <c r="UN19" s="1449" t="n">
        <v>0</v>
      </c>
      <c r="UO19" s="1449" t="n">
        <v>0.09562800944962273</v>
      </c>
      <c r="UP19" s="1449" t="n">
        <v>0.09573405734153739</v>
      </c>
      <c r="UQ19" s="1449" t="n">
        <v>0</v>
      </c>
      <c r="UR19" s="1449" t="n">
        <v>0</v>
      </c>
      <c r="US19" s="1449" t="n">
        <v>0</v>
      </c>
      <c r="UT19" s="1449" t="n">
        <v>0</v>
      </c>
      <c r="UU19" s="1449" t="n">
        <v>0</v>
      </c>
      <c r="UV19" s="1449" t="n">
        <v>0.05356505425698099</v>
      </c>
      <c r="UW19" s="1449" t="n">
        <v>0.05350888570908019</v>
      </c>
      <c r="UX19" s="1449" t="n">
        <v>0.05396293424458198</v>
      </c>
      <c r="UY19" s="1449" t="n">
        <v>0.05391406469049276</v>
      </c>
      <c r="UZ19" s="1449" t="n">
        <v>0.05409043669535585</v>
      </c>
      <c r="VA19" s="1449" t="n">
        <v>0.05394453222341777</v>
      </c>
      <c r="VB19" s="1449" t="n">
        <v>0.05439009178248266</v>
      </c>
      <c r="VC19" s="1449" t="n">
        <v>0.05419631207408715</v>
      </c>
      <c r="VD19" s="1449" t="n">
        <v>0.05426689065146562</v>
      </c>
      <c r="VE19" s="1449" t="n">
        <v>0.05391563252037068</v>
      </c>
      <c r="VF19" s="1449" t="n">
        <v>0.0531905005460751</v>
      </c>
      <c r="VG19" s="1449" t="n">
        <v>0.05313211121011463</v>
      </c>
      <c r="VH19" s="1449" t="n">
        <v>0.05330353857824122</v>
      </c>
      <c r="VI19" s="1449" t="n">
        <v>0.05286439255164765</v>
      </c>
      <c r="VJ19" s="1449">
        <f>'Cash in bank report'!$D$14-'Cash in bank report'!$D$57</f>
        <v/>
      </c>
      <c r="VK19" s="1449" t="n">
        <v>0.05245327560925883</v>
      </c>
      <c r="VL19" s="1449" t="n">
        <v>0.05246427040465074</v>
      </c>
      <c r="VM19" s="1449" t="n">
        <v>0.05260927824088313</v>
      </c>
      <c r="VN19" s="1449" t="n">
        <v>0.05281669200990269</v>
      </c>
      <c r="VO19" s="1449" t="n">
        <v>0.05274901860833614</v>
      </c>
      <c r="VP19" s="1449" t="n">
        <v>0.05283959226201151</v>
      </c>
      <c r="VQ19" s="1449" t="n">
        <v>0.05227340113140633</v>
      </c>
      <c r="VR19" s="1449" t="n">
        <v>0.05198134384564357</v>
      </c>
      <c r="VS19" s="1449" t="n">
        <v>0.05168395935926284</v>
      </c>
      <c r="VT19" s="1449" t="n">
        <v>0.05148680725293442</v>
      </c>
      <c r="VU19" s="1449" t="n">
        <v>0.05133507051611508</v>
      </c>
      <c r="VV19" s="1449" t="n">
        <v>0.05132858560820885</v>
      </c>
      <c r="VW19" s="1449" t="n">
        <v>0.05127058146542796</v>
      </c>
      <c r="VX19" s="1449" t="n">
        <v>0.05093870767929332</v>
      </c>
      <c r="VY19" s="1449" t="n">
        <v>0.05147044979749671</v>
      </c>
      <c r="VZ19" s="1449" t="n">
        <v>0.0515250956117872</v>
      </c>
      <c r="WA19" s="1449" t="n">
        <v>0.05111121976976163</v>
      </c>
      <c r="WB19" s="1449" t="n">
        <v>0.05156660162482085</v>
      </c>
      <c r="WC19" s="1449" t="n">
        <v>0.0510486754287518</v>
      </c>
      <c r="WD19" s="1449" t="n">
        <v>0.05118287044150405</v>
      </c>
      <c r="WE19" s="1449" t="n">
        <v>0.05127038105672233</v>
      </c>
      <c r="WF19" s="1449" t="n">
        <v>0.05055517923704222</v>
      </c>
      <c r="WG19" s="1449" t="n">
        <v>0.05067247563508648</v>
      </c>
      <c r="WH19" s="1449" t="n">
        <v>0.05067446278460697</v>
      </c>
      <c r="WI19" s="1449" t="n">
        <v>0.05005429326907018</v>
      </c>
      <c r="WJ19" s="1449" t="n">
        <v>0.0495773716698098</v>
      </c>
      <c r="WK19" s="1449" t="n">
        <v>0.0501894898072015</v>
      </c>
      <c r="WL19" s="1449" t="n">
        <v>0.04981002818372948</v>
      </c>
      <c r="WM19" s="1449" t="n">
        <v>0.05019359207110696</v>
      </c>
      <c r="WN19" s="1449" t="n">
        <v>0.05099515073740468</v>
      </c>
      <c r="WO19" s="1449" t="n">
        <v>0.05073784293243921</v>
      </c>
      <c r="WP19" s="1449" t="n">
        <v>0.04979991597235589</v>
      </c>
      <c r="WQ19" s="1449" t="n">
        <v>0.05060810406196481</v>
      </c>
      <c r="WR19" s="1449">
        <f>'Cash in bank report'!$D$14-'Cash in bank report'!$D$57</f>
        <v/>
      </c>
      <c r="WS19" s="1449" t="n">
        <v>0.05053296136773433</v>
      </c>
      <c r="WT19" s="1449" t="n">
        <v>0.05063760508967796</v>
      </c>
      <c r="WU19" s="1449" t="n">
        <v>0.0508830093782775</v>
      </c>
      <c r="WV19" s="1449" t="n">
        <v>0.05052570776362764</v>
      </c>
      <c r="WW19" s="1449" t="n">
        <v>0.05068122691782451</v>
      </c>
      <c r="WX19" s="1449" t="n">
        <v>0.0509771567553714</v>
      </c>
      <c r="WY19" s="1449" t="n">
        <v>0.05096499576836999</v>
      </c>
      <c r="WZ19" s="1449" t="n">
        <v>0.05109694806644205</v>
      </c>
      <c r="XA19" s="1449" t="n">
        <v>0.0524393362002642</v>
      </c>
      <c r="XB19" s="1449" t="n">
        <v>0</v>
      </c>
      <c r="XC19" s="1449" t="n">
        <v>0</v>
      </c>
      <c r="XD19" s="1449" t="n">
        <v>0</v>
      </c>
      <c r="XE19" s="1449" t="n">
        <v>0</v>
      </c>
      <c r="XF19" s="1449" t="n">
        <v>0</v>
      </c>
      <c r="XG19" s="1449" t="n">
        <v>0</v>
      </c>
      <c r="XH19" s="1449" t="n">
        <v>0</v>
      </c>
      <c r="XI19" s="1449" t="n">
        <v>0</v>
      </c>
      <c r="XJ19" s="1449" t="n">
        <v>0</v>
      </c>
      <c r="XK19" s="1449" t="n">
        <v>0</v>
      </c>
      <c r="XL19" s="1449" t="n">
        <v>0</v>
      </c>
      <c r="XM19" s="1449" t="n">
        <v>0</v>
      </c>
      <c r="XN19" s="1449" t="n">
        <v>0</v>
      </c>
      <c r="XO19" s="1449" t="n">
        <v>0</v>
      </c>
      <c r="XP19" s="1449" t="n">
        <v>0</v>
      </c>
      <c r="XQ19" s="1449" t="n">
        <v>0</v>
      </c>
      <c r="XR19" s="1449" t="n">
        <v>0</v>
      </c>
      <c r="XS19" s="1449" t="n">
        <v>0</v>
      </c>
      <c r="XT19" s="1449">
        <f>'Cash in bank report'!$D$14-'Cash in bank report'!$D$57</f>
        <v/>
      </c>
      <c r="XU19" s="1449" t="n">
        <v>0</v>
      </c>
      <c r="XV19" s="1449" t="n">
        <v>0</v>
      </c>
      <c r="XW19" s="1449" t="n">
        <v>0</v>
      </c>
      <c r="XX19" s="1449" t="n">
        <v>0</v>
      </c>
      <c r="XY19" s="1449" t="n">
        <v>0</v>
      </c>
      <c r="XZ19" s="1449" t="n">
        <v>0</v>
      </c>
      <c r="YA19" s="1449" t="n">
        <v>0</v>
      </c>
      <c r="YB19" s="1449" t="n">
        <v>0.03434315950497169</v>
      </c>
      <c r="YC19" s="1449" t="n">
        <v>0</v>
      </c>
      <c r="YD19" s="1449" t="n">
        <v>0</v>
      </c>
      <c r="YE19" s="1449" t="n">
        <v>0</v>
      </c>
      <c r="YF19" s="1449" t="n">
        <v>0</v>
      </c>
      <c r="YG19" s="1449" t="n">
        <v>0</v>
      </c>
      <c r="YH19" s="1449" t="n">
        <v>0</v>
      </c>
      <c r="YI19" s="1449" t="n">
        <v>0</v>
      </c>
      <c r="YJ19" s="1449" t="n">
        <v>0</v>
      </c>
      <c r="YK19" s="1449" t="n">
        <v>0</v>
      </c>
      <c r="YL19" s="1449" t="n">
        <v>0</v>
      </c>
      <c r="YM19" s="1449">
        <f>'Cash in bank report'!$D$14-'Cash in bank report'!$D$57</f>
        <v/>
      </c>
      <c r="YN19" s="1449" t="n">
        <v>0</v>
      </c>
      <c r="YO19" s="1449" t="n">
        <v>0</v>
      </c>
      <c r="YP19" s="1449" t="n">
        <v>0</v>
      </c>
      <c r="YQ19" s="1449" t="n">
        <v>0</v>
      </c>
      <c r="YR19" s="1449" t="n">
        <v>0</v>
      </c>
      <c r="YS19" s="1449" t="n">
        <v>0</v>
      </c>
      <c r="YT19" s="1449" t="n">
        <v>0</v>
      </c>
      <c r="YU19" s="1449" t="n">
        <v>0</v>
      </c>
      <c r="YV19" s="1449" t="n">
        <v>0.3909496528157104</v>
      </c>
      <c r="YW19" s="1449" t="n">
        <v>0.3907882531288331</v>
      </c>
      <c r="YX19" s="1449" t="n">
        <v>0.3949079672975686</v>
      </c>
      <c r="YY19" s="1449" t="n">
        <v>0.3976696512638611</v>
      </c>
      <c r="YZ19" s="1449" t="n">
        <v>0</v>
      </c>
      <c r="ZA19" s="1449" t="n">
        <v>0</v>
      </c>
      <c r="ZB19" s="1449" t="n">
        <v>0</v>
      </c>
      <c r="ZC19" s="1449" t="n">
        <v>0</v>
      </c>
      <c r="ZD19" s="1449" t="n">
        <v>0</v>
      </c>
      <c r="ZE19" s="1449" t="n">
        <v>0</v>
      </c>
      <c r="ZF19" s="1451">
        <f>'Cash in bank report'!$D$14-'Cash in bank report'!$D$57</f>
        <v/>
      </c>
    </row>
    <row r="20">
      <c r="A20" s="120" t="n"/>
      <c r="B20" s="125" t="inlineStr">
        <is>
          <t>(Equivalent  to USD)</t>
        </is>
      </c>
      <c r="C20" s="418" t="inlineStr">
        <is>
          <t>Deposit Rate</t>
        </is>
      </c>
      <c r="D20" s="6" t="n"/>
      <c r="E20" s="1452" t="n"/>
      <c r="F20" s="1452" t="n"/>
      <c r="G20" s="1452" t="n"/>
      <c r="H20" s="1452" t="n"/>
      <c r="I20" s="1452" t="n"/>
      <c r="J20" s="1452" t="n"/>
      <c r="K20" s="1452" t="n"/>
      <c r="L20" s="1452" t="n"/>
      <c r="M20" s="1452" t="n"/>
      <c r="N20" s="1452" t="n"/>
      <c r="O20" s="1452" t="n"/>
      <c r="P20" s="1452" t="n"/>
      <c r="Q20" s="1452" t="n"/>
      <c r="R20" s="1452" t="n"/>
      <c r="S20" s="1452" t="n"/>
      <c r="T20" s="1452" t="n"/>
      <c r="U20" s="1452" t="n"/>
      <c r="V20" s="1452" t="n"/>
      <c r="W20" s="1452" t="n"/>
      <c r="X20" s="1452" t="n"/>
      <c r="Y20" s="1452" t="n"/>
      <c r="Z20" s="1452" t="n"/>
      <c r="AA20" s="1452" t="n"/>
      <c r="AB20" s="1452" t="n"/>
      <c r="AC20" s="1452" t="n"/>
      <c r="AD20" s="1452" t="n"/>
      <c r="AE20" s="1452" t="n"/>
      <c r="AF20" s="1452" t="n"/>
      <c r="AG20" s="1452" t="n"/>
      <c r="AH20" s="1452" t="n"/>
      <c r="AI20" s="1452" t="n"/>
      <c r="AJ20" s="1452" t="n"/>
      <c r="AK20" s="1452" t="n"/>
      <c r="AL20" s="1452" t="n"/>
      <c r="AM20" s="1452" t="n"/>
      <c r="AN20" s="1452" t="n"/>
      <c r="AO20" s="1452" t="n"/>
      <c r="AP20" s="1452" t="n"/>
      <c r="AQ20" s="1452" t="n"/>
      <c r="AR20" s="1452" t="n"/>
      <c r="AS20" s="1452" t="n"/>
      <c r="AT20" s="1452" t="n"/>
      <c r="AU20" s="1452" t="n"/>
      <c r="AV20" s="1452" t="n"/>
      <c r="AW20" s="1452" t="n"/>
      <c r="AX20" s="1452" t="n"/>
      <c r="AY20" s="1452" t="n"/>
      <c r="AZ20" s="1452" t="n"/>
      <c r="BA20" s="1452" t="n"/>
      <c r="BB20" s="1452" t="n"/>
      <c r="BC20" s="1452" t="n"/>
      <c r="BD20" s="1452" t="n"/>
      <c r="BE20" s="1452" t="n"/>
      <c r="BF20" s="1452" t="n"/>
      <c r="BG20" s="1452" t="n"/>
      <c r="BH20" s="1452" t="n"/>
      <c r="BI20" s="1452" t="n"/>
      <c r="BJ20" s="1452" t="n"/>
      <c r="BK20" s="1452" t="n"/>
      <c r="BL20" s="1452" t="n"/>
      <c r="BM20" s="1452" t="n"/>
      <c r="BN20" s="1452" t="n"/>
      <c r="BO20" s="1452" t="n"/>
      <c r="BP20" s="1452" t="n"/>
      <c r="BQ20" s="1452" t="n"/>
      <c r="BR20" s="1452" t="n"/>
      <c r="BS20" s="1452" t="n"/>
      <c r="BT20" s="1452" t="n"/>
      <c r="BU20" s="1452" t="n"/>
      <c r="BV20" s="1452" t="n"/>
      <c r="BW20" s="1452" t="n"/>
      <c r="BX20" s="1452" t="n"/>
      <c r="BY20" s="1452" t="n"/>
      <c r="BZ20" s="1452" t="n"/>
      <c r="CA20" s="1452" t="n"/>
      <c r="CB20" s="1452" t="n"/>
      <c r="CC20" s="1452" t="n"/>
      <c r="CD20" s="1452" t="n"/>
      <c r="CE20" s="1452" t="n"/>
      <c r="CF20" s="1452" t="n"/>
      <c r="CG20" s="1452" t="n"/>
      <c r="CH20" s="1452" t="n"/>
      <c r="CI20" s="1452" t="n"/>
      <c r="CJ20" s="1452" t="n"/>
      <c r="CK20" s="1452" t="n"/>
      <c r="CL20" s="1452" t="n"/>
      <c r="CM20" s="1452" t="n"/>
      <c r="CN20" s="1452" t="n"/>
      <c r="CO20" s="1452" t="n"/>
      <c r="CP20" s="1452" t="n"/>
      <c r="CQ20" s="1452" t="n"/>
      <c r="CR20" s="1452" t="n"/>
      <c r="CS20" s="1452" t="n"/>
      <c r="CT20" s="1452" t="n"/>
      <c r="CU20" s="1452" t="n"/>
      <c r="CV20" s="1452" t="n"/>
      <c r="CW20" s="1452" t="n"/>
      <c r="CX20" s="1452" t="n"/>
      <c r="CY20" s="1452" t="n"/>
      <c r="CZ20" s="1452" t="n"/>
      <c r="DA20" s="1452" t="n"/>
      <c r="DB20" s="1452" t="n"/>
      <c r="DC20" s="1452" t="n"/>
      <c r="DD20" s="1452" t="n"/>
      <c r="DE20" s="1452" t="n"/>
      <c r="DF20" s="1452" t="n"/>
      <c r="DG20" s="1452" t="n"/>
      <c r="DH20" s="1452" t="n"/>
      <c r="DI20" s="1452" t="n"/>
      <c r="DJ20" s="1452" t="n"/>
      <c r="DK20" s="1452" t="n"/>
      <c r="DL20" s="1452" t="n"/>
      <c r="DM20" s="1452" t="n"/>
      <c r="DN20" s="1452" t="n"/>
      <c r="DO20" s="1452" t="n"/>
      <c r="DP20" s="1452" t="n"/>
      <c r="DQ20" s="1452" t="n"/>
      <c r="DR20" s="1452" t="n"/>
      <c r="DS20" s="1452" t="n"/>
      <c r="DT20" s="1452" t="n"/>
      <c r="DU20" s="1452" t="n"/>
      <c r="DV20" s="1452" t="n"/>
      <c r="DW20" s="1452" t="n"/>
      <c r="DX20" s="1452" t="n"/>
      <c r="DY20" s="1452" t="n"/>
      <c r="DZ20" s="1452" t="n"/>
      <c r="EA20" s="1452" t="n"/>
      <c r="EB20" s="1452" t="n"/>
      <c r="EC20" s="1452" t="n"/>
      <c r="ED20" s="1452" t="n"/>
      <c r="EE20" s="1452" t="n"/>
      <c r="EF20" s="1452" t="n"/>
      <c r="EG20" s="1452" t="n"/>
      <c r="EH20" s="1452" t="n"/>
      <c r="EI20" s="1452" t="n"/>
      <c r="EJ20" s="1452" t="n"/>
      <c r="EK20" s="1452" t="n"/>
      <c r="EL20" s="1452" t="n"/>
      <c r="EM20" s="1452" t="n"/>
      <c r="EN20" s="1452" t="n"/>
      <c r="EO20" s="1452" t="n"/>
      <c r="EP20" s="1452" t="n"/>
      <c r="EQ20" s="1452" t="n"/>
      <c r="ER20" s="1452" t="n"/>
      <c r="ES20" s="1452" t="n"/>
      <c r="ET20" s="1452" t="n"/>
      <c r="EU20" s="1452" t="n"/>
      <c r="EV20" s="1452" t="n"/>
      <c r="EW20" s="1452" t="n"/>
      <c r="EX20" s="1452" t="n"/>
      <c r="EY20" s="1452" t="n"/>
      <c r="EZ20" s="1452" t="n"/>
      <c r="FA20" s="1452" t="n"/>
      <c r="FB20" s="1452" t="n"/>
      <c r="FC20" s="1452" t="n"/>
      <c r="FD20" s="1452" t="n"/>
      <c r="FE20" s="1452" t="n"/>
      <c r="FF20" s="1452" t="n"/>
      <c r="FG20" s="1452" t="n"/>
      <c r="FH20" s="1452" t="n"/>
      <c r="FI20" s="1452" t="n"/>
      <c r="FJ20" s="1452" t="n"/>
      <c r="FK20" s="1452" t="n"/>
      <c r="FL20" s="1452" t="n"/>
      <c r="FM20" s="1452" t="n"/>
      <c r="FN20" s="1452" t="n"/>
      <c r="FO20" s="1452" t="n"/>
      <c r="FP20" s="1452" t="n"/>
      <c r="FQ20" s="1452" t="n"/>
      <c r="FR20" s="1452" t="n"/>
      <c r="FS20" s="1452" t="n"/>
      <c r="FT20" s="1452" t="n"/>
      <c r="FU20" s="1452" t="n"/>
      <c r="FV20" s="1452" t="n"/>
      <c r="FW20" s="1452" t="n"/>
      <c r="FX20" s="1452" t="n"/>
      <c r="FY20" s="1452" t="n"/>
      <c r="FZ20" s="1452" t="n"/>
      <c r="GA20" s="1452" t="n"/>
      <c r="GB20" s="1452" t="n"/>
      <c r="GC20" s="1452" t="n"/>
      <c r="GD20" s="1452" t="n"/>
      <c r="GE20" s="1452" t="n"/>
      <c r="GF20" s="1452" t="n"/>
      <c r="GG20" s="1452" t="n"/>
      <c r="GH20" s="1452" t="n"/>
      <c r="GI20" s="1452" t="n"/>
      <c r="GJ20" s="1452" t="n"/>
      <c r="GK20" s="1452" t="n"/>
      <c r="GL20" s="1452" t="n"/>
      <c r="GM20" s="1452" t="n"/>
      <c r="GN20" s="1452" t="n"/>
      <c r="GO20" s="1452" t="n"/>
      <c r="GP20" s="1452" t="n"/>
      <c r="GQ20" s="1452" t="n"/>
      <c r="GR20" s="1452" t="n"/>
      <c r="GS20" s="1452" t="n"/>
      <c r="GT20" s="1452" t="n"/>
      <c r="GU20" s="1452" t="n"/>
      <c r="GV20" s="1452" t="n"/>
      <c r="GW20" s="1452" t="n"/>
      <c r="GX20" s="1452" t="n"/>
      <c r="GY20" s="1452" t="n"/>
      <c r="GZ20" s="1452" t="n"/>
      <c r="HA20" s="1452" t="n"/>
      <c r="HB20" s="1452" t="n"/>
      <c r="HC20" s="1452" t="n"/>
      <c r="HD20" s="1452" t="n"/>
      <c r="HE20" s="1452" t="n"/>
      <c r="HF20" s="1452" t="n"/>
      <c r="HG20" s="1452" t="n"/>
      <c r="HH20" s="1452" t="n"/>
      <c r="HI20" s="1452" t="n"/>
      <c r="HJ20" s="1452" t="n"/>
      <c r="HK20" s="1452" t="n"/>
      <c r="HL20" s="1452" t="n"/>
      <c r="HM20" s="1452" t="n"/>
      <c r="HN20" s="1452" t="n"/>
      <c r="HO20" s="1452" t="n"/>
      <c r="HP20" s="1452" t="n"/>
      <c r="HQ20" s="1452" t="n"/>
      <c r="HR20" s="1452" t="n"/>
      <c r="HS20" s="1452" t="n"/>
      <c r="HT20" s="1452" t="n"/>
      <c r="HU20" s="1452" t="n"/>
      <c r="HV20" s="1452" t="n"/>
      <c r="HW20" s="1452" t="n"/>
      <c r="HX20" s="1452" t="n"/>
      <c r="HY20" s="1452" t="n"/>
      <c r="HZ20" s="1452" t="n"/>
      <c r="IA20" s="1452" t="n"/>
      <c r="IB20" s="1452" t="n"/>
      <c r="IC20" s="1452" t="n"/>
      <c r="ID20" s="1452" t="n"/>
      <c r="IE20" s="1452" t="n"/>
      <c r="IF20" s="1452" t="n"/>
      <c r="IG20" s="1452" t="n"/>
      <c r="IH20" s="1452" t="n"/>
      <c r="II20" s="1452" t="n"/>
      <c r="IJ20" s="1452" t="n"/>
      <c r="IK20" s="1452" t="n"/>
      <c r="IL20" s="1452" t="n"/>
      <c r="IM20" s="1452" t="n"/>
      <c r="IN20" s="1452" t="n"/>
      <c r="IO20" s="1452" t="n"/>
      <c r="IP20" s="1452" t="n"/>
      <c r="IQ20" s="1452" t="n"/>
      <c r="IR20" s="1452" t="n"/>
      <c r="IS20" s="1452" t="n"/>
      <c r="IT20" s="1452" t="n"/>
      <c r="IU20" s="1452" t="n"/>
      <c r="IV20" s="1452" t="n"/>
      <c r="IW20" s="1452" t="n"/>
      <c r="IX20" s="1452" t="n"/>
      <c r="IY20" s="1452" t="n"/>
      <c r="IZ20" s="1452" t="n"/>
      <c r="JA20" s="1452" t="n"/>
      <c r="JB20" s="1452" t="n"/>
      <c r="JC20" s="1452" t="n"/>
      <c r="JD20" s="1452" t="n"/>
      <c r="JE20" s="1452" t="n"/>
      <c r="JF20" s="1452" t="n"/>
      <c r="JG20" s="1452" t="n"/>
      <c r="JH20" s="1452" t="n"/>
      <c r="JI20" s="1452" t="n"/>
      <c r="JJ20" s="1452" t="n"/>
      <c r="JK20" s="1452" t="n"/>
      <c r="JL20" s="1452" t="n"/>
      <c r="JM20" s="1452" t="n"/>
      <c r="JN20" s="1452" t="n"/>
      <c r="JO20" s="1452" t="n"/>
      <c r="JP20" s="1452" t="n"/>
      <c r="JQ20" s="1452" t="n"/>
      <c r="JR20" s="1452" t="n"/>
      <c r="JS20" s="1452" t="n"/>
      <c r="JT20" s="1452" t="n"/>
      <c r="JU20" s="1452" t="n"/>
      <c r="JV20" s="1452" t="n"/>
      <c r="JW20" s="1452" t="n"/>
      <c r="JX20" s="1452" t="n"/>
      <c r="JY20" s="1452" t="n"/>
      <c r="JZ20" s="1452" t="n"/>
      <c r="KA20" s="1452" t="n"/>
      <c r="KB20" s="1452" t="n"/>
      <c r="KC20" s="1452" t="n"/>
      <c r="KD20" s="1452" t="n"/>
      <c r="KE20" s="1452" t="n"/>
      <c r="KF20" s="1452" t="n"/>
      <c r="KG20" s="1452" t="n"/>
      <c r="KH20" s="1452" t="n"/>
      <c r="KI20" s="1452" t="n"/>
      <c r="KJ20" s="1452" t="n"/>
      <c r="KK20" s="1452" t="n"/>
      <c r="KL20" s="1452" t="n"/>
      <c r="KM20" s="1452" t="n"/>
      <c r="KN20" s="1452" t="n"/>
      <c r="KO20" s="1452" t="n"/>
      <c r="KP20" s="1452" t="n"/>
      <c r="KQ20" s="1452" t="n"/>
      <c r="KR20" s="1452" t="n"/>
      <c r="KS20" s="1452" t="n"/>
      <c r="KT20" s="1452" t="n"/>
      <c r="KU20" s="1452" t="n"/>
      <c r="KV20" s="1452" t="n"/>
      <c r="KW20" s="1452" t="n"/>
      <c r="KX20" s="1452" t="n"/>
      <c r="KY20" s="1452" t="n"/>
      <c r="KZ20" s="1452" t="n"/>
      <c r="LA20" s="1452" t="n"/>
      <c r="LB20" s="1452" t="n"/>
      <c r="LC20" s="1452" t="n"/>
      <c r="LD20" s="1452" t="n"/>
      <c r="LE20" s="1452" t="n"/>
      <c r="LF20" s="1452" t="n"/>
      <c r="LG20" s="1452" t="n"/>
      <c r="LH20" s="1452" t="n"/>
      <c r="LI20" s="1452" t="n"/>
      <c r="LJ20" s="1452" t="n"/>
      <c r="LK20" s="1452" t="n"/>
      <c r="LL20" s="1452" t="n"/>
      <c r="LM20" s="1452" t="n"/>
      <c r="LN20" s="1452" t="n"/>
      <c r="LO20" s="1452" t="n"/>
      <c r="LP20" s="1452" t="n"/>
      <c r="LQ20" s="1452" t="n"/>
      <c r="LR20" s="1452" t="n"/>
      <c r="LS20" s="1452" t="n"/>
      <c r="LT20" s="1452" t="n"/>
      <c r="LU20" s="1452" t="n"/>
      <c r="LV20" s="1452" t="n"/>
      <c r="LW20" s="1452" t="n"/>
      <c r="LX20" s="1452" t="n"/>
      <c r="LY20" s="1452" t="n"/>
      <c r="LZ20" s="1452" t="n"/>
      <c r="MA20" s="1452" t="n"/>
      <c r="MB20" s="1452" t="n"/>
      <c r="MC20" s="1452" t="n"/>
      <c r="MD20" s="1452" t="n"/>
      <c r="ME20" s="1452" t="n"/>
      <c r="MF20" s="1452" t="n"/>
      <c r="MG20" s="1452" t="n"/>
      <c r="MH20" s="1452" t="n"/>
      <c r="MI20" s="1452" t="n"/>
      <c r="MJ20" s="1452" t="n"/>
      <c r="MK20" s="1452" t="n"/>
      <c r="ML20" s="1452" t="n"/>
      <c r="MM20" s="1452" t="n"/>
      <c r="MN20" s="1452" t="n"/>
      <c r="MO20" s="1452" t="n"/>
      <c r="MP20" s="1452" t="n"/>
      <c r="MQ20" s="1452" t="n"/>
      <c r="MR20" s="1452" t="n"/>
      <c r="MS20" s="1452" t="n"/>
      <c r="MT20" s="1452" t="n"/>
      <c r="MU20" s="1452" t="n"/>
      <c r="MV20" s="1452" t="n"/>
      <c r="MW20" s="1452" t="n"/>
      <c r="MX20" s="1452" t="n"/>
      <c r="MY20" s="1452" t="n"/>
      <c r="MZ20" s="1452" t="n"/>
      <c r="NA20" s="1452" t="n"/>
      <c r="NB20" s="1452" t="n"/>
      <c r="NC20" s="1452" t="n"/>
      <c r="ND20" s="1452" t="n"/>
      <c r="NE20" s="1452" t="n"/>
      <c r="NF20" s="1452" t="n"/>
      <c r="NG20" s="1452" t="n"/>
      <c r="NH20" s="1452" t="n"/>
      <c r="NI20" s="1452" t="n"/>
      <c r="NJ20" s="1452" t="n"/>
      <c r="NK20" s="1452" t="n"/>
      <c r="NL20" s="1452" t="n"/>
      <c r="NM20" s="1452" t="n"/>
      <c r="NN20" s="1452" t="n"/>
      <c r="NO20" s="1452" t="n"/>
      <c r="NP20" s="1452" t="n"/>
      <c r="NQ20" s="1452" t="n"/>
      <c r="NR20" s="1452" t="n"/>
      <c r="NS20" s="1452" t="n"/>
      <c r="NT20" s="1452" t="n"/>
      <c r="NU20" s="1452" t="n"/>
      <c r="NV20" s="1452" t="n"/>
      <c r="NW20" s="1452" t="n"/>
      <c r="NX20" s="1452" t="n"/>
      <c r="NY20" s="1452" t="n"/>
      <c r="NZ20" s="1452" t="n"/>
      <c r="OA20" s="1452" t="n"/>
      <c r="OB20" s="1452" t="n"/>
      <c r="OC20" s="1452" t="n"/>
      <c r="OD20" s="1452" t="n"/>
      <c r="OE20" s="1452" t="n"/>
      <c r="OF20" s="1452" t="n"/>
      <c r="OG20" s="1452" t="n"/>
      <c r="OH20" s="1452" t="n"/>
      <c r="OI20" s="1452" t="n"/>
      <c r="OJ20" s="1452" t="n"/>
      <c r="OK20" s="1452" t="n"/>
      <c r="OL20" s="1452" t="n"/>
      <c r="OM20" s="1452" t="n"/>
      <c r="ON20" s="1452" t="n"/>
      <c r="OO20" s="1452" t="n"/>
      <c r="OP20" s="1452" t="n"/>
      <c r="OQ20" s="1452" t="n"/>
      <c r="OR20" s="1452" t="n"/>
      <c r="OS20" s="1452" t="n"/>
      <c r="OT20" s="1452" t="n"/>
      <c r="OU20" s="1452" t="n"/>
      <c r="OV20" s="1452" t="n"/>
      <c r="OW20" s="1452" t="n"/>
      <c r="OX20" s="1452" t="n"/>
      <c r="OY20" s="1452" t="n"/>
      <c r="OZ20" s="1452" t="n"/>
      <c r="PA20" s="1452" t="n"/>
      <c r="PB20" s="1452" t="n"/>
      <c r="PC20" s="1452" t="n"/>
      <c r="PD20" s="1452" t="n"/>
      <c r="PE20" s="1452" t="n"/>
      <c r="PF20" s="1452" t="n"/>
      <c r="PG20" s="1452" t="n"/>
      <c r="PH20" s="1452" t="n"/>
      <c r="PI20" s="1452" t="n"/>
      <c r="PJ20" s="1452" t="n"/>
      <c r="PK20" s="1452" t="n"/>
      <c r="PL20" s="1452" t="n"/>
      <c r="PM20" s="1452" t="n"/>
      <c r="PN20" s="1452" t="n"/>
      <c r="PO20" s="1452" t="n"/>
      <c r="PP20" s="1452" t="n"/>
      <c r="PQ20" s="1452" t="n"/>
      <c r="PR20" s="1452" t="n"/>
      <c r="PS20" s="1452" t="n"/>
      <c r="PT20" s="1452" t="n"/>
      <c r="PU20" s="1452" t="n"/>
      <c r="PV20" s="1452" t="n"/>
      <c r="PW20" s="1452" t="n"/>
      <c r="PX20" s="1452" t="n"/>
      <c r="PY20" s="1452" t="n"/>
      <c r="PZ20" s="1452" t="n"/>
      <c r="QA20" s="1452" t="n"/>
      <c r="QB20" s="1452" t="n"/>
      <c r="QC20" s="1452" t="n"/>
      <c r="QD20" s="1452" t="n"/>
      <c r="QE20" s="1452" t="n"/>
      <c r="QF20" s="1452" t="n"/>
      <c r="QG20" s="1452" t="n"/>
      <c r="QH20" s="1452" t="n"/>
      <c r="QI20" s="1452" t="n"/>
      <c r="QJ20" s="1452" t="n"/>
      <c r="QK20" s="1452" t="n"/>
      <c r="QL20" s="1452" t="n"/>
      <c r="QM20" s="1452" t="n"/>
      <c r="QN20" s="1452" t="n"/>
      <c r="QO20" s="1452" t="n"/>
      <c r="QP20" s="1452" t="n"/>
      <c r="QQ20" s="1452" t="n"/>
      <c r="QR20" s="1452" t="n"/>
      <c r="QS20" s="1452" t="n"/>
      <c r="QT20" s="1452" t="n"/>
      <c r="QU20" s="1452" t="n"/>
      <c r="QV20" s="1452" t="n"/>
      <c r="QW20" s="1452" t="n"/>
      <c r="QX20" s="1452" t="n"/>
      <c r="QY20" s="1452" t="n"/>
      <c r="QZ20" s="1452" t="n"/>
      <c r="RA20" s="1452" t="n"/>
      <c r="RB20" s="1452" t="n"/>
      <c r="RC20" s="1452" t="n"/>
      <c r="RD20" s="1452" t="n"/>
      <c r="RE20" s="1452" t="n"/>
      <c r="RF20" s="1452" t="n"/>
      <c r="RG20" s="1452" t="n"/>
      <c r="RH20" s="1452" t="n"/>
      <c r="RI20" s="1452" t="n"/>
      <c r="RJ20" s="1452" t="n"/>
      <c r="RK20" s="1452" t="n"/>
      <c r="RL20" s="1452" t="n"/>
      <c r="RM20" s="1452" t="n"/>
      <c r="RN20" s="1452" t="n"/>
      <c r="RO20" s="1452" t="n"/>
      <c r="RP20" s="1452" t="n"/>
      <c r="RQ20" s="1452" t="n"/>
      <c r="RR20" s="1452" t="n"/>
      <c r="RS20" s="1452" t="n"/>
      <c r="RT20" s="1452" t="n"/>
      <c r="RU20" s="1452" t="n"/>
      <c r="RV20" s="1452" t="n"/>
      <c r="RW20" s="1452" t="n"/>
      <c r="RX20" s="1452" t="n"/>
      <c r="RY20" s="1452" t="n"/>
      <c r="RZ20" s="1452" t="n"/>
      <c r="SA20" s="1452" t="n"/>
      <c r="SB20" s="1452" t="n"/>
      <c r="SC20" s="1452" t="n"/>
      <c r="SD20" s="1452" t="n"/>
      <c r="SE20" s="1452" t="n"/>
      <c r="SF20" s="1452" t="n"/>
      <c r="SG20" s="1452" t="n"/>
      <c r="SH20" s="1452" t="n"/>
      <c r="SI20" s="1452" t="n"/>
      <c r="SJ20" s="1452" t="n"/>
      <c r="SK20" s="1452" t="n"/>
      <c r="SL20" s="1452" t="n"/>
      <c r="SM20" s="1452" t="n"/>
      <c r="SN20" s="1452" t="n"/>
      <c r="SO20" s="1452" t="n"/>
      <c r="SP20" s="1452" t="n"/>
      <c r="SQ20" s="1452" t="n"/>
      <c r="SR20" s="1452" t="n"/>
      <c r="SS20" s="1452" t="n"/>
      <c r="ST20" s="1452" t="n"/>
      <c r="SU20" s="1452" t="n"/>
      <c r="SV20" s="1452" t="n"/>
      <c r="SW20" s="1452" t="n"/>
      <c r="SX20" s="1452" t="n"/>
      <c r="SY20" s="1452" t="n"/>
      <c r="SZ20" s="1452" t="n"/>
      <c r="TA20" s="1452" t="n"/>
      <c r="TB20" s="1452" t="n"/>
      <c r="TC20" s="1452" t="n"/>
      <c r="TD20" s="1452" t="n"/>
      <c r="TE20" s="1452" t="n"/>
      <c r="TF20" s="1452" t="n"/>
      <c r="TG20" s="1452" t="n"/>
      <c r="TH20" s="1452" t="n"/>
      <c r="TI20" s="1452" t="n"/>
      <c r="TJ20" s="1452" t="n"/>
      <c r="TK20" s="1452" t="n"/>
      <c r="TL20" s="1452" t="n"/>
      <c r="TM20" s="1452" t="n"/>
      <c r="TN20" s="1452" t="n"/>
      <c r="TO20" s="1452" t="n"/>
      <c r="TP20" s="1452" t="n"/>
      <c r="TQ20" s="1452" t="n"/>
      <c r="TR20" s="1452" t="n"/>
      <c r="TS20" s="1452" t="n"/>
      <c r="TT20" s="1452" t="n"/>
      <c r="TU20" s="1452" t="n"/>
      <c r="TV20" s="1452" t="n"/>
      <c r="TW20" s="1452" t="n"/>
      <c r="TX20" s="1452" t="n"/>
      <c r="TY20" s="1452" t="n"/>
      <c r="TZ20" s="1452" t="n"/>
      <c r="UA20" s="1452" t="n"/>
      <c r="UB20" s="1452" t="n"/>
      <c r="UC20" s="1452" t="n"/>
      <c r="UD20" s="1452" t="n"/>
      <c r="UE20" s="1452" t="n"/>
      <c r="UF20" s="1452" t="n"/>
      <c r="UG20" s="1452" t="n"/>
      <c r="UH20" s="1452" t="n"/>
      <c r="UI20" s="1452" t="n"/>
      <c r="UJ20" s="1452" t="n"/>
      <c r="UK20" s="1452" t="n"/>
      <c r="UL20" s="1452" t="n"/>
      <c r="UM20" s="1452" t="n"/>
      <c r="UN20" s="1452" t="n"/>
      <c r="UO20" s="1452" t="n"/>
      <c r="UP20" s="1452" t="n"/>
      <c r="UQ20" s="1452" t="n"/>
      <c r="UR20" s="1452" t="n"/>
      <c r="US20" s="1452" t="n"/>
      <c r="UT20" s="1452" t="n"/>
      <c r="UU20" s="1452" t="n"/>
      <c r="UV20" s="1452" t="n"/>
      <c r="UW20" s="1452" t="n"/>
      <c r="UX20" s="1452" t="n"/>
      <c r="UY20" s="1452" t="n"/>
      <c r="UZ20" s="1452" t="n"/>
      <c r="VA20" s="1452" t="n"/>
      <c r="VB20" s="1452" t="n"/>
      <c r="VC20" s="1452" t="n"/>
      <c r="VD20" s="1452" t="n"/>
      <c r="VE20" s="1452" t="n"/>
      <c r="VF20" s="1452" t="n"/>
      <c r="VG20" s="1452" t="n"/>
      <c r="VH20" s="1452" t="n"/>
      <c r="VI20" s="1452" t="n"/>
      <c r="VJ20" s="1452" t="n"/>
      <c r="VK20" s="1452" t="n"/>
      <c r="VL20" s="1452" t="n"/>
      <c r="VM20" s="1452" t="n"/>
      <c r="VN20" s="1452" t="n"/>
      <c r="VO20" s="1452" t="n"/>
      <c r="VP20" s="1452" t="n"/>
      <c r="VQ20" s="1452" t="n"/>
      <c r="VR20" s="1452" t="n"/>
      <c r="VS20" s="1452" t="n"/>
      <c r="VT20" s="1452" t="n"/>
      <c r="VU20" s="1452" t="n"/>
      <c r="VV20" s="1452" t="n"/>
      <c r="VW20" s="1452" t="n"/>
      <c r="VX20" s="1452" t="n"/>
      <c r="VY20" s="1452" t="n"/>
      <c r="VZ20" s="1452" t="n"/>
      <c r="WA20" s="1452" t="n"/>
      <c r="WB20" s="1452" t="n"/>
      <c r="WC20" s="1452" t="n"/>
      <c r="WD20" s="1452" t="n"/>
      <c r="WE20" s="1452" t="n"/>
      <c r="WF20" s="1452" t="n"/>
      <c r="WG20" s="1452" t="n"/>
      <c r="WH20" s="1452" t="n"/>
      <c r="WI20" s="1452" t="n"/>
      <c r="WJ20" s="1452" t="n"/>
      <c r="WK20" s="1452" t="n"/>
      <c r="WL20" s="1452" t="n"/>
      <c r="WM20" s="1452" t="n"/>
      <c r="WN20" s="1452" t="n"/>
      <c r="WO20" s="1452" t="n"/>
      <c r="WP20" s="1452" t="n"/>
      <c r="WQ20" s="1452" t="n"/>
      <c r="WR20" s="1452" t="n"/>
      <c r="WS20" s="1452" t="n"/>
      <c r="WT20" s="1452" t="n"/>
      <c r="WU20" s="1452" t="n"/>
      <c r="WV20" s="1452" t="n"/>
      <c r="WW20" s="1452" t="n"/>
      <c r="WX20" s="1452" t="n"/>
      <c r="WY20" s="1452" t="n"/>
      <c r="WZ20" s="1452" t="n"/>
      <c r="XA20" s="1452" t="n"/>
      <c r="XB20" s="1452" t="n"/>
      <c r="XC20" s="1452" t="n"/>
      <c r="XD20" s="1452" t="n"/>
      <c r="XE20" s="1452" t="n"/>
      <c r="XF20" s="1452" t="n"/>
      <c r="XG20" s="1452" t="n"/>
      <c r="XH20" s="1452" t="n"/>
      <c r="XI20" s="1452" t="n"/>
      <c r="XJ20" s="1452" t="n"/>
      <c r="XK20" s="1452" t="n"/>
      <c r="XL20" s="1452" t="n"/>
      <c r="XM20" s="1452" t="n"/>
      <c r="XN20" s="1452" t="n"/>
      <c r="XO20" s="1452" t="n"/>
      <c r="XP20" s="1452" t="n"/>
      <c r="XQ20" s="1452" t="n"/>
      <c r="XR20" s="1452" t="n"/>
      <c r="XS20" s="1452" t="n"/>
      <c r="XT20" s="1452" t="n"/>
      <c r="XU20" s="1452" t="n"/>
      <c r="XV20" s="1452" t="n"/>
      <c r="XW20" s="1452" t="n"/>
      <c r="XX20" s="1452" t="n"/>
      <c r="XY20" s="1452" t="n"/>
      <c r="XZ20" s="1452" t="n"/>
      <c r="YA20" s="1452" t="n"/>
      <c r="YB20" s="1452" t="n"/>
      <c r="YC20" s="1452" t="n"/>
      <c r="YD20" s="1452" t="n"/>
      <c r="YE20" s="1452" t="n"/>
      <c r="YF20" s="1452" t="n"/>
      <c r="YG20" s="1452" t="n"/>
      <c r="YH20" s="1452" t="n"/>
      <c r="YI20" s="1452" t="n"/>
      <c r="YJ20" s="1452" t="n"/>
      <c r="YK20" s="1452" t="n"/>
      <c r="YL20" s="1452" t="n"/>
      <c r="YM20" s="1452" t="n"/>
      <c r="YN20" s="1452" t="n"/>
      <c r="YO20" s="1452" t="n"/>
      <c r="YP20" s="1452" t="n"/>
      <c r="YQ20" s="1452" t="n"/>
      <c r="YR20" s="1452" t="n"/>
      <c r="YS20" s="1452" t="n"/>
      <c r="YT20" s="1452" t="n"/>
      <c r="YU20" s="1452" t="n"/>
      <c r="YV20" s="1452" t="n"/>
      <c r="YW20" s="1452" t="n"/>
      <c r="YX20" s="1452" t="n"/>
      <c r="YY20" s="1452" t="n"/>
      <c r="YZ20" s="1452" t="n"/>
      <c r="ZA20" s="1452" t="n"/>
      <c r="ZB20" s="1452" t="n"/>
      <c r="ZC20" s="1452" t="n"/>
      <c r="ZD20" s="1452" t="n"/>
      <c r="ZE20" s="1452" t="n"/>
      <c r="ZF20" s="1453" t="n"/>
    </row>
    <row r="21" customFormat="1" s="1454">
      <c r="A21" s="1447" t="n"/>
      <c r="B21" s="1455" t="n"/>
      <c r="C21" s="412" t="inlineStr">
        <is>
          <t xml:space="preserve">Time Deposit </t>
        </is>
      </c>
      <c r="D21" s="1456" t="n">
        <v>0</v>
      </c>
      <c r="E21" s="1456" t="n">
        <v>0</v>
      </c>
      <c r="F21" s="1456" t="n"/>
      <c r="G21" s="1456" t="n"/>
      <c r="H21" s="1456" t="n"/>
      <c r="I21" s="1456" t="n"/>
      <c r="J21" s="1456" t="n"/>
      <c r="K21" s="1456">
        <f>3.276*K8/K7</f>
        <v/>
      </c>
      <c r="L21" s="1456">
        <f>3.276*L8/L7</f>
        <v/>
      </c>
      <c r="M21" s="1456">
        <f>2.93*M8/M7</f>
        <v/>
      </c>
      <c r="N21" s="1456">
        <f>2.93*N8/N7</f>
        <v/>
      </c>
      <c r="O21" s="1456">
        <f>2.93*O8/O7</f>
        <v/>
      </c>
      <c r="P21" s="1456">
        <f>2.93*P8/P7</f>
        <v/>
      </c>
      <c r="Q21" s="1456">
        <f>2.93*Q8/Q7</f>
        <v/>
      </c>
      <c r="R21" s="1456" t="n">
        <v>0</v>
      </c>
      <c r="S21" s="1456" t="n">
        <v>0</v>
      </c>
      <c r="T21" s="1456" t="n">
        <v>0</v>
      </c>
      <c r="U21" s="1456" t="n">
        <v>0</v>
      </c>
      <c r="V21" s="1456" t="n">
        <v>0</v>
      </c>
      <c r="W21" s="1456" t="n">
        <v>0</v>
      </c>
      <c r="X21" s="1456" t="n">
        <v>0</v>
      </c>
      <c r="Y21" s="1456" t="n">
        <v>0</v>
      </c>
      <c r="Z21" s="1456" t="n">
        <v>0</v>
      </c>
      <c r="AA21" s="1456" t="n">
        <v>0</v>
      </c>
      <c r="AB21" s="1456" t="n">
        <v>0</v>
      </c>
      <c r="AC21" s="1456" t="n">
        <v>0</v>
      </c>
      <c r="AD21" s="1456" t="n">
        <v>0</v>
      </c>
      <c r="AE21" s="1456" t="n">
        <v>0</v>
      </c>
      <c r="AF21" s="1456" t="n">
        <v>0</v>
      </c>
      <c r="AG21" s="1456" t="n">
        <v>0</v>
      </c>
      <c r="AH21" s="1456" t="n">
        <v>0</v>
      </c>
      <c r="AI21" s="1456" t="n">
        <v>0</v>
      </c>
      <c r="AJ21" s="1456" t="n">
        <v>0</v>
      </c>
      <c r="AK21" s="1456" t="n">
        <v>0</v>
      </c>
      <c r="AL21" s="1456" t="n">
        <v>0</v>
      </c>
      <c r="AM21" s="1456" t="n">
        <v>0</v>
      </c>
      <c r="AN21" s="1456" t="n">
        <v>0</v>
      </c>
      <c r="AO21" s="1456" t="n">
        <v>0</v>
      </c>
      <c r="AP21" s="1456" t="n">
        <v>0</v>
      </c>
      <c r="AQ21" s="1456" t="n">
        <v>0</v>
      </c>
      <c r="AR21" s="1456" t="n">
        <v>0</v>
      </c>
      <c r="AS21" s="1456" t="n">
        <v>0</v>
      </c>
      <c r="AT21" s="1456" t="n">
        <v>0</v>
      </c>
      <c r="AU21" s="1456" t="n">
        <v>0</v>
      </c>
      <c r="AV21" s="1456" t="n">
        <v>1.855</v>
      </c>
      <c r="AW21" s="1456" t="n">
        <v>1.855</v>
      </c>
      <c r="AX21" s="1456" t="n">
        <v>1.855</v>
      </c>
      <c r="AY21" s="1456" t="n">
        <v>3.155</v>
      </c>
      <c r="AZ21" s="1456" t="n">
        <v>3.298474919290609</v>
      </c>
      <c r="BA21" s="1456" t="n">
        <v>3.254626528106817</v>
      </c>
      <c r="BB21" s="1456" t="n">
        <v>3.272960981645376</v>
      </c>
      <c r="BC21" s="1456" t="n">
        <v>3.295096879583525</v>
      </c>
      <c r="BD21" s="1456" t="n">
        <v>3.306346368952384</v>
      </c>
      <c r="BE21" s="1456" t="n">
        <v>3.283049223516139</v>
      </c>
      <c r="BF21" s="1456" t="n">
        <v>3.262643395226725</v>
      </c>
      <c r="BG21" s="1456" t="n">
        <v>3.272964187484002</v>
      </c>
      <c r="BH21" s="1456" t="n">
        <v>3.260306965191596</v>
      </c>
      <c r="BI21" s="1456" t="n">
        <v>3.245862403995766</v>
      </c>
      <c r="BJ21" s="1456" t="n">
        <v>3.276507884833883</v>
      </c>
      <c r="BK21" s="1456" t="n">
        <v>3.29907837609502</v>
      </c>
      <c r="BL21" s="1456" t="n">
        <v>3.235978208328381</v>
      </c>
      <c r="BM21" s="1456" t="n">
        <v>3.213012722600878</v>
      </c>
      <c r="BN21" s="1456" t="n">
        <v>3.267377048246963</v>
      </c>
      <c r="BO21" s="1456" t="n">
        <v>3.325639001218027</v>
      </c>
      <c r="BP21" s="1456" t="n">
        <v>3.356277573633241</v>
      </c>
      <c r="BQ21" s="1456" t="n">
        <v>3.356277573633241</v>
      </c>
      <c r="BR21" s="1456" t="n">
        <v>3.342023155857046</v>
      </c>
      <c r="BS21" s="1456" t="n">
        <v>3.349334531000429</v>
      </c>
      <c r="BT21" s="1456" t="n">
        <v>3.355135375367147</v>
      </c>
      <c r="BU21" s="1456" t="n">
        <v>3.329060680535844</v>
      </c>
      <c r="BV21" s="1456" t="n">
        <v>3.27411530566133</v>
      </c>
      <c r="BW21" s="1456" t="n">
        <v>3.291863069689954</v>
      </c>
      <c r="BX21" s="1456" t="n">
        <v>3.270822010547028</v>
      </c>
      <c r="BY21" s="1456" t="n">
        <v>3.300749504938274</v>
      </c>
      <c r="BZ21" s="1456" t="n">
        <v>3.302581974873916</v>
      </c>
      <c r="CA21" s="1456" t="n">
        <v>3.313505184789821</v>
      </c>
      <c r="CB21" s="1456" t="n">
        <v>3.31350518478982</v>
      </c>
      <c r="CC21" s="1456" t="n">
        <v>3.310556900771771</v>
      </c>
      <c r="CD21" s="1456" t="n">
        <v>3.311237092908555</v>
      </c>
      <c r="CE21" s="1456" t="n">
        <v>3.314003093840241</v>
      </c>
      <c r="CF21" s="1456" t="n">
        <v>3.328843984980149</v>
      </c>
      <c r="CG21" s="1456" t="n">
        <v>3.321513546268423</v>
      </c>
      <c r="CH21" s="1456" t="n">
        <v>3.282864728834959</v>
      </c>
      <c r="CI21" s="1456" t="n">
        <v>4.28286472883496</v>
      </c>
      <c r="CJ21" s="1456" t="n">
        <v>1.349507132509649</v>
      </c>
      <c r="CK21" s="1456" t="n">
        <v>1.336659272146815</v>
      </c>
      <c r="CL21" s="1456" t="n">
        <v>1.329239719603885</v>
      </c>
      <c r="CM21" s="1456" t="n">
        <v>1.320427697896986</v>
      </c>
      <c r="CN21" s="1456" t="n">
        <v>1.316624936343575</v>
      </c>
      <c r="CO21" s="1456" t="n">
        <v>0</v>
      </c>
      <c r="CP21" s="1457">
        <f>$D70*CP8/CP7</f>
        <v/>
      </c>
      <c r="CQ21" s="1457" t="n">
        <v>0</v>
      </c>
      <c r="CR21" s="1457" t="n">
        <v>0</v>
      </c>
      <c r="CS21" s="1457" t="n">
        <v>0</v>
      </c>
      <c r="CT21" s="1457" t="n">
        <v>0</v>
      </c>
      <c r="CU21" s="1457" t="n">
        <v>0</v>
      </c>
      <c r="CV21" s="1457" t="n">
        <v>0</v>
      </c>
      <c r="CW21" s="1457" t="n">
        <v>0</v>
      </c>
      <c r="CX21" s="1457" t="n">
        <v>0</v>
      </c>
      <c r="CY21" s="1457">
        <f>$D65*CY8/CY7</f>
        <v/>
      </c>
      <c r="CZ21" s="1457">
        <f>$D65*CZ8/CZ7</f>
        <v/>
      </c>
      <c r="DA21" s="1457">
        <f>$D64*DA8/DA7</f>
        <v/>
      </c>
      <c r="DB21" s="1457">
        <f>$D66*DB8/DB7</f>
        <v/>
      </c>
      <c r="DC21" s="1457" t="n">
        <v>0</v>
      </c>
      <c r="DD21" s="1457" t="n">
        <v>0</v>
      </c>
      <c r="DE21" s="1457" t="n">
        <v>0</v>
      </c>
      <c r="DF21" s="1457" t="n">
        <v>0</v>
      </c>
      <c r="DG21" s="1457" t="n">
        <v>0</v>
      </c>
      <c r="DH21" s="1457" t="n">
        <v>0</v>
      </c>
      <c r="DI21" s="1457" t="n">
        <v>0</v>
      </c>
      <c r="DJ21" s="1457" t="n">
        <v>0</v>
      </c>
      <c r="DK21" s="1457" t="n">
        <v>0</v>
      </c>
      <c r="DL21" s="1457" t="n">
        <v>0</v>
      </c>
      <c r="DM21" s="1457" t="n">
        <v>0</v>
      </c>
      <c r="DN21" s="1457" t="n">
        <v>0</v>
      </c>
      <c r="DO21" s="1457" t="n">
        <v>0</v>
      </c>
      <c r="DP21" s="1457" t="n">
        <v>0</v>
      </c>
      <c r="DQ21" s="1457" t="n">
        <v>0</v>
      </c>
      <c r="DR21" s="1457" t="n">
        <v>0</v>
      </c>
      <c r="DS21" s="1457" t="n">
        <v>0</v>
      </c>
      <c r="DT21" s="1457" t="n">
        <v>0</v>
      </c>
      <c r="DU21" s="1457" t="n">
        <v>0</v>
      </c>
      <c r="DV21" s="1457" t="n">
        <v>0</v>
      </c>
      <c r="DW21" s="1457" t="n">
        <v>0</v>
      </c>
      <c r="DX21" s="1457" t="n">
        <v>0</v>
      </c>
      <c r="DY21" s="1457" t="n">
        <v>0</v>
      </c>
      <c r="DZ21" s="1457">
        <f>$D66*DZ8/DZ7</f>
        <v/>
      </c>
      <c r="EA21" s="1457" t="n">
        <v>0</v>
      </c>
      <c r="EB21" s="1457" t="n">
        <v>0</v>
      </c>
      <c r="EC21" s="1457" t="n">
        <v>0</v>
      </c>
      <c r="ED21" s="1457" t="n">
        <v>0</v>
      </c>
      <c r="EE21" s="1457" t="n">
        <v>0</v>
      </c>
      <c r="EF21" s="1457" t="n">
        <v>0</v>
      </c>
      <c r="EG21" s="1457" t="n">
        <v>0</v>
      </c>
      <c r="EH21" s="1457" t="n">
        <v>0</v>
      </c>
      <c r="EI21" s="1457" t="n">
        <v>0</v>
      </c>
      <c r="EJ21" s="1457" t="n">
        <v>0</v>
      </c>
      <c r="EK21" s="1457" t="n">
        <v>0</v>
      </c>
      <c r="EL21" s="1457" t="n">
        <v>0</v>
      </c>
      <c r="EM21" s="1457" t="n">
        <v>0</v>
      </c>
      <c r="EN21" s="1457">
        <f>$D67*EN8/EN7</f>
        <v/>
      </c>
      <c r="EO21" s="1457" t="n">
        <v>0</v>
      </c>
      <c r="EP21" s="1457">
        <f>$D69*EP8/EP7</f>
        <v/>
      </c>
      <c r="EQ21" s="1457" t="n">
        <v>0</v>
      </c>
      <c r="ER21" s="1457" t="n">
        <v>0</v>
      </c>
      <c r="ES21" s="1457" t="n">
        <v>0</v>
      </c>
      <c r="ET21" s="1457" t="n">
        <v>0</v>
      </c>
      <c r="EU21" s="1457" t="n">
        <v>0</v>
      </c>
      <c r="EV21" s="1457" t="n">
        <v>0</v>
      </c>
      <c r="EW21" s="1457" t="n">
        <v>0</v>
      </c>
      <c r="EX21" s="1457">
        <f>$D65*EX8/EX7</f>
        <v/>
      </c>
      <c r="EY21" s="1457">
        <f>$D65*EY8/EY7</f>
        <v/>
      </c>
      <c r="EZ21" s="1457">
        <f>$D65*EZ8/EZ7</f>
        <v/>
      </c>
      <c r="FA21" s="1457" t="n">
        <v>0</v>
      </c>
      <c r="FB21" s="1457" t="n">
        <v>0</v>
      </c>
      <c r="FC21" s="1457" t="n">
        <v>0</v>
      </c>
      <c r="FD21" s="1457" t="n">
        <v>0</v>
      </c>
      <c r="FE21" s="1457" t="n">
        <v>0</v>
      </c>
      <c r="FF21" s="1457" t="n">
        <v>0</v>
      </c>
      <c r="FG21" s="1457" t="n">
        <v>0</v>
      </c>
      <c r="FH21" s="1457">
        <f>$D68*FH8/FH7</f>
        <v/>
      </c>
      <c r="FI21" s="1457" t="n">
        <v>0</v>
      </c>
      <c r="FJ21" s="1457" t="n">
        <v>0</v>
      </c>
      <c r="FK21" s="1457" t="n">
        <v>0</v>
      </c>
      <c r="FL21" s="1457" t="n">
        <v>0</v>
      </c>
      <c r="FM21" s="1457" t="n">
        <v>0</v>
      </c>
      <c r="FN21" s="1457" t="n">
        <v>0</v>
      </c>
      <c r="FO21" s="1457" t="n">
        <v>0</v>
      </c>
      <c r="FP21" s="1457">
        <f>$D65*FP8/FP7</f>
        <v/>
      </c>
      <c r="FQ21" s="1457" t="n">
        <v>0</v>
      </c>
      <c r="FR21" s="1457" t="n">
        <v>0</v>
      </c>
      <c r="FS21" s="1457">
        <f>$D64*FS8/FS7</f>
        <v/>
      </c>
      <c r="FT21" s="1457">
        <f>$D65*FT8/FT7</f>
        <v/>
      </c>
      <c r="FU21" s="1457" t="n">
        <v>0</v>
      </c>
      <c r="FV21" s="1457" t="n">
        <v>0</v>
      </c>
      <c r="FW21" s="1457" t="n">
        <v>0</v>
      </c>
      <c r="FX21" s="1457" t="n">
        <v>0</v>
      </c>
      <c r="FY21" s="1457" t="n">
        <v>0</v>
      </c>
      <c r="FZ21" s="1457" t="n">
        <v>0</v>
      </c>
      <c r="GA21" s="1457" t="n">
        <v>0</v>
      </c>
      <c r="GB21" s="1457" t="n">
        <v>0</v>
      </c>
      <c r="GC21" s="1457" t="n">
        <v>0</v>
      </c>
      <c r="GD21" s="1457">
        <f>$D67*GD8/GD7</f>
        <v/>
      </c>
      <c r="GE21" s="1457" t="n">
        <v>0</v>
      </c>
      <c r="GF21" s="1457">
        <f>$D67*GF8/GF7</f>
        <v/>
      </c>
      <c r="GG21" s="1457">
        <f>$D67*GG8/GG7</f>
        <v/>
      </c>
      <c r="GH21" s="1457">
        <f>$D67*GH8/GH7</f>
        <v/>
      </c>
      <c r="GI21" s="1457" t="n">
        <v>0</v>
      </c>
      <c r="GJ21" s="1457" t="n">
        <v>0</v>
      </c>
      <c r="GK21" s="1457">
        <f>$D68*GK8/GK7</f>
        <v/>
      </c>
      <c r="GL21" s="1457" t="n">
        <v>0</v>
      </c>
      <c r="GM21" s="1457" t="n">
        <v>0</v>
      </c>
      <c r="GN21" s="1457">
        <f>$D68*GN8/GN7</f>
        <v/>
      </c>
      <c r="GO21" s="1457">
        <f>$D68*GO8/GO7</f>
        <v/>
      </c>
      <c r="GP21" s="1457">
        <f>$D68*GP8/GP7</f>
        <v/>
      </c>
      <c r="GQ21" s="1457">
        <f>$D68*GQ8/GQ7</f>
        <v/>
      </c>
      <c r="GR21" s="1457" t="n">
        <v>0</v>
      </c>
      <c r="GS21" s="1457">
        <f>$D68*GS8/GS7</f>
        <v/>
      </c>
      <c r="GT21" s="1457" t="n">
        <v>0</v>
      </c>
      <c r="GU21" s="1457">
        <f>$D68*GU8/GU7</f>
        <v/>
      </c>
      <c r="GV21" s="1457">
        <f>$D68*GV8/GV7</f>
        <v/>
      </c>
      <c r="GW21" s="1457">
        <f>$D68*GW8/GW7</f>
        <v/>
      </c>
      <c r="GX21" s="1457">
        <f>$D68*GX8/GX7</f>
        <v/>
      </c>
      <c r="GY21" s="1457">
        <f>$D68*GY8/GY7</f>
        <v/>
      </c>
      <c r="GZ21" s="1457">
        <f>$D68*GZ8/GZ7</f>
        <v/>
      </c>
      <c r="HA21" s="1457">
        <f>$D68*HA8/HA7</f>
        <v/>
      </c>
      <c r="HB21" s="1457">
        <f>$D68*HB8/HB7</f>
        <v/>
      </c>
      <c r="HC21" s="1457">
        <f>$D68*HC8/HC7</f>
        <v/>
      </c>
      <c r="HD21" s="1457">
        <f>$D68*HD8/HD7</f>
        <v/>
      </c>
      <c r="HE21" s="1457" t="n">
        <v>0</v>
      </c>
      <c r="HF21" s="1457" t="n">
        <v>0</v>
      </c>
      <c r="HG21" s="1457" t="n">
        <v>0</v>
      </c>
      <c r="HH21" s="1457" t="n">
        <v>0</v>
      </c>
      <c r="HI21" s="1457" t="n">
        <v>0</v>
      </c>
      <c r="HJ21" s="1457" t="n">
        <v>0</v>
      </c>
      <c r="HK21" s="1457" t="n">
        <v>0</v>
      </c>
      <c r="HL21" s="1457" t="n">
        <v>0</v>
      </c>
      <c r="HM21" s="1457" t="n">
        <v>0</v>
      </c>
      <c r="HN21" s="1457" t="n">
        <v>0</v>
      </c>
      <c r="HO21" s="1457" t="n">
        <v>0</v>
      </c>
      <c r="HP21" s="1457" t="n">
        <v>0</v>
      </c>
      <c r="HQ21" s="1457" t="n">
        <v>0</v>
      </c>
      <c r="HR21" s="1457" t="n">
        <v>0</v>
      </c>
      <c r="HS21" s="1457" t="n">
        <v>0</v>
      </c>
      <c r="HT21" s="1457" t="n">
        <v>0</v>
      </c>
      <c r="HU21" s="1457" t="n">
        <v>0</v>
      </c>
      <c r="HV21" s="1457" t="n">
        <v>0</v>
      </c>
      <c r="HW21" s="1457" t="n">
        <v>0</v>
      </c>
      <c r="HX21" s="1457" t="n">
        <v>0</v>
      </c>
      <c r="HY21" s="1457" t="n">
        <v>0</v>
      </c>
      <c r="HZ21" s="1457" t="n">
        <v>0</v>
      </c>
      <c r="IA21" s="1457" t="n">
        <v>0</v>
      </c>
      <c r="IB21" s="1457" t="n">
        <v>0</v>
      </c>
      <c r="IC21" s="1457" t="n">
        <v>0</v>
      </c>
      <c r="ID21" s="1457" t="n">
        <v>0</v>
      </c>
      <c r="IE21" s="1457" t="n">
        <v>0</v>
      </c>
      <c r="IF21" s="1457" t="n">
        <v>0</v>
      </c>
      <c r="IG21" s="1457" t="n">
        <v>0</v>
      </c>
      <c r="IH21" s="1457" t="n">
        <v>0</v>
      </c>
      <c r="II21" s="1457" t="n">
        <v>0</v>
      </c>
      <c r="IJ21" s="1457" t="n">
        <v>0</v>
      </c>
      <c r="IK21" s="1457" t="n">
        <v>0</v>
      </c>
      <c r="IL21" s="1457" t="n">
        <v>0</v>
      </c>
      <c r="IM21" s="1457" t="n">
        <v>0</v>
      </c>
      <c r="IN21" s="1457" t="n">
        <v>0</v>
      </c>
      <c r="IO21" s="1457" t="n">
        <v>0</v>
      </c>
      <c r="IP21" s="1457" t="n">
        <v>0</v>
      </c>
      <c r="IQ21" s="1457" t="n">
        <v>0</v>
      </c>
      <c r="IR21" s="1457" t="n">
        <v>0</v>
      </c>
      <c r="IS21" s="1457" t="n">
        <v>0</v>
      </c>
      <c r="IT21" s="1457" t="n">
        <v>0</v>
      </c>
      <c r="IU21" s="1457" t="n">
        <v>0</v>
      </c>
      <c r="IV21" s="1457" t="n">
        <v>0</v>
      </c>
      <c r="IW21" s="1457" t="n">
        <v>0</v>
      </c>
      <c r="IX21" s="1457" t="n">
        <v>0</v>
      </c>
      <c r="IY21" s="1457" t="n">
        <v>0</v>
      </c>
      <c r="IZ21" s="1457" t="n">
        <v>0</v>
      </c>
      <c r="JA21" s="1457" t="n">
        <v>0</v>
      </c>
      <c r="JB21" s="1457" t="n">
        <v>0</v>
      </c>
      <c r="JC21" s="1457" t="n">
        <v>0</v>
      </c>
      <c r="JD21" s="1457" t="n">
        <v>0</v>
      </c>
      <c r="JE21" s="1457" t="n">
        <v>0</v>
      </c>
      <c r="JF21" s="1457" t="n">
        <v>0</v>
      </c>
      <c r="JG21" s="1457" t="n">
        <v>0</v>
      </c>
      <c r="JH21" s="1457" t="n">
        <v>0</v>
      </c>
      <c r="JI21" s="1457" t="n">
        <v>0</v>
      </c>
      <c r="JJ21" s="1457" t="n">
        <v>0</v>
      </c>
      <c r="JK21" s="1457" t="n">
        <v>0</v>
      </c>
      <c r="JL21" s="1457" t="n">
        <v>0</v>
      </c>
      <c r="JM21" s="1457" t="n">
        <v>0</v>
      </c>
      <c r="JN21" s="1457" t="n">
        <v>0</v>
      </c>
      <c r="JO21" s="1457" t="n">
        <v>0</v>
      </c>
      <c r="JP21" s="1457" t="n">
        <v>0</v>
      </c>
      <c r="JQ21" s="1457" t="n">
        <v>0</v>
      </c>
      <c r="JR21" s="1457" t="n">
        <v>0</v>
      </c>
      <c r="JS21" s="1457" t="n">
        <v>0</v>
      </c>
      <c r="JT21" s="1457" t="n">
        <v>0</v>
      </c>
      <c r="JU21" s="1457" t="n">
        <v>0</v>
      </c>
      <c r="JV21" s="1457" t="n">
        <v>0</v>
      </c>
      <c r="JW21" s="1457" t="n">
        <v>0</v>
      </c>
      <c r="JX21" s="1457" t="n">
        <v>0</v>
      </c>
      <c r="JY21" s="1457" t="n">
        <v>0</v>
      </c>
      <c r="JZ21" s="1457" t="n">
        <v>0</v>
      </c>
      <c r="KA21" s="1457" t="n">
        <v>0</v>
      </c>
      <c r="KB21" s="1457" t="n">
        <v>0</v>
      </c>
      <c r="KC21" s="1457" t="n">
        <v>0</v>
      </c>
      <c r="KD21" s="1457" t="n">
        <v>0</v>
      </c>
      <c r="KE21" s="1457" t="n">
        <v>0</v>
      </c>
      <c r="KF21" s="1457" t="n">
        <v>0</v>
      </c>
      <c r="KG21" s="1457" t="n">
        <v>0</v>
      </c>
      <c r="KH21" s="1457" t="n">
        <v>0</v>
      </c>
      <c r="KI21" s="1457" t="n">
        <v>0</v>
      </c>
      <c r="KJ21" s="1457" t="n">
        <v>0</v>
      </c>
      <c r="KK21" s="1457" t="n">
        <v>0</v>
      </c>
      <c r="KL21" s="1457" t="n">
        <v>0</v>
      </c>
      <c r="KM21" s="1457" t="n">
        <v>0</v>
      </c>
      <c r="KN21" s="1457" t="n">
        <v>0</v>
      </c>
      <c r="KO21" s="1457" t="n">
        <v>0</v>
      </c>
      <c r="KP21" s="1457" t="n">
        <v>0</v>
      </c>
      <c r="KQ21" s="1457" t="n">
        <v>0</v>
      </c>
      <c r="KR21" s="1457" t="n">
        <v>0</v>
      </c>
      <c r="KS21" s="1457" t="n">
        <v>0</v>
      </c>
      <c r="KT21" s="1457" t="n">
        <v>0</v>
      </c>
      <c r="KU21" s="1457" t="n">
        <v>0</v>
      </c>
      <c r="KV21" s="1457" t="n">
        <v>0</v>
      </c>
      <c r="KW21" s="1457" t="n">
        <v>0</v>
      </c>
      <c r="KX21" s="1457" t="n">
        <v>0</v>
      </c>
      <c r="KY21" s="1457" t="n">
        <v>0</v>
      </c>
      <c r="KZ21" s="1457" t="n">
        <v>0</v>
      </c>
      <c r="LA21" s="1457" t="n">
        <v>0</v>
      </c>
      <c r="LB21" s="1457" t="n">
        <v>0</v>
      </c>
      <c r="LC21" s="1457" t="n">
        <v>0</v>
      </c>
      <c r="LD21" s="1457" t="n">
        <v>0</v>
      </c>
      <c r="LE21" s="1457" t="n">
        <v>0</v>
      </c>
      <c r="LF21" s="1457" t="n">
        <v>0</v>
      </c>
      <c r="LG21" s="1457" t="n">
        <v>0</v>
      </c>
      <c r="LH21" s="1457" t="n">
        <v>0</v>
      </c>
      <c r="LI21" s="1457" t="n">
        <v>0</v>
      </c>
      <c r="LJ21" s="1457" t="n">
        <v>0</v>
      </c>
      <c r="LK21" s="1457" t="n">
        <v>0</v>
      </c>
      <c r="LL21" s="1457" t="n">
        <v>0</v>
      </c>
      <c r="LM21" s="1457" t="n">
        <v>0</v>
      </c>
      <c r="LN21" s="1457" t="n">
        <v>0</v>
      </c>
      <c r="LO21" s="1457" t="n">
        <v>0</v>
      </c>
      <c r="LP21" s="1457" t="n">
        <v>0</v>
      </c>
      <c r="LQ21" s="1457" t="n">
        <v>0</v>
      </c>
      <c r="LR21" s="1457" t="n">
        <v>0</v>
      </c>
      <c r="LS21" s="1457" t="n">
        <v>0</v>
      </c>
      <c r="LT21" s="1457" t="n">
        <v>0</v>
      </c>
      <c r="LU21" s="1457" t="n">
        <v>0</v>
      </c>
      <c r="LV21" s="1457" t="n">
        <v>0</v>
      </c>
      <c r="LW21" s="1457" t="n">
        <v>0</v>
      </c>
      <c r="LX21" s="1457" t="n">
        <v>0</v>
      </c>
      <c r="LY21" s="1457" t="n">
        <v>0</v>
      </c>
      <c r="LZ21" s="1457" t="n">
        <v>0</v>
      </c>
      <c r="MA21" s="1457" t="n">
        <v>0</v>
      </c>
      <c r="MB21" s="1457" t="n">
        <v>0</v>
      </c>
      <c r="MC21" s="1457" t="n">
        <v>0</v>
      </c>
      <c r="MD21" s="1457" t="n">
        <v>0</v>
      </c>
      <c r="ME21" s="1457" t="n">
        <v>0</v>
      </c>
      <c r="MF21" s="1457" t="n">
        <v>0</v>
      </c>
      <c r="MG21" s="1457" t="n">
        <v>0</v>
      </c>
      <c r="MH21" s="1457" t="n">
        <v>0</v>
      </c>
      <c r="MI21" s="1457" t="n">
        <v>0</v>
      </c>
      <c r="MJ21" s="1457" t="n">
        <v>0</v>
      </c>
      <c r="MK21" s="1457" t="n">
        <v>0</v>
      </c>
      <c r="ML21" s="1457" t="n">
        <v>0</v>
      </c>
      <c r="MM21" s="1457" t="n">
        <v>0</v>
      </c>
      <c r="MN21" s="1457" t="n">
        <v>0</v>
      </c>
      <c r="MO21" s="1457" t="n">
        <v>0</v>
      </c>
      <c r="MP21" s="1457" t="n">
        <v>0</v>
      </c>
      <c r="MQ21" s="1457" t="n">
        <v>0</v>
      </c>
      <c r="MR21" s="1457" t="n">
        <v>0</v>
      </c>
      <c r="MS21" s="1457" t="n">
        <v>0</v>
      </c>
      <c r="MT21" s="1457" t="n">
        <v>0</v>
      </c>
      <c r="MU21" s="1457" t="n">
        <v>0</v>
      </c>
      <c r="MV21" s="1457" t="n">
        <v>0</v>
      </c>
      <c r="MW21" s="1457" t="n">
        <v>0</v>
      </c>
      <c r="MX21" s="1457" t="n">
        <v>0</v>
      </c>
      <c r="MY21" s="1457" t="n">
        <v>0</v>
      </c>
      <c r="MZ21" s="1457" t="n">
        <v>0</v>
      </c>
      <c r="NA21" s="1457" t="n">
        <v>0</v>
      </c>
      <c r="NB21" s="1457" t="n">
        <v>0</v>
      </c>
      <c r="NC21" s="1457" t="n">
        <v>0</v>
      </c>
      <c r="ND21" s="1457" t="n">
        <v>0</v>
      </c>
      <c r="NE21" s="1457" t="n">
        <v>0</v>
      </c>
      <c r="NF21" s="1457" t="n">
        <v>0</v>
      </c>
      <c r="NG21" s="1457" t="n">
        <v>0</v>
      </c>
      <c r="NH21" s="1457" t="n">
        <v>0</v>
      </c>
      <c r="NI21" s="1457" t="n">
        <v>0</v>
      </c>
      <c r="NJ21" s="1457" t="n">
        <v>0</v>
      </c>
      <c r="NK21" s="1457" t="n">
        <v>0</v>
      </c>
      <c r="NL21" s="1457" t="n">
        <v>0</v>
      </c>
      <c r="NM21" s="1457" t="n">
        <v>0</v>
      </c>
      <c r="NN21" s="1457" t="n">
        <v>0</v>
      </c>
      <c r="NO21" s="1457" t="n">
        <v>0</v>
      </c>
      <c r="NP21" s="1457" t="n">
        <v>0</v>
      </c>
      <c r="NQ21" s="1457" t="n">
        <v>0</v>
      </c>
      <c r="NR21" s="1457" t="n">
        <v>0</v>
      </c>
      <c r="NS21" s="1457" t="n">
        <v>0</v>
      </c>
      <c r="NT21" s="1457" t="n">
        <v>0</v>
      </c>
      <c r="NU21" s="1457" t="n">
        <v>0</v>
      </c>
      <c r="NV21" s="1457" t="n">
        <v>0</v>
      </c>
      <c r="NW21" s="1457" t="n">
        <v>0</v>
      </c>
      <c r="NX21" s="1457" t="n">
        <v>0</v>
      </c>
      <c r="NY21" s="1457" t="n">
        <v>0</v>
      </c>
      <c r="NZ21" s="1457" t="n">
        <v>0</v>
      </c>
      <c r="OA21" s="1457" t="n">
        <v>0</v>
      </c>
      <c r="OB21" s="1457" t="n">
        <v>0</v>
      </c>
      <c r="OC21" s="1457" t="n">
        <v>0</v>
      </c>
      <c r="OD21" s="1457" t="n">
        <v>0</v>
      </c>
      <c r="OE21" s="1457" t="n">
        <v>0</v>
      </c>
      <c r="OF21" s="1457" t="n">
        <v>0</v>
      </c>
      <c r="OG21" s="1457" t="n">
        <v>0</v>
      </c>
      <c r="OH21" s="1457" t="n">
        <v>0</v>
      </c>
      <c r="OI21" s="1457" t="n">
        <v>0</v>
      </c>
      <c r="OJ21" s="1457" t="n">
        <v>0</v>
      </c>
      <c r="OK21" s="1457" t="n">
        <v>0</v>
      </c>
      <c r="OL21" s="1457" t="n">
        <v>0</v>
      </c>
      <c r="OM21" s="1457" t="n">
        <v>0</v>
      </c>
      <c r="ON21" s="1457" t="n">
        <v>0</v>
      </c>
      <c r="OO21" s="1457" t="n">
        <v>0</v>
      </c>
      <c r="OP21" s="1457" t="n">
        <v>0</v>
      </c>
      <c r="OQ21" s="1457" t="n">
        <v>0</v>
      </c>
      <c r="OR21" s="1457" t="n">
        <v>0</v>
      </c>
      <c r="OS21" s="1457" t="n">
        <v>0</v>
      </c>
      <c r="OT21" s="1457" t="n">
        <v>0</v>
      </c>
      <c r="OU21" s="1457" t="n">
        <v>0</v>
      </c>
      <c r="OV21" s="1457" t="n">
        <v>0</v>
      </c>
      <c r="OW21" s="1457" t="n">
        <v>0</v>
      </c>
      <c r="OX21" s="1457" t="n">
        <v>0</v>
      </c>
      <c r="OY21" s="1457" t="n">
        <v>0</v>
      </c>
      <c r="OZ21" s="1457" t="n">
        <v>0</v>
      </c>
      <c r="PA21" s="1457" t="n">
        <v>0</v>
      </c>
      <c r="PB21" s="1457" t="n">
        <v>0</v>
      </c>
      <c r="PC21" s="1457" t="n">
        <v>0</v>
      </c>
      <c r="PD21" s="1457" t="n">
        <v>0</v>
      </c>
      <c r="PE21" s="1457" t="n">
        <v>0</v>
      </c>
      <c r="PF21" s="1457" t="n">
        <v>0</v>
      </c>
      <c r="PG21" s="1457" t="n">
        <v>0</v>
      </c>
      <c r="PH21" s="1457" t="n">
        <v>0</v>
      </c>
      <c r="PI21" s="1457" t="n">
        <v>0</v>
      </c>
      <c r="PJ21" s="1457" t="n">
        <v>0</v>
      </c>
      <c r="PK21" s="1457" t="n">
        <v>0</v>
      </c>
      <c r="PL21" s="1457" t="n">
        <v>0</v>
      </c>
      <c r="PM21" s="1457" t="n">
        <v>0</v>
      </c>
      <c r="PN21" s="1457" t="n">
        <v>0</v>
      </c>
      <c r="PO21" s="1457" t="n">
        <v>0</v>
      </c>
      <c r="PP21" s="1457" t="n">
        <v>0</v>
      </c>
      <c r="PQ21" s="1457" t="n">
        <v>0</v>
      </c>
      <c r="PR21" s="1457" t="n">
        <v>0</v>
      </c>
      <c r="PS21" s="1457" t="n">
        <v>0</v>
      </c>
      <c r="PT21" s="1457" t="n">
        <v>0</v>
      </c>
      <c r="PU21" s="1457" t="n">
        <v>0</v>
      </c>
      <c r="PV21" s="1457" t="n">
        <v>0</v>
      </c>
      <c r="PW21" s="1457" t="n">
        <v>0</v>
      </c>
      <c r="PX21" s="1457" t="n">
        <v>0</v>
      </c>
      <c r="PY21" s="1457" t="n">
        <v>0</v>
      </c>
      <c r="PZ21" s="1457" t="n">
        <v>0</v>
      </c>
      <c r="QA21" s="1457" t="n">
        <v>0</v>
      </c>
      <c r="QB21" s="1457" t="n">
        <v>0</v>
      </c>
      <c r="QC21" s="1457" t="n">
        <v>0</v>
      </c>
      <c r="QD21" s="1457" t="n">
        <v>0</v>
      </c>
      <c r="QE21" s="1457" t="n">
        <v>0</v>
      </c>
      <c r="QF21" s="1457" t="n">
        <v>0</v>
      </c>
      <c r="QG21" s="1457" t="n">
        <v>0</v>
      </c>
      <c r="QH21" s="1457" t="n">
        <v>0</v>
      </c>
      <c r="QI21" s="1457" t="n">
        <v>0</v>
      </c>
      <c r="QJ21" s="1457" t="n">
        <v>0</v>
      </c>
      <c r="QK21" s="1457" t="n">
        <v>0</v>
      </c>
      <c r="QL21" s="1457" t="n">
        <v>0</v>
      </c>
      <c r="QM21" s="1457" t="n">
        <v>0</v>
      </c>
      <c r="QN21" s="1457" t="n">
        <v>0</v>
      </c>
      <c r="QO21" s="1457" t="n">
        <v>0</v>
      </c>
      <c r="QP21" s="1457" t="n">
        <v>0</v>
      </c>
      <c r="QQ21" s="1457" t="n">
        <v>0</v>
      </c>
      <c r="QR21" s="1457" t="n">
        <v>0</v>
      </c>
      <c r="QS21" s="1457" t="n">
        <v>0</v>
      </c>
      <c r="QT21" s="1457" t="n">
        <v>0</v>
      </c>
      <c r="QU21" s="1457" t="n">
        <v>0</v>
      </c>
      <c r="QV21" s="1457" t="n">
        <v>0</v>
      </c>
      <c r="QW21" s="1457" t="n">
        <v>0</v>
      </c>
      <c r="QX21" s="1457" t="n">
        <v>0</v>
      </c>
      <c r="QY21" s="1457" t="n">
        <v>0</v>
      </c>
      <c r="QZ21" s="1457" t="n">
        <v>0</v>
      </c>
      <c r="RA21" s="1457" t="n">
        <v>0</v>
      </c>
      <c r="RB21" s="1457" t="n">
        <v>0</v>
      </c>
      <c r="RC21" s="1457" t="n">
        <v>0</v>
      </c>
      <c r="RD21" s="1457" t="n">
        <v>0</v>
      </c>
      <c r="RE21" s="1457" t="n">
        <v>0</v>
      </c>
      <c r="RF21" s="1457" t="n">
        <v>0</v>
      </c>
      <c r="RG21" s="1457" t="n">
        <v>0</v>
      </c>
      <c r="RH21" s="1457" t="n">
        <v>0</v>
      </c>
      <c r="RI21" s="1457" t="n">
        <v>0</v>
      </c>
      <c r="RJ21" s="1457" t="n">
        <v>0</v>
      </c>
      <c r="RK21" s="1457" t="n">
        <v>0</v>
      </c>
      <c r="RL21" s="1457" t="n">
        <v>0</v>
      </c>
      <c r="RM21" s="1457" t="n">
        <v>0</v>
      </c>
      <c r="RN21" s="1457" t="n">
        <v>0</v>
      </c>
      <c r="RO21" s="1457" t="n">
        <v>0</v>
      </c>
      <c r="RP21" s="1457" t="n">
        <v>0</v>
      </c>
      <c r="RQ21" s="1457" t="n">
        <v>0</v>
      </c>
      <c r="RR21" s="1457" t="n">
        <v>0</v>
      </c>
      <c r="RS21" s="1457" t="n">
        <v>0</v>
      </c>
      <c r="RT21" s="1457" t="n">
        <v>0</v>
      </c>
      <c r="RU21" s="1457" t="n">
        <v>0</v>
      </c>
      <c r="RV21" s="1457" t="n">
        <v>0</v>
      </c>
      <c r="RW21" s="1457" t="n">
        <v>0</v>
      </c>
      <c r="RX21" s="1457" t="n">
        <v>0</v>
      </c>
      <c r="RY21" s="1457" t="n">
        <v>0</v>
      </c>
      <c r="RZ21" s="1457" t="n">
        <v>0</v>
      </c>
      <c r="SA21" s="1457" t="n">
        <v>0</v>
      </c>
      <c r="SB21" s="1457" t="n">
        <v>0</v>
      </c>
      <c r="SC21" s="1457" t="n">
        <v>0</v>
      </c>
      <c r="SD21" s="1457" t="n">
        <v>0</v>
      </c>
      <c r="SE21" s="1457" t="n">
        <v>0</v>
      </c>
      <c r="SF21" s="1457" t="n">
        <v>0</v>
      </c>
      <c r="SG21" s="1457" t="n">
        <v>0</v>
      </c>
      <c r="SH21" s="1457" t="n">
        <v>0</v>
      </c>
      <c r="SI21" s="1457" t="n">
        <v>0</v>
      </c>
      <c r="SJ21" s="1457" t="n">
        <v>0</v>
      </c>
      <c r="SK21" s="1457" t="n">
        <v>0</v>
      </c>
      <c r="SL21" s="1457" t="n">
        <v>0</v>
      </c>
      <c r="SM21" s="1457" t="n">
        <v>0</v>
      </c>
      <c r="SN21" s="1457" t="n">
        <v>0</v>
      </c>
      <c r="SO21" s="1457" t="n">
        <v>0</v>
      </c>
      <c r="SP21" s="1457" t="n">
        <v>0</v>
      </c>
      <c r="SQ21" s="1457" t="n">
        <v>0</v>
      </c>
      <c r="SR21" s="1457" t="n">
        <v>0</v>
      </c>
      <c r="SS21" s="1457" t="n">
        <v>0</v>
      </c>
      <c r="ST21" s="1457" t="n">
        <v>0</v>
      </c>
      <c r="SU21" s="1457" t="n">
        <v>0</v>
      </c>
      <c r="SV21" s="1457" t="n">
        <v>0</v>
      </c>
      <c r="SW21" s="1457" t="n">
        <v>0</v>
      </c>
      <c r="SX21" s="1457" t="n">
        <v>0</v>
      </c>
      <c r="SY21" s="1457" t="n">
        <v>0</v>
      </c>
      <c r="SZ21" s="1457" t="n">
        <v>0</v>
      </c>
      <c r="TA21" s="1457" t="n">
        <v>0</v>
      </c>
      <c r="TB21" s="1457" t="n">
        <v>0</v>
      </c>
      <c r="TC21" s="1457" t="n">
        <v>0</v>
      </c>
      <c r="TD21" s="1457" t="n">
        <v>0</v>
      </c>
      <c r="TE21" s="1457" t="n">
        <v>0</v>
      </c>
      <c r="TF21" s="1457" t="n">
        <v>0</v>
      </c>
      <c r="TG21" s="1457" t="n">
        <v>0</v>
      </c>
      <c r="TH21" s="1457" t="n">
        <v>0</v>
      </c>
      <c r="TI21" s="1457" t="n">
        <v>0</v>
      </c>
      <c r="TJ21" s="1457" t="n">
        <v>0</v>
      </c>
      <c r="TK21" s="1457" t="n">
        <v>0</v>
      </c>
      <c r="TL21" s="1457" t="n">
        <v>0</v>
      </c>
      <c r="TM21" s="1457" t="n">
        <v>0</v>
      </c>
      <c r="TN21" s="1457" t="n">
        <v>0</v>
      </c>
      <c r="TO21" s="1457" t="n">
        <v>0</v>
      </c>
      <c r="TP21" s="1457" t="n">
        <v>0</v>
      </c>
      <c r="TQ21" s="1457" t="n">
        <v>0</v>
      </c>
      <c r="TR21" s="1457" t="n">
        <v>0</v>
      </c>
      <c r="TS21" s="1457" t="n">
        <v>0</v>
      </c>
      <c r="TT21" s="1457" t="n">
        <v>0</v>
      </c>
      <c r="TU21" s="1457" t="n">
        <v>0</v>
      </c>
      <c r="TV21" s="1457" t="n">
        <v>0</v>
      </c>
      <c r="TW21" s="1457" t="n">
        <v>0</v>
      </c>
      <c r="TX21" s="1457" t="n">
        <v>0</v>
      </c>
      <c r="TY21" s="1457" t="n">
        <v>0</v>
      </c>
      <c r="TZ21" s="1457" t="n">
        <v>0</v>
      </c>
      <c r="UA21" s="1457" t="n">
        <v>0</v>
      </c>
      <c r="UB21" s="1457" t="n">
        <v>0</v>
      </c>
      <c r="UC21" s="1457" t="n">
        <v>0</v>
      </c>
      <c r="UD21" s="1457" t="n">
        <v>0</v>
      </c>
      <c r="UE21" s="1457" t="n">
        <v>0</v>
      </c>
      <c r="UF21" s="1457" t="n">
        <v>0</v>
      </c>
      <c r="UG21" s="1457" t="n">
        <v>0</v>
      </c>
      <c r="UH21" s="1457" t="n">
        <v>0</v>
      </c>
      <c r="UI21" s="1457" t="n">
        <v>0</v>
      </c>
      <c r="UJ21" s="1457" t="n">
        <v>0</v>
      </c>
      <c r="UK21" s="1457" t="n">
        <v>0</v>
      </c>
      <c r="UL21" s="1457" t="n">
        <v>0</v>
      </c>
      <c r="UM21" s="1457" t="n">
        <v>0</v>
      </c>
      <c r="UN21" s="1457" t="n">
        <v>0</v>
      </c>
      <c r="UO21" s="1457" t="n">
        <v>0</v>
      </c>
      <c r="UP21" s="1457" t="n">
        <v>0</v>
      </c>
      <c r="UQ21" s="1457" t="n">
        <v>0</v>
      </c>
      <c r="UR21" s="1457" t="n">
        <v>0</v>
      </c>
      <c r="US21" s="1457" t="n">
        <v>0</v>
      </c>
      <c r="UT21" s="1457" t="n">
        <v>0</v>
      </c>
      <c r="UU21" s="1457" t="n">
        <v>0</v>
      </c>
      <c r="UV21" s="1456" t="n">
        <v>2.757560142548733</v>
      </c>
      <c r="UW21" s="1456" t="n">
        <v>2.754668553039416</v>
      </c>
      <c r="UX21" s="1456" t="n">
        <v>2.778043235687491</v>
      </c>
      <c r="UY21" s="1456" t="n">
        <v>2.775527402624107</v>
      </c>
      <c r="UZ21" s="1456" t="n">
        <v>2.784607135999102</v>
      </c>
      <c r="VA21" s="1456" t="n">
        <v>2.77709588893672</v>
      </c>
      <c r="VB21" s="1456" t="n">
        <v>2.80003355414123</v>
      </c>
      <c r="VC21" s="1456" t="n">
        <v>2.790057662065351</v>
      </c>
      <c r="VD21" s="1456" t="n">
        <v>2.793691088271987</v>
      </c>
      <c r="VE21" s="1456" t="n">
        <v>2.775608115417945</v>
      </c>
      <c r="VF21" s="1456" t="n">
        <v>2.738277899699093</v>
      </c>
      <c r="VG21" s="1456" t="n">
        <v>2.735271982729008</v>
      </c>
      <c r="VH21" s="1456" t="n">
        <v>2.744097163329418</v>
      </c>
      <c r="VI21" s="1456" t="n">
        <v>2.72148967050613</v>
      </c>
      <c r="VJ21" s="1456">
        <f>$D$57*VJ8/VJ7</f>
        <v/>
      </c>
      <c r="VK21" s="1456" t="n">
        <v>2.70032513123733</v>
      </c>
      <c r="VL21" s="1456" t="n">
        <v>2.700891149697851</v>
      </c>
      <c r="VM21" s="1456" t="n">
        <v>2.708356237432713</v>
      </c>
      <c r="VN21" s="1456" t="n">
        <v>2.719034018878076</v>
      </c>
      <c r="VO21" s="1456" t="n">
        <v>2.715550152811673</v>
      </c>
      <c r="VP21" s="1456" t="n">
        <v>2.720212937173693</v>
      </c>
      <c r="VQ21" s="1456" t="n">
        <v>2.691065088516059</v>
      </c>
      <c r="VR21" s="1456" t="n">
        <v>2.676029809606452</v>
      </c>
      <c r="VS21" s="1456" t="n">
        <v>2.660720283311163</v>
      </c>
      <c r="VT21" s="1456" t="n">
        <v>2.650570778228589</v>
      </c>
      <c r="VU21" s="1456" t="n">
        <v>2.642759282778484</v>
      </c>
      <c r="VV21" s="1456" t="n">
        <v>2.64242543594829</v>
      </c>
      <c r="VW21" s="1456" t="n">
        <v>2.639439348947108</v>
      </c>
      <c r="VX21" s="1456" t="n">
        <v>2.622354293444121</v>
      </c>
      <c r="VY21" s="1456" t="n">
        <v>2.649728686910353</v>
      </c>
      <c r="VZ21" s="1456" t="n">
        <v>2.652541885207938</v>
      </c>
      <c r="WA21" s="1456" t="n">
        <v>2.631235316181451</v>
      </c>
      <c r="WB21" s="1456" t="n">
        <v>2.654678638895686</v>
      </c>
      <c r="WC21" s="1456" t="n">
        <v>2.628015497135199</v>
      </c>
      <c r="WD21" s="1456" t="n">
        <v>2.634923934429399</v>
      </c>
      <c r="WE21" s="1456" t="n">
        <v>2.639429031790403</v>
      </c>
      <c r="WF21" s="1456" t="n">
        <v>2.602610026205789</v>
      </c>
      <c r="WG21" s="1456" t="n">
        <v>2.608648512987828</v>
      </c>
      <c r="WH21" s="1456" t="n">
        <v>2.608750812600745</v>
      </c>
      <c r="WI21" s="1456" t="n">
        <v>2.576824125297062</v>
      </c>
      <c r="WJ21" s="1456" t="n">
        <v>2.552271924025467</v>
      </c>
      <c r="WK21" s="1456" t="n">
        <v>2.583784121700161</v>
      </c>
      <c r="WL21" s="1456" t="n">
        <v>2.564249216657537</v>
      </c>
      <c r="WM21" s="1456" t="n">
        <v>2.583995308631597</v>
      </c>
      <c r="WN21" s="1456" t="n">
        <v>2.625260014898701</v>
      </c>
      <c r="WO21" s="1456" t="n">
        <v>2.612013659468272</v>
      </c>
      <c r="WP21" s="1456" t="n">
        <v>2.563728634135555</v>
      </c>
      <c r="WQ21" s="1456" t="n">
        <v>2.605334626969886</v>
      </c>
      <c r="WR21" s="1456">
        <f>$D$57*WR8/WR7</f>
        <v/>
      </c>
      <c r="WS21" s="1456" t="n">
        <v>2.601466237373582</v>
      </c>
      <c r="WT21" s="1456" t="n">
        <v>2.606853357032142</v>
      </c>
      <c r="WU21" s="1456" t="n">
        <v>2.619486912517895</v>
      </c>
      <c r="WV21" s="1456" t="n">
        <v>2.601092817616016</v>
      </c>
      <c r="WW21" s="1456" t="n">
        <v>2.609099034112304</v>
      </c>
      <c r="WX21" s="1456" t="n">
        <v>2.624333674239713</v>
      </c>
      <c r="WY21" s="1456" t="n">
        <v>2.62370761955695</v>
      </c>
      <c r="WZ21" s="1456" t="n">
        <v>2.630500600595217</v>
      </c>
      <c r="XA21" s="1456" t="n">
        <v>2.699607522356178</v>
      </c>
      <c r="XB21" s="1456" t="n">
        <v>2.767544388161064</v>
      </c>
      <c r="XC21" s="1456" t="n">
        <v>2.798156177926922</v>
      </c>
      <c r="XD21" s="1456" t="n">
        <v>2.748279415871797</v>
      </c>
      <c r="XE21" s="1456" t="n">
        <v>2.804124417359596</v>
      </c>
      <c r="XF21" s="1456" t="n">
        <v>2.762925904288752</v>
      </c>
      <c r="XG21" s="1456" t="n">
        <v>2.80538416923616</v>
      </c>
      <c r="XH21" s="1456" t="n">
        <v>2.794667368320735</v>
      </c>
      <c r="XI21" s="1456" t="n">
        <v>2.762552659751869</v>
      </c>
      <c r="XJ21" s="1456" t="n">
        <v>2.765212933448582</v>
      </c>
      <c r="XK21" s="1456" t="n">
        <v>2.759085139334045</v>
      </c>
      <c r="XL21" s="1456" t="n">
        <v>2.822138512193067</v>
      </c>
      <c r="XM21" s="1456" t="n">
        <v>2.806595913342561</v>
      </c>
      <c r="XN21" s="1456" t="n">
        <v>2.929698370000238</v>
      </c>
      <c r="XO21" s="1456" t="n">
        <v>2.966788164554846</v>
      </c>
      <c r="XP21" s="1456" t="n">
        <v>2.952784657877292</v>
      </c>
      <c r="XQ21" s="1456" t="n">
        <v>2.936989046066411</v>
      </c>
      <c r="XR21" s="1456" t="n">
        <v>2.923882520140388</v>
      </c>
      <c r="XS21" s="1456" t="n">
        <v>2.920050277823819</v>
      </c>
      <c r="XT21" s="1456">
        <f>$D$57*XT8/XT7</f>
        <v/>
      </c>
      <c r="XU21" s="1456" t="n">
        <v>2.9138917710413</v>
      </c>
      <c r="XV21" s="1456" t="n">
        <v>2.901160304430149</v>
      </c>
      <c r="XW21" s="1456" t="n">
        <v>2.903858771021584</v>
      </c>
      <c r="XX21" s="1456" t="n">
        <v>2.914745439042458</v>
      </c>
      <c r="XY21" s="1456" t="n">
        <v>2.849506804896381</v>
      </c>
      <c r="XZ21" s="1456" t="n">
        <v>2.881734482135578</v>
      </c>
      <c r="YA21" s="1456" t="n">
        <v>2.878987528008287</v>
      </c>
      <c r="YB21" s="1456" t="n">
        <v>2.928149294133136</v>
      </c>
      <c r="YC21" s="1456" t="n">
        <v>2.904724577993195</v>
      </c>
      <c r="YD21" s="1456" t="n">
        <v>2.90481294242444</v>
      </c>
      <c r="YE21" s="1456" t="n">
        <v>2.921455070739367</v>
      </c>
      <c r="YF21" s="1456" t="n">
        <v>2.916984993469017</v>
      </c>
      <c r="YG21" s="1456" t="n">
        <v>2.930764391479795</v>
      </c>
      <c r="YH21" s="1456" t="n">
        <v>2.920507082997033</v>
      </c>
      <c r="YI21" s="1456" t="n">
        <v>2.914117516670295</v>
      </c>
      <c r="YJ21" s="1456" t="n">
        <v>2.963061039516372</v>
      </c>
      <c r="YK21" s="1456" t="n">
        <v>2.949134664396832</v>
      </c>
      <c r="YL21" s="1456" t="n">
        <v>2.935074399219336</v>
      </c>
      <c r="YM21" s="1456">
        <f>$D$57*YM8/YM7</f>
        <v/>
      </c>
      <c r="YN21" s="1456" t="n">
        <v>3.025127829927019</v>
      </c>
      <c r="YO21" s="1456" t="n">
        <v>3.023570052542994</v>
      </c>
      <c r="YP21" s="1456" t="n">
        <v>3.017755104984562</v>
      </c>
      <c r="YQ21" s="1456" t="n">
        <v>3.002854173555136</v>
      </c>
      <c r="YR21" s="1456" t="n">
        <v>3.009363958252845</v>
      </c>
      <c r="YS21" s="1456" t="n">
        <v>2.991220659993834</v>
      </c>
      <c r="YT21" s="1456" t="n">
        <v>3.00426262981224</v>
      </c>
      <c r="YU21" s="1456" t="n">
        <v>2.995234987163816</v>
      </c>
      <c r="YV21" s="1456" t="n">
        <v>2.976139496301109</v>
      </c>
      <c r="YW21" s="1456" t="n">
        <v>2.974910826626264</v>
      </c>
      <c r="YX21" s="1456" t="n">
        <v>3.006272522340123</v>
      </c>
      <c r="YY21" s="1456" t="n">
        <v>3.027296090641536</v>
      </c>
      <c r="YZ21" s="1456" t="n">
        <v>2.955363935553158</v>
      </c>
      <c r="ZA21" s="1456" t="n">
        <v>2.92595980093082</v>
      </c>
      <c r="ZB21" s="1456" t="n">
        <v>2.955998279091556</v>
      </c>
      <c r="ZC21" s="1456" t="n">
        <v>2.966627362585015</v>
      </c>
      <c r="ZD21" s="1456" t="n">
        <v>2.977862054961419</v>
      </c>
      <c r="ZE21" s="1456" t="n">
        <v>2.973744523865864</v>
      </c>
      <c r="ZF21" s="1458">
        <f>$D$57*ZF8/ZF7</f>
        <v/>
      </c>
    </row>
    <row r="22">
      <c r="A22" s="120" t="n"/>
      <c r="B22" s="126" t="n"/>
      <c r="C22" s="418" t="inlineStr">
        <is>
          <t>Time Deposit Rate</t>
        </is>
      </c>
      <c r="D22" s="6" t="n"/>
      <c r="E22" s="133" t="n"/>
      <c r="F22" s="133" t="n"/>
      <c r="G22" s="133" t="n"/>
      <c r="H22" s="133" t="n"/>
      <c r="I22" s="133" t="n"/>
      <c r="J22" s="133" t="n"/>
      <c r="K22" s="133" t="n">
        <v>0.03</v>
      </c>
      <c r="L22" s="133" t="n">
        <v>0.03</v>
      </c>
      <c r="M22" s="133" t="n">
        <v>0.0805</v>
      </c>
      <c r="N22" s="133" t="n">
        <v>0.0805</v>
      </c>
      <c r="O22" s="133" t="n">
        <v>0.0805</v>
      </c>
      <c r="P22" s="133" t="n">
        <v>0.0805</v>
      </c>
      <c r="Q22" s="133" t="n">
        <v>0.0805</v>
      </c>
      <c r="R22" s="133" t="n"/>
      <c r="S22" s="133" t="n"/>
      <c r="T22" s="133" t="n"/>
      <c r="U22" s="133" t="n"/>
      <c r="V22" s="133" t="n"/>
      <c r="W22" s="133" t="n"/>
      <c r="X22" s="133" t="n"/>
      <c r="Y22" s="133" t="n"/>
      <c r="Z22" s="133" t="n"/>
      <c r="AA22" s="133" t="n"/>
      <c r="AB22" s="133" t="n"/>
      <c r="AC22" s="133" t="n"/>
      <c r="AD22" s="133" t="n"/>
      <c r="AE22" s="133" t="n"/>
      <c r="AF22" s="133" t="n"/>
      <c r="AG22" s="133" t="n"/>
      <c r="AH22" s="133" t="n"/>
      <c r="AI22" s="133" t="n"/>
      <c r="AJ22" s="133" t="n"/>
      <c r="AK22" s="133" t="n"/>
      <c r="AL22" s="133" t="n"/>
      <c r="AM22" s="133" t="n"/>
      <c r="AN22" s="133" t="n"/>
      <c r="AO22" s="133" t="n"/>
      <c r="AP22" s="133" t="n"/>
      <c r="AQ22" s="133" t="n"/>
      <c r="AR22" s="133" t="n"/>
      <c r="AS22" s="133" t="n"/>
      <c r="AT22" s="133" t="n"/>
      <c r="AU22" s="133" t="n"/>
      <c r="AV22" s="133" t="n"/>
      <c r="AW22" s="133" t="n">
        <v>0.005</v>
      </c>
      <c r="AX22" s="133" t="n">
        <v>0.005</v>
      </c>
      <c r="AY22" s="133" t="n">
        <v>0.005</v>
      </c>
      <c r="AZ22" s="133" t="n">
        <v>0.005</v>
      </c>
      <c r="BA22" s="133" t="n">
        <v>0.005</v>
      </c>
      <c r="BB22" s="133" t="n">
        <v>0.005</v>
      </c>
      <c r="BC22" s="133" t="n">
        <v>0.005</v>
      </c>
      <c r="BD22" s="133" t="n">
        <v>0.005</v>
      </c>
      <c r="BE22" s="133" t="n">
        <v>0.005</v>
      </c>
      <c r="BF22" s="133" t="n">
        <v>0.005</v>
      </c>
      <c r="BG22" s="133" t="n">
        <v>0.005</v>
      </c>
      <c r="BH22" s="133" t="n">
        <v>0.005</v>
      </c>
      <c r="BI22" s="133" t="n">
        <v>0.005</v>
      </c>
      <c r="BJ22" s="133" t="n">
        <v>0.005</v>
      </c>
      <c r="BK22" s="133" t="n">
        <v>0.005</v>
      </c>
      <c r="BL22" s="133" t="n">
        <v>0.005</v>
      </c>
      <c r="BM22" s="133" t="n">
        <v>0.005</v>
      </c>
      <c r="BN22" s="133" t="n">
        <v>0.005</v>
      </c>
      <c r="BO22" s="133" t="n">
        <v>0.005</v>
      </c>
      <c r="BP22" s="133" t="n">
        <v>0.005</v>
      </c>
      <c r="BQ22" s="133" t="n">
        <v>0.005</v>
      </c>
      <c r="BR22" s="133" t="n">
        <v>0.005</v>
      </c>
      <c r="BS22" s="133" t="n">
        <v>0.005</v>
      </c>
      <c r="BT22" s="133" t="n">
        <v>0.005</v>
      </c>
      <c r="BU22" s="133" t="n">
        <v>0.005</v>
      </c>
      <c r="BV22" s="133" t="n">
        <v>0.005</v>
      </c>
      <c r="BW22" s="133" t="n">
        <v>0.005</v>
      </c>
      <c r="BX22" s="133" t="n">
        <v>0.005</v>
      </c>
      <c r="BY22" s="133" t="n">
        <v>0.005</v>
      </c>
      <c r="BZ22" s="133" t="n">
        <v>0.005</v>
      </c>
      <c r="CA22" s="133" t="n">
        <v>0.005</v>
      </c>
      <c r="CB22" s="133" t="n">
        <v>0.005</v>
      </c>
      <c r="CC22" s="133" t="n">
        <v>0.005</v>
      </c>
      <c r="CD22" s="133" t="n">
        <v>0.005</v>
      </c>
      <c r="CE22" s="133" t="n">
        <v>0.005</v>
      </c>
      <c r="CF22" s="133" t="n">
        <v>0.005</v>
      </c>
      <c r="CG22" s="133" t="n">
        <v>0.005</v>
      </c>
      <c r="CH22" s="133" t="n">
        <v>0.005</v>
      </c>
      <c r="CI22" s="133" t="n">
        <v>0.005</v>
      </c>
      <c r="CJ22" s="133" t="n">
        <v>0.005</v>
      </c>
      <c r="CK22" s="133" t="n">
        <v>0.005</v>
      </c>
      <c r="CL22" s="133" t="n">
        <v>0.005</v>
      </c>
      <c r="CM22" s="133" t="n">
        <v>0.005</v>
      </c>
      <c r="CN22" s="133" t="n">
        <v>0.005</v>
      </c>
      <c r="CO22" s="133" t="n"/>
      <c r="CP22" s="133" t="n"/>
      <c r="CQ22" s="133" t="n"/>
      <c r="CR22" s="133" t="n"/>
      <c r="CS22" s="133" t="n"/>
      <c r="CT22" s="133" t="n"/>
      <c r="CU22" s="133" t="n"/>
      <c r="CV22" s="133" t="n"/>
      <c r="CW22" s="133" t="n"/>
      <c r="CX22" s="133" t="n"/>
      <c r="CY22" s="133" t="n"/>
      <c r="CZ22" s="133" t="n"/>
      <c r="DA22" s="133" t="n"/>
      <c r="DB22" s="133" t="n"/>
      <c r="DC22" s="133" t="n"/>
      <c r="DD22" s="133" t="n"/>
      <c r="DE22" s="133" t="n"/>
      <c r="DF22" s="133" t="n"/>
      <c r="DG22" s="133" t="n"/>
      <c r="DH22" s="133" t="n"/>
      <c r="DI22" s="133" t="n"/>
      <c r="DJ22" s="133" t="n"/>
      <c r="DK22" s="133" t="n"/>
      <c r="DL22" s="133" t="n"/>
      <c r="DM22" s="133" t="n"/>
      <c r="DN22" s="133" t="n"/>
      <c r="DO22" s="133" t="n"/>
      <c r="DP22" s="133" t="n"/>
      <c r="DQ22" s="133" t="n"/>
      <c r="DR22" s="133" t="n"/>
      <c r="DS22" s="133" t="n"/>
      <c r="DT22" s="133" t="n"/>
      <c r="DU22" s="133" t="n"/>
      <c r="DV22" s="133" t="n"/>
      <c r="DW22" s="133" t="n"/>
      <c r="DX22" s="133" t="n"/>
      <c r="DY22" s="133" t="n"/>
      <c r="DZ22" s="133" t="n"/>
      <c r="EA22" s="133" t="n"/>
      <c r="EB22" s="133" t="n"/>
      <c r="EC22" s="133" t="n"/>
      <c r="ED22" s="133" t="n"/>
      <c r="EE22" s="133" t="n"/>
      <c r="EF22" s="133" t="n"/>
      <c r="EG22" s="133" t="n"/>
      <c r="EH22" s="133" t="n"/>
      <c r="EI22" s="133" t="n"/>
      <c r="EJ22" s="133" t="n"/>
      <c r="EK22" s="133" t="n"/>
      <c r="EL22" s="133" t="n"/>
      <c r="EM22" s="133" t="n"/>
      <c r="EN22" s="133" t="n"/>
      <c r="EO22" s="133" t="n"/>
      <c r="EP22" s="133" t="n"/>
      <c r="EQ22" s="133" t="n"/>
      <c r="ER22" s="133" t="n"/>
      <c r="ES22" s="133" t="n"/>
      <c r="ET22" s="133" t="n"/>
      <c r="EU22" s="133" t="n"/>
      <c r="EV22" s="133" t="n"/>
      <c r="EW22" s="133" t="n"/>
      <c r="EX22" s="133" t="n"/>
      <c r="EY22" s="133" t="n"/>
      <c r="EZ22" s="133" t="n"/>
      <c r="FA22" s="133" t="n"/>
      <c r="FB22" s="133" t="n"/>
      <c r="FC22" s="133" t="n"/>
      <c r="FD22" s="133" t="n"/>
      <c r="FE22" s="133" t="n"/>
      <c r="FF22" s="133" t="n"/>
      <c r="FG22" s="133" t="n"/>
      <c r="FH22" s="133" t="n"/>
      <c r="FI22" s="133" t="n"/>
      <c r="FJ22" s="133" t="n"/>
      <c r="FK22" s="133" t="n"/>
      <c r="FL22" s="133" t="n"/>
      <c r="FM22" s="133" t="n"/>
      <c r="FN22" s="133" t="n"/>
      <c r="FO22" s="133" t="n"/>
      <c r="FP22" s="133" t="n"/>
      <c r="FQ22" s="133" t="n"/>
      <c r="FR22" s="133" t="n"/>
      <c r="FS22" s="133" t="n"/>
      <c r="FT22" s="133" t="n"/>
      <c r="FU22" s="133" t="n"/>
      <c r="FV22" s="133" t="n"/>
      <c r="FW22" s="133" t="n"/>
      <c r="FX22" s="133" t="n"/>
      <c r="FY22" s="133" t="n"/>
      <c r="FZ22" s="133" t="n"/>
      <c r="GA22" s="133" t="n"/>
      <c r="GB22" s="133" t="n"/>
      <c r="GC22" s="133" t="n"/>
      <c r="GD22" s="133" t="n"/>
      <c r="GE22" s="133" t="n"/>
      <c r="GF22" s="133" t="n"/>
      <c r="GG22" s="133" t="n"/>
      <c r="GH22" s="133" t="n"/>
      <c r="GI22" s="133" t="n"/>
      <c r="GJ22" s="133" t="n"/>
      <c r="GK22" s="133" t="n"/>
      <c r="GL22" s="133" t="n"/>
      <c r="GM22" s="133" t="n"/>
      <c r="GN22" s="133" t="n"/>
      <c r="GO22" s="133" t="n"/>
      <c r="GP22" s="133" t="n"/>
      <c r="GQ22" s="133" t="n"/>
      <c r="GR22" s="133" t="n"/>
      <c r="GS22" s="133" t="n"/>
      <c r="GT22" s="133" t="n"/>
      <c r="GU22" s="133" t="n"/>
      <c r="GV22" s="133" t="n"/>
      <c r="GW22" s="133" t="n"/>
      <c r="GX22" s="133" t="n"/>
      <c r="GY22" s="133" t="n"/>
      <c r="GZ22" s="133" t="n"/>
      <c r="HA22" s="133" t="n"/>
      <c r="HB22" s="133" t="n"/>
      <c r="HC22" s="133" t="n"/>
      <c r="HD22" s="133" t="n"/>
      <c r="HE22" s="133" t="n"/>
      <c r="HF22" s="133" t="n"/>
      <c r="HG22" s="133" t="n"/>
      <c r="HH22" s="133" t="n"/>
      <c r="HI22" s="133" t="n"/>
      <c r="HJ22" s="133" t="n"/>
      <c r="HK22" s="133" t="n"/>
      <c r="HL22" s="133" t="n"/>
      <c r="HM22" s="133" t="n"/>
      <c r="HN22" s="133" t="n"/>
      <c r="HO22" s="133" t="n"/>
      <c r="HP22" s="133" t="n"/>
      <c r="HQ22" s="133" t="n"/>
      <c r="HR22" s="133" t="n"/>
      <c r="HS22" s="133" t="n"/>
      <c r="HT22" s="133" t="n"/>
      <c r="HU22" s="133" t="n"/>
      <c r="HV22" s="133" t="n"/>
      <c r="HW22" s="133" t="n"/>
      <c r="HX22" s="133" t="n"/>
      <c r="HY22" s="133" t="n"/>
      <c r="HZ22" s="133" t="n"/>
      <c r="IA22" s="133" t="n"/>
      <c r="IB22" s="133" t="n"/>
      <c r="IC22" s="133" t="n"/>
      <c r="ID22" s="133" t="n"/>
      <c r="IE22" s="133" t="n"/>
      <c r="IF22" s="133" t="n"/>
      <c r="IG22" s="133" t="n"/>
      <c r="IH22" s="133" t="n"/>
      <c r="II22" s="133" t="n"/>
      <c r="IJ22" s="133" t="n"/>
      <c r="IK22" s="133" t="n"/>
      <c r="IL22" s="133" t="n"/>
      <c r="IM22" s="133" t="n"/>
      <c r="IN22" s="133" t="n"/>
      <c r="IO22" s="133" t="n"/>
      <c r="IP22" s="133" t="n"/>
      <c r="IQ22" s="133" t="n"/>
      <c r="IR22" s="133" t="n"/>
      <c r="IS22" s="133" t="n"/>
      <c r="IT22" s="133" t="n"/>
      <c r="IU22" s="133" t="n"/>
      <c r="IV22" s="133" t="n"/>
      <c r="IW22" s="133" t="n"/>
      <c r="IX22" s="133" t="n"/>
      <c r="IY22" s="133" t="n"/>
      <c r="IZ22" s="133" t="n"/>
      <c r="JA22" s="133" t="n"/>
      <c r="JB22" s="133" t="n"/>
      <c r="JC22" s="133" t="n"/>
      <c r="JD22" s="133" t="n"/>
      <c r="JE22" s="133" t="n"/>
      <c r="JF22" s="133" t="n"/>
      <c r="JG22" s="133" t="n"/>
      <c r="JH22" s="133" t="n"/>
      <c r="JI22" s="133" t="n"/>
      <c r="JJ22" s="133" t="n"/>
      <c r="JK22" s="133" t="n"/>
      <c r="JL22" s="133" t="n"/>
      <c r="JM22" s="133" t="n"/>
      <c r="JN22" s="133" t="n"/>
      <c r="JO22" s="133" t="n"/>
      <c r="JP22" s="133" t="n"/>
      <c r="JQ22" s="133" t="n"/>
      <c r="JR22" s="133" t="n"/>
      <c r="JS22" s="133" t="n"/>
      <c r="JT22" s="133" t="n"/>
      <c r="JU22" s="133" t="n"/>
      <c r="JV22" s="133" t="n"/>
      <c r="JW22" s="133" t="n"/>
      <c r="JX22" s="133" t="n"/>
      <c r="JY22" s="133" t="n"/>
      <c r="JZ22" s="133" t="n"/>
      <c r="KA22" s="133" t="n"/>
      <c r="KB22" s="133" t="n"/>
      <c r="KC22" s="133" t="n"/>
      <c r="KD22" s="133" t="n"/>
      <c r="KE22" s="133" t="n"/>
      <c r="KF22" s="133" t="n"/>
      <c r="KG22" s="133" t="n"/>
      <c r="KH22" s="133" t="n"/>
      <c r="KI22" s="133" t="n"/>
      <c r="KJ22" s="133" t="n"/>
      <c r="KK22" s="133" t="n"/>
      <c r="KL22" s="133" t="n"/>
      <c r="KM22" s="133" t="n"/>
      <c r="KN22" s="133" t="n"/>
      <c r="KO22" s="133" t="n"/>
      <c r="KP22" s="133" t="n"/>
      <c r="KQ22" s="133" t="n"/>
      <c r="KR22" s="133" t="n"/>
      <c r="KS22" s="133" t="n"/>
      <c r="KT22" s="133" t="n"/>
      <c r="KU22" s="133" t="n"/>
      <c r="KV22" s="133" t="n"/>
      <c r="KW22" s="133" t="n"/>
      <c r="KX22" s="133" t="n"/>
      <c r="KY22" s="133" t="n"/>
      <c r="KZ22" s="133" t="n"/>
      <c r="LA22" s="133" t="n"/>
      <c r="LB22" s="133" t="n"/>
      <c r="LC22" s="133" t="n"/>
      <c r="LD22" s="133" t="n"/>
      <c r="LE22" s="133" t="n"/>
      <c r="LF22" s="133" t="n"/>
      <c r="LG22" s="133" t="n"/>
      <c r="LH22" s="133" t="n"/>
      <c r="LI22" s="133" t="n"/>
      <c r="LJ22" s="133" t="n"/>
      <c r="LK22" s="133" t="n"/>
      <c r="LL22" s="133" t="n"/>
      <c r="LM22" s="133" t="n"/>
      <c r="LN22" s="133" t="n"/>
      <c r="LO22" s="133" t="n"/>
      <c r="LP22" s="133" t="n"/>
      <c r="LQ22" s="133" t="n"/>
      <c r="LR22" s="133" t="n"/>
      <c r="LS22" s="133" t="n"/>
      <c r="LT22" s="133" t="n"/>
      <c r="LU22" s="133" t="n"/>
      <c r="LV22" s="133" t="n"/>
      <c r="LW22" s="133" t="n"/>
      <c r="LX22" s="133" t="n"/>
      <c r="LY22" s="133" t="n"/>
      <c r="LZ22" s="133" t="n"/>
      <c r="MA22" s="133" t="n"/>
      <c r="MB22" s="133" t="n"/>
      <c r="MC22" s="133" t="n"/>
      <c r="MD22" s="133" t="n"/>
      <c r="ME22" s="133" t="n"/>
      <c r="MF22" s="133" t="n"/>
      <c r="MG22" s="133" t="n"/>
      <c r="MH22" s="133" t="n"/>
      <c r="MI22" s="133" t="n"/>
      <c r="MJ22" s="133" t="n"/>
      <c r="MK22" s="133" t="n"/>
      <c r="ML22" s="133" t="n"/>
      <c r="MM22" s="133" t="n"/>
      <c r="MN22" s="133" t="n"/>
      <c r="MO22" s="133" t="n"/>
      <c r="MP22" s="133" t="n"/>
      <c r="MQ22" s="133" t="n"/>
      <c r="MR22" s="133" t="n"/>
      <c r="MS22" s="133" t="n"/>
      <c r="MT22" s="133" t="n"/>
      <c r="MU22" s="133" t="n"/>
      <c r="MV22" s="133" t="n"/>
      <c r="MW22" s="133" t="n"/>
      <c r="MX22" s="133" t="n"/>
      <c r="MY22" s="133" t="n"/>
      <c r="MZ22" s="133" t="n"/>
      <c r="NA22" s="133" t="n"/>
      <c r="NB22" s="133" t="n"/>
      <c r="NC22" s="133" t="n"/>
      <c r="ND22" s="133" t="n"/>
      <c r="NE22" s="133" t="n"/>
      <c r="NF22" s="133" t="n"/>
      <c r="NG22" s="133" t="n"/>
      <c r="NH22" s="133" t="n"/>
      <c r="NI22" s="133" t="n"/>
      <c r="NJ22" s="133" t="n"/>
      <c r="NK22" s="133" t="n"/>
      <c r="NL22" s="133" t="n"/>
      <c r="NM22" s="133" t="n"/>
      <c r="NN22" s="133" t="n"/>
      <c r="NO22" s="133" t="n"/>
      <c r="NP22" s="133" t="n"/>
      <c r="NQ22" s="133" t="n"/>
      <c r="NR22" s="133" t="n"/>
      <c r="NS22" s="133" t="n"/>
      <c r="NT22" s="133" t="n"/>
      <c r="NU22" s="133" t="n"/>
      <c r="NV22" s="133" t="n"/>
      <c r="NW22" s="133" t="n"/>
      <c r="NX22" s="133" t="n"/>
      <c r="NY22" s="133" t="n"/>
      <c r="NZ22" s="133" t="n"/>
      <c r="OA22" s="133" t="n"/>
      <c r="OB22" s="133" t="n"/>
      <c r="OC22" s="133" t="n"/>
      <c r="OD22" s="133" t="n"/>
      <c r="OE22" s="133" t="n"/>
      <c r="OF22" s="133" t="n"/>
      <c r="OG22" s="133" t="n"/>
      <c r="OH22" s="133" t="n"/>
      <c r="OI22" s="133" t="n"/>
      <c r="OJ22" s="133" t="n"/>
      <c r="OK22" s="133" t="n"/>
      <c r="OL22" s="133" t="n"/>
      <c r="OM22" s="133" t="n"/>
      <c r="ON22" s="133" t="n"/>
      <c r="OO22" s="133" t="n"/>
      <c r="OP22" s="133" t="n"/>
      <c r="OQ22" s="133" t="n"/>
      <c r="OR22" s="133" t="n"/>
      <c r="OS22" s="133" t="n"/>
      <c r="OT22" s="133" t="n"/>
      <c r="OU22" s="133" t="n"/>
      <c r="OV22" s="133" t="n"/>
      <c r="OW22" s="133" t="n"/>
      <c r="OX22" s="133" t="n"/>
      <c r="OY22" s="133" t="n"/>
      <c r="OZ22" s="133" t="n"/>
      <c r="PA22" s="133" t="n"/>
      <c r="PB22" s="133" t="n"/>
      <c r="PC22" s="133" t="n"/>
      <c r="PD22" s="133" t="n"/>
      <c r="PE22" s="133" t="n"/>
      <c r="PF22" s="133" t="n"/>
      <c r="PG22" s="133" t="n"/>
      <c r="PH22" s="133" t="n"/>
      <c r="PI22" s="133" t="n"/>
      <c r="PJ22" s="133" t="n"/>
      <c r="PK22" s="133" t="n"/>
      <c r="PL22" s="133" t="n"/>
      <c r="PM22" s="133" t="n"/>
      <c r="PN22" s="133" t="n"/>
      <c r="PO22" s="133" t="n"/>
      <c r="PP22" s="133" t="n"/>
      <c r="PQ22" s="133" t="n"/>
      <c r="PR22" s="133" t="n"/>
      <c r="PS22" s="133" t="n"/>
      <c r="PT22" s="133" t="n"/>
      <c r="PU22" s="133" t="n"/>
      <c r="PV22" s="133" t="n"/>
      <c r="PW22" s="133" t="n"/>
      <c r="PX22" s="133" t="n"/>
      <c r="PY22" s="133" t="n"/>
      <c r="PZ22" s="133" t="n"/>
      <c r="QA22" s="133" t="n"/>
      <c r="QB22" s="133" t="n"/>
      <c r="QC22" s="133" t="n"/>
      <c r="QD22" s="133" t="n"/>
      <c r="QE22" s="133" t="n"/>
      <c r="QF22" s="133" t="n"/>
      <c r="QG22" s="133" t="n"/>
      <c r="QH22" s="133" t="n"/>
      <c r="QI22" s="133" t="n"/>
      <c r="QJ22" s="133" t="n"/>
      <c r="QK22" s="133" t="n"/>
      <c r="QL22" s="133" t="n"/>
      <c r="QM22" s="133" t="n"/>
      <c r="QN22" s="133" t="n"/>
      <c r="QO22" s="133" t="n"/>
      <c r="QP22" s="133" t="n"/>
      <c r="QQ22" s="133" t="n"/>
      <c r="QR22" s="133" t="n"/>
      <c r="QS22" s="133" t="n"/>
      <c r="QT22" s="133" t="n"/>
      <c r="QU22" s="133" t="n"/>
      <c r="QV22" s="133" t="n"/>
      <c r="QW22" s="133" t="n"/>
      <c r="QX22" s="133" t="n"/>
      <c r="QY22" s="133" t="n"/>
      <c r="QZ22" s="133" t="n"/>
      <c r="RA22" s="133" t="n"/>
      <c r="RB22" s="133" t="n"/>
      <c r="RC22" s="133" t="n"/>
      <c r="RD22" s="133" t="n"/>
      <c r="RE22" s="133" t="n"/>
      <c r="RF22" s="133" t="n"/>
      <c r="RG22" s="133" t="n"/>
      <c r="RH22" s="133" t="n"/>
      <c r="RI22" s="133" t="n"/>
      <c r="RJ22" s="133" t="n"/>
      <c r="RK22" s="133" t="n"/>
      <c r="RL22" s="133" t="n"/>
      <c r="RM22" s="133" t="n"/>
      <c r="RN22" s="133" t="n"/>
      <c r="RO22" s="133" t="n"/>
      <c r="RP22" s="133" t="n"/>
      <c r="RQ22" s="133" t="n"/>
      <c r="RR22" s="133" t="n"/>
      <c r="RS22" s="133" t="n"/>
      <c r="RT22" s="133" t="n"/>
      <c r="RU22" s="133" t="n"/>
      <c r="RV22" s="133" t="n"/>
      <c r="RW22" s="133" t="n"/>
      <c r="RX22" s="133" t="n"/>
      <c r="RY22" s="133" t="n"/>
      <c r="RZ22" s="133" t="n"/>
      <c r="SA22" s="133" t="n"/>
      <c r="SB22" s="133" t="n"/>
      <c r="SC22" s="133" t="n"/>
      <c r="SD22" s="133" t="n"/>
      <c r="SE22" s="133" t="n"/>
      <c r="SF22" s="133" t="n"/>
      <c r="SG22" s="133" t="n"/>
      <c r="SH22" s="133" t="n"/>
      <c r="SI22" s="133" t="n"/>
      <c r="SJ22" s="133" t="n"/>
      <c r="SK22" s="133" t="n"/>
      <c r="SL22" s="133" t="n"/>
      <c r="SM22" s="133" t="n"/>
      <c r="SN22" s="133" t="n"/>
      <c r="SO22" s="133" t="n"/>
      <c r="SP22" s="133" t="n"/>
      <c r="SQ22" s="133" t="n"/>
      <c r="SR22" s="133" t="n"/>
      <c r="SS22" s="133" t="n"/>
      <c r="ST22" s="133" t="n"/>
      <c r="SU22" s="133" t="n"/>
      <c r="SV22" s="133" t="n"/>
      <c r="SW22" s="133" t="n"/>
      <c r="SX22" s="133" t="n"/>
      <c r="SY22" s="133" t="n"/>
      <c r="SZ22" s="133" t="n"/>
      <c r="TA22" s="133" t="n"/>
      <c r="TB22" s="133" t="n"/>
      <c r="TC22" s="133" t="n"/>
      <c r="TD22" s="133" t="n"/>
      <c r="TE22" s="133" t="n"/>
      <c r="TF22" s="133" t="n"/>
      <c r="TG22" s="133" t="n"/>
      <c r="TH22" s="133" t="n"/>
      <c r="TI22" s="133" t="n"/>
      <c r="TJ22" s="133" t="n"/>
      <c r="TK22" s="133" t="n"/>
      <c r="TL22" s="133" t="n"/>
      <c r="TM22" s="133" t="n"/>
      <c r="TN22" s="133" t="n"/>
      <c r="TO22" s="133" t="n"/>
      <c r="TP22" s="133" t="n"/>
      <c r="TQ22" s="133" t="n"/>
      <c r="TR22" s="133" t="n"/>
      <c r="TS22" s="133" t="n"/>
      <c r="TT22" s="133" t="n"/>
      <c r="TU22" s="133" t="n"/>
      <c r="TV22" s="133" t="n"/>
      <c r="TW22" s="133" t="n"/>
      <c r="TX22" s="133" t="n"/>
      <c r="TY22" s="133" t="n"/>
      <c r="TZ22" s="133" t="n"/>
      <c r="UA22" s="133" t="n"/>
      <c r="UB22" s="133" t="n"/>
      <c r="UC22" s="133" t="n"/>
      <c r="UD22" s="133" t="n"/>
      <c r="UE22" s="133" t="n"/>
      <c r="UF22" s="133" t="n"/>
      <c r="UG22" s="133" t="n"/>
      <c r="UH22" s="133" t="n"/>
      <c r="UI22" s="133" t="n"/>
      <c r="UJ22" s="133" t="n"/>
      <c r="UK22" s="133" t="n"/>
      <c r="UL22" s="133" t="n"/>
      <c r="UM22" s="133" t="n"/>
      <c r="UN22" s="133" t="n"/>
      <c r="UO22" s="133" t="n"/>
      <c r="UP22" s="133" t="n"/>
      <c r="UQ22" s="133" t="n"/>
      <c r="UR22" s="133" t="n"/>
      <c r="US22" s="133" t="n"/>
      <c r="UT22" s="133" t="n"/>
      <c r="UU22" s="133" t="n"/>
      <c r="UV22" s="133" t="n">
        <v>0.0075</v>
      </c>
      <c r="UW22" s="133" t="n">
        <v>0.0075</v>
      </c>
      <c r="UX22" s="133" t="n">
        <v>0.0075</v>
      </c>
      <c r="UY22" s="133" t="n">
        <v>0.0075</v>
      </c>
      <c r="UZ22" s="133" t="n">
        <v>0.0075</v>
      </c>
      <c r="VA22" s="133" t="n">
        <v>0.0075</v>
      </c>
      <c r="VB22" s="133" t="n">
        <v>0.0075</v>
      </c>
      <c r="VC22" s="133" t="n">
        <v>0.0075</v>
      </c>
      <c r="VD22" s="133" t="n">
        <v>0.0075</v>
      </c>
      <c r="VE22" s="133" t="n">
        <v>0.0075</v>
      </c>
      <c r="VF22" s="133" t="n">
        <v>0.0075</v>
      </c>
      <c r="VG22" s="133" t="n">
        <v>0.0075</v>
      </c>
      <c r="VH22" s="133" t="n">
        <v>0.0075</v>
      </c>
      <c r="VI22" s="133" t="n">
        <v>0.0075</v>
      </c>
      <c r="VJ22" s="133">
        <f>$C$57</f>
        <v/>
      </c>
      <c r="VK22" s="133" t="n">
        <v>0.0075</v>
      </c>
      <c r="VL22" s="133" t="n">
        <v>0.0075</v>
      </c>
      <c r="VM22" s="133" t="n">
        <v>0.0075</v>
      </c>
      <c r="VN22" s="133" t="n">
        <v>0.0075</v>
      </c>
      <c r="VO22" s="133" t="n">
        <v>0.0075</v>
      </c>
      <c r="VP22" s="133" t="n">
        <v>0.0075</v>
      </c>
      <c r="VQ22" s="133" t="n">
        <v>0.0075</v>
      </c>
      <c r="VR22" s="133" t="n">
        <v>0.0075</v>
      </c>
      <c r="VS22" s="133" t="n">
        <v>0.0075</v>
      </c>
      <c r="VT22" s="133" t="n">
        <v>0.0075</v>
      </c>
      <c r="VU22" s="133" t="n">
        <v>0.0075</v>
      </c>
      <c r="VV22" s="133" t="n">
        <v>0.0075</v>
      </c>
      <c r="VW22" s="133" t="n">
        <v>0.0075</v>
      </c>
      <c r="VX22" s="133" t="n">
        <v>0.0075</v>
      </c>
      <c r="VY22" s="133" t="n">
        <v>0.0075</v>
      </c>
      <c r="VZ22" s="133" t="n">
        <v>0.0075</v>
      </c>
      <c r="WA22" s="133" t="n">
        <v>0.0075</v>
      </c>
      <c r="WB22" s="133" t="n">
        <v>0.0075</v>
      </c>
      <c r="WC22" s="133" t="n">
        <v>0.0075</v>
      </c>
      <c r="WD22" s="133" t="n">
        <v>0.0075</v>
      </c>
      <c r="WE22" s="133" t="n">
        <v>0.0075</v>
      </c>
      <c r="WF22" s="133" t="n">
        <v>0.0075</v>
      </c>
      <c r="WG22" s="133" t="n">
        <v>0.0075</v>
      </c>
      <c r="WH22" s="133" t="n">
        <v>0.0075</v>
      </c>
      <c r="WI22" s="133" t="n">
        <v>0.0075</v>
      </c>
      <c r="WJ22" s="133" t="n">
        <v>0.0075</v>
      </c>
      <c r="WK22" s="133" t="n">
        <v>0.0075</v>
      </c>
      <c r="WL22" s="133" t="n">
        <v>0.0075</v>
      </c>
      <c r="WM22" s="133" t="n">
        <v>0.0075</v>
      </c>
      <c r="WN22" s="133" t="n">
        <v>0.0075</v>
      </c>
      <c r="WO22" s="133" t="n">
        <v>0.0075</v>
      </c>
      <c r="WP22" s="133" t="n">
        <v>0.0075</v>
      </c>
      <c r="WQ22" s="133" t="n">
        <v>0.0075</v>
      </c>
      <c r="WR22" s="133">
        <f>$C$57</f>
        <v/>
      </c>
      <c r="WS22" s="133" t="n">
        <v>0.0075</v>
      </c>
      <c r="WT22" s="133" t="n">
        <v>0.0075</v>
      </c>
      <c r="WU22" s="133" t="n">
        <v>0.0075</v>
      </c>
      <c r="WV22" s="133" t="n">
        <v>0.0075</v>
      </c>
      <c r="WW22" s="133" t="n">
        <v>0.0075</v>
      </c>
      <c r="WX22" s="133" t="n">
        <v>0.0075</v>
      </c>
      <c r="WY22" s="133" t="n">
        <v>0.0075</v>
      </c>
      <c r="WZ22" s="133" t="n">
        <v>0.0075</v>
      </c>
      <c r="XA22" s="133" t="n">
        <v>0.0075</v>
      </c>
      <c r="XB22" s="133" t="n">
        <v>0.0075</v>
      </c>
      <c r="XC22" s="133" t="n">
        <v>0.0075</v>
      </c>
      <c r="XD22" s="133" t="n">
        <v>0.0075</v>
      </c>
      <c r="XE22" s="133" t="n">
        <v>0.0075</v>
      </c>
      <c r="XF22" s="133" t="n">
        <v>0.0075</v>
      </c>
      <c r="XG22" s="133" t="n">
        <v>0.0075</v>
      </c>
      <c r="XH22" s="133" t="n">
        <v>0.0075</v>
      </c>
      <c r="XI22" s="133" t="n">
        <v>0.0075</v>
      </c>
      <c r="XJ22" s="133" t="n">
        <v>0.0075</v>
      </c>
      <c r="XK22" s="133" t="n">
        <v>0.0075</v>
      </c>
      <c r="XL22" s="133" t="n">
        <v>0.0075</v>
      </c>
      <c r="XM22" s="133" t="n">
        <v>0.0075</v>
      </c>
      <c r="XN22" s="133" t="n">
        <v>0.0075</v>
      </c>
      <c r="XO22" s="133" t="n">
        <v>0.0075</v>
      </c>
      <c r="XP22" s="133" t="n">
        <v>0.0075</v>
      </c>
      <c r="XQ22" s="133" t="n">
        <v>0.0075</v>
      </c>
      <c r="XR22" s="133" t="n">
        <v>0.0075</v>
      </c>
      <c r="XS22" s="133" t="n">
        <v>0.0075</v>
      </c>
      <c r="XT22" s="133">
        <f>$C$57</f>
        <v/>
      </c>
      <c r="XU22" s="133" t="n">
        <v>0.0075</v>
      </c>
      <c r="XV22" s="133" t="n">
        <v>0.0075</v>
      </c>
      <c r="XW22" s="133" t="n">
        <v>0.0075</v>
      </c>
      <c r="XX22" s="133" t="n">
        <v>0.0075</v>
      </c>
      <c r="XY22" s="133" t="n">
        <v>0.0075</v>
      </c>
      <c r="XZ22" s="133" t="n">
        <v>0.0075</v>
      </c>
      <c r="YA22" s="133" t="n">
        <v>0.0075</v>
      </c>
      <c r="YB22" s="133" t="n">
        <v>0.0075</v>
      </c>
      <c r="YC22" s="133" t="n">
        <v>0.0075</v>
      </c>
      <c r="YD22" s="133" t="n">
        <v>0.0075</v>
      </c>
      <c r="YE22" s="133" t="n">
        <v>0.0075</v>
      </c>
      <c r="YF22" s="133" t="n">
        <v>0.0075</v>
      </c>
      <c r="YG22" s="133" t="n">
        <v>0.0075</v>
      </c>
      <c r="YH22" s="133" t="n">
        <v>0.0075</v>
      </c>
      <c r="YI22" s="133" t="n">
        <v>0.0075</v>
      </c>
      <c r="YJ22" s="133" t="n">
        <v>0.0075</v>
      </c>
      <c r="YK22" s="133" t="n">
        <v>0.0075</v>
      </c>
      <c r="YL22" s="133" t="n">
        <v>0.0075</v>
      </c>
      <c r="YM22" s="133">
        <f>$C$57</f>
        <v/>
      </c>
      <c r="YN22" s="133" t="n">
        <v>0.0075</v>
      </c>
      <c r="YO22" s="133" t="n">
        <v>0.0075</v>
      </c>
      <c r="YP22" s="133" t="n">
        <v>0.0075</v>
      </c>
      <c r="YQ22" s="133" t="n">
        <v>0.0075</v>
      </c>
      <c r="YR22" s="133" t="n">
        <v>0.0075</v>
      </c>
      <c r="YS22" s="133" t="n">
        <v>0.0075</v>
      </c>
      <c r="YT22" s="133" t="n">
        <v>0.0075</v>
      </c>
      <c r="YU22" s="133" t="n">
        <v>0.0075</v>
      </c>
      <c r="YV22" s="133" t="n">
        <v>0.0075</v>
      </c>
      <c r="YW22" s="133" t="n">
        <v>0.0075</v>
      </c>
      <c r="YX22" s="133" t="n">
        <v>0.0075</v>
      </c>
      <c r="YY22" s="133" t="n">
        <v>0.0075</v>
      </c>
      <c r="YZ22" s="133" t="n">
        <v>0.0075</v>
      </c>
      <c r="ZA22" s="133" t="n">
        <v>0.0075</v>
      </c>
      <c r="ZB22" s="133" t="n">
        <v>0.0075</v>
      </c>
      <c r="ZC22" s="133" t="n">
        <v>0.0075</v>
      </c>
      <c r="ZD22" s="133" t="n">
        <v>0.0075</v>
      </c>
      <c r="ZE22" s="133" t="n">
        <v>0.0075</v>
      </c>
      <c r="ZF22" s="1459">
        <f>$C$57</f>
        <v/>
      </c>
    </row>
    <row r="23" ht="13.2" customFormat="1" customHeight="1" s="1454">
      <c r="A23" s="1447" t="n"/>
      <c r="B23" s="1448" t="inlineStr">
        <is>
          <t xml:space="preserve">4. CNY
</t>
        </is>
      </c>
      <c r="C23" s="412" t="inlineStr">
        <is>
          <t>Overnight / Saving</t>
        </is>
      </c>
      <c r="D23" s="1456" t="n"/>
      <c r="E23" s="1460" t="n"/>
      <c r="F23" s="1460" t="n"/>
      <c r="G23" s="1460" t="n"/>
      <c r="H23" s="1460" t="n"/>
      <c r="I23" s="1460" t="n"/>
      <c r="J23" s="1460" t="n"/>
      <c r="K23" s="1460" t="n"/>
      <c r="L23" s="1460" t="n"/>
      <c r="M23" s="1460" t="n"/>
      <c r="N23" s="1460" t="n"/>
      <c r="O23" s="1460" t="n"/>
      <c r="P23" s="1460" t="n"/>
      <c r="Q23" s="1460" t="n"/>
      <c r="R23" s="1460" t="n"/>
      <c r="S23" s="1460" t="n"/>
      <c r="T23" s="1460" t="n"/>
      <c r="U23" s="1460" t="n"/>
      <c r="V23" s="1460" t="n"/>
      <c r="W23" s="1460" t="n"/>
      <c r="X23" s="1460" t="n"/>
      <c r="Y23" s="1460" t="n"/>
      <c r="Z23" s="1460" t="n"/>
      <c r="AA23" s="1460" t="n"/>
      <c r="AB23" s="1460" t="n"/>
      <c r="AC23" s="1460" t="n"/>
      <c r="AD23" s="1460" t="n"/>
      <c r="AE23" s="1460" t="n"/>
      <c r="AF23" s="1460" t="n"/>
      <c r="AG23" s="1460" t="n"/>
      <c r="AH23" s="1460" t="n"/>
      <c r="AI23" s="1460" t="n"/>
      <c r="AJ23" s="1460" t="n"/>
      <c r="AK23" s="1460" t="n"/>
      <c r="AL23" s="1460" t="n"/>
      <c r="AM23" s="1460" t="n"/>
      <c r="AN23" s="1460" t="n"/>
      <c r="AO23" s="1460" t="n"/>
      <c r="AP23" s="1460" t="n"/>
      <c r="AQ23" s="1460" t="n"/>
      <c r="AR23" s="1460" t="n"/>
      <c r="AS23" s="1460" t="n"/>
      <c r="AT23" s="1460" t="n"/>
      <c r="AU23" s="1460" t="n"/>
      <c r="AV23" s="1460" t="n"/>
      <c r="AW23" s="1460" t="n"/>
      <c r="AX23" s="1460" t="n"/>
      <c r="AY23" s="1460" t="n"/>
      <c r="AZ23" s="1460" t="n"/>
      <c r="BA23" s="1460" t="n"/>
      <c r="BB23" s="1460" t="n"/>
      <c r="BC23" s="1460" t="n"/>
      <c r="BD23" s="1460" t="n"/>
      <c r="BE23" s="1460" t="n"/>
      <c r="BF23" s="1460" t="n"/>
      <c r="BG23" s="1460" t="n"/>
      <c r="BH23" s="1460" t="n"/>
      <c r="BI23" s="1460" t="n"/>
      <c r="BJ23" s="1460" t="n"/>
      <c r="BK23" s="1460" t="n"/>
      <c r="BL23" s="1460" t="n"/>
      <c r="BM23" s="1460" t="n"/>
      <c r="BN23" s="1460" t="n"/>
      <c r="BO23" s="1460" t="n"/>
      <c r="BP23" s="1460" t="n"/>
      <c r="BQ23" s="1460" t="n"/>
      <c r="BR23" s="1460" t="n"/>
      <c r="BS23" s="1460" t="n"/>
      <c r="BT23" s="1460" t="n"/>
      <c r="BU23" s="1460" t="n"/>
      <c r="BV23" s="1460" t="n"/>
      <c r="BW23" s="1460" t="n"/>
      <c r="BX23" s="1460" t="n"/>
      <c r="BY23" s="1460" t="n"/>
      <c r="BZ23" s="1460" t="n"/>
      <c r="CA23" s="1460" t="n"/>
      <c r="CB23" s="1460" t="n"/>
      <c r="CC23" s="1460" t="n"/>
      <c r="CD23" s="1460" t="n"/>
      <c r="CE23" s="1460" t="n"/>
      <c r="CF23" s="1460" t="n"/>
      <c r="CG23" s="1460" t="n"/>
      <c r="CH23" s="1460" t="n"/>
      <c r="CI23" s="1460" t="n"/>
      <c r="CJ23" s="1460" t="n"/>
      <c r="CK23" s="1460" t="n"/>
      <c r="CL23" s="1460" t="n"/>
      <c r="CM23" s="1460" t="n"/>
      <c r="CN23" s="1460" t="n"/>
      <c r="CO23" s="1460" t="n"/>
      <c r="CP23" s="1457" t="n"/>
      <c r="CQ23" s="1457" t="n"/>
      <c r="CR23" s="1457" t="n"/>
      <c r="CS23" s="1457" t="n"/>
      <c r="CT23" s="1457" t="n"/>
      <c r="CU23" s="1457" t="n"/>
      <c r="CV23" s="1457" t="n"/>
      <c r="CW23" s="1457" t="n"/>
      <c r="CX23" s="1457" t="n"/>
      <c r="CY23" s="1457" t="n"/>
      <c r="CZ23" s="1457" t="n"/>
      <c r="DA23" s="1457" t="n"/>
      <c r="DB23" s="1457" t="n"/>
      <c r="DC23" s="1457" t="n"/>
      <c r="DD23" s="1457" t="n"/>
      <c r="DE23" s="1457" t="n"/>
      <c r="DF23" s="1457" t="n"/>
      <c r="DG23" s="1457" t="n"/>
      <c r="DH23" s="1457" t="n"/>
      <c r="DI23" s="1457" t="n"/>
      <c r="DJ23" s="1457" t="n"/>
      <c r="DK23" s="1457" t="n"/>
      <c r="DL23" s="1457" t="n"/>
      <c r="DM23" s="1457" t="n"/>
      <c r="DN23" s="1457" t="n"/>
      <c r="DO23" s="1457" t="n"/>
      <c r="DP23" s="1457" t="n"/>
      <c r="DQ23" s="1457" t="n"/>
      <c r="DR23" s="1457" t="n"/>
      <c r="DS23" s="1457" t="n"/>
      <c r="DT23" s="1457" t="n"/>
      <c r="DU23" s="1457" t="n"/>
      <c r="DV23" s="1457" t="n"/>
      <c r="DW23" s="1457" t="n"/>
      <c r="DX23" s="1457" t="n"/>
      <c r="DY23" s="1457" t="n"/>
      <c r="DZ23" s="1456" t="n"/>
      <c r="EA23" s="1456" t="n"/>
      <c r="EB23" s="1456" t="n"/>
      <c r="EC23" s="1456" t="n"/>
      <c r="ED23" s="1456" t="n"/>
      <c r="EE23" s="1456" t="n"/>
      <c r="EF23" s="1456" t="n"/>
      <c r="EG23" s="1456" t="n"/>
      <c r="EH23" s="1456" t="n"/>
      <c r="EI23" s="1456" t="n"/>
      <c r="EJ23" s="1456" t="n"/>
      <c r="EK23" s="1456" t="n"/>
      <c r="EL23" s="1456" t="n"/>
      <c r="EM23" s="1456" t="n"/>
      <c r="EN23" s="1456" t="n"/>
      <c r="EO23" s="1456" t="n"/>
      <c r="EP23" s="1456" t="n"/>
      <c r="EQ23" s="1456" t="n"/>
      <c r="ER23" s="1456" t="n"/>
      <c r="ES23" s="1456" t="n"/>
      <c r="ET23" s="1456" t="n"/>
      <c r="EU23" s="1456" t="n"/>
      <c r="EV23" s="1456" t="n"/>
      <c r="EW23" s="1456" t="n"/>
      <c r="EX23" s="1456" t="n"/>
      <c r="EY23" s="1456" t="n"/>
      <c r="EZ23" s="1456" t="n"/>
      <c r="FA23" s="1456" t="n"/>
      <c r="FB23" s="1456" t="n"/>
      <c r="FC23" s="1456" t="n"/>
      <c r="FD23" s="1456" t="n"/>
      <c r="FE23" s="1456" t="n"/>
      <c r="FF23" s="1456" t="n"/>
      <c r="FG23" s="1456" t="n"/>
      <c r="FH23" s="1456" t="n"/>
      <c r="FI23" s="1456" t="n"/>
      <c r="FJ23" s="1456" t="n"/>
      <c r="FK23" s="1456" t="n"/>
      <c r="FL23" s="1456" t="n"/>
      <c r="FM23" s="1456" t="n"/>
      <c r="FN23" s="1456" t="n"/>
      <c r="FO23" s="1456" t="n"/>
      <c r="FP23" s="1456" t="n"/>
      <c r="FQ23" s="1456" t="n"/>
      <c r="FR23" s="1456" t="n"/>
      <c r="FS23" s="1456" t="n"/>
      <c r="FT23" s="1456" t="n"/>
      <c r="FU23" s="1456" t="n"/>
      <c r="FV23" s="1456" t="n"/>
      <c r="FW23" s="1456" t="n"/>
      <c r="FX23" s="1456" t="n"/>
      <c r="FY23" s="1456" t="n"/>
      <c r="FZ23" s="1456" t="n"/>
      <c r="GA23" s="1456" t="n"/>
      <c r="GB23" s="1456" t="n"/>
      <c r="GC23" s="1456" t="n"/>
      <c r="GD23" s="1456" t="n"/>
      <c r="GE23" s="1456" t="n"/>
      <c r="GF23" s="1456" t="n"/>
      <c r="GG23" s="1456" t="n"/>
      <c r="GH23" s="1456" t="n"/>
      <c r="GI23" s="1456" t="n"/>
      <c r="GJ23" s="1456" t="n"/>
      <c r="GK23" s="1456" t="n"/>
      <c r="GL23" s="1456" t="n"/>
      <c r="GM23" s="1456" t="n"/>
      <c r="GN23" s="1456" t="n"/>
      <c r="GO23" s="1456" t="n"/>
      <c r="GP23" s="1456" t="n"/>
      <c r="GQ23" s="1456" t="n"/>
      <c r="GR23" s="1456" t="n"/>
      <c r="GS23" s="1456" t="n"/>
      <c r="GT23" s="1456" t="n"/>
      <c r="GU23" s="1456" t="n"/>
      <c r="GV23" s="1456" t="n"/>
      <c r="GW23" s="1456" t="n"/>
      <c r="GX23" s="1456" t="n"/>
      <c r="GY23" s="1456" t="n"/>
      <c r="GZ23" s="1456" t="n"/>
      <c r="HA23" s="1456" t="n"/>
      <c r="HB23" s="1456" t="n"/>
      <c r="HC23" s="1456" t="n"/>
      <c r="HD23" s="1456" t="n"/>
      <c r="HE23" s="648" t="n"/>
      <c r="HF23" s="648" t="n"/>
      <c r="HG23" s="648" t="n"/>
      <c r="HH23" s="648" t="n"/>
      <c r="HI23" s="648" t="n"/>
      <c r="HJ23" s="648" t="n"/>
      <c r="HK23" s="648" t="n"/>
      <c r="HL23" s="648" t="n"/>
      <c r="HM23" s="648" t="n"/>
      <c r="HN23" s="648" t="n"/>
      <c r="HO23" s="648" t="n"/>
      <c r="HP23" s="648" t="n"/>
      <c r="HQ23" s="648" t="n"/>
      <c r="HR23" s="648" t="n"/>
      <c r="HS23" s="648" t="n"/>
      <c r="HT23" s="648" t="n"/>
      <c r="HU23" s="648" t="n"/>
      <c r="HV23" s="648" t="n"/>
      <c r="HW23" s="648" t="n"/>
      <c r="HX23" s="648" t="n"/>
      <c r="HY23" s="648" t="n"/>
      <c r="HZ23" s="648" t="n"/>
      <c r="IA23" s="648" t="n"/>
      <c r="IB23" s="648" t="n"/>
      <c r="IC23" s="1449" t="n">
        <v>1.96575247539183</v>
      </c>
      <c r="ID23" s="1449" t="n">
        <v>1.96575247539183</v>
      </c>
      <c r="IE23" s="1449" t="n">
        <v>0.9773190666483977</v>
      </c>
      <c r="IF23" s="1449" t="n">
        <v>0.9773190666483977</v>
      </c>
      <c r="IG23" s="1449" t="n">
        <v>0.9926610096990799</v>
      </c>
      <c r="IH23" s="1449" t="n">
        <v>0.9926610096990799</v>
      </c>
      <c r="II23" s="1449" t="n">
        <v>0.9136790876313768</v>
      </c>
      <c r="IJ23" s="1449" t="n">
        <v>0.9121897072026384</v>
      </c>
      <c r="IK23" s="1449" t="n">
        <v>0.9151948378800707</v>
      </c>
      <c r="IL23" s="1449" t="n">
        <v>0.9166923699036796</v>
      </c>
      <c r="IM23" s="1449" t="n">
        <v>0.9231432312940328</v>
      </c>
      <c r="IN23" s="1449" t="n">
        <v>0.460308256649438</v>
      </c>
      <c r="IO23" s="1449" t="n">
        <v>0.4563880741847588</v>
      </c>
      <c r="IP23" s="1449" t="n">
        <v>0.4561329994608856</v>
      </c>
      <c r="IQ23" s="1449" t="n">
        <v>0.4564109124876923</v>
      </c>
      <c r="IR23" s="1449" t="n">
        <v>0.4573064336739379</v>
      </c>
      <c r="IS23" s="1449" t="n">
        <v>0.4561138213647034</v>
      </c>
      <c r="IT23" s="1449" t="n">
        <v>1.881055117000162</v>
      </c>
      <c r="IU23" s="1449" t="n">
        <v>1.881055117000162</v>
      </c>
      <c r="IV23" s="1449" t="n">
        <v>1.878170604565688</v>
      </c>
      <c r="IW23" s="1449" t="n">
        <v>1.878747509548683</v>
      </c>
      <c r="IX23" s="1449" t="n">
        <v>1.880555108801736</v>
      </c>
      <c r="IY23" s="1449" t="n">
        <v>1.880555108801736</v>
      </c>
      <c r="IZ23" s="1449" t="n">
        <v>1.880555108801736</v>
      </c>
      <c r="JA23" s="1449" t="n">
        <v>1.879274685615568</v>
      </c>
      <c r="JB23" s="1449" t="n">
        <v>1.711197863786662</v>
      </c>
      <c r="JC23" s="1449" t="n">
        <v>1.704540907704351</v>
      </c>
      <c r="JD23" s="1449" t="n">
        <v>1.704518523457529</v>
      </c>
      <c r="JE23" s="1449" t="n">
        <v>1.699060306411495</v>
      </c>
      <c r="JF23" s="1449" t="n">
        <v>1.704011779271443</v>
      </c>
      <c r="JG23" s="1449" t="n">
        <v>1.701610502538463</v>
      </c>
      <c r="JH23" s="1449" t="n">
        <v>1.700108214753705</v>
      </c>
      <c r="JI23" s="1449" t="n">
        <v>1.693848581445226</v>
      </c>
      <c r="JJ23" s="1449" t="n">
        <v>1.691693865515746</v>
      </c>
      <c r="JK23" s="1449" t="n">
        <v>1.692830691772079</v>
      </c>
      <c r="JL23" s="1449" t="n">
        <v>1.686505616332523</v>
      </c>
      <c r="JM23" s="1449" t="n">
        <v>1.686693937812106</v>
      </c>
      <c r="JN23" s="1449" t="n">
        <v>1.694263302125535</v>
      </c>
      <c r="JO23" s="1449" t="n">
        <v>0.9662197455108055</v>
      </c>
      <c r="JP23" s="1449" t="n">
        <v>0.9687503617592655</v>
      </c>
      <c r="JQ23" s="1449" t="n">
        <v>0.9636603427175139</v>
      </c>
      <c r="JR23" s="1449" t="n">
        <v>0.9654625333200938</v>
      </c>
      <c r="JS23" s="1449" t="n">
        <v>0.9581917269035192</v>
      </c>
      <c r="JT23" s="1449" t="n">
        <v>0.9573516377606941</v>
      </c>
      <c r="JU23" s="1449">
        <f>'Cash in bank report'!$D$15-'Cash in bank report'!$D$58</f>
        <v/>
      </c>
      <c r="JV23" s="1449" t="n">
        <v>0.9468788096622294</v>
      </c>
      <c r="JW23" s="1449" t="n">
        <v>0.9492725380334956</v>
      </c>
      <c r="JX23" s="1449" t="n">
        <v>0.9448723349224837</v>
      </c>
      <c r="JY23" s="1449" t="n">
        <v>0.9422194758758335</v>
      </c>
      <c r="JZ23" s="1449" t="n">
        <v>0.9423992652284883</v>
      </c>
      <c r="KA23" s="1449" t="n">
        <v>0.9386439131177322</v>
      </c>
      <c r="KB23" s="1449" t="n">
        <v>0.9407455558476215</v>
      </c>
      <c r="KC23" s="1449" t="n">
        <v>0.9385133346016203</v>
      </c>
      <c r="KD23" s="1449" t="n">
        <v>0.9316333686507896</v>
      </c>
      <c r="KE23" s="1449" t="n">
        <v>0.9287719547251532</v>
      </c>
      <c r="KF23" s="1449" t="n">
        <v>0.9285432070345838</v>
      </c>
      <c r="KG23" s="1449" t="n">
        <v>0.9337498716522659</v>
      </c>
      <c r="KH23" s="1449" t="n">
        <v>0.9286292414551193</v>
      </c>
      <c r="KI23" s="1449" t="n">
        <v>0.8911255402497469</v>
      </c>
      <c r="KJ23" s="1449" t="n">
        <v>0.5316974936758898</v>
      </c>
      <c r="KK23" s="1449" t="n">
        <v>0.5316974936758898</v>
      </c>
      <c r="KL23" s="1449" t="n">
        <v>0.4966332467857708</v>
      </c>
      <c r="KM23" s="1449" t="n">
        <v>0.4966332467857708</v>
      </c>
      <c r="KN23" s="1449" t="n">
        <v>0.4943017941319825</v>
      </c>
      <c r="KO23" s="1449" t="n">
        <v>0.4953040415144632</v>
      </c>
      <c r="KP23" s="1449" t="n">
        <v>0.4970371572914699</v>
      </c>
      <c r="KQ23" s="1449" t="n">
        <v>0.4942971507359508</v>
      </c>
      <c r="KR23" s="1449" t="n">
        <v>0.4942971507359508</v>
      </c>
      <c r="KS23" s="1449" t="n">
        <v>0.4923756923416585</v>
      </c>
      <c r="KT23" s="1449" t="n">
        <v>0.4925870889882153</v>
      </c>
      <c r="KU23" s="1449" t="n">
        <v>0.4908103873367167</v>
      </c>
      <c r="KV23" s="1449" t="n">
        <v>0.834510796125679</v>
      </c>
      <c r="KW23" s="1449" t="n">
        <v>0.8362228137668959</v>
      </c>
      <c r="KX23" s="1449" t="n">
        <v>0.8326297942517564</v>
      </c>
      <c r="KY23" s="1449" t="n">
        <v>0.8287625689379219</v>
      </c>
      <c r="KZ23" s="1449" t="n">
        <v>0.8276318925330712</v>
      </c>
      <c r="LA23" s="1449" t="n">
        <v>0.8276318925330713</v>
      </c>
      <c r="LB23" s="1449" t="n">
        <v>0.8185284206130995</v>
      </c>
      <c r="LC23" s="1449" t="n">
        <v>0.8163402982532268</v>
      </c>
      <c r="LD23" s="1449" t="n">
        <v>0.8163402982532268</v>
      </c>
      <c r="LE23" s="1449" t="n">
        <v>0.8161887601341071</v>
      </c>
      <c r="LF23" s="1449" t="n">
        <v>0.8169815969827234</v>
      </c>
      <c r="LG23" s="1449" t="n">
        <v>0.7912927562143318</v>
      </c>
      <c r="LH23" s="1449" t="n">
        <v>0.7923664367588301</v>
      </c>
      <c r="LI23" s="1449" t="n">
        <v>0.08664310833184552</v>
      </c>
      <c r="LJ23" s="1449" t="n">
        <v>1.164069882852673</v>
      </c>
      <c r="LK23" s="1449" t="n">
        <v>1.110503318817275</v>
      </c>
      <c r="LL23" s="1449" t="n">
        <v>1.110938659026404</v>
      </c>
      <c r="LM23" s="1449" t="n">
        <v>1.104258102945465</v>
      </c>
      <c r="LN23" s="1449" t="n">
        <v>1.109847312587709</v>
      </c>
      <c r="LO23" s="1449" t="n">
        <v>1.10969756369116</v>
      </c>
      <c r="LP23" s="1449" t="n">
        <v>1.730519912705411</v>
      </c>
      <c r="LQ23" s="1449" t="n">
        <v>1.739791215746832</v>
      </c>
      <c r="LR23" s="1449" t="n">
        <v>1.739791215746832</v>
      </c>
      <c r="LS23" s="1449" t="n">
        <v>2.320804632133433</v>
      </c>
      <c r="LT23" s="1449" t="n">
        <v>2.31842466286234</v>
      </c>
      <c r="LU23" s="1449" t="n">
        <v>2.317879821517473</v>
      </c>
      <c r="LV23" s="1449" t="n">
        <v>2.315471877808936</v>
      </c>
      <c r="LW23" s="1449" t="n">
        <v>2.23100544297974</v>
      </c>
      <c r="LX23" s="1449" t="n">
        <v>2.31737894548249</v>
      </c>
      <c r="LY23" s="1449" t="n">
        <v>2.317649252349419</v>
      </c>
      <c r="LZ23" s="1449" t="n">
        <v>2.308748332526531</v>
      </c>
      <c r="MA23" s="1449" t="n">
        <v>2.300211203218729</v>
      </c>
      <c r="MB23" s="1449" t="n">
        <v>2.290827281690835</v>
      </c>
      <c r="MC23" s="1449" t="n">
        <v>2.287688313124002</v>
      </c>
      <c r="MD23" s="1449" t="n">
        <v>2.285013142294071</v>
      </c>
      <c r="ME23" s="1449" t="n">
        <v>2.240604911080491</v>
      </c>
      <c r="MF23" s="1449" t="n">
        <v>2.2417842562756</v>
      </c>
      <c r="MG23" s="1449" t="n">
        <v>2.378266426617509</v>
      </c>
      <c r="MH23" s="1449" t="n">
        <v>2.522674407769416</v>
      </c>
      <c r="MI23" s="1449" t="n">
        <v>2.527530816644368</v>
      </c>
      <c r="MJ23" s="1449" t="n">
        <v>2.525324620801865</v>
      </c>
      <c r="MK23" s="1449" t="n">
        <v>2.537556369269637</v>
      </c>
      <c r="ML23" s="1449" t="n">
        <v>2.54190441600301</v>
      </c>
      <c r="MM23" s="1449" t="n">
        <v>2.37095992364714</v>
      </c>
      <c r="MN23" s="1449" t="n">
        <v>2.372328412351143</v>
      </c>
      <c r="MO23" s="1449" t="n">
        <v>2.381800012252299</v>
      </c>
      <c r="MP23" s="1449" t="n">
        <v>2.381775292911708</v>
      </c>
      <c r="MQ23" s="1449" t="n">
        <v>2.361625282532092</v>
      </c>
      <c r="MR23" s="1449" t="n">
        <v>2.360372897772881</v>
      </c>
      <c r="MS23" s="1449" t="n">
        <v>2.352575157477741</v>
      </c>
      <c r="MT23" s="1449" t="n">
        <v>2.347612886163876</v>
      </c>
      <c r="MU23" s="1449" t="n">
        <v>2.347612886163876</v>
      </c>
      <c r="MV23" s="1449" t="n">
        <v>2.444658050728853</v>
      </c>
      <c r="MW23" s="1449" t="n">
        <v>2.506904584645246</v>
      </c>
      <c r="MX23" s="1449" t="n">
        <v>2.452386648269723</v>
      </c>
      <c r="MY23" s="1449" t="n">
        <v>2.448806258414758</v>
      </c>
      <c r="MZ23" s="1449" t="n">
        <v>2.443207049142655</v>
      </c>
      <c r="NA23" s="1449" t="n">
        <v>2.356280163613708</v>
      </c>
      <c r="NB23" s="1449" t="n">
        <v>2.353844390925218</v>
      </c>
      <c r="NC23" s="1449" t="n">
        <v>2.35344418263316</v>
      </c>
      <c r="ND23" s="1449" t="n">
        <v>2.355700819827596</v>
      </c>
      <c r="NE23" s="1449" t="n">
        <v>2.352801896434158</v>
      </c>
      <c r="NF23" s="1449" t="n">
        <v>1.199652167210805</v>
      </c>
      <c r="NG23" s="1449" t="n">
        <v>1.199558616671503</v>
      </c>
      <c r="NH23" s="1449" t="n">
        <v>1.074544975868489</v>
      </c>
      <c r="NI23" s="1449" t="n">
        <v>1.560314952607769</v>
      </c>
      <c r="NJ23" s="1449" t="n">
        <v>1.075988430439131</v>
      </c>
      <c r="NK23" s="1449" t="n">
        <v>1.072187729245263</v>
      </c>
      <c r="NL23" s="1449" t="n">
        <v>1.071923637089955</v>
      </c>
      <c r="NM23" s="1449" t="n">
        <v>1.173435585562602</v>
      </c>
      <c r="NN23" s="1449" t="n">
        <v>1.174090604519256</v>
      </c>
      <c r="NO23" s="1449" t="n">
        <v>0.6895090604846301</v>
      </c>
      <c r="NP23" s="1449" t="n">
        <v>0.8160169298962123</v>
      </c>
      <c r="NQ23" s="1449" t="n">
        <v>0.8076291308740489</v>
      </c>
      <c r="NR23" s="1449" t="n">
        <v>0.8078985197082732</v>
      </c>
      <c r="NS23" s="1449" t="n">
        <v>0.7932797835234692</v>
      </c>
      <c r="NT23" s="1449" t="n">
        <v>0.7710087302904821</v>
      </c>
      <c r="NU23" s="1449" t="n">
        <v>0.7703187247439027</v>
      </c>
      <c r="NV23" s="1449" t="n">
        <v>0.7456536286471831</v>
      </c>
      <c r="NW23" s="1449" t="n">
        <v>0.6952935392468096</v>
      </c>
      <c r="NX23" s="1449" t="n">
        <v>0.563207287168488</v>
      </c>
      <c r="NY23" s="1449" t="n">
        <v>0.563915995552809</v>
      </c>
      <c r="NZ23" s="1449" t="n">
        <v>0.9923553300931114</v>
      </c>
      <c r="OA23" s="1449" t="n">
        <v>0.9918197747836568</v>
      </c>
      <c r="OB23" s="1449" t="n">
        <v>1.07563328070592</v>
      </c>
      <c r="OC23" s="1449" t="n">
        <v>0.9732483102228766</v>
      </c>
      <c r="OD23" s="1449" t="n">
        <v>0.9725855384561389</v>
      </c>
      <c r="OE23" s="1449" t="n">
        <v>0.9720568223438047</v>
      </c>
      <c r="OF23" s="1449" t="n">
        <v>0.972058561766336</v>
      </c>
      <c r="OG23" s="1449" t="n">
        <v>0.9730993217624204</v>
      </c>
      <c r="OH23" s="1449" t="n">
        <v>1.637180948926104</v>
      </c>
      <c r="OI23" s="1449" t="n">
        <v>0.6569503656367846</v>
      </c>
      <c r="OJ23" s="1449" t="n">
        <v>1.615674002617756</v>
      </c>
      <c r="OK23" s="1449" t="n">
        <v>1.609193480605505</v>
      </c>
      <c r="OL23" s="1449" t="n">
        <v>1.606732807600092</v>
      </c>
      <c r="OM23" s="1449" t="n">
        <v>1.599069927886038</v>
      </c>
      <c r="ON23" s="1449" t="n">
        <v>1.688075753734618</v>
      </c>
      <c r="OO23" s="1449" t="n">
        <v>1.498613565932045</v>
      </c>
      <c r="OP23" s="1449" t="n">
        <v>1.503703072902045</v>
      </c>
      <c r="OQ23" s="1449" t="n">
        <v>1.503703072902045</v>
      </c>
      <c r="OR23" s="1449" t="n">
        <v>1.515929074652468</v>
      </c>
      <c r="OS23" s="1449" t="n">
        <v>1.569635470581005</v>
      </c>
      <c r="OT23" s="1449" t="n">
        <v>1.569635470581005</v>
      </c>
      <c r="OU23" s="1449" t="n">
        <v>1.567921871701963</v>
      </c>
      <c r="OV23" s="1449" t="n">
        <v>1.624181664215832</v>
      </c>
      <c r="OW23" s="1449" t="n">
        <v>1.674940345621699</v>
      </c>
      <c r="OX23" s="1449" t="n">
        <v>1.518651978197769</v>
      </c>
      <c r="OY23" s="1449" t="n">
        <v>1.518651978197769</v>
      </c>
      <c r="OZ23" s="1449" t="n">
        <v>1.522109472958922</v>
      </c>
      <c r="PA23" s="1449" t="n">
        <v>1.522109472958922</v>
      </c>
      <c r="PB23" s="1449" t="n">
        <v>1.52264714136654</v>
      </c>
      <c r="PC23" s="1449" t="n">
        <v>1.52264714136654</v>
      </c>
      <c r="PD23" s="1449" t="n">
        <v>1.312876155570118</v>
      </c>
      <c r="PE23" s="1449" t="n">
        <v>1.379618177223887</v>
      </c>
      <c r="PF23" s="1449" t="n">
        <v>1.379236048855197</v>
      </c>
      <c r="PG23" s="1449" t="n">
        <v>1.374076107113731</v>
      </c>
      <c r="PH23" s="1449" t="n">
        <v>1.457032955300513</v>
      </c>
      <c r="PI23" s="1449" t="n">
        <v>1.446605781782927</v>
      </c>
      <c r="PJ23" s="1449" t="n">
        <v>1.455513769031415</v>
      </c>
      <c r="PK23" s="1449" t="n">
        <v>1.462502288899468</v>
      </c>
      <c r="PL23" s="1449" t="n">
        <v>1.456466249709676</v>
      </c>
      <c r="PM23" s="1449" t="n">
        <v>1.452688301142229</v>
      </c>
      <c r="PN23" s="1449" t="n">
        <v>1.45662551164419</v>
      </c>
      <c r="PO23" s="1449" t="n">
        <v>1.453517407394484</v>
      </c>
      <c r="PP23" s="1449" t="n">
        <v>1.455202250157442</v>
      </c>
      <c r="PQ23" s="1449" t="n">
        <v>1.43665773151388</v>
      </c>
      <c r="PR23" s="1449" t="n">
        <v>1.435803275967239</v>
      </c>
      <c r="PS23" s="1449" t="n">
        <v>1.436661956929331</v>
      </c>
      <c r="PT23" s="1449" t="n">
        <v>1.438925187423383</v>
      </c>
      <c r="PU23" s="1449" t="n">
        <v>1.437522943224478</v>
      </c>
      <c r="PV23" s="1449" t="n">
        <v>1.408323811850626</v>
      </c>
      <c r="PW23" s="1449" t="n">
        <v>1.408323811850626</v>
      </c>
      <c r="PX23" s="1449" t="n">
        <v>1.408636425117761</v>
      </c>
      <c r="PY23" s="1449" t="n">
        <v>1.124801247537932</v>
      </c>
      <c r="PZ23" s="1449" t="n">
        <v>1.399454075610079</v>
      </c>
      <c r="QA23" s="1449" t="n">
        <v>1.396466365270264</v>
      </c>
      <c r="QB23" s="1449" t="n">
        <v>1.393476757150101</v>
      </c>
      <c r="QC23" s="1449" t="n">
        <v>1.394972260847047</v>
      </c>
      <c r="QD23" s="1449" t="n">
        <v>1.355482615652673</v>
      </c>
      <c r="QE23" s="1449" t="n">
        <v>1.3549474081145</v>
      </c>
      <c r="QF23" s="1449" t="n">
        <v>3.516650974310662</v>
      </c>
      <c r="QG23" s="1449" t="n">
        <v>3.519748916779444</v>
      </c>
      <c r="QH23" s="1449" t="n">
        <v>3.590935324873838</v>
      </c>
      <c r="QI23" s="1449" t="n">
        <v>4.822738970087996</v>
      </c>
      <c r="QJ23" s="1449" t="n">
        <v>4.822182929169615</v>
      </c>
      <c r="QK23" s="1449" t="n">
        <v>4.811879765872546</v>
      </c>
      <c r="QL23" s="1449" t="n">
        <v>4.811879765872546</v>
      </c>
      <c r="QM23" s="1449" t="n">
        <v>4.890009026564676</v>
      </c>
      <c r="QN23" s="1449" t="n">
        <v>9.195317630857597</v>
      </c>
      <c r="QO23" s="1449" t="n">
        <v>9.160932666832064</v>
      </c>
      <c r="QP23" s="1449" t="n">
        <v>9.241165851687173</v>
      </c>
      <c r="QQ23" s="1449" t="n">
        <v>9.234539227180054</v>
      </c>
      <c r="QR23" s="1449" t="n">
        <v>9.214318047589583</v>
      </c>
      <c r="QS23" s="1449" t="n">
        <v>9.18223027269598</v>
      </c>
      <c r="QT23" s="1449" t="n">
        <v>9.172203411329573</v>
      </c>
      <c r="QU23" s="1449" t="n">
        <v>9.180154102668254</v>
      </c>
      <c r="QV23" s="1449" t="n">
        <v>9.158855631569773</v>
      </c>
      <c r="QW23" s="1449" t="n">
        <v>9.172870212509078</v>
      </c>
      <c r="QX23" s="1449" t="n">
        <v>9.162228049972445</v>
      </c>
      <c r="QY23" s="1449" t="n">
        <v>9.193581198375178</v>
      </c>
      <c r="QZ23" s="1449" t="n">
        <v>9.221869140912732</v>
      </c>
      <c r="RA23" s="1449" t="n">
        <v>9.212299315166408</v>
      </c>
      <c r="RB23" s="1449" t="n">
        <v>9.174881534643029</v>
      </c>
      <c r="RC23" s="1449" t="n">
        <v>9.176551849750389</v>
      </c>
      <c r="RD23" s="1449" t="n">
        <v>9.202673411666337</v>
      </c>
      <c r="RE23" s="1449" t="n">
        <v>9.200341639184787</v>
      </c>
      <c r="RF23" s="1449" t="n">
        <v>9.201113081402884</v>
      </c>
      <c r="RG23" s="1449">
        <f>'Cash in bank report'!$D$15-'Cash in bank report'!$D$58</f>
        <v/>
      </c>
      <c r="RH23" s="1449" t="n">
        <v>9.208096660469629</v>
      </c>
      <c r="RI23" s="1449" t="n">
        <v>9.195248680098597</v>
      </c>
      <c r="RJ23" s="1449" t="n">
        <v>9.196344251589828</v>
      </c>
      <c r="RK23" s="1449" t="n">
        <v>9.10099382232471</v>
      </c>
      <c r="RL23" s="1449" t="n">
        <v>9.207314582753648</v>
      </c>
      <c r="RM23" s="1449" t="n">
        <v>8.968095968797714</v>
      </c>
      <c r="RN23" s="1449" t="n">
        <v>8.945454868994199</v>
      </c>
      <c r="RO23" s="1449" t="n">
        <v>8.973533167258214</v>
      </c>
      <c r="RP23" s="1449" t="n">
        <v>9.045452783751996</v>
      </c>
      <c r="RQ23" s="1449" t="n">
        <v>9.046625309041215</v>
      </c>
      <c r="RR23" s="1449" t="n">
        <v>9.029893504932032</v>
      </c>
      <c r="RS23" s="1449" t="n">
        <v>9.127223719291113</v>
      </c>
      <c r="RT23" s="1449" t="n">
        <v>9.189702473389922</v>
      </c>
      <c r="RU23" s="1449" t="n">
        <v>9.061928815363483</v>
      </c>
      <c r="RV23" s="1449" t="n">
        <v>9.077679230524154</v>
      </c>
      <c r="RW23" s="1449" t="n">
        <v>9.093962212326893</v>
      </c>
      <c r="RX23" s="1449" t="n">
        <v>8.990251150182402</v>
      </c>
      <c r="RY23" s="1449" t="n">
        <v>8.987072763190561</v>
      </c>
      <c r="RZ23" s="1449" t="n">
        <v>8.955270421215815</v>
      </c>
      <c r="SA23" s="1449" t="n">
        <v>9.897723464172909</v>
      </c>
      <c r="SB23" s="1449" t="n">
        <v>10.02218091774358</v>
      </c>
      <c r="SC23" s="1449" t="n">
        <v>10.03687064631407</v>
      </c>
      <c r="SD23" s="1449" t="n">
        <v>10.04578112150153</v>
      </c>
      <c r="SE23" s="1449" t="n">
        <v>10.06159248127771</v>
      </c>
      <c r="SF23" s="1449">
        <f>'Cash in bank report'!$D$15-'Cash in bank report'!$D$58</f>
        <v/>
      </c>
      <c r="SG23" s="1449" t="n">
        <v>10.13554542267497</v>
      </c>
      <c r="SH23" s="1449" t="n">
        <v>10.11690813838154</v>
      </c>
      <c r="SI23" s="1449" t="n">
        <v>10.09336390934756</v>
      </c>
      <c r="SJ23" s="1449" t="n">
        <v>9.339695924926076</v>
      </c>
      <c r="SK23" s="1449" t="n">
        <v>9.336527892175903</v>
      </c>
      <c r="SL23" s="1449" t="n">
        <v>9.323491355819236</v>
      </c>
      <c r="SM23" s="1449" t="n">
        <v>9.346880549212186</v>
      </c>
      <c r="SN23" s="1449" t="n">
        <v>9.347495329406687</v>
      </c>
      <c r="SO23" s="1449" t="n">
        <v>9.344172333376068</v>
      </c>
      <c r="SP23" s="1449" t="n">
        <v>9.338979077286789</v>
      </c>
      <c r="SQ23" s="1449" t="n">
        <v>9.328591260106032</v>
      </c>
      <c r="SR23" s="1449" t="n">
        <v>8.239238337808608</v>
      </c>
      <c r="SS23" s="1449" t="n">
        <v>8.189851248186393</v>
      </c>
      <c r="ST23" s="1449" t="n">
        <v>8.316729422045809</v>
      </c>
      <c r="SU23" s="1449" t="n">
        <v>8.239238337808608</v>
      </c>
      <c r="SV23" s="1449" t="n">
        <v>8.290746304196135</v>
      </c>
      <c r="SW23" s="1449" t="n">
        <v>8.333388627747739</v>
      </c>
      <c r="SX23" s="1449" t="n">
        <v>8.566076937600261</v>
      </c>
      <c r="SY23" s="1449" t="n">
        <v>8.550542166028373</v>
      </c>
      <c r="SZ23" s="1449" t="n">
        <v>8.48772088756265</v>
      </c>
      <c r="TA23" s="1449" t="n">
        <v>7.51846662979538</v>
      </c>
      <c r="TB23" s="1449" t="n">
        <v>7.523413959383354</v>
      </c>
      <c r="TC23" s="1449" t="n">
        <v>7.584497352693142</v>
      </c>
      <c r="TD23" s="1449" t="n">
        <v>7.547404779908649</v>
      </c>
      <c r="TE23" s="1449">
        <f>'Cash in bank report'!$D$15-'Cash in bank report'!$D$58</f>
        <v/>
      </c>
      <c r="TF23" s="1449" t="n">
        <v>9.195952874673621</v>
      </c>
      <c r="TG23" s="1449" t="n">
        <v>8.113784329748011</v>
      </c>
      <c r="TH23" s="1449" t="n">
        <v>9.075200124981199</v>
      </c>
      <c r="TI23" s="1449" t="n">
        <v>8.580271574001458</v>
      </c>
      <c r="TJ23" s="1449" t="n">
        <v>8.761434503028894</v>
      </c>
      <c r="TK23" s="1449" t="n">
        <v>8.669097563509741</v>
      </c>
      <c r="TL23" s="1449" t="n">
        <v>10.28836692122713</v>
      </c>
      <c r="TM23" s="1449" t="n">
        <v>10.19058688885944</v>
      </c>
      <c r="TN23" s="1449">
        <f>(-329313.1*TN9/TN7/1000000)+10.204771703352</f>
        <v/>
      </c>
      <c r="TO23" s="1449">
        <f>(-329313.1*TO9/TO7/1000000)+10.190038192637</f>
        <v/>
      </c>
      <c r="TP23" s="1449">
        <f>(-329313.1*TP9/TP7/1000000)+10.1987546854097</f>
        <v/>
      </c>
      <c r="TQ23" s="1449">
        <f>(-329313.1*TQ9/TQ7/1000000)+10.2060777374279</f>
        <v/>
      </c>
      <c r="TR23" s="1449">
        <f>(-329313.1*TR9/TR7/1000000)+10.2020191999305</f>
        <v/>
      </c>
      <c r="TS23" s="1449">
        <f>(-329925.85*TS9/TS7/1000000)+10.2006723098787</f>
        <v/>
      </c>
      <c r="TT23" s="1449" t="n">
        <v>9.572352679017152</v>
      </c>
      <c r="TU23" s="1449" t="n">
        <v>9.54119344340036</v>
      </c>
      <c r="TV23" s="1449" t="n">
        <v>9.903822538340556</v>
      </c>
      <c r="TW23" s="1449" t="n">
        <v>9.839718435454653</v>
      </c>
      <c r="TX23" s="1449" t="n">
        <v>9.843770198171656</v>
      </c>
      <c r="TY23" s="1449" t="n">
        <v>9.816224929985223</v>
      </c>
      <c r="TZ23" s="1449" t="n">
        <v>9.769871789522103</v>
      </c>
      <c r="UA23" s="1449" t="n">
        <v>9.745564056506085</v>
      </c>
      <c r="UB23" s="1449" t="n">
        <v>9.899992035681336</v>
      </c>
      <c r="UC23" s="1449" t="n">
        <v>9.745068779921326</v>
      </c>
      <c r="UD23" s="1449" t="n">
        <v>10.80816541809311</v>
      </c>
      <c r="UE23" s="1449" t="n">
        <v>9.857466846566973</v>
      </c>
      <c r="UF23" s="1449" t="n">
        <v>9.906372732153013</v>
      </c>
      <c r="UG23" s="1449" t="n">
        <v>9.93643620430101</v>
      </c>
      <c r="UH23" s="1449" t="n">
        <v>10.02204468869602</v>
      </c>
      <c r="UI23" s="1449" t="n">
        <v>8.423133428584494</v>
      </c>
      <c r="UJ23" s="1449" t="n">
        <v>8.416272466306683</v>
      </c>
      <c r="UK23" s="1449" t="n">
        <v>9.005625027661644</v>
      </c>
      <c r="UL23" s="1449" t="n">
        <v>8.943090015765423</v>
      </c>
      <c r="UM23" s="1449" t="n">
        <v>9.549141748185111</v>
      </c>
      <c r="UN23" s="1449" t="n">
        <v>10.35308172200364</v>
      </c>
      <c r="UO23" s="1449" t="n">
        <v>10.32164098199989</v>
      </c>
      <c r="UP23" s="1449" t="n">
        <v>10.12284428194572</v>
      </c>
      <c r="UQ23" s="1449" t="n">
        <v>9.841479574599926</v>
      </c>
      <c r="UR23" s="1449" t="n">
        <v>10.57246809521212</v>
      </c>
      <c r="US23" s="1449" t="n">
        <v>10.85411990931382</v>
      </c>
      <c r="UT23" s="1449" t="n">
        <v>11.25626252026369</v>
      </c>
      <c r="UU23" s="1449" t="n">
        <v>10.85331780064233</v>
      </c>
      <c r="UV23" s="1449" t="n">
        <v>10.75087601268521</v>
      </c>
      <c r="UW23" s="1449" t="n">
        <v>10.76843401649721</v>
      </c>
      <c r="UX23" s="1449" t="n">
        <v>10.79837831540628</v>
      </c>
      <c r="UY23" s="1449" t="n">
        <v>10.88784182056435</v>
      </c>
      <c r="UZ23" s="1449" t="n">
        <v>9.846728808927184</v>
      </c>
      <c r="VA23" s="1449" t="n">
        <v>9.911930295131061</v>
      </c>
      <c r="VB23" s="1449" t="n">
        <v>9.992462738694558</v>
      </c>
      <c r="VC23" s="1449" t="n">
        <v>10.05055885541039</v>
      </c>
      <c r="VD23" s="1449" t="n">
        <v>10.01544344519674</v>
      </c>
      <c r="VE23" s="1449" t="n">
        <v>9.96566065182189</v>
      </c>
      <c r="VF23" s="1449" t="n">
        <v>10.01210279877883</v>
      </c>
      <c r="VG23" s="1449" t="n">
        <v>9.973511533562309</v>
      </c>
      <c r="VH23" s="1449" t="n">
        <v>10.00933626799965</v>
      </c>
      <c r="VI23" s="1449" t="n">
        <v>9.807310036181834</v>
      </c>
      <c r="VJ23" s="1449">
        <f>'Cash in bank report'!$D$15-'Cash in bank report'!$D$58</f>
        <v/>
      </c>
      <c r="VK23" s="1449" t="n">
        <v>8.998339849854602</v>
      </c>
      <c r="VL23" s="1449" t="n">
        <v>8.999196696491389</v>
      </c>
      <c r="VM23" s="1449" t="n">
        <v>8.992729409606653</v>
      </c>
      <c r="VN23" s="1449" t="n">
        <v>9.028424062222163</v>
      </c>
      <c r="VO23" s="1449" t="n">
        <v>9.011269040352934</v>
      </c>
      <c r="VP23" s="1449" t="n">
        <v>9.016252192951271</v>
      </c>
      <c r="VQ23" s="1449" t="n">
        <v>8.935993314912425</v>
      </c>
      <c r="VR23" s="1449" t="n">
        <v>8.898886478320046</v>
      </c>
      <c r="VS23" s="1449" t="n">
        <v>8.86144181945056</v>
      </c>
      <c r="VT23" s="1449" t="n">
        <v>8.891811195433572</v>
      </c>
      <c r="VU23" s="1449" t="n">
        <v>8.876926357429364</v>
      </c>
      <c r="VV23" s="1449" t="n">
        <v>8.910306796067449</v>
      </c>
      <c r="VW23" s="1449" t="n">
        <v>8.872136272748216</v>
      </c>
      <c r="VX23" s="1449" t="n">
        <v>8.804393778872683</v>
      </c>
      <c r="VY23" s="1449" t="n">
        <v>8.660388772490796</v>
      </c>
      <c r="VZ23" s="1449" t="n">
        <v>8.842910749290299</v>
      </c>
      <c r="WA23" s="1449" t="n">
        <v>8.830668380482216</v>
      </c>
      <c r="WB23" s="1449" t="n">
        <v>8.850441717258455</v>
      </c>
      <c r="WC23" s="1449" t="n">
        <v>8.675455766174849</v>
      </c>
      <c r="WD23" s="1449" t="n">
        <v>8.759402512156781</v>
      </c>
      <c r="WE23" s="1449" t="n">
        <v>8.935212097401706</v>
      </c>
      <c r="WF23" s="1449" t="n">
        <v>8.91789520208844</v>
      </c>
      <c r="WG23" s="1449" t="n">
        <v>8.910723669905064</v>
      </c>
      <c r="WH23" s="1449" t="n">
        <v>8.705982841894929</v>
      </c>
      <c r="WI23" s="1449" t="n">
        <v>8.893706123886295</v>
      </c>
      <c r="WJ23" s="1449" t="n">
        <v>8.688394584184968</v>
      </c>
      <c r="WK23" s="1449" t="n">
        <v>8.631142199245343</v>
      </c>
      <c r="WL23" s="1449" t="n">
        <v>8.640073367122231</v>
      </c>
      <c r="WM23" s="1449" t="n">
        <v>7.12089634160117</v>
      </c>
      <c r="WN23" s="1449" t="n">
        <v>7.177349264167677</v>
      </c>
      <c r="WO23" s="1449" t="n">
        <v>7.127341483458647</v>
      </c>
      <c r="WP23" s="1449" t="n">
        <v>7.004168005087535</v>
      </c>
      <c r="WQ23" s="1449" t="n">
        <v>7.045567216822433</v>
      </c>
      <c r="WR23" s="1449" t="n">
        <v>7.02987761759936</v>
      </c>
      <c r="WS23" s="1449" t="n">
        <v>7.022681920150611</v>
      </c>
      <c r="WT23" s="1449" t="n">
        <v>7.152229382891949</v>
      </c>
      <c r="WU23" s="1449" t="n">
        <v>7.241822794958423</v>
      </c>
      <c r="WV23" s="1449" t="n">
        <v>7.073641315248755</v>
      </c>
      <c r="WW23" s="1449" t="n">
        <v>7.06837015279774</v>
      </c>
      <c r="WX23" s="1449" t="n">
        <v>7.048645145398504</v>
      </c>
      <c r="WY23" s="1449" t="n">
        <v>7.055164905774346</v>
      </c>
      <c r="WZ23" s="1449" t="n">
        <v>7.058207070557635</v>
      </c>
      <c r="XA23" s="1449" t="n">
        <v>7.202254596001343</v>
      </c>
      <c r="XB23" s="1449" t="n">
        <v>7.266856195323964</v>
      </c>
      <c r="XC23" s="1449" t="n">
        <v>7.33350780742748</v>
      </c>
      <c r="XD23" s="1449" t="n">
        <v>7.170645507229827</v>
      </c>
      <c r="XE23" s="1449" t="n">
        <v>7.18637450426113</v>
      </c>
      <c r="XF23" s="1449" t="n">
        <v>7.122999119416269</v>
      </c>
      <c r="XG23" s="1449" t="n">
        <v>7.140845072000332</v>
      </c>
      <c r="XH23" s="1449" t="n">
        <v>7.118263605096697</v>
      </c>
      <c r="XI23" s="1449" t="n">
        <v>7.134009500409617</v>
      </c>
      <c r="XJ23" s="1449" t="n">
        <v>7.127152241733407</v>
      </c>
      <c r="XK23" s="1449" t="n">
        <v>7.113643719457165</v>
      </c>
      <c r="XL23" s="1449" t="n">
        <v>7.173627893857049</v>
      </c>
      <c r="XM23" s="1449" t="n">
        <v>7.050854745446193</v>
      </c>
      <c r="XN23" s="1449" t="n">
        <v>7.143201843760499</v>
      </c>
      <c r="XO23" s="1449" t="n">
        <v>7.284731567784328</v>
      </c>
      <c r="XP23" s="1449" t="n">
        <v>7.227801407366834</v>
      </c>
      <c r="XQ23" s="1449" t="n">
        <v>7.299987548214227</v>
      </c>
      <c r="XR23" s="1449" t="n">
        <v>7.294445362272825</v>
      </c>
      <c r="XS23" s="1449" t="n">
        <v>7.361556512842844</v>
      </c>
      <c r="XT23" s="1449">
        <f>'Cash in bank report'!$D$15-'Cash in bank report'!$D$58</f>
        <v/>
      </c>
      <c r="XU23" s="1449" t="n">
        <v>7.348493609018288</v>
      </c>
      <c r="XV23" s="1449" t="n">
        <v>7.600851283353699</v>
      </c>
      <c r="XW23" s="1449" t="n">
        <v>7.303588513622655</v>
      </c>
      <c r="XX23" s="1449" t="n">
        <v>7.291001389443021</v>
      </c>
      <c r="XY23" s="1449" t="n">
        <v>7.286603233235587</v>
      </c>
      <c r="XZ23" s="1449" t="n">
        <v>7.30352582298448</v>
      </c>
      <c r="YA23" s="1449" t="n">
        <v>7.289613076816885</v>
      </c>
      <c r="YB23" s="1449" t="n">
        <v>7.32997140345968</v>
      </c>
      <c r="YC23" s="1449" t="n">
        <v>7.326445152125434</v>
      </c>
      <c r="YD23" s="1449" t="n">
        <v>7.333213230416978</v>
      </c>
      <c r="YE23" s="1449" t="n">
        <v>7.292412758483226</v>
      </c>
      <c r="YF23" s="1449" t="n">
        <v>7.296053067228035</v>
      </c>
      <c r="YG23" s="1449" t="n">
        <v>7.342903091560931</v>
      </c>
      <c r="YH23" s="1449" t="n">
        <v>7.332379686229558</v>
      </c>
      <c r="YI23" s="1449" t="n">
        <v>7.295006691505746</v>
      </c>
      <c r="YJ23" s="1449" t="n">
        <v>7.318407191195531</v>
      </c>
      <c r="YK23" s="1449" t="n">
        <v>7.314651794923361</v>
      </c>
      <c r="YL23" s="1449" t="n">
        <v>7.319054901181098</v>
      </c>
      <c r="YM23" s="1449">
        <f>'Cash in bank report'!$D$15-'Cash in bank report'!$D$58</f>
        <v/>
      </c>
      <c r="YN23" s="1449" t="n">
        <v>7.510532812748383</v>
      </c>
      <c r="YO23" s="1449" t="n">
        <v>7.507721692175757</v>
      </c>
      <c r="YP23" s="1449" t="n">
        <v>7.509229382652931</v>
      </c>
      <c r="YQ23" s="1449" t="n">
        <v>7.510873269406911</v>
      </c>
      <c r="YR23" s="1449" t="n">
        <v>7.480333817451943</v>
      </c>
      <c r="YS23" s="1449" t="n">
        <v>7.472808817976019</v>
      </c>
      <c r="YT23" s="1449" t="n">
        <v>7.633312970530429</v>
      </c>
      <c r="YU23" s="1449" t="n">
        <v>7.63999516813273</v>
      </c>
      <c r="YV23" s="1449" t="n">
        <v>7.670589590308663</v>
      </c>
      <c r="YW23" s="1449" t="n">
        <v>7.670214935204915</v>
      </c>
      <c r="YX23" s="1449" t="n">
        <v>7.683108358645466</v>
      </c>
      <c r="YY23" s="1449" t="n">
        <v>7.946520631628193</v>
      </c>
      <c r="YZ23" s="1449" t="n">
        <v>7.603103175963546</v>
      </c>
      <c r="ZA23" s="1449" t="n">
        <v>7.662667367811116</v>
      </c>
      <c r="ZB23" s="1449" t="n">
        <v>7.926629699494509</v>
      </c>
      <c r="ZC23" s="1449" t="n">
        <v>7.921746664223532</v>
      </c>
      <c r="ZD23" s="1449" t="n">
        <v>7.510681796147322</v>
      </c>
      <c r="ZE23" s="1449" t="n">
        <v>7.498253137281419</v>
      </c>
      <c r="ZF23" s="1451">
        <f>'Cash in bank report'!$D$15-'Cash in bank report'!$D$58</f>
        <v/>
      </c>
    </row>
    <row r="24">
      <c r="A24" s="120" t="n"/>
      <c r="B24" s="125" t="inlineStr">
        <is>
          <t>(Equivalent  to USD)</t>
        </is>
      </c>
      <c r="C24" s="418" t="inlineStr">
        <is>
          <t>Deposit Rate</t>
        </is>
      </c>
      <c r="D24" s="6" t="n"/>
      <c r="E24" s="1452" t="n"/>
      <c r="F24" s="1452" t="n"/>
      <c r="G24" s="1452" t="n"/>
      <c r="H24" s="1452" t="n"/>
      <c r="I24" s="1452" t="n"/>
      <c r="J24" s="1452" t="n"/>
      <c r="K24" s="1452" t="n"/>
      <c r="L24" s="1452" t="n"/>
      <c r="M24" s="1452" t="n"/>
      <c r="N24" s="1452" t="n"/>
      <c r="O24" s="1452" t="n"/>
      <c r="P24" s="1452" t="n"/>
      <c r="Q24" s="1452" t="n"/>
      <c r="R24" s="1452" t="n"/>
      <c r="S24" s="1452" t="n"/>
      <c r="T24" s="1452" t="n"/>
      <c r="U24" s="1452" t="n"/>
      <c r="V24" s="1452" t="n"/>
      <c r="W24" s="1452" t="n"/>
      <c r="X24" s="1452" t="n"/>
      <c r="Y24" s="1452" t="n"/>
      <c r="Z24" s="1452" t="n"/>
      <c r="AA24" s="1452" t="n"/>
      <c r="AB24" s="1452" t="n"/>
      <c r="AC24" s="1452" t="n"/>
      <c r="AD24" s="1452" t="n"/>
      <c r="AE24" s="1452" t="n"/>
      <c r="AF24" s="1452" t="n"/>
      <c r="AG24" s="1452" t="n"/>
      <c r="AH24" s="1452" t="n"/>
      <c r="AI24" s="1452" t="n"/>
      <c r="AJ24" s="1452" t="n"/>
      <c r="AK24" s="1452" t="n"/>
      <c r="AL24" s="1452" t="n"/>
      <c r="AM24" s="1452" t="n"/>
      <c r="AN24" s="1452" t="n"/>
      <c r="AO24" s="1452" t="n"/>
      <c r="AP24" s="1452" t="n"/>
      <c r="AQ24" s="1452" t="n"/>
      <c r="AR24" s="1452" t="n"/>
      <c r="AS24" s="1452" t="n"/>
      <c r="AT24" s="1452" t="n"/>
      <c r="AU24" s="1452" t="n"/>
      <c r="AV24" s="1452" t="n"/>
      <c r="AW24" s="1452" t="n"/>
      <c r="AX24" s="1452" t="n"/>
      <c r="AY24" s="1452" t="n"/>
      <c r="AZ24" s="1452" t="n"/>
      <c r="BA24" s="1452" t="n"/>
      <c r="BB24" s="1452" t="n"/>
      <c r="BC24" s="1452" t="n"/>
      <c r="BD24" s="1452" t="n"/>
      <c r="BE24" s="1452" t="n"/>
      <c r="BF24" s="1452" t="n"/>
      <c r="BG24" s="1452" t="n"/>
      <c r="BH24" s="1452" t="n"/>
      <c r="BI24" s="1452" t="n"/>
      <c r="BJ24" s="1452" t="n"/>
      <c r="BK24" s="1452" t="n"/>
      <c r="BL24" s="1452" t="n"/>
      <c r="BM24" s="1452" t="n"/>
      <c r="BN24" s="1452" t="n"/>
      <c r="BO24" s="1452" t="n"/>
      <c r="BP24" s="1452" t="n"/>
      <c r="BQ24" s="1452" t="n"/>
      <c r="BR24" s="1452" t="n"/>
      <c r="BS24" s="1452" t="n"/>
      <c r="BT24" s="1452" t="n"/>
      <c r="BU24" s="1452" t="n"/>
      <c r="BV24" s="1452" t="n"/>
      <c r="BW24" s="1452" t="n"/>
      <c r="BX24" s="1452" t="n"/>
      <c r="BY24" s="1452" t="n"/>
      <c r="BZ24" s="1452" t="n"/>
      <c r="CA24" s="1452" t="n"/>
      <c r="CB24" s="1452" t="n"/>
      <c r="CC24" s="1452" t="n"/>
      <c r="CD24" s="1452" t="n"/>
      <c r="CE24" s="1452" t="n"/>
      <c r="CF24" s="1452" t="n"/>
      <c r="CG24" s="1452" t="n"/>
      <c r="CH24" s="1452" t="n"/>
      <c r="CI24" s="1452" t="n"/>
      <c r="CJ24" s="1452" t="n"/>
      <c r="CK24" s="1452" t="n"/>
      <c r="CL24" s="1452" t="n"/>
      <c r="CM24" s="1452" t="n"/>
      <c r="CN24" s="1452" t="n"/>
      <c r="CO24" s="1452" t="n"/>
      <c r="CP24" s="1452" t="n"/>
      <c r="CQ24" s="1452" t="n"/>
      <c r="CR24" s="1452" t="n"/>
      <c r="CS24" s="1452" t="n"/>
      <c r="CT24" s="1452" t="n"/>
      <c r="CU24" s="1452" t="n"/>
      <c r="CV24" s="1452" t="n"/>
      <c r="CW24" s="1452" t="n"/>
      <c r="CX24" s="1452" t="n"/>
      <c r="CY24" s="1452" t="n"/>
      <c r="CZ24" s="1452" t="n"/>
      <c r="DA24" s="1452" t="n"/>
      <c r="DB24" s="1452" t="n"/>
      <c r="DC24" s="1452" t="n"/>
      <c r="DD24" s="1452" t="n"/>
      <c r="DE24" s="1452" t="n"/>
      <c r="DF24" s="1452" t="n"/>
      <c r="DG24" s="1452" t="n"/>
      <c r="DH24" s="1452" t="n"/>
      <c r="DI24" s="1452" t="n"/>
      <c r="DJ24" s="1452" t="n"/>
      <c r="DK24" s="1452" t="n"/>
      <c r="DL24" s="1452" t="n"/>
      <c r="DM24" s="1452" t="n"/>
      <c r="DN24" s="1452" t="n"/>
      <c r="DO24" s="1452" t="n"/>
      <c r="DP24" s="1452" t="n"/>
      <c r="DQ24" s="1452" t="n"/>
      <c r="DR24" s="1452" t="n"/>
      <c r="DS24" s="1452" t="n"/>
      <c r="DT24" s="1452" t="n"/>
      <c r="DU24" s="1452" t="n"/>
      <c r="DV24" s="1452" t="n"/>
      <c r="DW24" s="1452" t="n"/>
      <c r="DX24" s="1452" t="n"/>
      <c r="DY24" s="1452" t="n"/>
      <c r="DZ24" s="1452" t="n"/>
      <c r="EA24" s="1452" t="n"/>
      <c r="EB24" s="1452" t="n"/>
      <c r="EC24" s="1452" t="n"/>
      <c r="ED24" s="1452" t="n"/>
      <c r="EE24" s="1452" t="n"/>
      <c r="EF24" s="1452" t="n"/>
      <c r="EG24" s="1452" t="n"/>
      <c r="EH24" s="1452" t="n"/>
      <c r="EI24" s="1452" t="n"/>
      <c r="EJ24" s="1452" t="n"/>
      <c r="EK24" s="1452" t="n"/>
      <c r="EL24" s="1452" t="n"/>
      <c r="EM24" s="1452" t="n"/>
      <c r="EN24" s="1452" t="n"/>
      <c r="EO24" s="1452" t="n"/>
      <c r="EP24" s="1452" t="n"/>
      <c r="EQ24" s="1452" t="n"/>
      <c r="ER24" s="1452" t="n"/>
      <c r="ES24" s="1452" t="n"/>
      <c r="ET24" s="1452" t="n"/>
      <c r="EU24" s="1452" t="n"/>
      <c r="EV24" s="1452" t="n"/>
      <c r="EW24" s="1452" t="n"/>
      <c r="EX24" s="1452" t="n"/>
      <c r="EY24" s="1452" t="n"/>
      <c r="EZ24" s="1452" t="n"/>
      <c r="FA24" s="1452" t="n"/>
      <c r="FB24" s="1452" t="n"/>
      <c r="FC24" s="1452" t="n"/>
      <c r="FD24" s="1452" t="n"/>
      <c r="FE24" s="1452" t="n"/>
      <c r="FF24" s="1452" t="n"/>
      <c r="FG24" s="1452" t="n"/>
      <c r="FH24" s="1452" t="n"/>
      <c r="FI24" s="1452" t="n"/>
      <c r="FJ24" s="1452" t="n"/>
      <c r="FK24" s="1452" t="n"/>
      <c r="FL24" s="1452" t="n"/>
      <c r="FM24" s="1452" t="n"/>
      <c r="FN24" s="1452" t="n"/>
      <c r="FO24" s="1452" t="n"/>
      <c r="FP24" s="1452" t="n"/>
      <c r="FQ24" s="1452" t="n"/>
      <c r="FR24" s="1452" t="n"/>
      <c r="FS24" s="1452" t="n"/>
      <c r="FT24" s="1452" t="n"/>
      <c r="FU24" s="1452" t="n"/>
      <c r="FV24" s="1452" t="n"/>
      <c r="FW24" s="1452" t="n"/>
      <c r="FX24" s="1452" t="n"/>
      <c r="FY24" s="1452" t="n"/>
      <c r="FZ24" s="1452" t="n"/>
      <c r="GA24" s="1452" t="n"/>
      <c r="GB24" s="1452" t="n"/>
      <c r="GC24" s="1452" t="n"/>
      <c r="GD24" s="1452" t="n"/>
      <c r="GE24" s="1452" t="n"/>
      <c r="GF24" s="1452" t="n"/>
      <c r="GG24" s="1452" t="n"/>
      <c r="GH24" s="1452" t="n"/>
      <c r="GI24" s="1452" t="n"/>
      <c r="GJ24" s="1452" t="n"/>
      <c r="GK24" s="1452" t="n"/>
      <c r="GL24" s="1452" t="n"/>
      <c r="GM24" s="1452" t="n"/>
      <c r="GN24" s="1452" t="n"/>
      <c r="GO24" s="1452" t="n"/>
      <c r="GP24" s="1452" t="n"/>
      <c r="GQ24" s="1452" t="n"/>
      <c r="GR24" s="1452" t="n"/>
      <c r="GS24" s="1452" t="n"/>
      <c r="GT24" s="1452" t="n"/>
      <c r="GU24" s="1452" t="n"/>
      <c r="GV24" s="1452" t="n"/>
      <c r="GW24" s="1452" t="n"/>
      <c r="GX24" s="1452" t="n"/>
      <c r="GY24" s="1452" t="n"/>
      <c r="GZ24" s="1452" t="n"/>
      <c r="HA24" s="1452" t="n"/>
      <c r="HB24" s="1452" t="n"/>
      <c r="HC24" s="1452" t="n"/>
      <c r="HD24" s="1452" t="n"/>
      <c r="HE24" s="1452" t="n"/>
      <c r="HF24" s="1452" t="n"/>
      <c r="HG24" s="1452" t="n"/>
      <c r="HH24" s="1452" t="n"/>
      <c r="HI24" s="1452" t="n"/>
      <c r="HJ24" s="1452" t="n"/>
      <c r="HK24" s="1452" t="n"/>
      <c r="HL24" s="1452" t="n"/>
      <c r="HM24" s="1452" t="n"/>
      <c r="HN24" s="1452" t="n"/>
      <c r="HO24" s="1452" t="n"/>
      <c r="HP24" s="1452" t="n"/>
      <c r="HQ24" s="1452" t="n"/>
      <c r="HR24" s="1452" t="n"/>
      <c r="HS24" s="1452" t="n"/>
      <c r="HT24" s="1452" t="n"/>
      <c r="HU24" s="1452" t="n"/>
      <c r="HV24" s="1452" t="n"/>
      <c r="HW24" s="1452" t="n"/>
      <c r="HX24" s="1452" t="n"/>
      <c r="HY24" s="1452" t="n"/>
      <c r="HZ24" s="1452" t="n"/>
      <c r="IA24" s="1452" t="n"/>
      <c r="IB24" s="1452" t="n"/>
      <c r="IC24" s="1452" t="n"/>
      <c r="ID24" s="1452" t="n"/>
      <c r="IE24" s="1461" t="n"/>
      <c r="IF24" s="1461" t="n"/>
      <c r="IG24" s="1461" t="n"/>
      <c r="IH24" s="1461" t="n"/>
      <c r="II24" s="1461" t="n"/>
      <c r="IJ24" s="1461" t="n"/>
      <c r="IK24" s="1461" t="n"/>
      <c r="IL24" s="1461" t="n"/>
      <c r="IM24" s="1461" t="n"/>
      <c r="IN24" s="1461" t="n"/>
      <c r="IO24" s="1461" t="n"/>
      <c r="IP24" s="1461" t="n"/>
      <c r="IQ24" s="1461" t="n"/>
      <c r="IR24" s="1461" t="n"/>
      <c r="IS24" s="1461" t="n"/>
      <c r="IT24" s="1461" t="n"/>
      <c r="IU24" s="1461" t="n"/>
      <c r="IV24" s="1461" t="n"/>
      <c r="IW24" s="1461" t="n"/>
      <c r="IX24" s="1461" t="n"/>
      <c r="IY24" s="1461" t="n"/>
      <c r="IZ24" s="1461" t="n"/>
      <c r="JA24" s="1461" t="n"/>
      <c r="JB24" s="1461" t="n"/>
      <c r="JC24" s="1461" t="n"/>
      <c r="JD24" s="1461" t="n"/>
      <c r="JE24" s="1461" t="n"/>
      <c r="JF24" s="1461" t="n"/>
      <c r="JG24" s="1461" t="n"/>
      <c r="JH24" s="1461" t="n"/>
      <c r="JI24" s="1461" t="n"/>
      <c r="JJ24" s="1461" t="n"/>
      <c r="JK24" s="1461" t="n"/>
      <c r="JL24" s="1461" t="n"/>
      <c r="JM24" s="1461" t="n"/>
      <c r="JN24" s="1461" t="n"/>
      <c r="JO24" s="1461" t="n"/>
      <c r="JP24" s="1461" t="n"/>
      <c r="JQ24" s="1461" t="n"/>
      <c r="JR24" s="1461" t="n"/>
      <c r="JS24" s="1461" t="n"/>
      <c r="JT24" s="1461" t="n"/>
      <c r="JU24" s="1461" t="n"/>
      <c r="JV24" s="1461" t="n"/>
      <c r="JW24" s="1461" t="n"/>
      <c r="JX24" s="1461" t="n"/>
      <c r="JY24" s="1461" t="n"/>
      <c r="JZ24" s="1461" t="n"/>
      <c r="KA24" s="1461" t="n"/>
      <c r="KB24" s="1461" t="n"/>
      <c r="KC24" s="1461" t="n"/>
      <c r="KD24" s="1461" t="n"/>
      <c r="KE24" s="1461" t="n"/>
      <c r="KF24" s="1461" t="n"/>
      <c r="KG24" s="1461" t="n"/>
      <c r="KH24" s="1461" t="n"/>
      <c r="KI24" s="1461" t="n"/>
      <c r="KJ24" s="1461" t="n"/>
      <c r="KK24" s="1461" t="n"/>
      <c r="KL24" s="1461" t="n"/>
      <c r="KM24" s="1461" t="n"/>
      <c r="KN24" s="1461" t="n"/>
      <c r="KO24" s="1461" t="n"/>
      <c r="KP24" s="1461" t="n"/>
      <c r="KQ24" s="1461" t="n"/>
      <c r="KR24" s="1461" t="n"/>
      <c r="KS24" s="1461" t="n"/>
      <c r="KT24" s="1461" t="n"/>
      <c r="KU24" s="1461" t="n"/>
      <c r="KV24" s="1461" t="n"/>
      <c r="KW24" s="1461" t="n"/>
      <c r="KX24" s="1461" t="n"/>
      <c r="KY24" s="1461" t="n"/>
      <c r="KZ24" s="1461" t="n"/>
      <c r="LA24" s="1461" t="n"/>
      <c r="LB24" s="1461" t="n"/>
      <c r="LC24" s="1461" t="n"/>
      <c r="LD24" s="1461" t="n"/>
      <c r="LE24" s="1461" t="n"/>
      <c r="LF24" s="1461" t="n"/>
      <c r="LG24" s="1461" t="n"/>
      <c r="LH24" s="1461" t="n"/>
      <c r="LI24" s="1461" t="n"/>
      <c r="LJ24" s="1461" t="n"/>
      <c r="LK24" s="1461" t="n"/>
      <c r="LL24" s="1461" t="n"/>
      <c r="LM24" s="1461" t="n"/>
      <c r="LN24" s="1461" t="n"/>
      <c r="LO24" s="1461" t="n"/>
      <c r="LP24" s="1461" t="n"/>
      <c r="LQ24" s="1461" t="n"/>
      <c r="LR24" s="1461" t="n"/>
      <c r="LS24" s="1461" t="n"/>
      <c r="LT24" s="1461" t="n"/>
      <c r="LU24" s="1461" t="n"/>
      <c r="LV24" s="1461" t="n"/>
      <c r="LW24" s="1461" t="n"/>
      <c r="LX24" s="1461" t="n"/>
      <c r="LY24" s="1461" t="n"/>
      <c r="LZ24" s="1461" t="n"/>
      <c r="MA24" s="1461" t="n"/>
      <c r="MB24" s="1461" t="n"/>
      <c r="MC24" s="1461" t="n"/>
      <c r="MD24" s="1461" t="n"/>
      <c r="ME24" s="1461" t="n"/>
      <c r="MF24" s="1461" t="n"/>
      <c r="MG24" s="1461" t="n"/>
      <c r="MH24" s="1461" t="n"/>
      <c r="MI24" s="1461" t="n"/>
      <c r="MJ24" s="1461" t="n"/>
      <c r="MK24" s="1461" t="n"/>
      <c r="ML24" s="1461" t="n"/>
      <c r="MM24" s="1461" t="n"/>
      <c r="MN24" s="1461" t="n"/>
      <c r="MO24" s="1461" t="n"/>
      <c r="MP24" s="1461" t="n"/>
      <c r="MQ24" s="1461" t="n"/>
      <c r="MR24" s="1461" t="n"/>
      <c r="MS24" s="1461" t="n"/>
      <c r="MT24" s="1461" t="n"/>
      <c r="MU24" s="1461" t="n"/>
      <c r="MV24" s="1461" t="n"/>
      <c r="MW24" s="1461" t="n"/>
      <c r="MX24" s="1461" t="n"/>
      <c r="MY24" s="1461" t="n"/>
      <c r="MZ24" s="1461" t="n"/>
      <c r="NA24" s="1461" t="n"/>
      <c r="NB24" s="1461" t="n"/>
      <c r="NC24" s="1461" t="n"/>
      <c r="ND24" s="1461" t="n"/>
      <c r="NE24" s="1461" t="n"/>
      <c r="NF24" s="1461" t="n"/>
      <c r="NG24" s="1461" t="n"/>
      <c r="NH24" s="1461" t="n"/>
      <c r="NI24" s="1461" t="n"/>
      <c r="NJ24" s="1461" t="n"/>
      <c r="NK24" s="1461" t="n"/>
      <c r="NL24" s="1461" t="n"/>
      <c r="NM24" s="1461" t="n"/>
      <c r="NN24" s="1461" t="n"/>
      <c r="NO24" s="1461" t="n"/>
      <c r="NP24" s="1461" t="n"/>
      <c r="NQ24" s="1461" t="n"/>
      <c r="NR24" s="1461" t="n"/>
      <c r="NS24" s="1461" t="n"/>
      <c r="NT24" s="1461" t="n"/>
      <c r="NU24" s="1461" t="n"/>
      <c r="NV24" s="1461" t="n"/>
      <c r="NW24" s="1461" t="n"/>
      <c r="NX24" s="1461" t="n"/>
      <c r="NY24" s="1461" t="n"/>
      <c r="NZ24" s="1461" t="n"/>
      <c r="OA24" s="1461" t="n"/>
      <c r="OB24" s="1461" t="n"/>
      <c r="OC24" s="1461" t="n"/>
      <c r="OD24" s="1461" t="n"/>
      <c r="OE24" s="1461" t="n"/>
      <c r="OF24" s="1461" t="n"/>
      <c r="OG24" s="1461" t="n"/>
      <c r="OH24" s="1461" t="n"/>
      <c r="OI24" s="1461" t="n"/>
      <c r="OJ24" s="1461" t="n"/>
      <c r="OK24" s="1461" t="n"/>
      <c r="OL24" s="1461" t="n"/>
      <c r="OM24" s="1461" t="n"/>
      <c r="ON24" s="1461" t="n"/>
      <c r="OO24" s="1461" t="n"/>
      <c r="OP24" s="1461" t="n"/>
      <c r="OQ24" s="1461" t="n"/>
      <c r="OR24" s="1461" t="n"/>
      <c r="OS24" s="1461" t="n"/>
      <c r="OT24" s="1461" t="n"/>
      <c r="OU24" s="1461" t="n"/>
      <c r="OV24" s="1461" t="n"/>
      <c r="OW24" s="1461" t="n"/>
      <c r="OX24" s="1461" t="n"/>
      <c r="OY24" s="1461" t="n"/>
      <c r="OZ24" s="1461" t="n"/>
      <c r="PA24" s="1461" t="n"/>
      <c r="PB24" s="1461" t="n"/>
      <c r="PC24" s="1461" t="n"/>
      <c r="PD24" s="1461" t="n"/>
      <c r="PE24" s="1461" t="n"/>
      <c r="PF24" s="1461" t="n"/>
      <c r="PG24" s="1461" t="n"/>
      <c r="PH24" s="1461" t="n"/>
      <c r="PI24" s="1461" t="n"/>
      <c r="PJ24" s="1461" t="n"/>
      <c r="PK24" s="1461" t="n"/>
      <c r="PL24" s="1461" t="n"/>
      <c r="PM24" s="1461" t="n"/>
      <c r="PN24" s="1461" t="n"/>
      <c r="PO24" s="1461" t="n"/>
      <c r="PP24" s="1461" t="n"/>
      <c r="PQ24" s="1461" t="n"/>
      <c r="PR24" s="1461" t="n"/>
      <c r="PS24" s="1461" t="n"/>
      <c r="PT24" s="1461" t="n"/>
      <c r="PU24" s="1461" t="n"/>
      <c r="PV24" s="1461" t="n"/>
      <c r="PW24" s="1461" t="n"/>
      <c r="PX24" s="1461" t="n"/>
      <c r="PY24" s="1461" t="n"/>
      <c r="PZ24" s="1461" t="n"/>
      <c r="QA24" s="1461" t="n"/>
      <c r="QB24" s="1461" t="n"/>
      <c r="QC24" s="1461" t="n"/>
      <c r="QD24" s="1461" t="n"/>
      <c r="QE24" s="1461" t="n"/>
      <c r="QF24" s="1461" t="n"/>
      <c r="QG24" s="1461" t="n"/>
      <c r="QH24" s="1461" t="n"/>
      <c r="QI24" s="1461" t="n"/>
      <c r="QJ24" s="1461" t="n"/>
      <c r="QK24" s="1461" t="n"/>
      <c r="QL24" s="1461" t="n"/>
      <c r="QM24" s="1461" t="n"/>
      <c r="QN24" s="1461" t="n"/>
      <c r="QO24" s="1461" t="n"/>
      <c r="QP24" s="1461" t="n"/>
      <c r="QQ24" s="1461" t="n"/>
      <c r="QR24" s="1461" t="n"/>
      <c r="QS24" s="1461" t="n"/>
      <c r="QT24" s="1461" t="n"/>
      <c r="QU24" s="1461" t="n"/>
      <c r="QV24" s="1461" t="n"/>
      <c r="QW24" s="1461" t="n"/>
      <c r="QX24" s="1461" t="n"/>
      <c r="QY24" s="1461" t="n"/>
      <c r="QZ24" s="1461" t="n"/>
      <c r="RA24" s="1461" t="n"/>
      <c r="RB24" s="1461" t="n"/>
      <c r="RC24" s="1461" t="n"/>
      <c r="RD24" s="1461" t="n"/>
      <c r="RE24" s="1461" t="n"/>
      <c r="RF24" s="1461" t="n"/>
      <c r="RG24" s="1461" t="n"/>
      <c r="RH24" s="1461" t="n"/>
      <c r="RI24" s="1461" t="n"/>
      <c r="RJ24" s="1461" t="n"/>
      <c r="RK24" s="1461" t="n"/>
      <c r="RL24" s="1461" t="n"/>
      <c r="RM24" s="1461" t="n"/>
      <c r="RN24" s="1461" t="n"/>
      <c r="RO24" s="1461" t="n"/>
      <c r="RP24" s="1461" t="n"/>
      <c r="RQ24" s="1461" t="n"/>
      <c r="RR24" s="1461" t="n"/>
      <c r="RS24" s="1461" t="n"/>
      <c r="RT24" s="1461" t="n"/>
      <c r="RU24" s="1461" t="n"/>
      <c r="RV24" s="1461" t="n"/>
      <c r="RW24" s="1461" t="n"/>
      <c r="RX24" s="1461" t="n"/>
      <c r="RY24" s="1461" t="n"/>
      <c r="RZ24" s="1461" t="n"/>
      <c r="SA24" s="1461" t="n"/>
      <c r="SB24" s="1461" t="n"/>
      <c r="SC24" s="1461" t="n"/>
      <c r="SD24" s="1461" t="n"/>
      <c r="SE24" s="1461" t="n"/>
      <c r="SF24" s="1461" t="n"/>
      <c r="SG24" s="1461" t="n"/>
      <c r="SH24" s="1461" t="n"/>
      <c r="SI24" s="1461" t="n"/>
      <c r="SJ24" s="1461" t="n"/>
      <c r="SK24" s="1461" t="n"/>
      <c r="SL24" s="1461" t="n"/>
      <c r="SM24" s="1461" t="n"/>
      <c r="SN24" s="1461" t="n"/>
      <c r="SO24" s="1461" t="n"/>
      <c r="SP24" s="1461" t="n"/>
      <c r="SQ24" s="1461" t="n"/>
      <c r="SR24" s="1461" t="n"/>
      <c r="SS24" s="1461" t="n"/>
      <c r="ST24" s="1461" t="n"/>
      <c r="SU24" s="1461" t="n"/>
      <c r="SV24" s="1461" t="n"/>
      <c r="SW24" s="1461" t="n"/>
      <c r="SX24" s="1461" t="n"/>
      <c r="SY24" s="1461" t="n"/>
      <c r="SZ24" s="1461" t="n"/>
      <c r="TA24" s="1461" t="n"/>
      <c r="TB24" s="1461" t="n"/>
      <c r="TC24" s="1461" t="n"/>
      <c r="TD24" s="1461" t="n"/>
      <c r="TE24" s="1461" t="n"/>
      <c r="TF24" s="1461" t="n"/>
      <c r="TG24" s="1461" t="n"/>
      <c r="TH24" s="1461" t="n"/>
      <c r="TI24" s="1461" t="n"/>
      <c r="TJ24" s="1461" t="n"/>
      <c r="TK24" s="1461" t="n"/>
      <c r="TL24" s="1461" t="n"/>
      <c r="TM24" s="1461" t="n"/>
      <c r="TN24" s="1461" t="n"/>
      <c r="TO24" s="1461" t="n"/>
      <c r="TP24" s="1461" t="n"/>
      <c r="TQ24" s="1461" t="n"/>
      <c r="TR24" s="1461" t="n"/>
      <c r="TS24" s="1461" t="n"/>
      <c r="TT24" s="1461" t="n"/>
      <c r="TU24" s="1461" t="n"/>
      <c r="TV24" s="1461" t="n"/>
      <c r="TW24" s="1461" t="n"/>
      <c r="TX24" s="1461" t="n"/>
      <c r="TY24" s="1461" t="n"/>
      <c r="TZ24" s="1461" t="n"/>
      <c r="UA24" s="1461" t="n"/>
      <c r="UB24" s="1461" t="n"/>
      <c r="UC24" s="1461" t="n"/>
      <c r="UD24" s="1461" t="n"/>
      <c r="UE24" s="1461" t="n"/>
      <c r="UF24" s="1461" t="n"/>
      <c r="UG24" s="1461" t="n"/>
      <c r="UH24" s="1461" t="n"/>
      <c r="UI24" s="1461" t="n"/>
      <c r="UJ24" s="1461" t="n"/>
      <c r="UK24" s="1461" t="n"/>
      <c r="UL24" s="1461" t="n"/>
      <c r="UM24" s="1461" t="n"/>
      <c r="UN24" s="1461" t="n"/>
      <c r="UO24" s="1461" t="n"/>
      <c r="UP24" s="1461" t="n"/>
      <c r="UQ24" s="1461" t="n"/>
      <c r="UR24" s="1461" t="n"/>
      <c r="US24" s="1461" t="n"/>
      <c r="UT24" s="1461" t="n"/>
      <c r="UU24" s="1461" t="n"/>
      <c r="UV24" s="1461" t="n"/>
      <c r="UW24" s="1461" t="n"/>
      <c r="UX24" s="1461" t="n"/>
      <c r="UY24" s="1461" t="n"/>
      <c r="UZ24" s="1461" t="n"/>
      <c r="VA24" s="1461" t="n"/>
      <c r="VB24" s="1461" t="n"/>
      <c r="VC24" s="1461" t="n"/>
      <c r="VD24" s="1461" t="n"/>
      <c r="VE24" s="1461" t="n"/>
      <c r="VF24" s="1461" t="n"/>
      <c r="VG24" s="1461" t="n"/>
      <c r="VH24" s="1461" t="n"/>
      <c r="VI24" s="1461" t="n"/>
      <c r="VJ24" s="1461" t="n"/>
      <c r="VK24" s="1461" t="n"/>
      <c r="VL24" s="1461" t="n"/>
      <c r="VM24" s="1461" t="n"/>
      <c r="VN24" s="1461" t="n"/>
      <c r="VO24" s="1461" t="n"/>
      <c r="VP24" s="1461" t="n"/>
      <c r="VQ24" s="1461" t="n"/>
      <c r="VR24" s="1461" t="n"/>
      <c r="VS24" s="1461" t="n"/>
      <c r="VT24" s="1461" t="n"/>
      <c r="VU24" s="1461" t="n"/>
      <c r="VV24" s="1461" t="n"/>
      <c r="VW24" s="1461" t="n"/>
      <c r="VX24" s="1461" t="n"/>
      <c r="VY24" s="1461" t="n"/>
      <c r="VZ24" s="1461" t="n"/>
      <c r="WA24" s="1461" t="n"/>
      <c r="WB24" s="1461" t="n"/>
      <c r="WC24" s="1461" t="n"/>
      <c r="WD24" s="1461" t="n"/>
      <c r="WE24" s="1461" t="n"/>
      <c r="WF24" s="1461" t="n"/>
      <c r="WG24" s="1461" t="n"/>
      <c r="WH24" s="1461" t="n"/>
      <c r="WI24" s="1461" t="n"/>
      <c r="WJ24" s="1461" t="n"/>
      <c r="WK24" s="1461" t="n"/>
      <c r="WL24" s="1461" t="n"/>
      <c r="WM24" s="1461" t="n"/>
      <c r="WN24" s="1461" t="n"/>
      <c r="WO24" s="1461" t="n"/>
      <c r="WP24" s="1461" t="n"/>
      <c r="WQ24" s="1461" t="n"/>
      <c r="WR24" s="1461" t="n"/>
      <c r="WS24" s="1461" t="n"/>
      <c r="WT24" s="1461" t="n"/>
      <c r="WU24" s="1461" t="n"/>
      <c r="WV24" s="1461" t="n"/>
      <c r="WW24" s="1461" t="n"/>
      <c r="WX24" s="1461" t="n"/>
      <c r="WY24" s="1461" t="n"/>
      <c r="WZ24" s="1461" t="n"/>
      <c r="XA24" s="1461" t="n"/>
      <c r="XB24" s="1461" t="n"/>
      <c r="XC24" s="1461" t="n"/>
      <c r="XD24" s="1461" t="n"/>
      <c r="XE24" s="1461" t="n"/>
      <c r="XF24" s="1461" t="n"/>
      <c r="XG24" s="1461" t="n"/>
      <c r="XH24" s="1461" t="n"/>
      <c r="XI24" s="1461" t="n"/>
      <c r="XJ24" s="1461" t="n"/>
      <c r="XK24" s="1461" t="n"/>
      <c r="XL24" s="1461" t="n"/>
      <c r="XM24" s="1461" t="n"/>
      <c r="XN24" s="1461" t="n"/>
      <c r="XO24" s="1461" t="n"/>
      <c r="XP24" s="1461" t="n"/>
      <c r="XQ24" s="1461" t="n"/>
      <c r="XR24" s="1461" t="n"/>
      <c r="XS24" s="1461" t="n"/>
      <c r="XT24" s="1461" t="n"/>
      <c r="XU24" s="1461" t="n"/>
      <c r="XV24" s="1461" t="n"/>
      <c r="XW24" s="1461" t="n"/>
      <c r="XX24" s="1461" t="n"/>
      <c r="XY24" s="1461" t="n"/>
      <c r="XZ24" s="1461" t="n"/>
      <c r="YA24" s="1461" t="n"/>
      <c r="YB24" s="1461" t="n"/>
      <c r="YC24" s="1461" t="n"/>
      <c r="YD24" s="1461" t="n"/>
      <c r="YE24" s="1461" t="n"/>
      <c r="YF24" s="1461" t="n"/>
      <c r="YG24" s="1461" t="n"/>
      <c r="YH24" s="1461" t="n"/>
      <c r="YI24" s="1461" t="n"/>
      <c r="YJ24" s="1461" t="n"/>
      <c r="YK24" s="1461" t="n"/>
      <c r="YL24" s="1461" t="n"/>
      <c r="YM24" s="1461" t="n"/>
      <c r="YN24" s="1461" t="n"/>
      <c r="YO24" s="1461" t="n"/>
      <c r="YP24" s="1461" t="n"/>
      <c r="YQ24" s="1461" t="n"/>
      <c r="YR24" s="1461" t="n"/>
      <c r="YS24" s="1461" t="n"/>
      <c r="YT24" s="1461" t="n"/>
      <c r="YU24" s="1461" t="n"/>
      <c r="YV24" s="1461" t="n"/>
      <c r="YW24" s="1461" t="n"/>
      <c r="YX24" s="1461" t="n"/>
      <c r="YY24" s="1461" t="n"/>
      <c r="YZ24" s="1461" t="n"/>
      <c r="ZA24" s="1461" t="n"/>
      <c r="ZB24" s="1461" t="n"/>
      <c r="ZC24" s="1461" t="n"/>
      <c r="ZD24" s="1461" t="n"/>
      <c r="ZE24" s="1461" t="n"/>
      <c r="ZF24" s="1462" t="n"/>
    </row>
    <row r="25" customFormat="1" s="1454">
      <c r="A25" s="1447" t="n"/>
      <c r="B25" s="1455" t="n"/>
      <c r="C25" s="412" t="inlineStr">
        <is>
          <t xml:space="preserve">Time Deposit </t>
        </is>
      </c>
      <c r="D25" s="1456" t="n"/>
      <c r="E25" s="1456" t="n"/>
      <c r="F25" s="1456" t="n"/>
      <c r="G25" s="1456" t="n"/>
      <c r="H25" s="1456" t="n"/>
      <c r="I25" s="1456" t="n"/>
      <c r="J25" s="1456" t="n"/>
      <c r="K25" s="1456" t="n"/>
      <c r="L25" s="1456" t="n"/>
      <c r="M25" s="1456" t="n"/>
      <c r="N25" s="1456" t="n"/>
      <c r="O25" s="1456" t="n"/>
      <c r="P25" s="1456" t="n"/>
      <c r="Q25" s="1456" t="n"/>
      <c r="R25" s="1456" t="n"/>
      <c r="S25" s="1456" t="n"/>
      <c r="T25" s="1456" t="n"/>
      <c r="U25" s="1456" t="n"/>
      <c r="V25" s="1456" t="n"/>
      <c r="W25" s="1456" t="n"/>
      <c r="X25" s="1456" t="n"/>
      <c r="Y25" s="1456" t="n"/>
      <c r="Z25" s="1456" t="n"/>
      <c r="AA25" s="1456" t="n"/>
      <c r="AB25" s="1456" t="n"/>
      <c r="AC25" s="1456" t="n"/>
      <c r="AD25" s="1456" t="n"/>
      <c r="AE25" s="1456" t="n"/>
      <c r="AF25" s="1456" t="n"/>
      <c r="AG25" s="1456" t="n"/>
      <c r="AH25" s="1456" t="n"/>
      <c r="AI25" s="1456" t="n"/>
      <c r="AJ25" s="1456" t="n"/>
      <c r="AK25" s="1456" t="n"/>
      <c r="AL25" s="1456" t="n"/>
      <c r="AM25" s="1456" t="n"/>
      <c r="AN25" s="1456" t="n"/>
      <c r="AO25" s="1456" t="n"/>
      <c r="AP25" s="1456" t="n"/>
      <c r="AQ25" s="1456" t="n"/>
      <c r="AR25" s="1456" t="n"/>
      <c r="AS25" s="1456" t="n"/>
      <c r="AT25" s="1456" t="n"/>
      <c r="AU25" s="1456" t="n"/>
      <c r="AV25" s="1456" t="n"/>
      <c r="AW25" s="1456" t="n"/>
      <c r="AX25" s="1456" t="n"/>
      <c r="AY25" s="1456" t="n"/>
      <c r="AZ25" s="1456" t="n"/>
      <c r="BA25" s="1456" t="n"/>
      <c r="BB25" s="1456" t="n"/>
      <c r="BC25" s="1456" t="n"/>
      <c r="BD25" s="1456" t="n"/>
      <c r="BE25" s="1456" t="n"/>
      <c r="BF25" s="1456" t="n"/>
      <c r="BG25" s="1456" t="n"/>
      <c r="BH25" s="1456" t="n"/>
      <c r="BI25" s="1456" t="n"/>
      <c r="BJ25" s="1456" t="n"/>
      <c r="BK25" s="1456" t="n"/>
      <c r="BL25" s="1456" t="n"/>
      <c r="BM25" s="1456" t="n"/>
      <c r="BN25" s="1456" t="n"/>
      <c r="BO25" s="1456" t="n"/>
      <c r="BP25" s="1456" t="n"/>
      <c r="BQ25" s="1456" t="n"/>
      <c r="BR25" s="1456" t="n"/>
      <c r="BS25" s="1456" t="n"/>
      <c r="BT25" s="1456" t="n"/>
      <c r="BU25" s="1456" t="n"/>
      <c r="BV25" s="1456" t="n"/>
      <c r="BW25" s="1456" t="n"/>
      <c r="BX25" s="1456" t="n"/>
      <c r="BY25" s="1456" t="n"/>
      <c r="BZ25" s="1456" t="n"/>
      <c r="CA25" s="1456" t="n"/>
      <c r="CB25" s="1456" t="n"/>
      <c r="CC25" s="1456" t="n"/>
      <c r="CD25" s="1456" t="n"/>
      <c r="CE25" s="1456" t="n"/>
      <c r="CF25" s="1456" t="n"/>
      <c r="CG25" s="1456" t="n"/>
      <c r="CH25" s="1456" t="n"/>
      <c r="CI25" s="1456" t="n"/>
      <c r="CJ25" s="1456" t="n"/>
      <c r="CK25" s="1456" t="n"/>
      <c r="CL25" s="1456" t="n"/>
      <c r="CM25" s="1456" t="n"/>
      <c r="CN25" s="1456" t="n"/>
      <c r="CO25" s="1456" t="n"/>
      <c r="CP25" s="1457" t="n"/>
      <c r="CQ25" s="1457" t="n"/>
      <c r="CR25" s="1457" t="n"/>
      <c r="CS25" s="1457" t="n"/>
      <c r="CT25" s="1457" t="n"/>
      <c r="CU25" s="1457" t="n"/>
      <c r="CV25" s="1457" t="n"/>
      <c r="CW25" s="1457" t="n"/>
      <c r="CX25" s="1457" t="n"/>
      <c r="CY25" s="1457" t="n"/>
      <c r="CZ25" s="1457" t="n"/>
      <c r="DA25" s="1457" t="n"/>
      <c r="DB25" s="1457" t="n"/>
      <c r="DC25" s="1457" t="n"/>
      <c r="DD25" s="1457" t="n"/>
      <c r="DE25" s="1457" t="n"/>
      <c r="DF25" s="1457" t="n"/>
      <c r="DG25" s="1457" t="n"/>
      <c r="DH25" s="1457" t="n"/>
      <c r="DI25" s="1457" t="n"/>
      <c r="DJ25" s="1457" t="n"/>
      <c r="DK25" s="1457" t="n"/>
      <c r="DL25" s="1457" t="n"/>
      <c r="DM25" s="1457" t="n"/>
      <c r="DN25" s="1457" t="n"/>
      <c r="DO25" s="1457" t="n"/>
      <c r="DP25" s="1457" t="n"/>
      <c r="DQ25" s="1457" t="n"/>
      <c r="DR25" s="1457" t="n"/>
      <c r="DS25" s="1457" t="n"/>
      <c r="DT25" s="1457" t="n"/>
      <c r="DU25" s="1457" t="n"/>
      <c r="DV25" s="1457" t="n"/>
      <c r="DW25" s="1457" t="n"/>
      <c r="DX25" s="1457" t="n"/>
      <c r="DY25" s="1457" t="n"/>
      <c r="DZ25" s="1457" t="n"/>
      <c r="EA25" s="1457" t="n"/>
      <c r="EB25" s="1457" t="n"/>
      <c r="EC25" s="1457" t="n"/>
      <c r="ED25" s="1457" t="n"/>
      <c r="EE25" s="1457" t="n"/>
      <c r="EF25" s="1457" t="n"/>
      <c r="EG25" s="1457" t="n"/>
      <c r="EH25" s="1457" t="n"/>
      <c r="EI25" s="1457" t="n"/>
      <c r="EJ25" s="1457" t="n"/>
      <c r="EK25" s="1457" t="n"/>
      <c r="EL25" s="1457" t="n"/>
      <c r="EM25" s="1457" t="n"/>
      <c r="EN25" s="1457" t="n"/>
      <c r="EO25" s="1457" t="n"/>
      <c r="EP25" s="1457" t="n"/>
      <c r="EQ25" s="1457" t="n"/>
      <c r="ER25" s="1457" t="n"/>
      <c r="ES25" s="1457" t="n"/>
      <c r="ET25" s="1457" t="n"/>
      <c r="EU25" s="1457" t="n"/>
      <c r="EV25" s="1457" t="n"/>
      <c r="EW25" s="1457" t="n"/>
      <c r="EX25" s="1457" t="n"/>
      <c r="EY25" s="1457" t="n"/>
      <c r="EZ25" s="1457" t="n"/>
      <c r="FA25" s="1457" t="n"/>
      <c r="FB25" s="1457" t="n"/>
      <c r="FC25" s="1457" t="n"/>
      <c r="FD25" s="1457" t="n"/>
      <c r="FE25" s="1457" t="n"/>
      <c r="FF25" s="1457" t="n"/>
      <c r="FG25" s="1457" t="n"/>
      <c r="FH25" s="1457" t="n"/>
      <c r="FI25" s="1457" t="n"/>
      <c r="FJ25" s="1457" t="n"/>
      <c r="FK25" s="1457" t="n"/>
      <c r="FL25" s="1457" t="n"/>
      <c r="FM25" s="1457" t="n"/>
      <c r="FN25" s="1457" t="n"/>
      <c r="FO25" s="1457" t="n"/>
      <c r="FP25" s="1457" t="n"/>
      <c r="FQ25" s="1457" t="n"/>
      <c r="FR25" s="1457" t="n"/>
      <c r="FS25" s="1457" t="n"/>
      <c r="FT25" s="1457" t="n"/>
      <c r="FU25" s="1457" t="n"/>
      <c r="FV25" s="1457" t="n"/>
      <c r="FW25" s="1457" t="n"/>
      <c r="FX25" s="1457" t="n"/>
      <c r="FY25" s="1457" t="n"/>
      <c r="FZ25" s="1457" t="n"/>
      <c r="GA25" s="1457" t="n"/>
      <c r="GB25" s="1457" t="n"/>
      <c r="GC25" s="1457" t="n"/>
      <c r="GD25" s="1457" t="n"/>
      <c r="GE25" s="1457" t="n"/>
      <c r="GF25" s="1457" t="n"/>
      <c r="GG25" s="1457" t="n"/>
      <c r="GH25" s="1457" t="n"/>
      <c r="GI25" s="1457" t="n"/>
      <c r="GJ25" s="1457" t="n"/>
      <c r="GK25" s="1457" t="n"/>
      <c r="GL25" s="1457" t="n"/>
      <c r="GM25" s="1457" t="n"/>
      <c r="GN25" s="1457" t="n"/>
      <c r="GO25" s="1457" t="n"/>
      <c r="GP25" s="1457" t="n"/>
      <c r="GQ25" s="1457" t="n"/>
      <c r="GR25" s="1457" t="n"/>
      <c r="GS25" s="1457" t="n"/>
      <c r="GT25" s="1457" t="n"/>
      <c r="GU25" s="1457" t="n"/>
      <c r="GV25" s="1457" t="n"/>
      <c r="GW25" s="1457" t="n"/>
      <c r="GX25" s="1457" t="n"/>
      <c r="GY25" s="1457" t="n"/>
      <c r="GZ25" s="1457" t="n"/>
      <c r="HA25" s="1457" t="n"/>
      <c r="HB25" s="1457" t="n"/>
      <c r="HC25" s="1457" t="n"/>
      <c r="HD25" s="1457" t="n"/>
      <c r="HE25" s="1457" t="n"/>
      <c r="HF25" s="1457" t="n"/>
      <c r="HG25" s="1457" t="n"/>
      <c r="HH25" s="1457" t="n"/>
      <c r="HI25" s="1457" t="n"/>
      <c r="HJ25" s="1457" t="n"/>
      <c r="HK25" s="1457" t="n"/>
      <c r="HL25" s="1457" t="n"/>
      <c r="HM25" s="1457" t="n"/>
      <c r="HN25" s="1457" t="n"/>
      <c r="HO25" s="1457" t="n"/>
      <c r="HP25" s="1457" t="n"/>
      <c r="HQ25" s="1457" t="n"/>
      <c r="HR25" s="1457" t="n"/>
      <c r="HS25" s="1457" t="n"/>
      <c r="HT25" s="1456">
        <f>$D$49*HT9/HT7</f>
        <v/>
      </c>
      <c r="HU25" s="1456">
        <f>$D$49*HU9/HU7</f>
        <v/>
      </c>
      <c r="HV25" s="1456">
        <f>$D$49*HV9/HV7</f>
        <v/>
      </c>
      <c r="HW25" s="1456">
        <f>$D$49*HW9/HW7</f>
        <v/>
      </c>
      <c r="HX25" s="1456">
        <f>$D$49*HX9/HX7</f>
        <v/>
      </c>
      <c r="HY25" s="1456">
        <f>$D$49*HY9/HY7</f>
        <v/>
      </c>
      <c r="HZ25" s="1456">
        <f>$D$49*HZ9/HZ7</f>
        <v/>
      </c>
      <c r="IA25" s="1456">
        <f>$D$49*IA9/IA7</f>
        <v/>
      </c>
      <c r="IB25" s="1456" t="n">
        <v>0.5016503431016702</v>
      </c>
      <c r="IC25" s="1456" t="n">
        <v>0.5053104716473594</v>
      </c>
      <c r="ID25" s="1456">
        <f>$D$49*ID9/ID7</f>
        <v/>
      </c>
      <c r="IE25" s="1456" t="n">
        <v>0.5037593877222523</v>
      </c>
      <c r="IF25" s="1456" t="n">
        <v>0.5003021527421649</v>
      </c>
      <c r="IG25" s="1456" t="n">
        <v>0.5017656500774289</v>
      </c>
      <c r="IH25" s="1456" t="n">
        <v>0.5081558899682549</v>
      </c>
      <c r="II25" s="1456" t="n">
        <v>0.5063290614039345</v>
      </c>
      <c r="IJ25" s="1456" t="n">
        <v>0.5055036987522494</v>
      </c>
      <c r="IK25" s="1456" t="n">
        <v>0.5071690372894868</v>
      </c>
      <c r="IL25" s="1456" t="n">
        <v>0.5079989172705445</v>
      </c>
      <c r="IM25" s="1456" t="n">
        <v>0.5115737595069928</v>
      </c>
      <c r="IN25" s="1456" t="n">
        <v>0.5072680656152192</v>
      </c>
      <c r="IO25" s="1456" t="n">
        <v>0.507216978040575</v>
      </c>
      <c r="IP25" s="1456" t="n">
        <v>0.5069334951059068</v>
      </c>
      <c r="IQ25" s="1456" t="n">
        <v>0.5072423598935478</v>
      </c>
      <c r="IR25" s="1456" t="n">
        <v>0.5082376171659253</v>
      </c>
      <c r="IS25" s="1456" t="n">
        <v>0.5069121811046428</v>
      </c>
      <c r="IT25" s="1456" t="n">
        <v>0.5079797550310182</v>
      </c>
      <c r="IU25" s="1456" t="n">
        <v>0.5076889142734046</v>
      </c>
      <c r="IV25" s="1456" t="n">
        <v>0.5072007911896053</v>
      </c>
      <c r="IW25" s="1456" t="n">
        <v>0.5073565846319608</v>
      </c>
      <c r="IX25" s="1456" t="n">
        <v>0.5078447275988848</v>
      </c>
      <c r="IY25" s="1456" t="n">
        <v>0.5072871610382587</v>
      </c>
      <c r="IZ25" s="1456" t="n">
        <v>0.5073702736825615</v>
      </c>
      <c r="JA25" s="1456" t="n">
        <v>0.5074989487588245</v>
      </c>
      <c r="JB25" s="1456" t="n">
        <v>0.5095821366604052</v>
      </c>
      <c r="JC25" s="1456" t="n">
        <v>0.5075997441061206</v>
      </c>
      <c r="JD25" s="1456" t="n">
        <v>0.5075930782420701</v>
      </c>
      <c r="JE25" s="1456" t="n">
        <v>0.5059676613551422</v>
      </c>
      <c r="JF25" s="1456" t="n">
        <v>0.5074421735509467</v>
      </c>
      <c r="JG25" s="1456" t="n">
        <v>0.5067270910031011</v>
      </c>
      <c r="JH25" s="1456" t="n">
        <v>0.5062797207512811</v>
      </c>
      <c r="JI25" s="1456" t="n">
        <v>0.5044156479964292</v>
      </c>
      <c r="JJ25" s="1456" t="n">
        <v>0.5037739894422217</v>
      </c>
      <c r="JK25" s="1456" t="n">
        <v>0.5041125279391271</v>
      </c>
      <c r="JL25" s="1456" t="n">
        <v>0.5022289669990175</v>
      </c>
      <c r="JM25" s="1456" t="n">
        <v>0.5022850477503881</v>
      </c>
      <c r="JN25" s="1456" t="n">
        <v>0.504539148764436</v>
      </c>
      <c r="JO25" s="1456" t="n">
        <v>0.5046833486247089</v>
      </c>
      <c r="JP25" s="1456" t="n">
        <v>0.5058605820861825</v>
      </c>
      <c r="JQ25" s="1456" t="n">
        <v>0.5032026837287416</v>
      </c>
      <c r="JR25" s="1456" t="n">
        <v>0.5027071977973659</v>
      </c>
      <c r="JS25" s="1456" t="n">
        <v>0.5019265866556828</v>
      </c>
      <c r="JT25" s="1456" t="n">
        <v>0.5014865253776466</v>
      </c>
      <c r="JU25" s="1456">
        <f>$D$49*JU9/JU7</f>
        <v/>
      </c>
      <c r="JV25" s="1456" t="n">
        <v>0.4960005764673162</v>
      </c>
      <c r="JW25" s="1456" t="n">
        <v>0.4972544757413718</v>
      </c>
      <c r="JX25" s="1456" t="n">
        <v>0.4963724575383391</v>
      </c>
      <c r="JY25" s="1456" t="n">
        <v>0.4949788235882071</v>
      </c>
      <c r="JZ25" s="1456" t="n">
        <v>0.4950732728376115</v>
      </c>
      <c r="KA25" s="1456" t="n">
        <v>0.4931004630862384</v>
      </c>
      <c r="KB25" s="1456" t="n">
        <v>0.4942045250088348</v>
      </c>
      <c r="KC25" s="1456" t="n">
        <v>0.4930318659048535</v>
      </c>
      <c r="KD25" s="1456" t="n">
        <v>0.4922655041789775</v>
      </c>
      <c r="KE25" s="1456" t="n">
        <v>0.4907535624472122</v>
      </c>
      <c r="KF25" s="1456" t="n">
        <v>0.4906326945167398</v>
      </c>
      <c r="KG25" s="1456" t="n">
        <v>0.4933838426286049</v>
      </c>
      <c r="KH25" s="1456" t="n">
        <v>0.4906781542209827</v>
      </c>
      <c r="KI25" s="1456" t="n">
        <v>0.4900463470740011</v>
      </c>
      <c r="KJ25" s="1456" t="n">
        <v>0.4899586983246356</v>
      </c>
      <c r="KK25" s="1456" t="n">
        <v>0.4892909218230055</v>
      </c>
      <c r="KL25" s="1456" t="n">
        <v>0.4895111019368672</v>
      </c>
      <c r="KM25" s="1456" t="n">
        <v>0.4876990365292652</v>
      </c>
      <c r="KN25" s="1456" t="n">
        <v>0.4876585794444583</v>
      </c>
      <c r="KO25" s="1456" t="n">
        <v>0.4886473570305296</v>
      </c>
      <c r="KP25" s="1456" t="n">
        <v>0.4903571804377296</v>
      </c>
      <c r="KQ25" s="1456" t="n">
        <v>0.4876539984537772</v>
      </c>
      <c r="KR25" s="1456" t="n">
        <v>0.4866473741622108</v>
      </c>
      <c r="KS25" s="1456" t="n">
        <v>0.4857583636773191</v>
      </c>
      <c r="KT25" s="1456" t="n">
        <v>0.4859669192390892</v>
      </c>
      <c r="KU25" s="1456" t="n">
        <v>0.4842140957337894</v>
      </c>
      <c r="KV25" s="1456" t="n">
        <v>0.4827303700377983</v>
      </c>
      <c r="KW25" s="1456" t="n">
        <v>0.4837207022339696</v>
      </c>
      <c r="KX25" s="1456" t="n">
        <v>0.4816422873732527</v>
      </c>
      <c r="KY25" s="1456" t="n">
        <v>0.4815888046193848</v>
      </c>
      <c r="KZ25" s="1456" t="n">
        <v>0.4809317755514321</v>
      </c>
      <c r="LA25" s="1456" t="n">
        <v>0.4814376796853977</v>
      </c>
      <c r="LB25" s="1456" t="n">
        <v>0.4833792163842984</v>
      </c>
      <c r="LC25" s="1456" t="n">
        <v>0.4820870280557905</v>
      </c>
      <c r="LD25" s="1456" t="n">
        <v>0.482056931664382</v>
      </c>
      <c r="LE25" s="1456" t="n">
        <v>0.4822124267112891</v>
      </c>
      <c r="LF25" s="1456" t="n">
        <v>0.4826808425967204</v>
      </c>
      <c r="LG25" s="1456" t="n">
        <v>0.485092755601611</v>
      </c>
      <c r="LH25" s="1456" t="n">
        <v>0.4857509628831464</v>
      </c>
      <c r="LI25" s="1456" t="n">
        <v>0.488099117377076</v>
      </c>
      <c r="LJ25" s="1456" t="n">
        <v>0.4894233223319389</v>
      </c>
      <c r="LK25" s="1456" t="n">
        <v>0.4872238862613952</v>
      </c>
      <c r="LL25" s="1456" t="n">
        <v>0.4874148880755668</v>
      </c>
      <c r="LM25" s="1456" t="n">
        <v>0.4844838509134189</v>
      </c>
      <c r="LN25" s="1456" t="n">
        <v>0.4869360691075291</v>
      </c>
      <c r="LO25" s="1456" t="n">
        <v>0.4868703680527878</v>
      </c>
      <c r="LP25" s="1456" t="n">
        <v>0.4853498277980307</v>
      </c>
      <c r="LQ25" s="1456" t="n">
        <v>0.4892302299377654</v>
      </c>
      <c r="LR25" s="1456" t="n">
        <v>0.4879500701567956</v>
      </c>
      <c r="LS25" s="1456" t="n">
        <v>0.486947781847869</v>
      </c>
      <c r="LT25" s="1456" t="n">
        <v>0.4864484202293259</v>
      </c>
      <c r="LU25" s="1456" t="n">
        <v>0.4861903501673917</v>
      </c>
      <c r="LV25" s="1456" t="n">
        <v>0.4858288712538885</v>
      </c>
      <c r="LW25" s="1456" t="n">
        <v>0.4834701709033</v>
      </c>
      <c r="LX25" s="1456" t="n">
        <v>0.4839757900659652</v>
      </c>
      <c r="LY25" s="1456" t="n">
        <v>0.4840322426283468</v>
      </c>
      <c r="LZ25" s="1456" t="n">
        <v>0.4821733193339959</v>
      </c>
      <c r="MA25" s="1456" t="n">
        <v>0.4803903723068412</v>
      </c>
      <c r="MB25" s="1456" t="n">
        <v>0.4784305759411096</v>
      </c>
      <c r="MC25" s="1456" t="n">
        <v>0.4777750142794803</v>
      </c>
      <c r="MD25" s="1456" t="n">
        <v>0.4772163150134406</v>
      </c>
      <c r="ME25" s="1456" t="n">
        <v>0.4777240335151229</v>
      </c>
      <c r="MF25" s="1456" t="n">
        <v>0.4779754841571917</v>
      </c>
      <c r="MG25" s="1456" t="n">
        <v>0.4785206114207516</v>
      </c>
      <c r="MH25" s="1456" t="n">
        <v>0.4786628019843904</v>
      </c>
      <c r="MI25" s="1456" t="n">
        <v>0.4795842773331342</v>
      </c>
      <c r="MJ25" s="1456" t="n">
        <v>0.4791656644988951</v>
      </c>
      <c r="MK25" s="1456" t="n">
        <v>0.4783927645920205</v>
      </c>
      <c r="ML25" s="1456" t="n">
        <v>0.4792124800168849</v>
      </c>
      <c r="MM25" s="1456" t="n">
        <v>0.4788910745032072</v>
      </c>
      <c r="MN25" s="1456" t="n">
        <v>0.4791674845004277</v>
      </c>
      <c r="MO25" s="1456" t="n">
        <v>0.4810805765812722</v>
      </c>
      <c r="MP25" s="1456" t="n">
        <v>0.481075583721014</v>
      </c>
      <c r="MQ25" s="1456" t="n">
        <v>0.4784863367642454</v>
      </c>
      <c r="MR25" s="1456" t="n">
        <v>0.4782325924466829</v>
      </c>
      <c r="MS25" s="1456" t="n">
        <v>0.4766527007439399</v>
      </c>
      <c r="MT25" s="1456" t="n">
        <v>0.4756473003357703</v>
      </c>
      <c r="MU25" s="1456" t="n">
        <v>0.4784200667906284</v>
      </c>
      <c r="MV25" s="1456" t="n">
        <v>0.4784757087745648</v>
      </c>
      <c r="MW25" s="1456" t="n">
        <v>0.4801816143298459</v>
      </c>
      <c r="MX25" s="1456" t="n">
        <v>0.4799883727584288</v>
      </c>
      <c r="MY25" s="1456" t="n">
        <v>0.4803221343342806</v>
      </c>
      <c r="MZ25" s="1456" t="n">
        <v>0.4792238750747254</v>
      </c>
      <c r="NA25" s="1456" t="n">
        <v>0.4788175584593592</v>
      </c>
      <c r="NB25" s="1456" t="n">
        <v>0.4783225872968996</v>
      </c>
      <c r="NC25" s="1456" t="n">
        <v>0.4782412613322551</v>
      </c>
      <c r="ND25" s="1456" t="n">
        <v>0.4786998305331736</v>
      </c>
      <c r="NE25" s="1456" t="n">
        <v>0.4781107429353397</v>
      </c>
      <c r="NF25" s="1456" t="n">
        <v>0.4780525717610336</v>
      </c>
      <c r="NG25" s="1456" t="n">
        <v>0.4780152925586736</v>
      </c>
      <c r="NH25" s="1456" t="n">
        <v>0.4787920528043604</v>
      </c>
      <c r="NI25" s="1456" t="n">
        <v>0.4797578413352606</v>
      </c>
      <c r="NJ25" s="1456" t="n">
        <v>0.4794352223249745</v>
      </c>
      <c r="NK25" s="1456" t="n">
        <v>0.4777417189653432</v>
      </c>
      <c r="NL25" s="1456" t="n">
        <v>0.4776240456915304</v>
      </c>
      <c r="NM25" s="1456" t="n">
        <v>0.477984492188687</v>
      </c>
      <c r="NN25" s="1456" t="n">
        <v>0.4782513060702689</v>
      </c>
      <c r="NO25" s="1456" t="n">
        <v>0.4795127605219821</v>
      </c>
      <c r="NP25" s="1456" t="n">
        <v>0.478980640390154</v>
      </c>
      <c r="NQ25" s="1456" t="n">
        <v>0.4793241133766883</v>
      </c>
      <c r="NR25" s="1456" t="n">
        <v>0.4829800940429797</v>
      </c>
      <c r="NS25" s="1456" t="n">
        <v>0.4821021120679495</v>
      </c>
      <c r="NT25" s="1456" t="n">
        <v>0.4817240653922795</v>
      </c>
      <c r="NU25" s="1456" t="n">
        <v>0.4812929518860599</v>
      </c>
      <c r="NV25" s="1456" t="n">
        <v>0.481255637529341</v>
      </c>
      <c r="NW25" s="1456" t="n">
        <v>0.480315914792359</v>
      </c>
      <c r="NX25" s="1456" t="n">
        <v>0.4805536942523093</v>
      </c>
      <c r="NY25" s="1456" t="n">
        <v>0.4811583960024328</v>
      </c>
      <c r="NZ25" s="1456" t="n">
        <v>0.4813799677437705</v>
      </c>
      <c r="OA25" s="1456" t="n">
        <v>0.4811201761250103</v>
      </c>
      <c r="OB25" s="1456" t="n">
        <v>0.4806015911764442</v>
      </c>
      <c r="OC25" s="1456" t="n">
        <v>0.4809196785390282</v>
      </c>
      <c r="OD25" s="1456" t="n">
        <v>0.4805921773436433</v>
      </c>
      <c r="OE25" s="1456" t="n">
        <v>0.4803309182383241</v>
      </c>
      <c r="OF25" s="1456" t="n">
        <v>0.4803317777543548</v>
      </c>
      <c r="OG25" s="1456" t="n">
        <v>0.4808460575712277</v>
      </c>
      <c r="OH25" s="1456" t="n">
        <v>0.4810622232665091</v>
      </c>
      <c r="OI25" s="1456" t="n">
        <v>0.483316528114042</v>
      </c>
      <c r="OJ25" s="1456" t="n">
        <v>0.4843588290900059</v>
      </c>
      <c r="OK25" s="1456" t="n">
        <v>0.4833606262387166</v>
      </c>
      <c r="OL25" s="1456" t="n">
        <v>0.4826215029081783</v>
      </c>
      <c r="OM25" s="1456" t="n">
        <v>0.4828284008124752</v>
      </c>
      <c r="ON25" s="1456" t="n">
        <v>0.4828496689776784</v>
      </c>
      <c r="OO25" s="1456" t="n">
        <v>0.4862605382358576</v>
      </c>
      <c r="OP25" s="1456" t="n">
        <v>0.4856027044424182</v>
      </c>
      <c r="OQ25" s="1456" t="n">
        <v>0.4871108163396269</v>
      </c>
      <c r="OR25" s="1456" t="n">
        <v>0.4910713174522066</v>
      </c>
      <c r="OS25" s="1456" t="n">
        <v>0.4936789207252297</v>
      </c>
      <c r="OT25" s="1456" t="n">
        <v>0.4920967466613887</v>
      </c>
      <c r="OU25" s="1456" t="n">
        <v>0.4931399626926054</v>
      </c>
      <c r="OV25" s="1456" t="n">
        <v>0.4921685253661107</v>
      </c>
      <c r="OW25" s="1456" t="n">
        <v>0.4923468021992571</v>
      </c>
      <c r="OX25" s="1456" t="n">
        <v>0.4922459292199995</v>
      </c>
      <c r="OY25" s="1456" t="n">
        <v>0.4940697482120424</v>
      </c>
      <c r="OZ25" s="1456" t="n">
        <v>0.4933666189803334</v>
      </c>
      <c r="PA25" s="1456" t="n">
        <v>0.4929783295246424</v>
      </c>
      <c r="PB25" s="1456" t="n">
        <v>0.4935408953048103</v>
      </c>
      <c r="PC25" s="1456" t="n">
        <v>0.4931679592906708</v>
      </c>
      <c r="PD25" s="1456" t="n">
        <v>0.4922536386458452</v>
      </c>
      <c r="PE25" s="1456" t="n">
        <v>0.4923000401709495</v>
      </c>
      <c r="PF25" s="1456" t="n">
        <v>0.492163682289934</v>
      </c>
      <c r="PG25" s="1456" t="n">
        <v>0.4903224195633766</v>
      </c>
      <c r="PH25" s="1456" t="n">
        <v>0.4911117364726799</v>
      </c>
      <c r="PI25" s="1456" t="n">
        <v>0.4903549532662978</v>
      </c>
      <c r="PJ25" s="1456" t="n">
        <v>0.4933744874932005</v>
      </c>
      <c r="PK25" s="1456" t="n">
        <v>0.4957433812004245</v>
      </c>
      <c r="PL25" s="1456" t="n">
        <v>0.4936973492046337</v>
      </c>
      <c r="PM25" s="1456" t="n">
        <v>0.492416740612741</v>
      </c>
      <c r="PN25" s="1456" t="n">
        <v>0.4972143419190846</v>
      </c>
      <c r="PO25" s="1456" t="n">
        <v>0.4961534007253599</v>
      </c>
      <c r="PP25" s="1456" t="n">
        <v>0.4967285162776582</v>
      </c>
      <c r="PQ25" s="1456" t="n">
        <v>0.4957203023257837</v>
      </c>
      <c r="PR25" s="1456" t="n">
        <v>0.4954254715163199</v>
      </c>
      <c r="PS25" s="1456" t="n">
        <v>0.49572176030995</v>
      </c>
      <c r="PT25" s="1456" t="n">
        <v>0.4984496033136922</v>
      </c>
      <c r="PU25" s="1456" t="n">
        <v>0.4979638601556725</v>
      </c>
      <c r="PV25" s="1456" t="n">
        <v>0.4944105315185169</v>
      </c>
      <c r="PW25" s="1456" t="n">
        <v>0.4938157017089533</v>
      </c>
      <c r="PX25" s="1456" t="n">
        <v>0.4945202785030265</v>
      </c>
      <c r="PY25" s="1456" t="n">
        <v>0.4933207007547735</v>
      </c>
      <c r="PZ25" s="1456" t="n">
        <v>0.4922041494025812</v>
      </c>
      <c r="QA25" s="1456" t="n">
        <v>0.4911533371950934</v>
      </c>
      <c r="QB25" s="1456" t="n">
        <v>0.4901018575163546</v>
      </c>
      <c r="QC25" s="1456" t="n">
        <v>0.4906278434260836</v>
      </c>
      <c r="QD25" s="1456" t="n">
        <v>0.4918891466312072</v>
      </c>
      <c r="QE25" s="1456" t="n">
        <v>0.4916949259335883</v>
      </c>
      <c r="QF25" s="1456" t="n">
        <v>0.4938910042845818</v>
      </c>
      <c r="QG25" s="1456" t="n">
        <v>0.4943260903731074</v>
      </c>
      <c r="QH25" s="1456" t="n">
        <v>0.4937788287564772</v>
      </c>
      <c r="QI25" s="1456" t="n">
        <v>0.4934203909584778</v>
      </c>
      <c r="QJ25" s="1456" t="n">
        <v>0.4933635017241572</v>
      </c>
      <c r="QK25" s="1456" t="n">
        <v>0.4934469424283251</v>
      </c>
      <c r="QL25" s="1456" t="n">
        <v>0.4933964198073333</v>
      </c>
      <c r="QM25" s="1456" t="n">
        <v>0.4933808580282146</v>
      </c>
      <c r="QN25" s="1456" t="n">
        <v>0.4935526077434355</v>
      </c>
      <c r="QO25" s="1456" t="n">
        <v>0.4917070174829083</v>
      </c>
      <c r="QP25" s="1456" t="n">
        <v>0.4931374260609896</v>
      </c>
      <c r="QQ25" s="1456" t="n">
        <v>0.4927838087138541</v>
      </c>
      <c r="QR25" s="1456" t="n">
        <v>0.4917047435163238</v>
      </c>
      <c r="QS25" s="1456" t="n">
        <v>0.4899924397904721</v>
      </c>
      <c r="QT25" s="1456" t="n">
        <v>0.489457375201755</v>
      </c>
      <c r="QU25" s="1456" t="n">
        <v>0.4898816488837869</v>
      </c>
      <c r="QV25" s="1456" t="n">
        <v>0.4887450960521307</v>
      </c>
      <c r="QW25" s="1456" t="n">
        <v>0.4894929577919425</v>
      </c>
      <c r="QX25" s="1456" t="n">
        <v>0.4889250588141226</v>
      </c>
      <c r="QY25" s="1456" t="n">
        <v>0.4905981605796762</v>
      </c>
      <c r="QZ25" s="1456" t="n">
        <v>0.4921076934022025</v>
      </c>
      <c r="RA25" s="1456" t="n">
        <v>0.4918952469971992</v>
      </c>
      <c r="RB25" s="1456" t="n">
        <v>0.4898973062266109</v>
      </c>
      <c r="RC25" s="1456" t="n">
        <v>0.489986493522224</v>
      </c>
      <c r="RD25" s="1456" t="n">
        <v>0.4913812671515875</v>
      </c>
      <c r="RE25" s="1456" t="n">
        <v>0.4912567610145729</v>
      </c>
      <c r="RF25" s="1456" t="n">
        <v>0.491297952550739</v>
      </c>
      <c r="RG25" s="1456">
        <f>$D$52*RG9/RG7</f>
        <v/>
      </c>
      <c r="RH25" s="1456" t="n">
        <v>0.4916708441853286</v>
      </c>
      <c r="RI25" s="1456" t="n">
        <v>0.4915508853844432</v>
      </c>
      <c r="RJ25" s="1456" t="n">
        <v>0.4916094514064457</v>
      </c>
      <c r="RK25" s="1456" t="n">
        <v>0.492118410989396</v>
      </c>
      <c r="RL25" s="1456" t="n">
        <v>0.4935054984838653</v>
      </c>
      <c r="RM25" s="1456" t="n">
        <v>0.4940737139449263</v>
      </c>
      <c r="RN25" s="1456" t="n">
        <v>0.4968995816144319</v>
      </c>
      <c r="RO25" s="1456" t="n">
        <v>0.4968359495327158</v>
      </c>
      <c r="RP25" s="1456" t="n">
        <v>0.4962597850928485</v>
      </c>
      <c r="RQ25" s="1456" t="n">
        <v>0.4963241132322964</v>
      </c>
      <c r="RR25" s="1456" t="n">
        <v>0.4959101834659086</v>
      </c>
      <c r="RS25" s="1456" t="n">
        <v>0.4957881662330706</v>
      </c>
      <c r="RT25" s="1456" t="n">
        <v>0.4965723334192315</v>
      </c>
      <c r="RU25" s="1456" t="n">
        <v>0.4927372081427529</v>
      </c>
      <c r="RV25" s="1456" t="n">
        <v>0.4935936279791348</v>
      </c>
      <c r="RW25" s="1456" t="n">
        <v>0.4944790058227698</v>
      </c>
      <c r="RX25" s="1456" t="n">
        <v>0.4929668553533841</v>
      </c>
      <c r="RY25" s="1456" t="n">
        <v>0.4927925732989353</v>
      </c>
      <c r="RZ25" s="1456" t="n">
        <v>0.4911991837889483</v>
      </c>
      <c r="SA25" s="1456" t="n">
        <v>0.4922247353547568</v>
      </c>
      <c r="SB25" s="1456" t="n">
        <v>0.492291772204011</v>
      </c>
      <c r="SC25" s="1456" t="n">
        <v>0.4927617190383183</v>
      </c>
      <c r="SD25" s="1456" t="n">
        <v>0.4931991801978315</v>
      </c>
      <c r="SE25" s="1456" t="n">
        <v>0.4943921267652072</v>
      </c>
      <c r="SF25" s="1456">
        <f>$D$52*SF9/SF7</f>
        <v/>
      </c>
      <c r="SG25" s="1456" t="n">
        <v>0.4941807568618909</v>
      </c>
      <c r="SH25" s="1456" t="n">
        <v>0.4944592257283323</v>
      </c>
      <c r="SI25" s="1456" t="n">
        <v>0.4933085123780404</v>
      </c>
      <c r="SJ25" s="1456" t="n">
        <v>0.4931115197408764</v>
      </c>
      <c r="SK25" s="1456" t="n">
        <v>0.4929442558966803</v>
      </c>
      <c r="SL25" s="1456" t="n">
        <v>0.4922559608700897</v>
      </c>
      <c r="SM25" s="1456" t="n">
        <v>0.4934908491140131</v>
      </c>
      <c r="SN25" s="1456" t="n">
        <v>0.4937943266455668</v>
      </c>
      <c r="SO25" s="1456" t="n">
        <v>0.4936187847993759</v>
      </c>
      <c r="SP25" s="1456" t="n">
        <v>0.4933444438873631</v>
      </c>
      <c r="SQ25" s="1456" t="n">
        <v>0.4927956931247978</v>
      </c>
      <c r="SR25" s="1456" t="n">
        <v>0.4922876985973312</v>
      </c>
      <c r="SS25" s="1456" t="n">
        <v>0.4924732738790467</v>
      </c>
      <c r="ST25" s="1456" t="n">
        <v>0.4916688994173131</v>
      </c>
      <c r="SU25" s="1456" t="n">
        <v>0.4902321330291428</v>
      </c>
      <c r="SV25" s="1456" t="n">
        <v>0.4932968410998243</v>
      </c>
      <c r="SW25" s="1456" t="n">
        <v>0.495834046163561</v>
      </c>
      <c r="SX25" s="1456" t="n">
        <v>0.4958590699440055</v>
      </c>
      <c r="SY25" s="1456" t="n">
        <v>0.4949598184617293</v>
      </c>
      <c r="SZ25" s="1456" t="n">
        <v>0.4922780300771912</v>
      </c>
      <c r="TA25" s="1456" t="n">
        <v>0.4932527996797006</v>
      </c>
      <c r="TB25" s="1456" t="n">
        <v>0.493928146986726</v>
      </c>
      <c r="TC25" s="1456" t="n">
        <v>0.4948244192678832</v>
      </c>
      <c r="TD25" s="1456" t="n">
        <v>0.4955322517415113</v>
      </c>
      <c r="TE25" s="1456">
        <f>$D$52*TE9/TE7</f>
        <v/>
      </c>
      <c r="TF25" s="1456" t="n">
        <v>0.4941179800548682</v>
      </c>
      <c r="TG25" s="1456" t="n">
        <v>0.4935309703539613</v>
      </c>
      <c r="TH25" s="1456" t="n">
        <v>0.4933862387925539</v>
      </c>
      <c r="TI25" s="1456" t="n">
        <v>0.4930270272814204</v>
      </c>
      <c r="TJ25" s="1456" t="n">
        <v>0.4921720280738797</v>
      </c>
      <c r="TK25" s="1456" t="n">
        <v>0.4921779192481384</v>
      </c>
      <c r="TL25" s="1456" t="n">
        <v>0.4924430248139081</v>
      </c>
      <c r="TM25" s="1456" t="n">
        <v>0.4924202773764857</v>
      </c>
      <c r="TN25" s="1456" t="n">
        <v>0.4931057030897603</v>
      </c>
      <c r="TO25" s="1456" t="n">
        <v>0.4923942953712933</v>
      </c>
      <c r="TP25" s="1456" t="n">
        <v>0.4928154862673216</v>
      </c>
      <c r="TQ25" s="1456" t="n">
        <v>0.4931693445130209</v>
      </c>
      <c r="TR25" s="1456" t="n">
        <v>0.4932298952097954</v>
      </c>
      <c r="TS25" s="1456" t="n">
        <v>0.4931647780573882</v>
      </c>
      <c r="TT25" s="1456" t="n">
        <v>0.4933209938322859</v>
      </c>
      <c r="TU25" s="1456" t="n">
        <v>0.491715170729338</v>
      </c>
      <c r="TV25" s="1456" t="n">
        <v>0</v>
      </c>
      <c r="TW25" s="1456" t="n">
        <v>0.4943620842012516</v>
      </c>
      <c r="TX25" s="1456" t="n">
        <v>0.4945656507844425</v>
      </c>
      <c r="TY25" s="1456" t="n">
        <v>0.4931817355555818</v>
      </c>
      <c r="TZ25" s="1456" t="n">
        <v>0.490852884859402</v>
      </c>
      <c r="UA25" s="1456" t="n">
        <v>0.4893684896676437</v>
      </c>
      <c r="UB25" s="1456" t="n">
        <v>0.4900791894550109</v>
      </c>
      <c r="UC25" s="1456" t="n">
        <v>0.4896090121024156</v>
      </c>
      <c r="UD25" s="1456" t="n">
        <v>0.492100918243324</v>
      </c>
      <c r="UE25" s="1456" t="n">
        <v>0.4943338357014087</v>
      </c>
      <c r="UF25" s="1456" t="n">
        <v>0.4940710141550571</v>
      </c>
      <c r="UG25" s="1456" t="n">
        <v>0.4955704015266803</v>
      </c>
      <c r="UH25" s="1456" t="n">
        <v>0.4955704015266803</v>
      </c>
      <c r="UI25" s="1456" t="n">
        <v>0.4964606532564482</v>
      </c>
      <c r="UJ25" s="1456" t="n">
        <v>0.4965584258902351</v>
      </c>
      <c r="UK25" s="1456" t="n">
        <v>0.4999369595737226</v>
      </c>
      <c r="UL25" s="1456" t="n">
        <v>0.4964654000075322</v>
      </c>
      <c r="UM25" s="1456" t="n">
        <v>0.4774253616801801</v>
      </c>
      <c r="UN25" s="1456" t="n">
        <v>0.4838159303246175</v>
      </c>
      <c r="UO25" s="1456" t="n">
        <v>0.4823466546747711</v>
      </c>
      <c r="UP25" s="1456" t="n">
        <v>0.4743456819996362</v>
      </c>
      <c r="UQ25" s="1456" t="n">
        <v>0.4611612320289296</v>
      </c>
      <c r="UR25" s="1456" t="n">
        <v>0.4652155485068326</v>
      </c>
      <c r="US25" s="1456" t="n">
        <v>0.4771920517081748</v>
      </c>
      <c r="UT25" s="1456" t="n">
        <v>0.4949620347946661</v>
      </c>
      <c r="UU25" s="1456" t="n">
        <v>0.5094060044862632</v>
      </c>
      <c r="UV25" s="1456" t="n">
        <v>0.504612979956208</v>
      </c>
      <c r="UW25" s="1456" t="n">
        <v>0.5126088826232801</v>
      </c>
      <c r="UX25" s="1456" t="n">
        <v>0.5140343186320072</v>
      </c>
      <c r="UY25" s="1456" t="n">
        <v>0.5182930425415732</v>
      </c>
      <c r="UZ25" s="1456" t="n">
        <v>0.5183374384804986</v>
      </c>
      <c r="VA25" s="1456" t="n">
        <v>0.5175073290893026</v>
      </c>
      <c r="VB25" s="1456" t="n">
        <v>0.5197133242781854</v>
      </c>
      <c r="VC25" s="1456" t="n">
        <v>0.5227349343392484</v>
      </c>
      <c r="VD25" s="1456" t="n">
        <v>0.5209085630979672</v>
      </c>
      <c r="VE25" s="1456" t="n">
        <v>0.5183193334242342</v>
      </c>
      <c r="VF25" s="1456" t="n">
        <v>0.5163466466553063</v>
      </c>
      <c r="VG25" s="1456" t="n">
        <v>0.5143564083621911</v>
      </c>
      <c r="VH25" s="1456" t="n">
        <v>0.5150738064061972</v>
      </c>
      <c r="VI25" s="1456" t="n">
        <v>0.5114105573307909</v>
      </c>
      <c r="VJ25" s="1456">
        <f>$D$52*VJ9/VJ7</f>
        <v/>
      </c>
      <c r="VK25" s="1456" t="n">
        <v>0.5129959142516963</v>
      </c>
      <c r="VL25" s="1456" t="n">
        <v>0.5130447631317281</v>
      </c>
      <c r="VM25" s="1456" t="n">
        <v>0.5122395013456617</v>
      </c>
      <c r="VN25" s="1456" t="n">
        <v>0.5142727228764845</v>
      </c>
      <c r="VO25" s="1456" t="n">
        <v>0.5132955468215172</v>
      </c>
      <c r="VP25" s="1456" t="n">
        <v>0.5139851347410608</v>
      </c>
      <c r="VQ25" s="1456" t="n">
        <v>0.509409855638374</v>
      </c>
      <c r="VR25" s="1456" t="n">
        <v>0.5073260713576642</v>
      </c>
      <c r="VS25" s="1456" t="n">
        <v>0.5051913490276441</v>
      </c>
      <c r="VT25" s="1456" t="n">
        <v>0.506922709040448</v>
      </c>
      <c r="VU25" s="1456" t="n">
        <v>0.506031247432063</v>
      </c>
      <c r="VV25" s="1456" t="n">
        <v>0.5049309356028902</v>
      </c>
      <c r="VW25" s="1456" t="n">
        <v>0.5057581875429857</v>
      </c>
      <c r="VX25" s="1456" t="n">
        <v>0.5018965109558747</v>
      </c>
      <c r="VY25" s="1456" t="n">
        <v>0.4907690726736796</v>
      </c>
      <c r="VZ25" s="1456" t="n">
        <v>0.5011121806863597</v>
      </c>
      <c r="WA25" s="1456" t="n">
        <v>0.5004184272035852</v>
      </c>
      <c r="WB25" s="1456" t="n">
        <v>0.5015389473798384</v>
      </c>
      <c r="WC25" s="1456" t="n">
        <v>0.4919322839160865</v>
      </c>
      <c r="WD25" s="1456" t="n">
        <v>0.5053369542175664</v>
      </c>
      <c r="WE25" s="1456" t="n">
        <v>0.5109675399260335</v>
      </c>
      <c r="WF25" s="1456" t="n">
        <v>0.5099772588559346</v>
      </c>
      <c r="WG25" s="1456" t="n">
        <v>0.5095671488196762</v>
      </c>
      <c r="WH25" s="1456" t="n">
        <v>0.4926689006989596</v>
      </c>
      <c r="WI25" s="1456" t="n">
        <v>0.5010292926842671</v>
      </c>
      <c r="WJ25" s="1456" t="n">
        <v>0.5019460162616192</v>
      </c>
      <c r="WK25" s="1456" t="n">
        <v>0.5070681172293952</v>
      </c>
      <c r="WL25" s="1456" t="n">
        <v>0.5075928114558892</v>
      </c>
      <c r="WM25" s="1456" t="n">
        <v>0.5128705723609551</v>
      </c>
      <c r="WN25" s="1456" t="n">
        <v>0.512943864785129</v>
      </c>
      <c r="WO25" s="1456" t="n">
        <v>0.5093699570147103</v>
      </c>
      <c r="WP25" s="1456" t="n">
        <v>0.5005677275165018</v>
      </c>
      <c r="WQ25" s="1456" t="n">
        <v>0.5035264100215561</v>
      </c>
      <c r="WR25" s="1456">
        <f>$D$52*WR9/WR7</f>
        <v/>
      </c>
      <c r="WS25" s="1456" t="n">
        <v>0.5076571578710928</v>
      </c>
      <c r="WT25" s="1456" t="n">
        <v>0.5055609025159478</v>
      </c>
      <c r="WU25" s="1456" t="n">
        <v>0.5097732282109527</v>
      </c>
      <c r="WV25" s="1456" t="n">
        <v>0.509980257773138</v>
      </c>
      <c r="WW25" s="1456" t="n">
        <v>0.5096002287801868</v>
      </c>
      <c r="WX25" s="1456" t="n">
        <v>0.5081781373975839</v>
      </c>
      <c r="WY25" s="1456" t="n">
        <v>0.5086481851323937</v>
      </c>
      <c r="WZ25" s="1456" t="n">
        <v>0.5096195825437448</v>
      </c>
      <c r="XA25" s="1456" t="n">
        <v>0.5098874406769306</v>
      </c>
      <c r="XB25" s="1456" t="n">
        <v>0.5105243692288854</v>
      </c>
      <c r="XC25" s="1456" t="n">
        <v>0.524729234894717</v>
      </c>
      <c r="XD25" s="1456" t="n">
        <v>0.5232473529468061</v>
      </c>
      <c r="XE25" s="1456" t="n">
        <v>0.5243951095961674</v>
      </c>
      <c r="XF25" s="1456" t="n">
        <v>0.5197705604773157</v>
      </c>
      <c r="XG25" s="1456" t="n">
        <v>0.521595916031024</v>
      </c>
      <c r="XH25" s="1456" t="n">
        <v>0.519946475272099</v>
      </c>
      <c r="XI25" s="1456" t="n">
        <v>0.5210966185123821</v>
      </c>
      <c r="XJ25" s="1456" t="n">
        <v>0.5205957368821807</v>
      </c>
      <c r="XK25" s="1456" t="n">
        <v>0.5179689247305215</v>
      </c>
      <c r="XL25" s="1456" t="n">
        <v>0.5232016435817907</v>
      </c>
      <c r="XM25" s="1456" t="n">
        <v>0.5142473022099338</v>
      </c>
      <c r="XN25" s="1456" t="n">
        <v>0.5177892726679683</v>
      </c>
      <c r="XO25" s="1456" t="n">
        <v>0.5206026920060377</v>
      </c>
      <c r="XP25" s="1456" t="n">
        <v>0.5183300974147454</v>
      </c>
      <c r="XQ25" s="1456" t="n">
        <v>0.5231048963754665</v>
      </c>
      <c r="XR25" s="1456" t="n">
        <v>0.5227077526018062</v>
      </c>
      <c r="XS25" s="1456" t="n">
        <v>0.5218044188934957</v>
      </c>
      <c r="XT25" s="1456">
        <f>$D$52*XT9/XT7</f>
        <v/>
      </c>
      <c r="XU25" s="1456" t="n">
        <v>0.5208819981961706</v>
      </c>
      <c r="XV25" s="1456" t="n">
        <v>0.5242947520378154</v>
      </c>
      <c r="XW25" s="1456" t="n">
        <v>0.5263590277455277</v>
      </c>
      <c r="XX25" s="1456" t="n">
        <v>0.5254518919679649</v>
      </c>
      <c r="XY25" s="1456" t="n">
        <v>0.5251349232311718</v>
      </c>
      <c r="XZ25" s="1456" t="n">
        <v>0.5263545097221893</v>
      </c>
      <c r="YA25" s="1456" t="n">
        <v>0.5253518382912363</v>
      </c>
      <c r="YB25" s="1456" t="n">
        <v>0.5282604043383947</v>
      </c>
      <c r="YC25" s="1456" t="n">
        <v>0.5280443101612328</v>
      </c>
      <c r="YD25" s="1456" t="n">
        <v>0.5285321108829156</v>
      </c>
      <c r="YE25" s="1456" t="n">
        <v>0.525591468237108</v>
      </c>
      <c r="YF25" s="1456" t="n">
        <v>0.5258538389066502</v>
      </c>
      <c r="YG25" s="1456" t="n">
        <v>0.5292304954250876</v>
      </c>
      <c r="YH25" s="1456" t="n">
        <v>0.5284720342350604</v>
      </c>
      <c r="YI25" s="1456" t="n">
        <v>0.5011190932059244</v>
      </c>
      <c r="YJ25" s="1456" t="n">
        <v>0.5027265539912262</v>
      </c>
      <c r="YK25" s="1456" t="n">
        <v>0.5024685829085227</v>
      </c>
      <c r="YL25" s="1456" t="n">
        <v>0.5027710492291962</v>
      </c>
      <c r="YM25" s="1456">
        <f>$D$52*YM9/YM7</f>
        <v/>
      </c>
      <c r="YN25" s="1456" t="n">
        <v>0.505164954917398</v>
      </c>
      <c r="YO25" s="1456" t="n">
        <v>0.5049758765080836</v>
      </c>
      <c r="YP25" s="1456" t="n">
        <v>0.5050772850780106</v>
      </c>
      <c r="YQ25" s="1456" t="n">
        <v>0.505187854327712</v>
      </c>
      <c r="YR25" s="1456" t="n">
        <v>0.5031337442858989</v>
      </c>
      <c r="YS25" s="1456" t="n">
        <v>0.5026276062906615</v>
      </c>
      <c r="YT25" s="1456" t="n">
        <v>0.5029318659875948</v>
      </c>
      <c r="YU25" s="1456" t="n">
        <v>0.5033721322418409</v>
      </c>
      <c r="YV25" s="1456" t="n">
        <v>0.5039018540130025</v>
      </c>
      <c r="YW25" s="1456" t="n">
        <v>0.5038781559038549</v>
      </c>
      <c r="YX25" s="1456" t="n">
        <v>0.5047251614286538</v>
      </c>
      <c r="YY25" s="1456" t="n">
        <v>0.5081425447409472</v>
      </c>
      <c r="YZ25" s="1456" t="n">
        <v>0.5033291333827538</v>
      </c>
      <c r="ZA25" s="1456" t="n">
        <v>0.5001879428252547</v>
      </c>
      <c r="ZB25" s="1456" t="n">
        <v>0.5023467841488588</v>
      </c>
      <c r="ZC25" s="1456" t="n">
        <v>0.502037323866462</v>
      </c>
      <c r="ZD25" s="1456" t="n">
        <v>0</v>
      </c>
      <c r="ZE25" s="1456" t="n">
        <v>0</v>
      </c>
      <c r="ZF25" s="1458">
        <f>$D$52*ZF9/ZF7</f>
        <v/>
      </c>
    </row>
    <row r="26">
      <c r="A26" s="121" t="n"/>
      <c r="B26" s="126" t="n"/>
      <c r="C26" s="418" t="inlineStr">
        <is>
          <t>Time Deposit Rate</t>
        </is>
      </c>
      <c r="D26" s="6" t="n"/>
      <c r="E26" s="133" t="n"/>
      <c r="F26" s="133" t="n"/>
      <c r="G26" s="133" t="n"/>
      <c r="H26" s="133" t="n"/>
      <c r="I26" s="133" t="n"/>
      <c r="J26" s="133" t="n"/>
      <c r="K26" s="133" t="n"/>
      <c r="L26" s="133" t="n"/>
      <c r="M26" s="133" t="n"/>
      <c r="N26" s="133" t="n"/>
      <c r="O26" s="133" t="n"/>
      <c r="P26" s="133" t="n"/>
      <c r="Q26" s="133" t="n"/>
      <c r="R26" s="133" t="n"/>
      <c r="S26" s="133" t="n"/>
      <c r="T26" s="133" t="n"/>
      <c r="U26" s="133" t="n"/>
      <c r="V26" s="133" t="n"/>
      <c r="W26" s="133" t="n"/>
      <c r="X26" s="133" t="n"/>
      <c r="Y26" s="133" t="n"/>
      <c r="Z26" s="133" t="n"/>
      <c r="AA26" s="133" t="n"/>
      <c r="AB26" s="133" t="n"/>
      <c r="AC26" s="133" t="n"/>
      <c r="AD26" s="133" t="n"/>
      <c r="AE26" s="133" t="n"/>
      <c r="AF26" s="133" t="n"/>
      <c r="AG26" s="133" t="n"/>
      <c r="AH26" s="133" t="n"/>
      <c r="AI26" s="133" t="n"/>
      <c r="AJ26" s="133" t="n"/>
      <c r="AK26" s="133" t="n"/>
      <c r="AL26" s="133" t="n"/>
      <c r="AM26" s="133" t="n"/>
      <c r="AN26" s="133" t="n"/>
      <c r="AO26" s="133" t="n"/>
      <c r="AP26" s="133" t="n"/>
      <c r="AQ26" s="133" t="n"/>
      <c r="AR26" s="133" t="n"/>
      <c r="AS26" s="133" t="n"/>
      <c r="AT26" s="133" t="n"/>
      <c r="AU26" s="133" t="n"/>
      <c r="AV26" s="133" t="n"/>
      <c r="AW26" s="133" t="n"/>
      <c r="AX26" s="133" t="n"/>
      <c r="AY26" s="133" t="n"/>
      <c r="AZ26" s="133" t="n"/>
      <c r="BA26" s="133" t="n"/>
      <c r="BB26" s="133" t="n"/>
      <c r="BC26" s="133" t="n"/>
      <c r="BD26" s="133" t="n"/>
      <c r="BE26" s="133" t="n"/>
      <c r="BF26" s="133" t="n"/>
      <c r="BG26" s="133" t="n"/>
      <c r="BH26" s="133" t="n"/>
      <c r="BI26" s="133" t="n"/>
      <c r="BJ26" s="133" t="n"/>
      <c r="BK26" s="133" t="n"/>
      <c r="BL26" s="133" t="n"/>
      <c r="BM26" s="133" t="n"/>
      <c r="BN26" s="133" t="n"/>
      <c r="BO26" s="133" t="n"/>
      <c r="BP26" s="133" t="n"/>
      <c r="BQ26" s="133" t="n"/>
      <c r="BR26" s="133" t="n"/>
      <c r="BS26" s="133" t="n"/>
      <c r="BT26" s="133" t="n"/>
      <c r="BU26" s="133" t="n"/>
      <c r="BV26" s="133" t="n"/>
      <c r="BW26" s="133" t="n"/>
      <c r="BX26" s="133" t="n"/>
      <c r="BY26" s="133" t="n"/>
      <c r="BZ26" s="133" t="n"/>
      <c r="CA26" s="133" t="n"/>
      <c r="CB26" s="133" t="n"/>
      <c r="CC26" s="133" t="n"/>
      <c r="CD26" s="133" t="n"/>
      <c r="CE26" s="133" t="n"/>
      <c r="CF26" s="133" t="n"/>
      <c r="CG26" s="133" t="n"/>
      <c r="CH26" s="133" t="n"/>
      <c r="CI26" s="133" t="n"/>
      <c r="CJ26" s="133" t="n"/>
      <c r="CK26" s="133" t="n"/>
      <c r="CL26" s="133" t="n"/>
      <c r="CM26" s="133" t="n"/>
      <c r="CN26" s="133" t="n"/>
      <c r="CO26" s="133" t="n"/>
      <c r="CP26" s="133" t="n"/>
      <c r="CQ26" s="133" t="n"/>
      <c r="CR26" s="133" t="n"/>
      <c r="CS26" s="133" t="n"/>
      <c r="CT26" s="133" t="n"/>
      <c r="CU26" s="133" t="n"/>
      <c r="CV26" s="133" t="n"/>
      <c r="CW26" s="133" t="n"/>
      <c r="CX26" s="133" t="n"/>
      <c r="CY26" s="133" t="n"/>
      <c r="CZ26" s="133" t="n"/>
      <c r="DA26" s="133" t="n"/>
      <c r="DB26" s="133" t="n"/>
      <c r="DC26" s="133" t="n"/>
      <c r="DD26" s="133" t="n"/>
      <c r="DE26" s="133" t="n"/>
      <c r="DF26" s="133" t="n"/>
      <c r="DG26" s="133" t="n"/>
      <c r="DH26" s="133" t="n"/>
      <c r="DI26" s="133" t="n"/>
      <c r="DJ26" s="133" t="n"/>
      <c r="DK26" s="133" t="n"/>
      <c r="DL26" s="133" t="n"/>
      <c r="DM26" s="133" t="n"/>
      <c r="DN26" s="133" t="n"/>
      <c r="DO26" s="133" t="n"/>
      <c r="DP26" s="133" t="n"/>
      <c r="DQ26" s="133" t="n"/>
      <c r="DR26" s="133" t="n"/>
      <c r="DS26" s="133" t="n"/>
      <c r="DT26" s="133" t="n"/>
      <c r="DU26" s="133" t="n"/>
      <c r="DV26" s="133" t="n"/>
      <c r="DW26" s="133" t="n"/>
      <c r="DX26" s="133" t="n"/>
      <c r="DY26" s="133" t="n"/>
      <c r="DZ26" s="133" t="n"/>
      <c r="EA26" s="133" t="n"/>
      <c r="EB26" s="133" t="n"/>
      <c r="EC26" s="133" t="n"/>
      <c r="ED26" s="133" t="n"/>
      <c r="EE26" s="133" t="n"/>
      <c r="EF26" s="133" t="n"/>
      <c r="EG26" s="133" t="n"/>
      <c r="EH26" s="133" t="n"/>
      <c r="EI26" s="133" t="n"/>
      <c r="EJ26" s="133" t="n"/>
      <c r="EK26" s="133" t="n"/>
      <c r="EL26" s="133" t="n"/>
      <c r="EM26" s="133" t="n"/>
      <c r="EN26" s="133" t="n"/>
      <c r="EO26" s="133" t="n"/>
      <c r="EP26" s="133" t="n"/>
      <c r="EQ26" s="133" t="n"/>
      <c r="ER26" s="133" t="n"/>
      <c r="ES26" s="133" t="n"/>
      <c r="ET26" s="133" t="n"/>
      <c r="EU26" s="133" t="n"/>
      <c r="EV26" s="133" t="n"/>
      <c r="EW26" s="133" t="n"/>
      <c r="EX26" s="133" t="n"/>
      <c r="EY26" s="133" t="n"/>
      <c r="EZ26" s="133" t="n"/>
      <c r="FA26" s="133" t="n"/>
      <c r="FB26" s="133" t="n"/>
      <c r="FC26" s="133" t="n"/>
      <c r="FD26" s="133" t="n"/>
      <c r="FE26" s="133" t="n"/>
      <c r="FF26" s="133" t="n"/>
      <c r="FG26" s="133" t="n"/>
      <c r="FH26" s="133" t="n"/>
      <c r="FI26" s="133" t="n"/>
      <c r="FJ26" s="133" t="n"/>
      <c r="FK26" s="133" t="n"/>
      <c r="FL26" s="133" t="n"/>
      <c r="FM26" s="133" t="n"/>
      <c r="FN26" s="133" t="n"/>
      <c r="FO26" s="133" t="n"/>
      <c r="FP26" s="133" t="n"/>
      <c r="FQ26" s="133" t="n"/>
      <c r="FR26" s="133" t="n"/>
      <c r="FS26" s="133" t="n"/>
      <c r="FT26" s="133" t="n"/>
      <c r="FU26" s="133" t="n"/>
      <c r="FV26" s="133" t="n"/>
      <c r="FW26" s="133" t="n"/>
      <c r="FX26" s="133" t="n"/>
      <c r="FY26" s="133" t="n"/>
      <c r="FZ26" s="133" t="n"/>
      <c r="GA26" s="133" t="n"/>
      <c r="GB26" s="133" t="n"/>
      <c r="GC26" s="133" t="n"/>
      <c r="GD26" s="133" t="n"/>
      <c r="GE26" s="133" t="n"/>
      <c r="GF26" s="133" t="n"/>
      <c r="GG26" s="133" t="n"/>
      <c r="GH26" s="133" t="n"/>
      <c r="GI26" s="133" t="n"/>
      <c r="GJ26" s="133" t="n"/>
      <c r="GK26" s="133" t="n"/>
      <c r="GL26" s="133" t="n"/>
      <c r="GM26" s="133" t="n"/>
      <c r="GN26" s="133" t="n"/>
      <c r="GO26" s="133" t="n"/>
      <c r="GP26" s="133" t="n"/>
      <c r="GQ26" s="133" t="n"/>
      <c r="GR26" s="133" t="n"/>
      <c r="GS26" s="133" t="n"/>
      <c r="GT26" s="133" t="n"/>
      <c r="GU26" s="133" t="n"/>
      <c r="GV26" s="133" t="n"/>
      <c r="GW26" s="133" t="n"/>
      <c r="GX26" s="133" t="n"/>
      <c r="GY26" s="133" t="n"/>
      <c r="GZ26" s="133" t="n"/>
      <c r="HA26" s="133" t="n"/>
      <c r="HB26" s="133" t="n"/>
      <c r="HC26" s="133" t="n"/>
      <c r="HD26" s="133" t="n"/>
      <c r="HE26" s="133" t="n"/>
      <c r="HF26" s="133" t="n"/>
      <c r="HG26" s="133" t="n"/>
      <c r="HH26" s="133" t="n"/>
      <c r="HI26" s="133" t="n"/>
      <c r="HJ26" s="133" t="n"/>
      <c r="HK26" s="133" t="n"/>
      <c r="HL26" s="133" t="n"/>
      <c r="HM26" s="133" t="n"/>
      <c r="HN26" s="133" t="n"/>
      <c r="HO26" s="133" t="n"/>
      <c r="HP26" s="133" t="n"/>
      <c r="HQ26" s="133" t="n"/>
      <c r="HR26" s="133" t="n"/>
      <c r="HS26" s="133" t="n"/>
      <c r="HT26" s="133">
        <f>$C$51</f>
        <v/>
      </c>
      <c r="HU26" s="133">
        <f>$C$51</f>
        <v/>
      </c>
      <c r="HV26" s="133">
        <f>$C$51</f>
        <v/>
      </c>
      <c r="HW26" s="133">
        <f>$C$51</f>
        <v/>
      </c>
      <c r="HX26" s="133">
        <f>$C$51</f>
        <v/>
      </c>
      <c r="HY26" s="133">
        <f>$C$51</f>
        <v/>
      </c>
      <c r="HZ26" s="133">
        <f>$C$51</f>
        <v/>
      </c>
      <c r="IA26" s="133">
        <f>$C$51</f>
        <v/>
      </c>
      <c r="IB26" s="133" t="n">
        <v>0.002</v>
      </c>
      <c r="IC26" s="133" t="n">
        <v>0.002</v>
      </c>
      <c r="ID26" s="133">
        <f>$C$51</f>
        <v/>
      </c>
      <c r="IE26" s="133" t="n">
        <v>0.002</v>
      </c>
      <c r="IF26" s="133" t="n">
        <v>0.002</v>
      </c>
      <c r="IG26" s="133" t="n">
        <v>0.002</v>
      </c>
      <c r="IH26" s="133" t="n">
        <v>0.002</v>
      </c>
      <c r="II26" s="133" t="n">
        <v>0.002</v>
      </c>
      <c r="IJ26" s="133" t="n">
        <v>0.002</v>
      </c>
      <c r="IK26" s="133" t="n">
        <v>0.002</v>
      </c>
      <c r="IL26" s="133" t="n">
        <v>0.002</v>
      </c>
      <c r="IM26" s="133" t="n">
        <v>0.002</v>
      </c>
      <c r="IN26" s="133" t="n">
        <v>0.002</v>
      </c>
      <c r="IO26" s="133" t="n">
        <v>0.002</v>
      </c>
      <c r="IP26" s="133" t="n">
        <v>0.002</v>
      </c>
      <c r="IQ26" s="133" t="n">
        <v>0.002</v>
      </c>
      <c r="IR26" s="133" t="n">
        <v>0.003</v>
      </c>
      <c r="IS26" s="133" t="n">
        <v>0.003</v>
      </c>
      <c r="IT26" s="133" t="n">
        <v>0.003</v>
      </c>
      <c r="IU26" s="133" t="n">
        <v>0.003</v>
      </c>
      <c r="IV26" s="133" t="n">
        <v>0.003</v>
      </c>
      <c r="IW26" s="133" t="n">
        <v>0.003</v>
      </c>
      <c r="IX26" s="133" t="n">
        <v>0.003</v>
      </c>
      <c r="IY26" s="133" t="n">
        <v>0.003</v>
      </c>
      <c r="IZ26" s="133" t="n">
        <v>0.003</v>
      </c>
      <c r="JA26" s="133" t="n">
        <v>0.003</v>
      </c>
      <c r="JB26" s="133" t="n">
        <v>0.003</v>
      </c>
      <c r="JC26" s="133" t="n">
        <v>0.003</v>
      </c>
      <c r="JD26" s="133" t="n">
        <v>0.003</v>
      </c>
      <c r="JE26" s="133" t="n">
        <v>0.003</v>
      </c>
      <c r="JF26" s="133" t="n">
        <v>0.003</v>
      </c>
      <c r="JG26" s="133" t="n">
        <v>0.003</v>
      </c>
      <c r="JH26" s="133" t="n">
        <v>0.003</v>
      </c>
      <c r="JI26" s="133" t="n">
        <v>0.003</v>
      </c>
      <c r="JJ26" s="133" t="n">
        <v>0.003</v>
      </c>
      <c r="JK26" s="133" t="n">
        <v>0.003</v>
      </c>
      <c r="JL26" s="133" t="n">
        <v>0.003</v>
      </c>
      <c r="JM26" s="133" t="n">
        <v>0.003</v>
      </c>
      <c r="JN26" s="133" t="n">
        <v>0.003</v>
      </c>
      <c r="JO26" s="133" t="n">
        <v>0.003</v>
      </c>
      <c r="JP26" s="133" t="n">
        <v>0.003</v>
      </c>
      <c r="JQ26" s="133" t="n">
        <v>0.003</v>
      </c>
      <c r="JR26" s="133" t="n">
        <v>0.003</v>
      </c>
      <c r="JS26" s="133" t="n">
        <v>0.003</v>
      </c>
      <c r="JT26" s="133" t="n">
        <v>0.003</v>
      </c>
      <c r="JU26" s="133">
        <f>$C$51</f>
        <v/>
      </c>
      <c r="JV26" s="133" t="n">
        <v>0.003</v>
      </c>
      <c r="JW26" s="133" t="n">
        <v>0.003</v>
      </c>
      <c r="JX26" s="133" t="n">
        <v>0.003</v>
      </c>
      <c r="JY26" s="133" t="n">
        <v>0.003</v>
      </c>
      <c r="JZ26" s="133" t="n">
        <v>0.003</v>
      </c>
      <c r="KA26" s="133" t="n">
        <v>0.003</v>
      </c>
      <c r="KB26" s="133" t="n">
        <v>0.003</v>
      </c>
      <c r="KC26" s="133" t="n">
        <v>0.003</v>
      </c>
      <c r="KD26" s="133" t="n">
        <v>0.003</v>
      </c>
      <c r="KE26" s="133" t="n">
        <v>0.003</v>
      </c>
      <c r="KF26" s="133" t="n">
        <v>0.003</v>
      </c>
      <c r="KG26" s="133" t="n">
        <v>0.003</v>
      </c>
      <c r="KH26" s="133" t="n">
        <v>0.003</v>
      </c>
      <c r="KI26" s="133" t="n">
        <v>0.003</v>
      </c>
      <c r="KJ26" s="133" t="n">
        <v>0.003</v>
      </c>
      <c r="KK26" s="133" t="n">
        <v>0.003</v>
      </c>
      <c r="KL26" s="133" t="n">
        <v>0.003</v>
      </c>
      <c r="KM26" s="133" t="n">
        <v>0.003</v>
      </c>
      <c r="KN26" s="133" t="n">
        <v>0.003</v>
      </c>
      <c r="KO26" s="133" t="n">
        <v>0.003</v>
      </c>
      <c r="KP26" s="133" t="n">
        <v>0.003</v>
      </c>
      <c r="KQ26" s="133" t="n">
        <v>0.003</v>
      </c>
      <c r="KR26" s="133" t="n">
        <v>0.003</v>
      </c>
      <c r="KS26" s="133" t="n">
        <v>0.003</v>
      </c>
      <c r="KT26" s="133" t="n">
        <v>0.003</v>
      </c>
      <c r="KU26" s="133" t="n">
        <v>0.003</v>
      </c>
      <c r="KV26" s="133" t="n">
        <v>0.003</v>
      </c>
      <c r="KW26" s="133" t="n">
        <v>0.003</v>
      </c>
      <c r="KX26" s="133" t="n">
        <v>0.003</v>
      </c>
      <c r="KY26" s="133" t="n">
        <v>0.003</v>
      </c>
      <c r="KZ26" s="133" t="n">
        <v>0.003</v>
      </c>
      <c r="LA26" s="133" t="n">
        <v>0.0325</v>
      </c>
      <c r="LB26" s="133" t="n">
        <v>0.0325</v>
      </c>
      <c r="LC26" s="133" t="n">
        <v>0.0325</v>
      </c>
      <c r="LD26" s="133" t="n">
        <v>0.0325</v>
      </c>
      <c r="LE26" s="133" t="n">
        <v>0.0325</v>
      </c>
      <c r="LF26" s="133" t="n">
        <v>0.0325</v>
      </c>
      <c r="LG26" s="133" t="n">
        <v>0.0325</v>
      </c>
      <c r="LH26" s="133" t="n">
        <v>0.0325</v>
      </c>
      <c r="LI26" s="133" t="n">
        <v>0.0325</v>
      </c>
      <c r="LJ26" s="133" t="n">
        <v>0.0325</v>
      </c>
      <c r="LK26" s="133" t="n">
        <v>0.0325</v>
      </c>
      <c r="LL26" s="133" t="n">
        <v>0.0325</v>
      </c>
      <c r="LM26" s="133" t="n">
        <v>0.0325</v>
      </c>
      <c r="LN26" s="133" t="n">
        <v>0.0325</v>
      </c>
      <c r="LO26" s="133" t="n">
        <v>0.0325</v>
      </c>
      <c r="LP26" s="133" t="n">
        <v>0.0325</v>
      </c>
      <c r="LQ26" s="133" t="n">
        <v>0.0325</v>
      </c>
      <c r="LR26" s="133" t="n">
        <v>0.0325</v>
      </c>
      <c r="LS26" s="133" t="n">
        <v>0.0325</v>
      </c>
      <c r="LT26" s="133" t="n">
        <v>0.0325</v>
      </c>
      <c r="LU26" s="133" t="n">
        <v>0.0325</v>
      </c>
      <c r="LV26" s="133" t="n">
        <v>0.0325</v>
      </c>
      <c r="LW26" s="133" t="n">
        <v>0.0325</v>
      </c>
      <c r="LX26" s="133" t="n">
        <v>0.0325</v>
      </c>
      <c r="LY26" s="133" t="n">
        <v>0.0325</v>
      </c>
      <c r="LZ26" s="133" t="n">
        <v>0.0325</v>
      </c>
      <c r="MA26" s="133" t="n">
        <v>0.0325</v>
      </c>
      <c r="MB26" s="133" t="n">
        <v>0.0325</v>
      </c>
      <c r="MC26" s="133" t="n">
        <v>0.0325</v>
      </c>
      <c r="MD26" s="133" t="n">
        <v>0.0325</v>
      </c>
      <c r="ME26" s="133" t="n">
        <v>0.0325</v>
      </c>
      <c r="MF26" s="133" t="n">
        <v>0.0325</v>
      </c>
      <c r="MG26" s="133" t="n">
        <v>0.0325</v>
      </c>
      <c r="MH26" s="133" t="n">
        <v>0.0325</v>
      </c>
      <c r="MI26" s="133" t="n">
        <v>0.0325</v>
      </c>
      <c r="MJ26" s="133" t="n">
        <v>0.0325</v>
      </c>
      <c r="MK26" s="133" t="n">
        <v>0.0325</v>
      </c>
      <c r="ML26" s="133" t="n">
        <v>0.0325</v>
      </c>
      <c r="MM26" s="133" t="n">
        <v>0.0325</v>
      </c>
      <c r="MN26" s="133" t="n">
        <v>0.0325</v>
      </c>
      <c r="MO26" s="133" t="n">
        <v>0.0325</v>
      </c>
      <c r="MP26" s="133" t="n">
        <v>0.0325</v>
      </c>
      <c r="MQ26" s="133" t="n">
        <v>0.0325</v>
      </c>
      <c r="MR26" s="133" t="n">
        <v>0.0325</v>
      </c>
      <c r="MS26" s="133" t="n">
        <v>0.0325</v>
      </c>
      <c r="MT26" s="133" t="n">
        <v>0.0325</v>
      </c>
      <c r="MU26" s="133" t="n">
        <v>0.0325</v>
      </c>
      <c r="MV26" s="133" t="n">
        <v>0.0325</v>
      </c>
      <c r="MW26" s="133" t="n">
        <v>0.0325</v>
      </c>
      <c r="MX26" s="133" t="n">
        <v>0.0325</v>
      </c>
      <c r="MY26" s="133" t="n">
        <v>0.0325</v>
      </c>
      <c r="MZ26" s="133" t="n">
        <v>0.0325</v>
      </c>
      <c r="NA26" s="133" t="n">
        <v>0.0325</v>
      </c>
      <c r="NB26" s="133" t="n">
        <v>0.0325</v>
      </c>
      <c r="NC26" s="133" t="n">
        <v>0.0325</v>
      </c>
      <c r="ND26" s="133" t="n">
        <v>0.0325</v>
      </c>
      <c r="NE26" s="133" t="n">
        <v>0.0325</v>
      </c>
      <c r="NF26" s="133" t="n">
        <v>0.0325</v>
      </c>
      <c r="NG26" s="133" t="n">
        <v>0.0325</v>
      </c>
      <c r="NH26" s="133" t="n">
        <v>0.0325</v>
      </c>
      <c r="NI26" s="133" t="n">
        <v>0.0325</v>
      </c>
      <c r="NJ26" s="133" t="n">
        <v>0.0325</v>
      </c>
      <c r="NK26" s="133" t="n">
        <v>0.0325</v>
      </c>
      <c r="NL26" s="133" t="n">
        <v>0.0325</v>
      </c>
      <c r="NM26" s="133" t="n">
        <v>0.0325</v>
      </c>
      <c r="NN26" s="133" t="n">
        <v>0.0325</v>
      </c>
      <c r="NO26" s="133" t="n">
        <v>0.0325</v>
      </c>
      <c r="NP26" s="133" t="n">
        <v>0.0325</v>
      </c>
      <c r="NQ26" s="133" t="n">
        <v>0.0325</v>
      </c>
      <c r="NR26" s="133" t="n">
        <v>0.032</v>
      </c>
      <c r="NS26" s="133" t="n">
        <v>0.032</v>
      </c>
      <c r="NT26" s="133" t="n">
        <v>0.032</v>
      </c>
      <c r="NU26" s="133" t="n">
        <v>0.032</v>
      </c>
      <c r="NV26" s="133" t="n">
        <v>0.032</v>
      </c>
      <c r="NW26" s="133" t="n">
        <v>0.032</v>
      </c>
      <c r="NX26" s="133" t="n">
        <v>0.032</v>
      </c>
      <c r="NY26" s="133" t="n">
        <v>0.032</v>
      </c>
      <c r="NZ26" s="133" t="n">
        <v>0.032</v>
      </c>
      <c r="OA26" s="133" t="n">
        <v>0.032</v>
      </c>
      <c r="OB26" s="133" t="n">
        <v>0.032</v>
      </c>
      <c r="OC26" s="133" t="n">
        <v>0.032</v>
      </c>
      <c r="OD26" s="133" t="n">
        <v>0.032</v>
      </c>
      <c r="OE26" s="133" t="n">
        <v>0.032</v>
      </c>
      <c r="OF26" s="133" t="n">
        <v>0.032</v>
      </c>
      <c r="OG26" s="133" t="n">
        <v>0.032</v>
      </c>
      <c r="OH26" s="133" t="n">
        <v>0.032</v>
      </c>
      <c r="OI26" s="133" t="n">
        <v>0.032</v>
      </c>
      <c r="OJ26" s="133" t="n">
        <v>0.032</v>
      </c>
      <c r="OK26" s="133" t="n">
        <v>0.032</v>
      </c>
      <c r="OL26" s="133" t="n">
        <v>0.032</v>
      </c>
      <c r="OM26" s="133" t="n">
        <v>0.032</v>
      </c>
      <c r="ON26" s="133" t="n">
        <v>0.032</v>
      </c>
      <c r="OO26" s="133" t="n">
        <v>0.032</v>
      </c>
      <c r="OP26" s="133" t="n">
        <v>0.032</v>
      </c>
      <c r="OQ26" s="133" t="n">
        <v>0.032</v>
      </c>
      <c r="OR26" s="133" t="n">
        <v>0.032</v>
      </c>
      <c r="OS26" s="133" t="n">
        <v>3.52654002</v>
      </c>
      <c r="OT26" s="133" t="n">
        <v>0</v>
      </c>
      <c r="OU26" s="133" t="n">
        <v>0</v>
      </c>
      <c r="OV26" s="133" t="n">
        <v>0</v>
      </c>
      <c r="OW26" s="133" t="n">
        <v>0</v>
      </c>
      <c r="OX26" s="133" t="n">
        <v>0</v>
      </c>
      <c r="OY26" s="133" t="n">
        <v>0</v>
      </c>
      <c r="OZ26" s="133" t="n">
        <v>0</v>
      </c>
      <c r="PA26" s="133" t="n">
        <v>0</v>
      </c>
      <c r="PB26" s="133" t="n">
        <v>0</v>
      </c>
      <c r="PC26" s="133" t="n">
        <v>0</v>
      </c>
      <c r="PD26" s="133" t="n">
        <v>0</v>
      </c>
      <c r="PE26" s="133" t="n">
        <v>0</v>
      </c>
      <c r="PF26" s="133" t="n">
        <v>0</v>
      </c>
      <c r="PG26" s="133" t="n">
        <v>0</v>
      </c>
      <c r="PH26" s="133" t="n">
        <v>0</v>
      </c>
      <c r="PI26" s="133" t="n">
        <v>0</v>
      </c>
      <c r="PJ26" s="133" t="n">
        <v>0</v>
      </c>
      <c r="PK26" s="133" t="n">
        <v>0</v>
      </c>
      <c r="PL26" s="133" t="n">
        <v>0</v>
      </c>
      <c r="PM26" s="133" t="n">
        <v>0</v>
      </c>
      <c r="PN26" s="133" t="n">
        <v>0</v>
      </c>
      <c r="PO26" s="133" t="n">
        <v>0</v>
      </c>
      <c r="PP26" s="133" t="n">
        <v>0</v>
      </c>
      <c r="PQ26" s="133" t="n">
        <v>0</v>
      </c>
      <c r="PR26" s="133" t="n">
        <v>0</v>
      </c>
      <c r="PS26" s="133" t="n">
        <v>0</v>
      </c>
      <c r="PT26" s="133" t="n">
        <v>0</v>
      </c>
      <c r="PU26" s="133" t="n">
        <v>0</v>
      </c>
      <c r="PV26" s="133" t="n">
        <v>0</v>
      </c>
      <c r="PW26" s="133" t="n">
        <v>0</v>
      </c>
      <c r="PX26" s="133" t="n">
        <v>0</v>
      </c>
      <c r="PY26" s="133" t="n">
        <v>0</v>
      </c>
      <c r="PZ26" s="133" t="n">
        <v>0</v>
      </c>
      <c r="QA26" s="133" t="n">
        <v>0</v>
      </c>
      <c r="QB26" s="133" t="n">
        <v>0.036</v>
      </c>
      <c r="QC26" s="133" t="n">
        <v>0.036</v>
      </c>
      <c r="QD26" s="133" t="n">
        <v>0.036</v>
      </c>
      <c r="QE26" s="133" t="n">
        <v>0.036</v>
      </c>
      <c r="QF26" s="133" t="n">
        <v>0.036</v>
      </c>
      <c r="QG26" s="133" t="n">
        <v>0.036</v>
      </c>
      <c r="QH26" s="133" t="n">
        <v>0.036</v>
      </c>
      <c r="QI26" s="133" t="n">
        <v>0.036</v>
      </c>
      <c r="QJ26" s="133" t="n">
        <v>0.036</v>
      </c>
      <c r="QK26" s="133" t="n">
        <v>0.036</v>
      </c>
      <c r="QL26" s="133" t="n">
        <v>0.036</v>
      </c>
      <c r="QM26" s="133" t="n">
        <v>0.036</v>
      </c>
      <c r="QN26" s="133" t="n">
        <v>0.036</v>
      </c>
      <c r="QO26" s="133" t="n">
        <v>0.036</v>
      </c>
      <c r="QP26" s="133" t="n">
        <v>0.036</v>
      </c>
      <c r="QQ26" s="133" t="n">
        <v>0.036</v>
      </c>
      <c r="QR26" s="133" t="n">
        <v>0.036</v>
      </c>
      <c r="QS26" s="133" t="n">
        <v>0.036</v>
      </c>
      <c r="QT26" s="133" t="n">
        <v>0.036</v>
      </c>
      <c r="QU26" s="133" t="n">
        <v>0.036</v>
      </c>
      <c r="QV26" s="133" t="n">
        <v>0.036</v>
      </c>
      <c r="QW26" s="133" t="n">
        <v>0.036</v>
      </c>
      <c r="QX26" s="133" t="n">
        <v>0.036</v>
      </c>
      <c r="QY26" s="133" t="n">
        <v>0.036</v>
      </c>
      <c r="QZ26" s="133" t="n">
        <v>0.036</v>
      </c>
      <c r="RA26" s="133" t="n">
        <v>0.036</v>
      </c>
      <c r="RB26" s="133" t="n">
        <v>0.036</v>
      </c>
      <c r="RC26" s="133" t="n">
        <v>0.036</v>
      </c>
      <c r="RD26" s="133" t="n">
        <v>0.036</v>
      </c>
      <c r="RE26" s="133" t="n">
        <v>0.036</v>
      </c>
      <c r="RF26" s="133" t="n">
        <v>0.036</v>
      </c>
      <c r="RG26" s="133">
        <f>$C$52</f>
        <v/>
      </c>
      <c r="RH26" s="133" t="n">
        <v>0.036</v>
      </c>
      <c r="RI26" s="133" t="n">
        <v>0.036</v>
      </c>
      <c r="RJ26" s="133" t="n">
        <v>0.036</v>
      </c>
      <c r="RK26" s="133" t="n">
        <v>0.036</v>
      </c>
      <c r="RL26" s="133" t="n">
        <v>0.036</v>
      </c>
      <c r="RM26" s="133" t="n">
        <v>0.036</v>
      </c>
      <c r="RN26" s="133" t="n">
        <v>0.046</v>
      </c>
      <c r="RO26" s="133" t="n">
        <v>0.046</v>
      </c>
      <c r="RP26" s="133" t="n">
        <v>0.046</v>
      </c>
      <c r="RQ26" s="133" t="n">
        <v>0.046</v>
      </c>
      <c r="RR26" s="133" t="n">
        <v>0.046</v>
      </c>
      <c r="RS26" s="133" t="n">
        <v>0.046</v>
      </c>
      <c r="RT26" s="133" t="n">
        <v>0.046</v>
      </c>
      <c r="RU26" s="133" t="n">
        <v>0.046</v>
      </c>
      <c r="RV26" s="133" t="n">
        <v>0.046</v>
      </c>
      <c r="RW26" s="133" t="n">
        <v>0.046</v>
      </c>
      <c r="RX26" s="133" t="n">
        <v>0.046</v>
      </c>
      <c r="RY26" s="133" t="n">
        <v>0.046</v>
      </c>
      <c r="RZ26" s="133" t="n">
        <v>0.046</v>
      </c>
      <c r="SA26" s="133" t="n">
        <v>0.046</v>
      </c>
      <c r="SB26" s="133" t="n">
        <v>0.046</v>
      </c>
      <c r="SC26" s="133" t="n">
        <v>0.046</v>
      </c>
      <c r="SD26" s="133" t="n">
        <v>0.046</v>
      </c>
      <c r="SE26" s="133" t="n">
        <v>0.046</v>
      </c>
      <c r="SF26" s="133">
        <f>$C$52</f>
        <v/>
      </c>
      <c r="SG26" s="133" t="n">
        <v>0.046</v>
      </c>
      <c r="SH26" s="133" t="n">
        <v>0.046</v>
      </c>
      <c r="SI26" s="133" t="n">
        <v>0.046</v>
      </c>
      <c r="SJ26" s="133" t="n">
        <v>0.046</v>
      </c>
      <c r="SK26" s="133" t="n">
        <v>0.046</v>
      </c>
      <c r="SL26" s="133" t="n">
        <v>0.046</v>
      </c>
      <c r="SM26" s="133" t="n">
        <v>0.046</v>
      </c>
      <c r="SN26" s="133" t="n">
        <v>0.046</v>
      </c>
      <c r="SO26" s="133" t="n">
        <v>0.046</v>
      </c>
      <c r="SP26" s="133" t="n">
        <v>0.046</v>
      </c>
      <c r="SQ26" s="133" t="n">
        <v>0.046</v>
      </c>
      <c r="SR26" s="133" t="n">
        <v>0.046</v>
      </c>
      <c r="SS26" s="133" t="n">
        <v>0.046</v>
      </c>
      <c r="ST26" s="133" t="n">
        <v>0.046</v>
      </c>
      <c r="SU26" s="133" t="n">
        <v>0.046</v>
      </c>
      <c r="SV26" s="133" t="n">
        <v>0.046</v>
      </c>
      <c r="SW26" s="133" t="n">
        <v>0.046</v>
      </c>
      <c r="SX26" s="133" t="n">
        <v>0.046</v>
      </c>
      <c r="SY26" s="133" t="n">
        <v>0.046</v>
      </c>
      <c r="SZ26" s="133" t="n">
        <v>0.046</v>
      </c>
      <c r="TA26" s="133" t="n">
        <v>0.046</v>
      </c>
      <c r="TB26" s="133" t="n">
        <v>0.046</v>
      </c>
      <c r="TC26" s="133" t="n">
        <v>0.046</v>
      </c>
      <c r="TD26" s="133" t="n">
        <v>0.046</v>
      </c>
      <c r="TE26" s="133">
        <f>$C$52</f>
        <v/>
      </c>
      <c r="TF26" s="133" t="n">
        <v>0.046</v>
      </c>
      <c r="TG26" s="133" t="n">
        <v>0.046</v>
      </c>
      <c r="TH26" s="133" t="n">
        <v>0.046</v>
      </c>
      <c r="TI26" s="133" t="n">
        <v>0.046</v>
      </c>
      <c r="TJ26" s="133" t="n">
        <v>0.046</v>
      </c>
      <c r="TK26" s="133" t="n">
        <v>0.046</v>
      </c>
      <c r="TL26" s="133" t="n">
        <v>0.046</v>
      </c>
      <c r="TM26" s="133" t="n">
        <v>0.046</v>
      </c>
      <c r="TN26" s="133" t="n">
        <v>0.046</v>
      </c>
      <c r="TO26" s="133" t="n">
        <v>0.046</v>
      </c>
      <c r="TP26" s="133" t="n">
        <v>0.046</v>
      </c>
      <c r="TQ26" s="133" t="n">
        <v>0.046</v>
      </c>
      <c r="TR26" s="133" t="n">
        <v>0.046</v>
      </c>
      <c r="TS26" s="133" t="n">
        <v>0.046</v>
      </c>
      <c r="TT26" s="133" t="n">
        <v>0.046</v>
      </c>
      <c r="TU26" s="133" t="n">
        <v>0.046</v>
      </c>
      <c r="TV26" s="133" t="n"/>
      <c r="TW26" s="133" t="n">
        <v>0.051</v>
      </c>
      <c r="TX26" s="133" t="n">
        <v>0.051</v>
      </c>
      <c r="TY26" s="133" t="n">
        <v>0.051</v>
      </c>
      <c r="TZ26" s="133" t="n">
        <v>0.051</v>
      </c>
      <c r="UA26" s="133" t="n">
        <v>0.051</v>
      </c>
      <c r="UB26" s="133" t="n">
        <v>0.051</v>
      </c>
      <c r="UC26" s="133" t="n">
        <v>0.051</v>
      </c>
      <c r="UD26" s="133" t="n">
        <v>0.051</v>
      </c>
      <c r="UE26" s="133" t="n">
        <v>0.051</v>
      </c>
      <c r="UF26" s="133" t="n">
        <v>0.051</v>
      </c>
      <c r="UG26" s="133" t="n">
        <v>0.051</v>
      </c>
      <c r="UH26" s="133" t="n">
        <v>0.051</v>
      </c>
      <c r="UI26" s="133" t="n">
        <v>0.051</v>
      </c>
      <c r="UJ26" s="133" t="n">
        <v>0.051</v>
      </c>
      <c r="UK26" s="133" t="n">
        <v>0.051</v>
      </c>
      <c r="UL26" s="133" t="n">
        <v>0.051</v>
      </c>
      <c r="UM26" s="133" t="n">
        <v>0.051</v>
      </c>
      <c r="UN26" s="133" t="n">
        <v>0.051</v>
      </c>
      <c r="UO26" s="133" t="n">
        <v>0.051</v>
      </c>
      <c r="UP26" s="133" t="n">
        <v>0.051</v>
      </c>
      <c r="UQ26" s="133" t="n">
        <v>0.051</v>
      </c>
      <c r="UR26" s="133" t="n">
        <v>0.051</v>
      </c>
      <c r="US26" s="133" t="n">
        <v>0.051</v>
      </c>
      <c r="UT26" s="133" t="n">
        <v>0.051</v>
      </c>
      <c r="UU26" s="133" t="n">
        <v>0.051</v>
      </c>
      <c r="UV26" s="133" t="n">
        <v>0.051</v>
      </c>
      <c r="UW26" s="133" t="n">
        <v>0.07000000000000001</v>
      </c>
      <c r="UX26" s="133" t="n">
        <v>0.07000000000000001</v>
      </c>
      <c r="UY26" s="133" t="n">
        <v>0.07000000000000001</v>
      </c>
      <c r="UZ26" s="133" t="n">
        <v>0.07000000000000001</v>
      </c>
      <c r="VA26" s="133" t="n">
        <v>0.07000000000000001</v>
      </c>
      <c r="VB26" s="133" t="n">
        <v>0.07000000000000001</v>
      </c>
      <c r="VC26" s="133" t="n">
        <v>0.07000000000000001</v>
      </c>
      <c r="VD26" s="133" t="n">
        <v>0.07000000000000001</v>
      </c>
      <c r="VE26" s="133" t="n">
        <v>0.07000000000000001</v>
      </c>
      <c r="VF26" s="133" t="n">
        <v>0.07000000000000001</v>
      </c>
      <c r="VG26" s="133" t="n">
        <v>0.07000000000000001</v>
      </c>
      <c r="VH26" s="133" t="n">
        <v>0.07000000000000001</v>
      </c>
      <c r="VI26" s="133" t="n">
        <v>0.07000000000000001</v>
      </c>
      <c r="VJ26" s="133">
        <f>$C$52</f>
        <v/>
      </c>
      <c r="VK26" s="133" t="n">
        <v>0.07000000000000001</v>
      </c>
      <c r="VL26" s="133" t="n">
        <v>0.07000000000000001</v>
      </c>
      <c r="VM26" s="133" t="n">
        <v>0.07000000000000001</v>
      </c>
      <c r="VN26" s="133" t="n">
        <v>0.07000000000000001</v>
      </c>
      <c r="VO26" s="133" t="n">
        <v>0.07000000000000001</v>
      </c>
      <c r="VP26" s="133" t="n">
        <v>0.07000000000000001</v>
      </c>
      <c r="VQ26" s="133" t="n">
        <v>0.07000000000000001</v>
      </c>
      <c r="VR26" s="133" t="n">
        <v>0.07000000000000001</v>
      </c>
      <c r="VS26" s="133" t="n">
        <v>0.07000000000000001</v>
      </c>
      <c r="VT26" s="133" t="n">
        <v>0.07000000000000001</v>
      </c>
      <c r="VU26" s="133" t="n">
        <v>0.07000000000000001</v>
      </c>
      <c r="VV26" s="133" t="n">
        <v>0.07000000000000001</v>
      </c>
      <c r="VW26" s="133" t="n">
        <v>0.07000000000000001</v>
      </c>
      <c r="VX26" s="133" t="n">
        <v>0.07000000000000001</v>
      </c>
      <c r="VY26" s="133" t="n">
        <v>0.07000000000000001</v>
      </c>
      <c r="VZ26" s="133" t="n">
        <v>0.07000000000000001</v>
      </c>
      <c r="WA26" s="133" t="n">
        <v>0.07000000000000001</v>
      </c>
      <c r="WB26" s="133" t="n">
        <v>0.07000000000000001</v>
      </c>
      <c r="WC26" s="133" t="n">
        <v>0.07000000000000001</v>
      </c>
      <c r="WD26" s="133" t="n">
        <v>0.07000000000000001</v>
      </c>
      <c r="WE26" s="133" t="n">
        <v>0.07000000000000001</v>
      </c>
      <c r="WF26" s="133" t="n">
        <v>0.07000000000000001</v>
      </c>
      <c r="WG26" s="133" t="n">
        <v>0.07000000000000001</v>
      </c>
      <c r="WH26" s="133" t="n">
        <v>0.07000000000000001</v>
      </c>
      <c r="WI26" s="133" t="n">
        <v>0.07000000000000001</v>
      </c>
      <c r="WJ26" s="133" t="n">
        <v>0.07000000000000001</v>
      </c>
      <c r="WK26" s="133" t="n">
        <v>0.07000000000000001</v>
      </c>
      <c r="WL26" s="133" t="n">
        <v>0.07000000000000001</v>
      </c>
      <c r="WM26" s="133" t="n">
        <v>0.07000000000000001</v>
      </c>
      <c r="WN26" s="133" t="n">
        <v>0.07000000000000001</v>
      </c>
      <c r="WO26" s="133" t="n">
        <v>0.07000000000000001</v>
      </c>
      <c r="WP26" s="133" t="n">
        <v>0.07000000000000001</v>
      </c>
      <c r="WQ26" s="133" t="n">
        <v>0.07000000000000001</v>
      </c>
      <c r="WR26" s="133">
        <f>$C$52</f>
        <v/>
      </c>
      <c r="WS26" s="133" t="n">
        <v>0.07000000000000001</v>
      </c>
      <c r="WT26" s="133" t="n">
        <v>0.07000000000000001</v>
      </c>
      <c r="WU26" s="133" t="n">
        <v>0.07000000000000001</v>
      </c>
      <c r="WV26" s="133" t="n">
        <v>0.07000000000000001</v>
      </c>
      <c r="WW26" s="133" t="n">
        <v>0.07000000000000001</v>
      </c>
      <c r="WX26" s="133" t="n">
        <v>0.07000000000000001</v>
      </c>
      <c r="WY26" s="133" t="n">
        <v>0.07000000000000001</v>
      </c>
      <c r="WZ26" s="133" t="n">
        <v>0.07000000000000001</v>
      </c>
      <c r="XA26" s="133" t="n">
        <v>0.07000000000000001</v>
      </c>
      <c r="XB26" s="133" t="n">
        <v>0.075</v>
      </c>
      <c r="XC26" s="133" t="n">
        <v>0.075</v>
      </c>
      <c r="XD26" s="133" t="n">
        <v>0.075</v>
      </c>
      <c r="XE26" s="133" t="n">
        <v>0.075</v>
      </c>
      <c r="XF26" s="133" t="n">
        <v>0.075</v>
      </c>
      <c r="XG26" s="133" t="n">
        <v>0.075</v>
      </c>
      <c r="XH26" s="133" t="n">
        <v>0.075</v>
      </c>
      <c r="XI26" s="133" t="n">
        <v>0.075</v>
      </c>
      <c r="XJ26" s="133" t="n">
        <v>0.075</v>
      </c>
      <c r="XK26" s="133" t="n">
        <v>0.075</v>
      </c>
      <c r="XL26" s="133" t="n">
        <v>0.075</v>
      </c>
      <c r="XM26" s="133" t="n">
        <v>0.075</v>
      </c>
      <c r="XN26" s="133" t="n">
        <v>0.075</v>
      </c>
      <c r="XO26" s="133" t="n">
        <v>0.075</v>
      </c>
      <c r="XP26" s="133" t="n">
        <v>0.075</v>
      </c>
      <c r="XQ26" s="133" t="n">
        <v>0.075</v>
      </c>
      <c r="XR26" s="133" t="n">
        <v>0.075</v>
      </c>
      <c r="XS26" s="133" t="n">
        <v>0.075</v>
      </c>
      <c r="XT26" s="133">
        <f>$C$52</f>
        <v/>
      </c>
      <c r="XU26" s="133" t="n">
        <v>0.075</v>
      </c>
      <c r="XV26" s="133" t="n">
        <v>0.075</v>
      </c>
      <c r="XW26" s="133" t="n">
        <v>0.075</v>
      </c>
      <c r="XX26" s="133" t="n">
        <v>0.075</v>
      </c>
      <c r="XY26" s="133" t="n">
        <v>0.075</v>
      </c>
      <c r="XZ26" s="133" t="n">
        <v>0.075</v>
      </c>
      <c r="YA26" s="133" t="n">
        <v>0.075</v>
      </c>
      <c r="YB26" s="133" t="n">
        <v>0.075</v>
      </c>
      <c r="YC26" s="133" t="n">
        <v>0.075</v>
      </c>
      <c r="YD26" s="133" t="n">
        <v>0.075</v>
      </c>
      <c r="YE26" s="133" t="n">
        <v>0.075</v>
      </c>
      <c r="YF26" s="133" t="n">
        <v>0.075</v>
      </c>
      <c r="YG26" s="133" t="n">
        <v>0.075</v>
      </c>
      <c r="YH26" s="133" t="n">
        <v>0.075</v>
      </c>
      <c r="YI26" s="133" t="n">
        <v>0.001</v>
      </c>
      <c r="YJ26" s="133" t="n">
        <v>0.001</v>
      </c>
      <c r="YK26" s="133" t="n">
        <v>0.001</v>
      </c>
      <c r="YL26" s="133" t="n">
        <v>0.001</v>
      </c>
      <c r="YM26" s="133">
        <f>$C$52</f>
        <v/>
      </c>
      <c r="YN26" s="133" t="n">
        <v>0.001</v>
      </c>
      <c r="YO26" s="133" t="n">
        <v>0.001</v>
      </c>
      <c r="YP26" s="133" t="n">
        <v>0.001</v>
      </c>
      <c r="YQ26" s="133" t="n">
        <v>0.001</v>
      </c>
      <c r="YR26" s="133" t="n">
        <v>0.001</v>
      </c>
      <c r="YS26" s="133" t="n">
        <v>0.0001</v>
      </c>
      <c r="YT26" s="133" t="n">
        <v>0.0001</v>
      </c>
      <c r="YU26" s="133" t="n">
        <v>0.0001</v>
      </c>
      <c r="YV26" s="133" t="n">
        <v>0.0001</v>
      </c>
      <c r="YW26" s="133" t="n">
        <v>0.0001</v>
      </c>
      <c r="YX26" s="133" t="n">
        <v>0.0001</v>
      </c>
      <c r="YY26" s="133" t="n">
        <v>0.0001</v>
      </c>
      <c r="YZ26" s="133" t="n">
        <v>0.0001</v>
      </c>
      <c r="ZA26" s="133" t="n">
        <v>0.0001</v>
      </c>
      <c r="ZB26" s="133" t="n">
        <v>0.0001</v>
      </c>
      <c r="ZC26" s="133" t="n">
        <v>0.0001</v>
      </c>
      <c r="ZD26" s="133" t="n">
        <v>0</v>
      </c>
      <c r="ZE26" s="133" t="n">
        <v>0</v>
      </c>
      <c r="ZF26" s="1459">
        <f>$C$52</f>
        <v/>
      </c>
    </row>
    <row r="27">
      <c r="A27" s="1328" t="inlineStr">
        <is>
          <t>Total Cash on Hands in USD Currency</t>
        </is>
      </c>
      <c r="B27" s="1424" t="n"/>
      <c r="C27" s="1425" t="n"/>
      <c r="D27" s="1463">
        <f>+D11+D13+D15+D17+D19+D21</f>
        <v/>
      </c>
      <c r="E27" s="1463">
        <f>+E11+E13+E15+E17+E19+E21</f>
        <v/>
      </c>
      <c r="F27" s="1463">
        <f>+F11+F13+F15+F17+F19+F21</f>
        <v/>
      </c>
      <c r="G27" s="1463">
        <f>+G11+G13+G15+G17+G19+G21</f>
        <v/>
      </c>
      <c r="H27" s="1463">
        <f>+H11+H13+H15+H17+H19+H21</f>
        <v/>
      </c>
      <c r="I27" s="1463">
        <f>+I11+I13+I15+I17+I19+I21</f>
        <v/>
      </c>
      <c r="J27" s="1463">
        <f>+J11+J13+J15+J17+J19+J21</f>
        <v/>
      </c>
      <c r="K27" s="1463">
        <f>+K11+K13+K15+K17+K19+K21</f>
        <v/>
      </c>
      <c r="L27" s="1463">
        <f>+L11+L13+L15+L17+L19+L21</f>
        <v/>
      </c>
      <c r="M27" s="1463">
        <f>+M11+M13+M15+M17+M19+M21</f>
        <v/>
      </c>
      <c r="N27" s="1463">
        <f>+N11+N13+N15+N17+N19+N21</f>
        <v/>
      </c>
      <c r="O27" s="1463">
        <f>+O11+O13+O15+O17+O19+O21</f>
        <v/>
      </c>
      <c r="P27" s="1463">
        <f>+P11+P13+P15+P17+P19+P21</f>
        <v/>
      </c>
      <c r="Q27" s="1463">
        <f>+Q11+Q13+Q15+Q17+Q19+Q21</f>
        <v/>
      </c>
      <c r="R27" s="1463">
        <f>+R11+R13+R15+R17+R19+R21</f>
        <v/>
      </c>
      <c r="S27" s="1463">
        <f>+S11+S13+S15+S17+S19+S21</f>
        <v/>
      </c>
      <c r="T27" s="1463">
        <f>+T11+T13+T15+T17+T19+T21</f>
        <v/>
      </c>
      <c r="U27" s="1463">
        <f>+U11+U13+U15+U17+U19+U21</f>
        <v/>
      </c>
      <c r="V27" s="1463">
        <f>+V11+V13+V15+V17+V19+V21</f>
        <v/>
      </c>
      <c r="W27" s="1463">
        <f>+W11+W13+W15+W17+W19+W21</f>
        <v/>
      </c>
      <c r="X27" s="1463">
        <f>+X11+X13+X15+X17+X19+X21</f>
        <v/>
      </c>
      <c r="Y27" s="1463">
        <f>+Y11+Y13+Y15+Y17+Y19+Y21</f>
        <v/>
      </c>
      <c r="Z27" s="1463">
        <f>+Z11+Z13+Z15+Z17+Z19+Z21</f>
        <v/>
      </c>
      <c r="AA27" s="1463">
        <f>+AA11+AA13+AA15+AA17+AA19+AA21</f>
        <v/>
      </c>
      <c r="AB27" s="1463">
        <f>+AB11+AB13+AB15+AB17+AB19+AB21</f>
        <v/>
      </c>
      <c r="AC27" s="1463">
        <f>+AC11+AC13+AC15+AC17+AC19+AC21</f>
        <v/>
      </c>
      <c r="AD27" s="1463">
        <f>+AD11+AD13+AD15+AD17+AD19+AD21</f>
        <v/>
      </c>
      <c r="AE27" s="1463">
        <f>+AE11+AE13+AE15+AE17+AE19+AE21</f>
        <v/>
      </c>
      <c r="AF27" s="1463">
        <f>+AF11+AF13+AF15+AF17+AF19+AF21</f>
        <v/>
      </c>
      <c r="AG27" s="1463">
        <f>+AG11+AG13+AG15+AG17+AG19+AG21</f>
        <v/>
      </c>
      <c r="AH27" s="1463">
        <f>+AH11+AH13+AH15+AH17+AH19+AH21</f>
        <v/>
      </c>
      <c r="AI27" s="1463">
        <f>+AI11+AI13+AI15+AI17+AI19+AI21</f>
        <v/>
      </c>
      <c r="AJ27" s="1463">
        <f>+AJ11+AJ13+AJ15+AJ17+AJ19+AJ21</f>
        <v/>
      </c>
      <c r="AK27" s="1463">
        <f>+AK11+AK13+AK15+AK17+AK19+AK21</f>
        <v/>
      </c>
      <c r="AL27" s="1463">
        <f>+AL11+AL13+AL15+AL17+AL19+AL21</f>
        <v/>
      </c>
      <c r="AM27" s="1463">
        <f>+AM11+AM13+AM15+AM17+AM19+AM21</f>
        <v/>
      </c>
      <c r="AN27" s="1463">
        <f>+AN11+AN13+AN15+AN17+AN19+AN21</f>
        <v/>
      </c>
      <c r="AO27" s="1463">
        <f>+AO11+AO13+AO15+AO17+AO19+AO21</f>
        <v/>
      </c>
      <c r="AP27" s="1463">
        <f>+AP11+AP13+AP15+AP17+AP19+AP21</f>
        <v/>
      </c>
      <c r="AQ27" s="1463">
        <f>+AQ11+AQ13+AQ15+AQ17+AQ19+AQ21</f>
        <v/>
      </c>
      <c r="AR27" s="1463">
        <f>+AR11+AR13+AR15+AR17+AR19+AR21</f>
        <v/>
      </c>
      <c r="AS27" s="1463">
        <f>+AS11+AS13+AS15+AS17+AS19+AS21</f>
        <v/>
      </c>
      <c r="AT27" s="1463">
        <f>+AT11+AT13+AT15+AT17+AT19+AT21</f>
        <v/>
      </c>
      <c r="AU27" s="1463">
        <f>+AU11+AU13+AU15+AU17+AU19+AU21</f>
        <v/>
      </c>
      <c r="AV27" s="1463">
        <f>+AV11+AV13+AV15+AV17+AV19+AV21</f>
        <v/>
      </c>
      <c r="AW27" s="1463">
        <f>+AW11+AW13+AW15+AW17+AW19+AW21</f>
        <v/>
      </c>
      <c r="AX27" s="1463">
        <f>+AX11+AX13+AX15+AX17+AX19+AX21</f>
        <v/>
      </c>
      <c r="AY27" s="1463">
        <f>+AY11+AY13+AY15+AY17+AY19+AY21</f>
        <v/>
      </c>
      <c r="AZ27" s="1463">
        <f>+AZ11+AZ13+AZ15+AZ17+AZ19+AZ21</f>
        <v/>
      </c>
      <c r="BA27" s="1463">
        <f>+BA11+BA13+BA15+BA17+BA19+BA21</f>
        <v/>
      </c>
      <c r="BB27" s="1463">
        <f>+BB11+BB13+BB15+BB17+BB19+BB21</f>
        <v/>
      </c>
      <c r="BC27" s="1463">
        <f>+BC11+BC13+BC15+BC17+BC19+BC21</f>
        <v/>
      </c>
      <c r="BD27" s="1463">
        <f>+BD11+BD13+BD15+BD17+BD19+BD21</f>
        <v/>
      </c>
      <c r="BE27" s="1463">
        <f>+BE11+BE13+BE15+BE17+BE19+BE21</f>
        <v/>
      </c>
      <c r="BF27" s="1463">
        <f>+BF11+BF13+BF15+BF17+BF19+BF21</f>
        <v/>
      </c>
      <c r="BG27" s="1463">
        <f>+BG11+BG13+BG15+BG17+BG19+BG21</f>
        <v/>
      </c>
      <c r="BH27" s="1463">
        <f>+BH11+BH13+BH15+BH17+BH19+BH21</f>
        <v/>
      </c>
      <c r="BI27" s="1463">
        <f>+BI11+BI13+BI15+BI17+BI19+BI21</f>
        <v/>
      </c>
      <c r="BJ27" s="1463">
        <f>+BJ11+BJ13+BJ15+BJ17+BJ19+BJ21</f>
        <v/>
      </c>
      <c r="BK27" s="1463">
        <f>+BK11+BK13+BK15+BK17+BK19+BK21</f>
        <v/>
      </c>
      <c r="BL27" s="1463">
        <f>+BL11+BL13+BL15+BL17+BL19+BL21</f>
        <v/>
      </c>
      <c r="BM27" s="1463">
        <f>+BM11+BM13+BM15+BM17+BM19+BM21</f>
        <v/>
      </c>
      <c r="BN27" s="1463">
        <f>+BN11+BN13+BN15+BN17+BN19+BN21</f>
        <v/>
      </c>
      <c r="BO27" s="1463">
        <f>+BO11+BO13+BO15+BO17+BO19+BO21</f>
        <v/>
      </c>
      <c r="BP27" s="1463">
        <f>+BP11+BP13+BP15+BP17+BP19+BP21</f>
        <v/>
      </c>
      <c r="BQ27" s="1463">
        <f>+BQ11+BQ13+BQ15+BQ17+BQ19+BQ21</f>
        <v/>
      </c>
      <c r="BR27" s="1463">
        <f>+BR11+BR13+BR15+BR17+BR19+BR21</f>
        <v/>
      </c>
      <c r="BS27" s="1463">
        <f>+BS11+BS13+BS15+BS17+BS19+BS21</f>
        <v/>
      </c>
      <c r="BT27" s="1463">
        <f>+BT11+BT13+BT15+BT17+BT19+BT21</f>
        <v/>
      </c>
      <c r="BU27" s="1463">
        <f>+BU11+BU13+BU15+BU17+BU19+BU21</f>
        <v/>
      </c>
      <c r="BV27" s="1463">
        <f>+BV11+BV13+BV15+BV17+BV19+BV21</f>
        <v/>
      </c>
      <c r="BW27" s="1463">
        <f>+BW11+BW13+BW15+BW17+BW19+BW21</f>
        <v/>
      </c>
      <c r="BX27" s="1463">
        <f>+BX11+BX13+BX15+BX17+BX19+BX21</f>
        <v/>
      </c>
      <c r="BY27" s="1463">
        <f>+BY11+BY13+BY15+BY17+BY19+BY21</f>
        <v/>
      </c>
      <c r="BZ27" s="1463">
        <f>+BZ11+BZ13+BZ15+BZ17+BZ19+BZ21</f>
        <v/>
      </c>
      <c r="CA27" s="1463">
        <f>+CA11+CA13+CA15+CA17+CA19+CA21</f>
        <v/>
      </c>
      <c r="CB27" s="1463">
        <f>+CB11+CB13+CB15+CB17+CB19+CB21</f>
        <v/>
      </c>
      <c r="CC27" s="1463">
        <f>+CC11+CC13+CC15+CC17+CC19+CC21</f>
        <v/>
      </c>
      <c r="CD27" s="1463">
        <f>+CD11+CD13+CD15+CD17+CD19+CD21</f>
        <v/>
      </c>
      <c r="CE27" s="1463">
        <f>+CE11+CE13+CE15+CE17+CE19+CE21</f>
        <v/>
      </c>
      <c r="CF27" s="1463">
        <f>+CF11+CF13+CF15+CF17+CF19+CF21</f>
        <v/>
      </c>
      <c r="CG27" s="1463">
        <f>+CG11+CG13+CG15+CG17+CG19+CG21</f>
        <v/>
      </c>
      <c r="CH27" s="1463">
        <f>+CH11+CH13+CH15+CH17+CH19+CH21</f>
        <v/>
      </c>
      <c r="CI27" s="1463">
        <f>+CI11+CI13+CI15+CI17+CI19+CI21</f>
        <v/>
      </c>
      <c r="CJ27" s="1463">
        <f>+CJ11+CJ13+CJ15+CJ17+CJ19+CJ21</f>
        <v/>
      </c>
      <c r="CK27" s="1463">
        <f>+CK11+CK13+CK15+CK17+CK19+CK21</f>
        <v/>
      </c>
      <c r="CL27" s="1463">
        <f>+CL11+CL13+CL15+CL17+CL19+CL21</f>
        <v/>
      </c>
      <c r="CM27" s="1463">
        <f>+CM11+CM13+CM15+CM17+CM19+CM21</f>
        <v/>
      </c>
      <c r="CN27" s="1463">
        <f>+CN11+CN13+CN15+CN17+CN19+CN21</f>
        <v/>
      </c>
      <c r="CO27" s="1463">
        <f>+CO11+CO13+CO15+CO17+CO19+CO21</f>
        <v/>
      </c>
      <c r="CP27" s="1463">
        <f>+CP11+CP13+CP15+CP17+CP19+CP21</f>
        <v/>
      </c>
      <c r="CQ27" s="1463">
        <f>+CQ11+CQ13+CQ15+CQ17+CQ19+CQ21</f>
        <v/>
      </c>
      <c r="CR27" s="1463">
        <f>+CR11+CR13+CR15+CR17+CR19+CR21</f>
        <v/>
      </c>
      <c r="CS27" s="1463">
        <f>+CS11+CS13+CS15+CS17+CS19+CS21</f>
        <v/>
      </c>
      <c r="CT27" s="1463">
        <f>+CT11+CT13+CT15+CT17+CT19+CT21</f>
        <v/>
      </c>
      <c r="CU27" s="1463">
        <f>+CU11+CU13+CU15+CU17+CU19+CU21</f>
        <v/>
      </c>
      <c r="CV27" s="1463">
        <f>+CV11+CV13+CV15+CV17+CV19+CV21</f>
        <v/>
      </c>
      <c r="CW27" s="1463">
        <f>+CW11+CW13+CW15+CW17+CW19+CW21</f>
        <v/>
      </c>
      <c r="CX27" s="1463">
        <f>+CX11+CX13+CX15+CX17+CX19+CX21</f>
        <v/>
      </c>
      <c r="CY27" s="1463">
        <f>+CY11+CY13+CY15+CY17+CY19+CY21</f>
        <v/>
      </c>
      <c r="CZ27" s="1463">
        <f>+CZ11+CZ13+CZ15+CZ17+CZ19+CZ21</f>
        <v/>
      </c>
      <c r="DA27" s="1463">
        <f>+DA11+DA13+DA15+DA17+DA19+DA21</f>
        <v/>
      </c>
      <c r="DB27" s="1463">
        <f>+DB11+DB13+DB15+DB17+DB19+DB21</f>
        <v/>
      </c>
      <c r="DC27" s="1463">
        <f>+DC11+DC13+DC15+DC17+DC19+DC21</f>
        <v/>
      </c>
      <c r="DD27" s="1463">
        <f>+DD11+DD13+DD15+DD17+DD19+DD21</f>
        <v/>
      </c>
      <c r="DE27" s="1463">
        <f>+DE11+DE13+DE15+DE17+DE19+DE21</f>
        <v/>
      </c>
      <c r="DF27" s="1463">
        <f>+DF11+DF13+DF15+DF17+DF19+DF21</f>
        <v/>
      </c>
      <c r="DG27" s="1463">
        <f>+DG11+DG13+DG15+DG17+DG19+DG21</f>
        <v/>
      </c>
      <c r="DH27" s="1463">
        <f>+DH11+DH13+DH15+DH17+DH19+DH21</f>
        <v/>
      </c>
      <c r="DI27" s="1463">
        <f>+DI11+DI13+DI15+DI17+DI19+DI21</f>
        <v/>
      </c>
      <c r="DJ27" s="1463">
        <f>+DJ11+DJ13+DJ15+DJ17+DJ19+DJ21</f>
        <v/>
      </c>
      <c r="DK27" s="1463">
        <f>+DK11+DK13+DK15+DK17+DK19+DK21</f>
        <v/>
      </c>
      <c r="DL27" s="1463">
        <f>+DL11+DL13+DL15+DL17+DL19+DL21</f>
        <v/>
      </c>
      <c r="DM27" s="1463">
        <f>+DM11+DM13+DM15+DM17+DM19+DM21</f>
        <v/>
      </c>
      <c r="DN27" s="1463">
        <f>+DN11+DN13+DN15+DN17+DN19+DN21</f>
        <v/>
      </c>
      <c r="DO27" s="1463">
        <f>+DO11+DO13+DO15+DO17+DO19+DO21</f>
        <v/>
      </c>
      <c r="DP27" s="1463">
        <f>+DP11+DP13+DP15+DP17+DP19+DP21</f>
        <v/>
      </c>
      <c r="DQ27" s="1463">
        <f>+DQ11+DQ13+DQ15+DQ17+DQ19+DQ21</f>
        <v/>
      </c>
      <c r="DR27" s="1463">
        <f>+DR11+DR13+DR15+DR17+DR19+DR21</f>
        <v/>
      </c>
      <c r="DS27" s="1463">
        <f>+DS11+DS13+DS15+DS17+DS19+DS21</f>
        <v/>
      </c>
      <c r="DT27" s="1463">
        <f>+DT11+DT13+DT15+DT17+DT19+DT21</f>
        <v/>
      </c>
      <c r="DU27" s="1463">
        <f>+DU11+DU13+DU15+DU17+DU19+DU21</f>
        <v/>
      </c>
      <c r="DV27" s="1463">
        <f>+DV11+DV13+DV15+DV17+DV19+DV21</f>
        <v/>
      </c>
      <c r="DW27" s="1463">
        <f>+DW11+DW13+DW15+DW17+DW19+DW21</f>
        <v/>
      </c>
      <c r="DX27" s="1463">
        <f>+DX11+DX13+DX15+DX17+DX19+DX21</f>
        <v/>
      </c>
      <c r="DY27" s="1463">
        <f>+DY11+DY13+DY15+DY17+DY19+DY21</f>
        <v/>
      </c>
      <c r="DZ27" s="1463">
        <f>+DZ11+DZ13+DZ15+DZ17+DZ19+DZ21</f>
        <v/>
      </c>
      <c r="EA27" s="1463">
        <f>+EA11+EA13+EA15+EA17+EA19+EA21</f>
        <v/>
      </c>
      <c r="EB27" s="1463">
        <f>+EB11+EB13+EB15+EB17+EB19+EB21</f>
        <v/>
      </c>
      <c r="EC27" s="1463">
        <f>+EC11+EC13+EC15+EC17+EC19+EC21</f>
        <v/>
      </c>
      <c r="ED27" s="1463">
        <f>+ED11+ED13+ED15+ED17+ED19+ED21</f>
        <v/>
      </c>
      <c r="EE27" s="1463">
        <f>+EE11+EE13+EE15+EE17+EE19+EE21</f>
        <v/>
      </c>
      <c r="EF27" s="1463">
        <f>+EF11+EF13+EF15+EF17+EF19+EF21</f>
        <v/>
      </c>
      <c r="EG27" s="1463">
        <f>+EG11+EG13+EG15+EG17+EG19+EG21</f>
        <v/>
      </c>
      <c r="EH27" s="1463">
        <f>+EH11+EH13+EH15+EH17+EH19+EH21</f>
        <v/>
      </c>
      <c r="EI27" s="1463">
        <f>+EI11+EI13+EI15+EI17+EI19+EI21</f>
        <v/>
      </c>
      <c r="EJ27" s="1463">
        <f>+EJ11+EJ13+EJ15+EJ17+EJ19+EJ21</f>
        <v/>
      </c>
      <c r="EK27" s="1463">
        <f>+EK11+EK13+EK15+EK17+EK19+EK21</f>
        <v/>
      </c>
      <c r="EL27" s="1463">
        <f>+EL11+EL13+EL15+EL17+EL19+EL21</f>
        <v/>
      </c>
      <c r="EM27" s="1463">
        <f>+EM11+EM13+EM15+EM17+EM19+EM21</f>
        <v/>
      </c>
      <c r="EN27" s="1463">
        <f>+EN11+EN13+EN15+EN17+EN19+EN21</f>
        <v/>
      </c>
      <c r="EO27" s="1463">
        <f>+EO11+EO13+EO15+EO17+EO19+EO21</f>
        <v/>
      </c>
      <c r="EP27" s="1463">
        <f>+EP11+EP13+EP15+EP17+EP19+EP21</f>
        <v/>
      </c>
      <c r="EQ27" s="1463">
        <f>+EQ11+EQ13+EQ15+EQ17+EQ19+EQ21</f>
        <v/>
      </c>
      <c r="ER27" s="1463">
        <f>+ER11+ER13+ER15+ER17+ER19+ER21</f>
        <v/>
      </c>
      <c r="ES27" s="1463">
        <f>+ES11+ES13+ES15+ES17+ES19+ES21</f>
        <v/>
      </c>
      <c r="ET27" s="1463">
        <f>+ET11+ET13+ET15+ET17+ET19+ET21</f>
        <v/>
      </c>
      <c r="EU27" s="1463">
        <f>+EU11+EU13+EU15+EU17+EU19+EU21</f>
        <v/>
      </c>
      <c r="EV27" s="1463">
        <f>+EV11+EV13+EV15+EV17+EV19+EV21</f>
        <v/>
      </c>
      <c r="EW27" s="1463">
        <f>+EW11+EW13+EW15+EW17+EW19+EW21</f>
        <v/>
      </c>
      <c r="EX27" s="1463">
        <f>+EX11+EX13+EX15+EX17+EX19+EX21</f>
        <v/>
      </c>
      <c r="EY27" s="1463">
        <f>+EY11+EY13+EY15+EY17+EY19+EY21</f>
        <v/>
      </c>
      <c r="EZ27" s="1463">
        <f>+EZ11+EZ13+EZ15+EZ17+EZ19+EZ21</f>
        <v/>
      </c>
      <c r="FA27" s="1463">
        <f>+FA11+FA13+FA15+FA17+FA19+FA21</f>
        <v/>
      </c>
      <c r="FB27" s="1463">
        <f>+FB11+FB13+FB15+FB17+FB19+FB21</f>
        <v/>
      </c>
      <c r="FC27" s="1463">
        <f>+FC11+FC13+FC15+FC17+FC19+FC21</f>
        <v/>
      </c>
      <c r="FD27" s="1463">
        <f>+FD11+FD13+FD15+FD17+FD19+FD21</f>
        <v/>
      </c>
      <c r="FE27" s="1463">
        <f>+FE11+FE13+FE15+FE17+FE19+FE21</f>
        <v/>
      </c>
      <c r="FF27" s="1463">
        <f>+FF11+FF13+FF15+FF17+FF19+FF21</f>
        <v/>
      </c>
      <c r="FG27" s="1463">
        <f>+FG11+FG13+FG15+FG17+FG19+FG21</f>
        <v/>
      </c>
      <c r="FH27" s="1463">
        <f>+FH11+FH13+FH15+FH17+FH19+FH21</f>
        <v/>
      </c>
      <c r="FI27" s="1463">
        <f>+FI11+FI13+FI15+FI17+FI19+FI21</f>
        <v/>
      </c>
      <c r="FJ27" s="1463">
        <f>+FJ11+FJ13+FJ15+FJ17+FJ19+FJ21</f>
        <v/>
      </c>
      <c r="FK27" s="1463">
        <f>+FK11+FK13+FK15+FK17+FK19+FK21</f>
        <v/>
      </c>
      <c r="FL27" s="1463">
        <f>+FL11+FL13+FL15+FL17+FL19+FL21</f>
        <v/>
      </c>
      <c r="FM27" s="1463">
        <f>+FM11+FM13+FM15+FM17+FM19+FM21</f>
        <v/>
      </c>
      <c r="FN27" s="1463">
        <f>+FN11+FN13+FN15+FN17+FN19+FN21</f>
        <v/>
      </c>
      <c r="FO27" s="1463">
        <f>+FO11+FO13+FO15+FO17+FO19+FO21</f>
        <v/>
      </c>
      <c r="FP27" s="1463">
        <f>+FP11+FP13+FP15+FP17+FP19+FP21</f>
        <v/>
      </c>
      <c r="FQ27" s="1463">
        <f>+FQ11+FQ13+FQ15+FQ17+FQ19+FQ21</f>
        <v/>
      </c>
      <c r="FR27" s="1463">
        <f>+FR11+FR13+FR15+FR17+FR19+FR21</f>
        <v/>
      </c>
      <c r="FS27" s="1463">
        <f>+FS11+FS13+FS15+FS17+FS19+FS21</f>
        <v/>
      </c>
      <c r="FT27" s="1463">
        <f>+FT11+FT13+FT15+FT17+FT19+FT21</f>
        <v/>
      </c>
      <c r="FU27" s="1463">
        <f>+FU11+FU13+FU15+FU17+FU19+FU21</f>
        <v/>
      </c>
      <c r="FV27" s="1463">
        <f>+FV11+FV13+FV15+FV17+FV19+FV21</f>
        <v/>
      </c>
      <c r="FW27" s="1463">
        <f>+FW11+FW13+FW15+FW17+FW19+FW21</f>
        <v/>
      </c>
      <c r="FX27" s="1463">
        <f>+FX11+FX13+FX15+FX17+FX19+FX21</f>
        <v/>
      </c>
      <c r="FY27" s="1463">
        <f>+FY11+FY13+FY15+FY17+FY19+FY21</f>
        <v/>
      </c>
      <c r="FZ27" s="1463">
        <f>+FZ11+FZ13+FZ15+FZ17+FZ19+FZ21</f>
        <v/>
      </c>
      <c r="GA27" s="1463">
        <f>+GA11+GA13+GA15+GA17+GA19+GA21</f>
        <v/>
      </c>
      <c r="GB27" s="1463">
        <f>+GB11+GB13+GB15+GB17+GB19+GB21</f>
        <v/>
      </c>
      <c r="GC27" s="1463">
        <f>+GC11+GC13+GC15+GC17+GC19+GC21</f>
        <v/>
      </c>
      <c r="GD27" s="1463">
        <f>+GD11+GD13+GD15+GD17+GD19+GD21</f>
        <v/>
      </c>
      <c r="GE27" s="1463">
        <f>+GE11+GE13+GE15+GE17+GE19+GE21</f>
        <v/>
      </c>
      <c r="GF27" s="1463">
        <f>+GF11+GF13+GF15+GF17+GF19+GF21</f>
        <v/>
      </c>
      <c r="GG27" s="1463">
        <f>+GG11+GG13+GG15+GG17+GG19+GG21</f>
        <v/>
      </c>
      <c r="GH27" s="1463">
        <f>+GH11+GH13+GH15+GH17+GH19+GH21</f>
        <v/>
      </c>
      <c r="GI27" s="1463">
        <f>+GI11+GI13+GI15+GI17+GI19+GI21</f>
        <v/>
      </c>
      <c r="GJ27" s="1463">
        <f>+GJ11+GJ13+GJ15+GJ17+GJ19+GJ21</f>
        <v/>
      </c>
      <c r="GK27" s="1463">
        <f>+GK11+GK13+GK15+GK17+GK19+GK21</f>
        <v/>
      </c>
      <c r="GL27" s="1463">
        <f>+GL11+GL13+GL15+GL17+GL19+GL21</f>
        <v/>
      </c>
      <c r="GM27" s="1463">
        <f>+GM11+GM13+GM15+GM17+GM19+GM21</f>
        <v/>
      </c>
      <c r="GN27" s="1463">
        <f>+GN11+GN13+GN15+GN17+GN19+GN21</f>
        <v/>
      </c>
      <c r="GO27" s="1463">
        <f>+GO11+GO13+GO15+GO17+GO19+GO21</f>
        <v/>
      </c>
      <c r="GP27" s="1463">
        <f>+GP11+GP13+GP15+GP17+GP19+GP21</f>
        <v/>
      </c>
      <c r="GQ27" s="1463">
        <f>+GQ11+GQ13+GQ15+GQ17+GQ19+GQ21</f>
        <v/>
      </c>
      <c r="GR27" s="1463">
        <f>+GR11+GR13+GR15+GR17+GR19+GR21</f>
        <v/>
      </c>
      <c r="GS27" s="1463">
        <f>+GS11+GS13+GS15+GS17+GS19+GS21</f>
        <v/>
      </c>
      <c r="GT27" s="1463">
        <f>+GT11+GT13+GT15+GT17+GT19+GT21</f>
        <v/>
      </c>
      <c r="GU27" s="1463">
        <f>+GU11+GU13+GU15+GU17+GU19+GU21</f>
        <v/>
      </c>
      <c r="GV27" s="1463">
        <f>+GV11+GV13+GV15+GV17+GV19+GV21</f>
        <v/>
      </c>
      <c r="GW27" s="1463">
        <f>+GW11+GW13+GW15+GW17+GW19+GW21</f>
        <v/>
      </c>
      <c r="GX27" s="1463">
        <f>+GX11+GX13+GX15+GX17+GX19+GX21</f>
        <v/>
      </c>
      <c r="GY27" s="1463">
        <f>+GY11+GY13+GY15+GY17+GY19+GY21</f>
        <v/>
      </c>
      <c r="GZ27" s="1463">
        <f>+GZ11+GZ13+GZ15+GZ17+GZ19+GZ21</f>
        <v/>
      </c>
      <c r="HA27" s="1463">
        <f>+HA11+HA13+HA15+HA17+HA19+HA21</f>
        <v/>
      </c>
      <c r="HB27" s="1463">
        <f>+HB11+HB13+HB15+HB17+HB19+HB21</f>
        <v/>
      </c>
      <c r="HC27" s="1463">
        <f>+HC11+HC13+HC15+HC17+HC19+HC21</f>
        <v/>
      </c>
      <c r="HD27" s="1463">
        <f>+HD11+HD13+HD15+HD17+HD19+HD21</f>
        <v/>
      </c>
      <c r="HE27" s="1463">
        <f>+HE11+HE13+HE15+HE17+HE19+HE21</f>
        <v/>
      </c>
      <c r="HF27" s="1463">
        <f>+HF11+HF13+HF15+HF17+HF19+HF21</f>
        <v/>
      </c>
      <c r="HG27" s="1463">
        <f>+HG11+HG13+HG15+HG17+HG19+HG21</f>
        <v/>
      </c>
      <c r="HH27" s="1463">
        <f>+HH11+HH13+HH15+HH17+HH19+HH21</f>
        <v/>
      </c>
      <c r="HI27" s="1463">
        <f>+HI11+HI13+HI15+HI17+HI19+HI21</f>
        <v/>
      </c>
      <c r="HJ27" s="1463">
        <f>+HJ11+HJ13+HJ15+HJ17+HJ19+HJ21</f>
        <v/>
      </c>
      <c r="HK27" s="1463">
        <f>+HK11+HK13+HK15+HK17+HK19+HK21</f>
        <v/>
      </c>
      <c r="HL27" s="1463">
        <f>+HL11+HL13+HL15+HL17+HL19+HL21</f>
        <v/>
      </c>
      <c r="HM27" s="1463">
        <f>+HM11+HM13+HM15+HM17+HM19+HM21</f>
        <v/>
      </c>
      <c r="HN27" s="1463">
        <f>+HN11+HN13+HN15+HN17+HN19+HN21</f>
        <v/>
      </c>
      <c r="HO27" s="1463">
        <f>+HO11+HO13+HO15+HO17+HO19+HO21</f>
        <v/>
      </c>
      <c r="HP27" s="1463">
        <f>+HP11+HP13+HP15+HP17+HP19+HP21</f>
        <v/>
      </c>
      <c r="HQ27" s="1463" t="n">
        <v>169.4677061249223</v>
      </c>
      <c r="HR27" s="1463" t="n">
        <v>167.2264216828706</v>
      </c>
      <c r="HS27" s="1463">
        <f>+HS11+HS13+HS15+HS17+HS19+HS21</f>
        <v/>
      </c>
      <c r="HT27" s="1463">
        <f>+HT11+HT13+HT15+HT17+HT19+HT21+HT23+HT25</f>
        <v/>
      </c>
      <c r="HU27" s="1463">
        <f>+HU11+HU13+HU15+HU17+HU19+HU21+HU23+HU25</f>
        <v/>
      </c>
      <c r="HV27" s="1463">
        <f>+HV11+HV13+HV15+HV17+HV19+HV21+HV23+HV25</f>
        <v/>
      </c>
      <c r="HW27" s="1463">
        <f>+HW11+HW13+HW15+HW17+HW19+HW21+HW23+HW25</f>
        <v/>
      </c>
      <c r="HX27" s="1463">
        <f>+HX11+HX13+HX15+HX17+HX19+HX21+HX23+HX25</f>
        <v/>
      </c>
      <c r="HY27" s="1463">
        <f>+HY11+HY13+HY15+HY17+HY19+HY21+HY23+HY25</f>
        <v/>
      </c>
      <c r="HZ27" s="1463">
        <f>+HZ11+HZ13+HZ15+HZ17+HZ19+HZ21+HZ23+HZ25</f>
        <v/>
      </c>
      <c r="IA27" s="1463">
        <f>+IA11+IA13+IA15+IA17+IA19+IA21+IA23+IA25</f>
        <v/>
      </c>
      <c r="IB27" s="1463">
        <f>+IB11+IB13+IB15+IB17+IB19+IB21+IB23+IB25</f>
        <v/>
      </c>
      <c r="IC27" s="1463">
        <f>+IC11+IC13+IC15+IC17+IC19+IC21+IC23+IC25</f>
        <v/>
      </c>
      <c r="ID27" s="1463">
        <f>+ID11+ID13+ID15+ID17+ID19+ID21+ID23+ID25</f>
        <v/>
      </c>
      <c r="IE27" s="1463">
        <f>+IE11+IE13+IE15+IE17+IE19+IE21+IE23+IE25</f>
        <v/>
      </c>
      <c r="IF27" s="1463">
        <f>+IF11+IF13+IF15+IF17+IF19+IF21+IF23+IF25</f>
        <v/>
      </c>
      <c r="IG27" s="1463" t="n">
        <v>152.1656445576099</v>
      </c>
      <c r="IH27" s="1463" t="n">
        <v>155.3849880540695</v>
      </c>
      <c r="II27" s="1463" t="n">
        <v>152.6206888425106</v>
      </c>
      <c r="IJ27" s="1463">
        <f>+IJ11+IJ13+IJ15+IJ17+IJ19+IJ21+IJ23+IJ25</f>
        <v/>
      </c>
      <c r="IK27" s="1463">
        <f>+IK11+IK13+IK15+IK17+IK19+IK21+IK23+IK25</f>
        <v/>
      </c>
      <c r="IL27" s="1463" t="n">
        <v>157.721772160792</v>
      </c>
      <c r="IM27" s="1463" t="n">
        <v>151.3999007540042</v>
      </c>
      <c r="IN27" s="1463" t="n">
        <v>154.3016785231416</v>
      </c>
      <c r="IO27" s="1463" t="n">
        <v>154.6983811650758</v>
      </c>
      <c r="IP27" s="1463" t="n">
        <v>145.5141884519834</v>
      </c>
      <c r="IQ27" s="1463" t="n">
        <v>143.3057416073968</v>
      </c>
      <c r="IR27" s="1463" t="n">
        <v>136.0946271509262</v>
      </c>
      <c r="IS27" s="1463" t="n">
        <v>137.1727973623152</v>
      </c>
      <c r="IT27" s="1463" t="n">
        <v>138.8748568405101</v>
      </c>
      <c r="IU27" s="1463" t="n">
        <v>135.7302597275015</v>
      </c>
      <c r="IV27" s="1463" t="n">
        <v>130.4059650659601</v>
      </c>
      <c r="IW27" s="1463" t="n">
        <v>129.1806085627217</v>
      </c>
      <c r="IX27" s="1463" t="n">
        <v>131.9987435751281</v>
      </c>
      <c r="IY27" s="1463" t="n">
        <v>130.0093568938589</v>
      </c>
      <c r="IZ27" s="1463" t="n">
        <v>130.4748683071154</v>
      </c>
      <c r="JA27" s="1463" t="n">
        <v>130.7220915201707</v>
      </c>
      <c r="JB27" s="1463" t="n">
        <v>132.2250084296473</v>
      </c>
      <c r="JC27" s="1463" t="n">
        <v>134.5658813930693</v>
      </c>
      <c r="JD27" s="1463" t="n">
        <v>134.037612512524</v>
      </c>
      <c r="JE27" s="1463" t="n">
        <v>133.5567963450005</v>
      </c>
      <c r="JF27" s="1463" t="n">
        <v>134.8429258405491</v>
      </c>
      <c r="JG27" s="1463" t="n">
        <v>135.6456338601525</v>
      </c>
      <c r="JH27" s="1463" t="n">
        <v>131.4668687706488</v>
      </c>
      <c r="JI27" s="1463" t="n">
        <v>132.6944438963211</v>
      </c>
      <c r="JJ27" s="1463" t="n">
        <v>128.7343690900441</v>
      </c>
      <c r="JK27" s="1463" t="n">
        <v>126.0693244289103</v>
      </c>
      <c r="JL27" s="1463" t="n">
        <v>128.7564449699025</v>
      </c>
      <c r="JM27" s="1463" t="n">
        <v>130.278137983326</v>
      </c>
      <c r="JN27" s="1463" t="n">
        <v>131.341183832415</v>
      </c>
      <c r="JO27" s="1463" t="n">
        <v>133.4460055271988</v>
      </c>
      <c r="JP27" s="1463" t="n">
        <v>137.7641883463893</v>
      </c>
      <c r="JQ27" s="1463" t="n">
        <v>141.7057136839638</v>
      </c>
      <c r="JR27" s="1463" t="n">
        <v>142.0868157395736</v>
      </c>
      <c r="JS27" s="1463" t="n">
        <v>141.844492407833</v>
      </c>
      <c r="JT27" s="1463" t="n">
        <v>136.359418684522</v>
      </c>
      <c r="JU27" s="1463">
        <f>+JU11+JU13+JU15+JU17+JU19+JU21+JU23+JU25</f>
        <v/>
      </c>
      <c r="JV27" s="1463" t="n">
        <v>134.2308181700722</v>
      </c>
      <c r="JW27" s="1463" t="n">
        <v>170.4303408583584</v>
      </c>
      <c r="JX27" s="1463" t="n">
        <v>168.8037321944951</v>
      </c>
      <c r="JY27" s="1463" t="n">
        <v>146.5882186447921</v>
      </c>
      <c r="JZ27" s="1463" t="n">
        <v>134.8676057347799</v>
      </c>
      <c r="KA27" s="1463" t="n">
        <v>132.4153462148248</v>
      </c>
      <c r="KB27" s="1463" t="n">
        <v>134.6472807159645</v>
      </c>
      <c r="KC27" s="1463" t="n">
        <v>135.0844889593465</v>
      </c>
      <c r="KD27" s="1463" t="n">
        <v>132.8273240736881</v>
      </c>
      <c r="KE27" s="1463" t="n">
        <v>133.1743868523193</v>
      </c>
      <c r="KF27" s="1463" t="n">
        <v>134.0151825252892</v>
      </c>
      <c r="KG27" s="1463" t="n">
        <v>136.5788504792703</v>
      </c>
      <c r="KH27" s="1463" t="n">
        <v>137.0759399907992</v>
      </c>
      <c r="KI27" s="1463" t="n">
        <v>140.8210278211758</v>
      </c>
      <c r="KJ27" s="1463" t="n">
        <v>135.0029157416885</v>
      </c>
      <c r="KK27" s="1463" t="n">
        <v>134.4543880832532</v>
      </c>
      <c r="KL27" s="1463" t="n">
        <v>136.9022841703216</v>
      </c>
      <c r="KM27" s="1463" t="n">
        <v>136.4414084197375</v>
      </c>
      <c r="KN27" s="1463" t="n">
        <v>136.8671757964277</v>
      </c>
      <c r="KO27" s="1463" t="n">
        <v>131.662465428001</v>
      </c>
      <c r="KP27" s="1463" t="n">
        <v>143.4693826075589</v>
      </c>
      <c r="KQ27" s="1463" t="n">
        <v>144.7550440735539</v>
      </c>
      <c r="KR27" s="1463" t="n">
        <v>143.2546143648581</v>
      </c>
      <c r="KS27" s="1463" t="n">
        <v>154.3522283679388</v>
      </c>
      <c r="KT27" s="1463" t="n">
        <v>142.3412942784053</v>
      </c>
      <c r="KU27" s="1463" t="n">
        <v>141.9171693612926</v>
      </c>
      <c r="KV27" s="1463" t="n">
        <v>142.0798210272337</v>
      </c>
      <c r="KW27" s="1463" t="n">
        <v>147.6403317000614</v>
      </c>
      <c r="KX27" s="1463" t="n">
        <v>122.2646661987412</v>
      </c>
      <c r="KY27" s="1463" t="n">
        <v>118.8571606096747</v>
      </c>
      <c r="KZ27" s="1463" t="n">
        <v>119.0147061863141</v>
      </c>
      <c r="LA27" s="1463" t="n">
        <v>118.8662768549207</v>
      </c>
      <c r="LB27" s="1463" t="n">
        <v>105.7544323570869</v>
      </c>
      <c r="LC27" s="1463" t="n">
        <v>120.2491611876231</v>
      </c>
      <c r="LD27" s="1463" t="n">
        <v>118.6075176152268</v>
      </c>
      <c r="LE27" s="1463" t="n">
        <v>114.7428976672348</v>
      </c>
      <c r="LF27" s="1463" t="n">
        <v>115.3010865971811</v>
      </c>
      <c r="LG27" s="1463" t="n">
        <v>118.8498724259509</v>
      </c>
      <c r="LH27" s="1463" t="n">
        <v>119.6264681027288</v>
      </c>
      <c r="LI27" s="1463" t="n">
        <v>120.3316343552948</v>
      </c>
      <c r="LJ27" s="1463" t="n">
        <v>121.721588058206</v>
      </c>
      <c r="LK27" s="1463" t="n">
        <v>122.5374583592233</v>
      </c>
      <c r="LL27" s="1463" t="n">
        <v>122.9497982738834</v>
      </c>
      <c r="LM27" s="1463" t="n">
        <v>121.533063650896</v>
      </c>
      <c r="LN27" s="1463" t="n">
        <v>121.5364689202945</v>
      </c>
      <c r="LO27" s="1463" t="n">
        <v>121.2803171671118</v>
      </c>
      <c r="LP27" s="1463" t="n">
        <v>120.1074858855937</v>
      </c>
      <c r="LQ27" s="1463">
        <f>+LQ11+LQ13+LQ15+LQ17+LQ19+LQ21+LQ23+LQ25</f>
        <v/>
      </c>
      <c r="LR27" s="1463">
        <f>+LR11+LR13+LR15+LR17+LR19+LR21+LR23+LR25</f>
        <v/>
      </c>
      <c r="LS27" s="1463">
        <f>+LS11+LS13+LS15+LS17+LS19+LS21+LS23+LS25</f>
        <v/>
      </c>
      <c r="LT27" s="1463" t="n">
        <v>99.28610444750662</v>
      </c>
      <c r="LU27" s="1463" t="n">
        <v>107.9387242475409</v>
      </c>
      <c r="LV27" s="1463" t="n">
        <v>107.4599976329864</v>
      </c>
      <c r="LW27" s="1463" t="n">
        <v>108.1990587772367</v>
      </c>
      <c r="LX27" s="1463" t="n">
        <v>106.8384295248439</v>
      </c>
      <c r="LY27" s="1463" t="n">
        <v>108.4255402381542</v>
      </c>
      <c r="LZ27" s="1463" t="n">
        <v>110.1373840658843</v>
      </c>
      <c r="MA27" s="1463" t="n">
        <v>105.5704964563072</v>
      </c>
      <c r="MB27" s="1463" t="n">
        <v>111.9499396942989</v>
      </c>
      <c r="MC27" s="1463" t="n">
        <v>111.2493040012482</v>
      </c>
      <c r="MD27" s="1463" t="n">
        <v>117.94649738296</v>
      </c>
      <c r="ME27" s="1463" t="n">
        <v>117.5735081945587</v>
      </c>
      <c r="MF27" s="1463" t="n">
        <v>117.9239333300095</v>
      </c>
      <c r="MG27" s="1463" t="n">
        <v>118.7688519791157</v>
      </c>
      <c r="MH27" s="1463" t="n">
        <v>120.6348845072095</v>
      </c>
      <c r="MI27" s="1463" t="n">
        <v>121.2907209795244</v>
      </c>
      <c r="MJ27" s="1463" t="n">
        <v>117.7700925577499</v>
      </c>
      <c r="MK27" s="1463" t="n">
        <v>115.607425706508</v>
      </c>
      <c r="ML27" s="1463" t="n">
        <v>113.6541798098767</v>
      </c>
      <c r="MM27" s="1463" t="n">
        <v>113.5835725753834</v>
      </c>
      <c r="MN27" s="1463" t="n">
        <v>107.9528997022959</v>
      </c>
      <c r="MO27" s="1463" t="n">
        <v>112.1130880184903</v>
      </c>
      <c r="MP27" s="1463" t="n">
        <v>111.3608175450074</v>
      </c>
      <c r="MQ27" s="1463" t="n">
        <v>107.0009338731074</v>
      </c>
      <c r="MR27" s="1463" t="n">
        <v>106.0406625099817</v>
      </c>
      <c r="MS27" s="1463" t="n">
        <v>107.2766444878139</v>
      </c>
      <c r="MT27" s="1463" t="n">
        <v>105.0500927977353</v>
      </c>
      <c r="MU27" s="1463" t="n">
        <v>107.7429668641028</v>
      </c>
      <c r="MV27" s="1463" t="n">
        <v>107.1896355047905</v>
      </c>
      <c r="MW27" s="1463" t="n">
        <v>106.0207419547477</v>
      </c>
      <c r="MX27" s="1463" t="n">
        <v>106.5266157033065</v>
      </c>
      <c r="MY27" s="1463" t="n">
        <v>107.6631110761373</v>
      </c>
      <c r="MZ27" s="1463" t="n">
        <v>104.2026314608444</v>
      </c>
      <c r="NA27" s="1463" t="n">
        <v>103.3005583321781</v>
      </c>
      <c r="NB27" s="1463" t="n">
        <v>102.3629732588481</v>
      </c>
      <c r="NC27" s="1463" t="n">
        <v>103.4467747838644</v>
      </c>
      <c r="ND27" s="1463" t="n">
        <v>107.3927639215684</v>
      </c>
      <c r="NE27" s="1463" t="n">
        <v>107.0501894609973</v>
      </c>
      <c r="NF27" s="1463" t="n">
        <v>100.1019042994252</v>
      </c>
      <c r="NG27" s="1463" t="n">
        <v>98.20081695783121</v>
      </c>
      <c r="NH27" s="1464" t="n">
        <v>100.4942824969941</v>
      </c>
      <c r="NI27" s="1464" t="n">
        <v>102.3193643911404</v>
      </c>
      <c r="NJ27" s="1464" t="n">
        <v>100.0224690432047</v>
      </c>
      <c r="NK27" s="1464" t="n">
        <v>95.96363180978945</v>
      </c>
      <c r="NL27" s="1463" t="n">
        <v>93.16643918890733</v>
      </c>
      <c r="NM27" s="1463" t="n">
        <v>88.83401003129286</v>
      </c>
      <c r="NN27" s="1463" t="n">
        <v>88.97170684028578</v>
      </c>
      <c r="NO27" s="1463" t="n">
        <v>89.62260440334003</v>
      </c>
      <c r="NP27" s="1463" t="n">
        <v>91.20903504727789</v>
      </c>
      <c r="NQ27" s="1463" t="n">
        <v>92.06130899081241</v>
      </c>
      <c r="NR27" s="1463" t="n">
        <v>95.52584361010983</v>
      </c>
      <c r="NS27" s="1463" t="n">
        <v>97.88332031118118</v>
      </c>
      <c r="NT27" s="1463" t="n">
        <v>100.4984625991909</v>
      </c>
      <c r="NU27" s="1463" t="n">
        <v>101.1161740268782</v>
      </c>
      <c r="NV27" s="1463" t="n">
        <v>99.75410093819447</v>
      </c>
      <c r="NW27" s="1463" t="n">
        <v>99.25554210773045</v>
      </c>
      <c r="NX27" s="1463" t="n">
        <v>103.0092670282722</v>
      </c>
      <c r="NY27" s="1463" t="n">
        <v>104.8501745570395</v>
      </c>
      <c r="NZ27" s="1463" t="n">
        <v>107.6270455357136</v>
      </c>
      <c r="OA27" s="1463" t="n">
        <v>109.9576524340881</v>
      </c>
      <c r="OB27" s="1463" t="n">
        <v>106.1940349636636</v>
      </c>
      <c r="OC27" s="1463" t="n">
        <v>107.0936361674045</v>
      </c>
      <c r="OD27" s="1463" t="n">
        <v>109.5451270241537</v>
      </c>
      <c r="OE27" s="1463" t="n">
        <v>111.5444782545667</v>
      </c>
      <c r="OF27" s="1463" t="n">
        <v>108.7311410180974</v>
      </c>
      <c r="OG27" s="1463" t="n">
        <v>112.2903732649765</v>
      </c>
      <c r="OH27" s="1463" t="n">
        <v>114.268421280886</v>
      </c>
      <c r="OI27" s="1463" t="n">
        <v>116.7357941294699</v>
      </c>
      <c r="OJ27" s="1463" t="n">
        <v>114.6152036403746</v>
      </c>
      <c r="OK27" s="1463" t="n">
        <v>109.194034033675</v>
      </c>
      <c r="OL27" s="1463" t="n">
        <v>114.6791087686495</v>
      </c>
      <c r="OM27" s="1463" t="n">
        <v>112.4130752438013</v>
      </c>
      <c r="ON27" s="1463" t="n">
        <v>117.995620608469</v>
      </c>
      <c r="OO27" s="1463" t="n">
        <v>121.73718435677</v>
      </c>
      <c r="OP27" s="1463" t="n">
        <v>120.049154561689</v>
      </c>
      <c r="OQ27" s="1463" t="n">
        <v>125.8952041578358</v>
      </c>
      <c r="OR27" s="1463" t="n">
        <v>102.6960425554036</v>
      </c>
      <c r="OS27" s="1463" t="n">
        <v>129.7989230717596</v>
      </c>
      <c r="OT27" s="1463" t="n">
        <v>127.8537207602272</v>
      </c>
      <c r="OU27" s="1463" t="n">
        <v>129.2179616939166</v>
      </c>
      <c r="OV27" s="1463" t="n">
        <v>138.1024025106454</v>
      </c>
      <c r="OW27" s="1463" t="n">
        <v>136.6143808402842</v>
      </c>
      <c r="OX27" s="1463" t="n">
        <v>137.7110988172566</v>
      </c>
      <c r="OY27" s="1463" t="n">
        <v>129.6565005042927</v>
      </c>
      <c r="OZ27" s="1463" t="n">
        <v>129.6460782221318</v>
      </c>
      <c r="PA27" s="1463" t="n">
        <v>125.6206055288233</v>
      </c>
      <c r="PB27" s="1463" t="n">
        <v>124.6641154099343</v>
      </c>
      <c r="PC27" s="1463" t="n">
        <v>126.1783274304773</v>
      </c>
      <c r="PD27" s="1463" t="n">
        <v>122.5792344744276</v>
      </c>
      <c r="PE27" s="1463" t="n">
        <v>120.1023319032624</v>
      </c>
      <c r="PF27" s="1463" t="n">
        <v>125.0455422443653</v>
      </c>
      <c r="PG27" s="1463" t="n">
        <v>127.8482312453482</v>
      </c>
      <c r="PH27" s="1463" t="n">
        <v>130.4098462886598</v>
      </c>
      <c r="PI27" s="1463" t="n">
        <v>130.7205816299482</v>
      </c>
      <c r="PJ27" s="1463" t="n">
        <v>131.5252745956348</v>
      </c>
      <c r="PK27" s="1463" t="n">
        <v>126.9676734862758</v>
      </c>
      <c r="PL27" s="1463" t="n">
        <v>126.6851640936973</v>
      </c>
      <c r="PM27" s="1463" t="n">
        <v>127.5708805298407</v>
      </c>
      <c r="PN27" s="1463" t="n">
        <v>126.7388277564012</v>
      </c>
      <c r="PO27" s="1463" t="n">
        <v>118.1346317656385</v>
      </c>
      <c r="PP27" s="1463" t="n">
        <v>131.7117868228595</v>
      </c>
      <c r="PQ27" s="1463" t="n">
        <v>125.7491246230243</v>
      </c>
      <c r="PR27" s="1463" t="n">
        <v>132.0032279029093</v>
      </c>
      <c r="PS27" s="1463" t="n">
        <v>120.721240046445</v>
      </c>
      <c r="PT27" s="1463" t="n">
        <v>123.954134585014</v>
      </c>
      <c r="PU27" s="1463" t="n">
        <v>107.5241498949672</v>
      </c>
      <c r="PV27" s="1463" t="n">
        <v>105.5743767743005</v>
      </c>
      <c r="PW27" s="1463" t="n">
        <v>108.916817181143</v>
      </c>
      <c r="PX27" s="1463" t="n">
        <v>107.413052832684</v>
      </c>
      <c r="PY27" s="1463" t="n">
        <v>108.330118463762</v>
      </c>
      <c r="PZ27" s="1463" t="n">
        <v>109.5920992530548</v>
      </c>
      <c r="QA27" s="1463" t="n">
        <v>115.3841669446773</v>
      </c>
      <c r="QB27" s="1463" t="n">
        <v>114.9726604129044</v>
      </c>
      <c r="QC27" s="1463" t="n">
        <v>108.6696991184561</v>
      </c>
      <c r="QD27" s="1463" t="n">
        <v>116.6932664493104</v>
      </c>
      <c r="QE27" s="1463" t="n">
        <v>121.8462637613634</v>
      </c>
      <c r="QF27" s="1463" t="n">
        <v>130.1370128120056</v>
      </c>
      <c r="QG27" s="1463" t="n">
        <v>129.2540406863519</v>
      </c>
      <c r="QH27" s="1463" t="n">
        <v>122.4167368973141</v>
      </c>
      <c r="QI27" s="1463" t="n">
        <v>126.4114364240803</v>
      </c>
      <c r="QJ27" s="1463" t="n">
        <v>126.4890736327097</v>
      </c>
      <c r="QK27" s="1463" t="n">
        <v>125.6774919598968</v>
      </c>
      <c r="QL27" s="1463" t="n">
        <v>126.4647970169935</v>
      </c>
      <c r="QM27" s="1463" t="n">
        <v>121.6390175852104</v>
      </c>
      <c r="QN27" s="1463" t="n">
        <v>120.5032624923865</v>
      </c>
      <c r="QO27" s="1463" t="n">
        <v>125.7568569560347</v>
      </c>
      <c r="QP27" s="1463" t="n">
        <v>126.5113283502086</v>
      </c>
      <c r="QQ27" s="1463" t="n">
        <v>120.6350645457497</v>
      </c>
      <c r="QR27" s="1463" t="n">
        <v>121.1270621843139</v>
      </c>
      <c r="QS27" s="1463" t="n">
        <v>122.3348424434632</v>
      </c>
      <c r="QT27" s="1463" t="n">
        <v>125.2290976209262</v>
      </c>
      <c r="QU27" s="1463" t="n">
        <v>126.4250509499611</v>
      </c>
      <c r="QV27" s="1463" t="n">
        <v>124.594531481571</v>
      </c>
      <c r="QW27" s="1463" t="n">
        <v>124.3686430459037</v>
      </c>
      <c r="QX27" s="1463" t="n">
        <v>113.4255217325458</v>
      </c>
      <c r="QY27" s="1463" t="n">
        <v>112.7425621736322</v>
      </c>
      <c r="QZ27" s="1463" t="n">
        <v>110.0111377693756</v>
      </c>
      <c r="RA27" s="1463" t="n">
        <v>108.7901762776029</v>
      </c>
      <c r="RB27" s="1463" t="n">
        <v>109.2404931657095</v>
      </c>
      <c r="RC27" s="1463" t="n">
        <v>109.49741396006</v>
      </c>
      <c r="RD27" s="1463" t="n">
        <v>108.4561738182676</v>
      </c>
      <c r="RE27" s="1463" t="n">
        <v>112.2201130813038</v>
      </c>
      <c r="RF27" s="1463" t="n">
        <v>110.1466016451521</v>
      </c>
      <c r="RG27" s="1463">
        <f>+RG11+RG13+RG15+RG17+RG19+RG21+RG23+RG25</f>
        <v/>
      </c>
      <c r="RH27" s="1463" t="n">
        <v>104.1059211199804</v>
      </c>
      <c r="RI27" s="1463" t="n">
        <v>103.5361767285187</v>
      </c>
      <c r="RJ27" s="1463" t="n">
        <v>105.3902275765046</v>
      </c>
      <c r="RK27" s="1463" t="n">
        <v>108.1570195062474</v>
      </c>
      <c r="RL27" s="1463" t="n">
        <v>107.3073006383072</v>
      </c>
      <c r="RM27" s="1463" t="n">
        <v>109.2767628874347</v>
      </c>
      <c r="RN27" s="1463" t="n">
        <v>111.6401652734688</v>
      </c>
      <c r="RO27" s="1463" t="n">
        <v>110.9580062690352</v>
      </c>
      <c r="RP27" s="1463" t="n">
        <v>114.0420327738095</v>
      </c>
      <c r="RQ27" s="1463" t="n">
        <v>110.7404563536496</v>
      </c>
      <c r="RR27" s="1463" t="n">
        <v>115.143193564238</v>
      </c>
      <c r="RS27" s="1463" t="n">
        <v>110.6379176401717</v>
      </c>
      <c r="RT27" s="1463" t="n">
        <v>111.837132887005</v>
      </c>
      <c r="RU27" s="1463" t="n">
        <v>110.1481861690927</v>
      </c>
      <c r="RV27" s="1463" t="n">
        <v>111.1830283215037</v>
      </c>
      <c r="RW27" s="1463" t="n">
        <v>104.5280999549584</v>
      </c>
      <c r="RX27" s="1463" t="n">
        <v>103.5388036183718</v>
      </c>
      <c r="RY27" s="1463" t="n">
        <v>102.2160823171427</v>
      </c>
      <c r="RZ27" s="1463" t="n">
        <v>104.5962781811967</v>
      </c>
      <c r="SA27" s="1463" t="n">
        <v>100.5499710991121</v>
      </c>
      <c r="SB27" s="1463" t="n">
        <v>101.0469415762919</v>
      </c>
      <c r="SC27" s="1463" t="n">
        <v>99.72384246338189</v>
      </c>
      <c r="SD27" s="1463" t="n">
        <v>100.1175696876283</v>
      </c>
      <c r="SE27" s="1463" t="n">
        <v>100.1124978239471</v>
      </c>
      <c r="SF27" s="1463">
        <f>+SF11+SF13+SF15+SF17+SF19+SF21+SF23+SF25</f>
        <v/>
      </c>
      <c r="SG27" s="1463" t="n">
        <v>103.4341805735119</v>
      </c>
      <c r="SH27" s="1463" t="n">
        <v>103.8952265582375</v>
      </c>
      <c r="SI27" s="1463" t="n">
        <v>102.3067249103607</v>
      </c>
      <c r="SJ27" s="1463" t="n">
        <v>101.8441711999807</v>
      </c>
      <c r="SK27" s="1463" t="n">
        <v>100.7018151824338</v>
      </c>
      <c r="SL27" s="1463" t="n">
        <v>101.5310754511291</v>
      </c>
      <c r="SM27" s="1463" t="n">
        <v>98.92216887766889</v>
      </c>
      <c r="SN27" s="1463" t="n">
        <v>99.71005007691748</v>
      </c>
      <c r="SO27" s="1463" t="n">
        <v>100.4684117185888</v>
      </c>
      <c r="SP27" s="1463" t="n">
        <v>99.84271120932796</v>
      </c>
      <c r="SQ27" s="1463" t="n">
        <v>89.79490498295287</v>
      </c>
      <c r="SR27" s="1463" t="n">
        <v>107.9802384288324</v>
      </c>
      <c r="SS27" s="1463" t="n">
        <v>98.06249247628197</v>
      </c>
      <c r="ST27" s="1463" t="n">
        <v>94.4577171651716</v>
      </c>
      <c r="SU27" s="1463" t="n">
        <v>107.0086528066924</v>
      </c>
      <c r="SV27" s="1463" t="n">
        <v>108.5739002085112</v>
      </c>
      <c r="SW27" s="1463" t="n">
        <v>106.5893963207371</v>
      </c>
      <c r="SX27" s="1463" t="n">
        <v>114.3116928477937</v>
      </c>
      <c r="SY27" s="1463" t="n">
        <v>116.3886392462646</v>
      </c>
      <c r="SZ27" s="1463" t="n">
        <v>119.0115760560867</v>
      </c>
      <c r="TA27" s="1463" t="n">
        <v>120.0634641998981</v>
      </c>
      <c r="TB27" s="1463" t="n">
        <v>122.5013388452526</v>
      </c>
      <c r="TC27" s="1463" t="n">
        <v>120.5857389985009</v>
      </c>
      <c r="TD27" s="1463" t="n">
        <v>122.2439327011917</v>
      </c>
      <c r="TE27" s="1463">
        <f>+TE11+TE13+TE15+TE17+TE19+TE21+TE23+TE25</f>
        <v/>
      </c>
      <c r="TF27" s="1463" t="n">
        <v>130.4056661701991</v>
      </c>
      <c r="TG27" s="1463" t="n">
        <v>133.7936956137879</v>
      </c>
      <c r="TH27" s="1463" t="n">
        <v>134.4403411705891</v>
      </c>
      <c r="TI27" s="1463" t="n">
        <v>129.4645576769948</v>
      </c>
      <c r="TJ27" s="1463" t="n">
        <v>131.334483113538</v>
      </c>
      <c r="TK27" s="1463" t="n">
        <v>130.8880089149417</v>
      </c>
      <c r="TL27" s="1463" t="n">
        <v>138.2916925080444</v>
      </c>
      <c r="TM27" s="1463" t="n">
        <v>137.4850471871322</v>
      </c>
      <c r="TN27" s="1463" t="n">
        <v>137.7308992243688</v>
      </c>
      <c r="TO27" s="1463" t="n">
        <v>137.115097732972</v>
      </c>
      <c r="TP27" s="1463" t="n">
        <v>138.604033127001</v>
      </c>
      <c r="TQ27" s="1463" t="n">
        <v>142.61047426547</v>
      </c>
      <c r="TR27" s="1463" t="n">
        <v>139.6046924274729</v>
      </c>
      <c r="TS27" s="1463" t="n">
        <v>139.956432473289</v>
      </c>
      <c r="TT27" s="1463" t="n">
        <v>138.298152566205</v>
      </c>
      <c r="TU27" s="1463" t="n">
        <v>138.8827541742455</v>
      </c>
      <c r="TV27" s="1463" t="n">
        <v>139.8784530822753</v>
      </c>
      <c r="TW27" s="1463" t="n">
        <v>143.1075606925509</v>
      </c>
      <c r="TX27" s="1463" t="n">
        <v>141.9633005993281</v>
      </c>
      <c r="TY27" s="1463" t="n">
        <v>145.2059245695831</v>
      </c>
      <c r="TZ27" s="1463" t="n">
        <v>149.922755845253</v>
      </c>
      <c r="UA27" s="1463" t="n">
        <v>155.9909968348594</v>
      </c>
      <c r="UB27" s="1463" t="n">
        <v>146.0345720847274</v>
      </c>
      <c r="UC27" s="1463" t="n">
        <v>130.2348339633899</v>
      </c>
      <c r="UD27" s="1463" t="n">
        <v>128.5062881684148</v>
      </c>
      <c r="UE27" s="1463" t="n">
        <v>131.186771072622</v>
      </c>
      <c r="UF27" s="1463" t="n">
        <v>130.0008975295586</v>
      </c>
      <c r="UG27" s="1463" t="n">
        <v>132.9125418011806</v>
      </c>
      <c r="UH27" s="1463" t="n">
        <v>132.8382606693953</v>
      </c>
      <c r="UI27" s="1463" t="n">
        <v>127.7834470873788</v>
      </c>
      <c r="UJ27" s="1463" t="n">
        <v>127.5920039270133</v>
      </c>
      <c r="UK27" s="1463" t="n">
        <v>137.8886415443457</v>
      </c>
      <c r="UL27" s="1463" t="n">
        <v>135.1106301467685</v>
      </c>
      <c r="UM27" s="1463" t="n">
        <v>135.4776765783686</v>
      </c>
      <c r="UN27" s="1463" t="n">
        <v>125.3193192689989</v>
      </c>
      <c r="UO27" s="1463" t="n">
        <v>104.6214905644849</v>
      </c>
      <c r="UP27" s="1463" t="n">
        <v>123.4915161491376</v>
      </c>
      <c r="UQ27" s="1463" t="n">
        <v>122.1250178744974</v>
      </c>
      <c r="UR27" s="1463" t="n">
        <v>121.5959011493316</v>
      </c>
      <c r="US27" s="1463" t="n">
        <v>120.9302121483122</v>
      </c>
      <c r="UT27" s="1463" t="n">
        <v>124.3498733102287</v>
      </c>
      <c r="UU27" s="1463" t="n">
        <v>120.3273359346569</v>
      </c>
      <c r="UV27" s="1463" t="n">
        <v>96.17381970781283</v>
      </c>
      <c r="UW27" s="1463" t="n">
        <v>124.1782354836231</v>
      </c>
      <c r="UX27" s="1463" t="n">
        <v>128.8494254422909</v>
      </c>
      <c r="UY27" s="1463" t="n">
        <v>126.7499885595246</v>
      </c>
      <c r="UZ27" s="1463" t="n">
        <v>124.1766576203787</v>
      </c>
      <c r="VA27" s="1463">
        <f>+VA11+VA13+VA15+VA17+VA19+VA21+VA23+VA25</f>
        <v/>
      </c>
      <c r="VB27" s="1463" t="n">
        <v>115.1970482658302</v>
      </c>
      <c r="VC27" s="1463" t="n">
        <v>115.6998239341356</v>
      </c>
      <c r="VD27" s="1463" t="n">
        <v>112.2051462748431</v>
      </c>
      <c r="VE27" s="1463" t="n">
        <v>108.8335523000961</v>
      </c>
      <c r="VF27" s="1463" t="n">
        <v>97.65238406143548</v>
      </c>
      <c r="VG27" s="1463" t="n">
        <v>99.59265418536513</v>
      </c>
      <c r="VH27" s="1463" t="n">
        <v>96.41971692319895</v>
      </c>
      <c r="VI27" s="1463" t="n">
        <v>100.1054003972172</v>
      </c>
      <c r="VJ27" s="1463">
        <f>+VJ11+VJ13+VJ15+VJ17+VJ19+VJ21+VJ23+VJ25</f>
        <v/>
      </c>
      <c r="VK27" s="1463" t="n">
        <v>92.10106181263693</v>
      </c>
      <c r="VL27" s="1463" t="n">
        <v>92.66666603525353</v>
      </c>
      <c r="VM27" s="1463" t="n">
        <v>89.58187347272762</v>
      </c>
      <c r="VN27" s="1463" t="n">
        <v>85.43783765825809</v>
      </c>
      <c r="VO27" s="1463" t="n">
        <v>84.2826302011859</v>
      </c>
      <c r="VP27" s="1463" t="n">
        <v>84.89681387636129</v>
      </c>
      <c r="VQ27" s="1463" t="n">
        <v>83.93257740128801</v>
      </c>
      <c r="VR27" s="1463" t="n">
        <v>81.97265315461263</v>
      </c>
      <c r="VS27" s="1463" t="n">
        <v>82.60584066434114</v>
      </c>
      <c r="VT27" s="1463" t="n">
        <v>80.83639344964475</v>
      </c>
      <c r="VU27" s="1463" t="n">
        <v>81.48020147026141</v>
      </c>
      <c r="VV27" s="1463" t="n">
        <v>78.90572302191332</v>
      </c>
      <c r="VW27" s="1463" t="n">
        <v>76.48781576893465</v>
      </c>
      <c r="VX27" s="1463" t="n">
        <v>75.38644866661917</v>
      </c>
      <c r="VY27" s="1463" t="n">
        <v>67.78378063476315</v>
      </c>
      <c r="VZ27" s="1463" t="n">
        <v>69.21461000835822</v>
      </c>
      <c r="WA27" s="1463" t="n">
        <v>70.02663481190504</v>
      </c>
      <c r="WB27" s="1463" t="n">
        <v>76.80739735294217</v>
      </c>
      <c r="WC27" s="1463" t="n">
        <v>87.92011666990854</v>
      </c>
      <c r="WD27" s="1463" t="n">
        <v>80.57932088872271</v>
      </c>
      <c r="WE27" s="1463" t="n">
        <v>83.39497447096544</v>
      </c>
      <c r="WF27" s="1463" t="n">
        <v>76.80541994231208</v>
      </c>
      <c r="WG27" s="1463" t="n">
        <v>71.73508543048732</v>
      </c>
      <c r="WH27" s="1463" t="n">
        <v>66.82931601288382</v>
      </c>
      <c r="WI27" s="1463" t="n">
        <v>67.80656088966666</v>
      </c>
      <c r="WJ27" s="1463" t="n">
        <v>68.81413175734464</v>
      </c>
      <c r="WK27" s="1463" t="n">
        <v>68.75953325652917</v>
      </c>
      <c r="WL27" s="1463" t="n">
        <v>71.42467339526495</v>
      </c>
      <c r="WM27" s="1463" t="n">
        <v>72.35077716420579</v>
      </c>
      <c r="WN27" s="1463" t="n">
        <v>65.18936558296019</v>
      </c>
      <c r="WO27" s="1463" t="n">
        <v>63.97961868082614</v>
      </c>
      <c r="WP27" s="1463" t="n">
        <v>65.87393847275571</v>
      </c>
      <c r="WQ27" s="1463" t="n">
        <v>65.49679677064466</v>
      </c>
      <c r="WR27" s="1463">
        <f>+WR11+WR13+WR15+WR17+WR19+WR21+WR23+WR25</f>
        <v/>
      </c>
      <c r="WS27" s="1463" t="n">
        <v>65.03651207188659</v>
      </c>
      <c r="WT27" s="1463" t="n">
        <v>64.63138884069603</v>
      </c>
      <c r="WU27" s="1463" t="n">
        <v>72.80775722616778</v>
      </c>
      <c r="WV27" s="1463" t="n">
        <v>70.5544722335304</v>
      </c>
      <c r="WW27" s="1463" t="n">
        <v>76.48074608857087</v>
      </c>
      <c r="WX27" s="1463" t="n">
        <v>73.93471260146742</v>
      </c>
      <c r="WY27" s="1463" t="n">
        <v>72.44984726880928</v>
      </c>
      <c r="WZ27" s="1463" t="n">
        <v>67.78021992266953</v>
      </c>
      <c r="XA27" s="1463" t="n">
        <v>70.14916086055472</v>
      </c>
      <c r="XB27" s="1463" t="n">
        <v>73.91184787602853</v>
      </c>
      <c r="XC27" s="1463" t="n">
        <v>65.05830180337935</v>
      </c>
      <c r="XD27" s="1463" t="n">
        <v>69.260364424709</v>
      </c>
      <c r="XE27" s="1463" t="n">
        <v>67.21254126620191</v>
      </c>
      <c r="XF27" s="1463" t="n">
        <v>69.11306352084125</v>
      </c>
      <c r="XG27" s="1463" t="n">
        <v>36.26078294280789</v>
      </c>
      <c r="XH27" s="1463" t="n">
        <v>61.56387439404187</v>
      </c>
      <c r="XI27" s="1463" t="n">
        <v>63.96030080888345</v>
      </c>
      <c r="XJ27" s="1463" t="n">
        <v>63.93780321173807</v>
      </c>
      <c r="XK27" s="1463" t="n">
        <v>59.59098843479544</v>
      </c>
      <c r="XL27" s="1463" t="n">
        <v>58.19231975611341</v>
      </c>
      <c r="XM27" s="1463" t="n">
        <v>59.54737157035794</v>
      </c>
      <c r="XN27" s="1463" t="n">
        <v>63.14058180255334</v>
      </c>
      <c r="XO27" s="1463" t="n">
        <v>70.37770870955843</v>
      </c>
      <c r="XP27" s="1463" t="n">
        <v>73.13090912677467</v>
      </c>
      <c r="XQ27" s="1463" t="n">
        <v>70.40633287873362</v>
      </c>
      <c r="XR27" s="1463" t="n">
        <v>64.49517080710777</v>
      </c>
      <c r="XS27" s="1463" t="n">
        <v>61.17080824880889</v>
      </c>
      <c r="XT27" s="1463">
        <f>+XT11+XT13+XT15+XT17+XT19+XT21+XT23+XT25</f>
        <v/>
      </c>
      <c r="XU27" s="1463" t="n">
        <v>66.44854135231006</v>
      </c>
      <c r="XV27" s="1463" t="n">
        <v>66.62629014548787</v>
      </c>
      <c r="XW27" s="1463" t="n">
        <v>53.9949165436939</v>
      </c>
      <c r="XX27" s="1463" t="n">
        <v>69.21599341960705</v>
      </c>
      <c r="XY27" s="1463" t="n">
        <v>67.95837032525137</v>
      </c>
      <c r="XZ27" s="1463" t="n">
        <v>72.15642592515255</v>
      </c>
      <c r="YA27" s="1463" t="n">
        <v>73.68350328278925</v>
      </c>
      <c r="YB27" s="1463" t="n">
        <v>76.83530835254247</v>
      </c>
      <c r="YC27" s="1463" t="n">
        <v>73.34376433299803</v>
      </c>
      <c r="YD27" s="1463" t="n">
        <v>60.48357018402348</v>
      </c>
      <c r="YE27" s="1463" t="n">
        <v>77.7635886011971</v>
      </c>
      <c r="YF27" s="1463" t="n">
        <v>81.26743558695624</v>
      </c>
      <c r="YG27" s="1463" t="n">
        <v>74.13626869807385</v>
      </c>
      <c r="YH27" s="1463" t="n">
        <v>75.48892034584856</v>
      </c>
      <c r="YI27" s="1463" t="n">
        <v>83.59224464192948</v>
      </c>
      <c r="YJ27" s="1463" t="n">
        <v>85.88960742715955</v>
      </c>
      <c r="YK27" s="1463" t="n">
        <v>88.768990011185</v>
      </c>
      <c r="YL27" s="1463" t="n">
        <v>91.30929474120759</v>
      </c>
      <c r="YM27" s="1463">
        <f>+YM11+YM13+YM15+YM17+YM19+YM21+YM23+YM25</f>
        <v/>
      </c>
      <c r="YN27" s="1463" t="n">
        <v>89.56605206242652</v>
      </c>
      <c r="YO27" s="1463" t="n">
        <v>90.88841423135442</v>
      </c>
      <c r="YP27" s="1463" t="n">
        <v>90.45906735680863</v>
      </c>
      <c r="YQ27" s="1463" t="n">
        <v>94.06349679782727</v>
      </c>
      <c r="YR27" s="1463" t="n">
        <v>97.21941295228872</v>
      </c>
      <c r="YS27" s="1463" t="n">
        <v>93.39611758888756</v>
      </c>
      <c r="YT27" s="1463" t="n">
        <v>93.47478641139212</v>
      </c>
      <c r="YU27" s="1463" t="n">
        <v>95.62614148078802</v>
      </c>
      <c r="YV27" s="1463" t="n">
        <v>97.92665260231993</v>
      </c>
      <c r="YW27" s="1463" t="n">
        <v>96.1311637743085</v>
      </c>
      <c r="YX27" s="1463" t="n">
        <v>96.59229383338811</v>
      </c>
      <c r="YY27" s="1463" t="n">
        <v>92.15830603377587</v>
      </c>
      <c r="YZ27" s="1463" t="n">
        <v>61.41398965209019</v>
      </c>
      <c r="ZA27" s="1463" t="n">
        <v>92.27786510365846</v>
      </c>
      <c r="ZB27" s="1463" t="n">
        <v>102.339339846671</v>
      </c>
      <c r="ZC27" s="1463" t="n">
        <v>97.00912445974156</v>
      </c>
      <c r="ZD27" s="1463" t="n">
        <v>98.56004642005456</v>
      </c>
      <c r="ZE27" s="1463" t="n">
        <v>98.35167488568911</v>
      </c>
      <c r="ZF27" s="1463">
        <f>+ZF11+ZF13+ZF15+ZF17+ZF19+ZF21+ZF23+ZF25</f>
        <v/>
      </c>
    </row>
    <row r="28">
      <c r="A28" s="1324" t="inlineStr">
        <is>
          <t>Average Deposit Rate</t>
        </is>
      </c>
      <c r="B28" s="1424" t="n"/>
      <c r="C28" s="1425" t="n"/>
      <c r="D28" s="10">
        <f>((D11*D12)+(D13*D14)+(D15*D16)+(D17*D18)+(D19*D20)+(D21*D22))/D27</f>
        <v/>
      </c>
      <c r="E28" s="10">
        <f>((E11*E12)+(E13*E14)+(E15*E16)+(E17*E18)+(E19*E20)+(E21*E22))/E27</f>
        <v/>
      </c>
      <c r="F28" s="10">
        <f>((F11*F12)+(F13*F14)+(F15*F16)+(F17*F18)+(F19*F20)+(F21*F22))/F27</f>
        <v/>
      </c>
      <c r="G28" s="10">
        <f>((G11*G12)+(G13*G14)+(G15*G16)+(G17*G18)+(G19*G20)+(G21*G22))/G27</f>
        <v/>
      </c>
      <c r="H28" s="10">
        <f>((H11*H12)+(H13*H14)+(H15*H16)+(H17*H18)+(H19*H20)+(H21*H22))/H27</f>
        <v/>
      </c>
      <c r="I28" s="10">
        <f>((I11*I12)+(I13*I14)+(I15*I16)+(I17*I18)+(I19*I20)+(I21*I22))/I27</f>
        <v/>
      </c>
      <c r="J28" s="10">
        <f>((J11*J12)+(J13*J14)+(J15*J16)+(J17*J18)+(J19*J20)+(J21*J22))/J27</f>
        <v/>
      </c>
      <c r="K28" s="10">
        <f>((K11*K12)+(K13*K14)+(K15*K16)+(K17*K18)+(K19*K20)+(K21*K22))/K27</f>
        <v/>
      </c>
      <c r="L28" s="10">
        <f>((L11*L12)+(L13*L14)+(L15*L16)+(L17*L18)+(L19*L20)+(L21*L22))/L27</f>
        <v/>
      </c>
      <c r="M28" s="10">
        <f>((M11*M12)+(M13*M14)+(M15*M16)+(M17*M18)+(M19*M20)+(M21*M22))/M27</f>
        <v/>
      </c>
      <c r="N28" s="10">
        <f>((N11*N12)+(N13*N14)+(N15*N16)+(N17*N18)+(N19*N20)+(N21*N22))/N27</f>
        <v/>
      </c>
      <c r="O28" s="10">
        <f>((O11*O12)+(O13*O14)+(O15*O16)+(O17*O18)+(O19*O20)+(O21*O22))/O27</f>
        <v/>
      </c>
      <c r="P28" s="10">
        <f>((P11*P12)+(P13*P14)+(P15*P16)+(P17*P18)+(P19*P20)+(P21*P22))/P27</f>
        <v/>
      </c>
      <c r="Q28" s="10">
        <f>((Q11*Q12)+(Q13*Q14)+(Q15*Q16)+(Q17*Q18)+(Q19*Q20)+(Q21*Q22))/Q27</f>
        <v/>
      </c>
      <c r="R28" s="10">
        <f>((R11*R12)+(R13*R14)+(R15*R16)+(R17*R18)+(R19*R20)+(R21*R22))/R27</f>
        <v/>
      </c>
      <c r="S28" s="10">
        <f>((S11*S12)+(S13*S14)+(S15*S16)+(S17*S18)+(S19*S20)+(S21*S22))/S27</f>
        <v/>
      </c>
      <c r="T28" s="10">
        <f>((T11*T12)+(T13*T14)+(T15*T16)+(T17*T18)+(T19*T20)+(T21*T22))/T27</f>
        <v/>
      </c>
      <c r="U28" s="10">
        <f>((U11*U12)+(U13*U14)+(U15*U16)+(U17*U18)+(U19*U20)+(U21*U22))/U27</f>
        <v/>
      </c>
      <c r="V28" s="10">
        <f>((V11*V12)+(V13*V14)+(V15*V16)+(V17*V18)+(V19*V20)+(V21*V22))/V27</f>
        <v/>
      </c>
      <c r="W28" s="10">
        <f>((W11*W12)+(W13*W14)+(W15*W16)+(W17*W18)+(W19*W20)+(W21*W22))/W27</f>
        <v/>
      </c>
      <c r="X28" s="10">
        <f>((X11*X12)+(X13*X14)+(X15*X16)+(X17*X18)+(X19*X20)+(X21*X22))/X27</f>
        <v/>
      </c>
      <c r="Y28" s="10">
        <f>((Y11*Y12)+(Y13*Y14)+(Y15*Y16)+(Y17*Y18)+(Y19*Y20)+(Y21*Y22))/Y27</f>
        <v/>
      </c>
      <c r="Z28" s="10">
        <f>((Z11*Z12)+(Z13*Z14)+(Z15*Z16)+(Z17*Z18)+(Z19*Z20)+(Z21*Z22))/Z27</f>
        <v/>
      </c>
      <c r="AA28" s="10">
        <f>((AA11*AA12)+(AA13*AA14)+(AA15*AA16)+(AA17*AA18)+(AA19*AA20)+(AA21*AA22))/AA27</f>
        <v/>
      </c>
      <c r="AB28" s="10">
        <f>((AB11*AB12)+(AB13*AB14)+(AB15*AB16)+(AB17*AB18)+(AB19*AB20)+(AB21*AB22))/AB27</f>
        <v/>
      </c>
      <c r="AC28" s="10">
        <f>((AC11*AC12)+(AC13*AC14)+(AC15*AC16)+(AC17*AC18)+(AC19*AC20)+(AC21*AC22))/AC27</f>
        <v/>
      </c>
      <c r="AD28" s="10">
        <f>((AD11*AD12)+(AD13*AD14)+(AD15*AD16)+(AD17*AD18)+(AD19*AD20)+(AD21*AD22))/AD27</f>
        <v/>
      </c>
      <c r="AE28" s="10">
        <f>((AE11*AE12)+(AE13*AE14)+(AE15*AE16)+(AE17*AE18)+(AE19*AE20)+(AE21*AE22))/AE27</f>
        <v/>
      </c>
      <c r="AF28" s="10">
        <f>((AF11*AF12)+(AF13*AF14)+(AF15*AF16)+(AF17*AF18)+(AF19*AF20)+(AF21*AF22))/AF27</f>
        <v/>
      </c>
      <c r="AG28" s="10">
        <f>((AG11*AG12)+(AG13*AG14)+(AG15*AG16)+(AG17*AG18)+(AG19*AG20)+(AG21*AG22))/AG27</f>
        <v/>
      </c>
      <c r="AH28" s="10">
        <f>((AH11*AH12)+(AH13*AH14)+(AH15*AH16)+(AH17*AH18)+(AH19*AH20)+(AH21*AH22))/AH27</f>
        <v/>
      </c>
      <c r="AI28" s="10">
        <f>((AI11*AI12)+(AI13*AI14)+(AI15*AI16)+(AI17*AI18)+(AI19*AI20)+(AI21*AI22))/AI27</f>
        <v/>
      </c>
      <c r="AJ28" s="10">
        <f>((AJ11*AJ12)+(AJ13*AJ14)+(AJ15*AJ16)+(AJ17*AJ18)+(AJ19*AJ20)+(AJ21*AJ22))/AJ27</f>
        <v/>
      </c>
      <c r="AK28" s="10">
        <f>((AK11*AK12)+(AK13*AK14)+(AK15*AK16)+(AK17*AK18)+(AK19*AK20)+(AK21*AK22))/AK27</f>
        <v/>
      </c>
      <c r="AL28" s="10">
        <f>((AL11*AL12)+(AL13*AL14)+(AL15*AL16)+(AL17*AL18)+(AL19*AL20)+(AL21*AL22))/AL27</f>
        <v/>
      </c>
      <c r="AM28" s="10">
        <f>((AM11*AM12)+(AM13*AM14)+(AM15*AM16)+(AM17*AM18)+(AM19*AM20)+(AM21*AM22))/AM27</f>
        <v/>
      </c>
      <c r="AN28" s="10">
        <f>((AN11*AN12)+(AN13*AN14)+(AN15*AN16)+(AN17*AN18)+(AN19*AN20)+(AN21*AN22))/AN27</f>
        <v/>
      </c>
      <c r="AO28" s="10">
        <f>((AO11*AO12)+(AO13*AO14)+(AO15*AO16)+(AO17*AO18)+(AO19*AO20)+(AO21*AO22))/AO27</f>
        <v/>
      </c>
      <c r="AP28" s="10">
        <f>((AP11*AP12)+(AP13*AP14)+(AP15*AP16)+(AP17*AP18)+(AP19*AP20)+(AP21*AP22))/AP27</f>
        <v/>
      </c>
      <c r="AQ28" s="10">
        <f>((AQ11*AQ12)+(AQ13*AQ14)+(AQ15*AQ16)+(AQ17*AQ18)+(AQ19*AQ20)+(AQ21*AQ22))/AQ27</f>
        <v/>
      </c>
      <c r="AR28" s="10">
        <f>((AR11*AR12)+(AR13*AR14)+(AR15*AR16)+(AR17*AR18)+(AR19*AR20)+(AR21*AR22))/AR27</f>
        <v/>
      </c>
      <c r="AS28" s="10">
        <f>((AS11*AS12)+(AS13*AS14)+(AS15*AS16)+(AS17*AS18)+(AS19*AS20)+(AS21*AS22))/AS27</f>
        <v/>
      </c>
      <c r="AT28" s="10">
        <f>((AT11*AT12)+(AT13*AT14)+(AT15*AT16)+(AT17*AT18)+(AT19*AT20)+(AT21*AT22))/AT27</f>
        <v/>
      </c>
      <c r="AU28" s="10">
        <f>((AU11*AU12)+(AU13*AU14)+(AU15*AU16)+(AU17*AU18)+(AU19*AU20)+(AU21*AU22))/AU27</f>
        <v/>
      </c>
      <c r="AV28" s="10">
        <f>((AV11*AV12)+(AV13*AV14)+(AV15*AV16)+(AV17*AV18)+(AV19*AV20)+(AV21*AV22))/AV27</f>
        <v/>
      </c>
      <c r="AW28" s="10">
        <f>((AW11*AW12)+(AW13*AW14)+(AW15*AW16)+(AW17*AW18)+(AW19*AW20)+(AW21*AW22))/AW27</f>
        <v/>
      </c>
      <c r="AX28" s="10">
        <f>((AX11*AX12)+(AX13*AX14)+(AX15*AX16)+(AX17*AX18)+(AX19*AX20)+(AX21*AX22))/AX27</f>
        <v/>
      </c>
      <c r="AY28" s="10">
        <f>((AY11*AY12)+(AY13*AY14)+(AY15*AY16)+(AY17*AY18)+(AY19*AY20)+(AY21*AY22))/AY27</f>
        <v/>
      </c>
      <c r="AZ28" s="10">
        <f>((AZ11*AZ12)+(AZ13*AZ14)+(AZ15*AZ16)+(AZ17*AZ18)+(AZ19*AZ20)+(AZ21*AZ22))/AZ27</f>
        <v/>
      </c>
      <c r="BA28" s="10">
        <f>((BA11*BA12)+(BA13*BA14)+(BA15*BA16)+(BA17*BA18)+(BA19*BA20)+(BA21*BA22))/BA27</f>
        <v/>
      </c>
      <c r="BB28" s="10">
        <f>((BB11*BB12)+(BB13*BB14)+(BB15*BB16)+(BB17*BB18)+(BB19*BB20)+(BB21*BB22))/BB27</f>
        <v/>
      </c>
      <c r="BC28" s="10">
        <f>((BC11*BC12)+(BC13*BC14)+(BC15*BC16)+(BC17*BC18)+(BC19*BC20)+(BC21*BC22))/BC27</f>
        <v/>
      </c>
      <c r="BD28" s="10">
        <f>((BD11*BD12)+(BD13*BD14)+(BD15*BD16)+(BD17*BD18)+(BD19*BD20)+(BD21*BD22))/BD27</f>
        <v/>
      </c>
      <c r="BE28" s="10">
        <f>((BE11*BE12)+(BE13*BE14)+(BE15*BE16)+(BE17*BE18)+(BE19*BE20)+(BE21*BE22))/BE27</f>
        <v/>
      </c>
      <c r="BF28" s="10">
        <f>((BF11*BF12)+(BF13*BF14)+(BF15*BF16)+(BF17*BF18)+(BF19*BF20)+(BF21*BF22))/BF27</f>
        <v/>
      </c>
      <c r="BG28" s="10">
        <f>((BG11*BG12)+(BG13*BG14)+(BG15*BG16)+(BG17*BG18)+(BG19*BG20)+(BG21*BG22))/BG27</f>
        <v/>
      </c>
      <c r="BH28" s="10">
        <f>((BH11*BH12)+(BH13*BH14)+(BH15*BH16)+(BH17*BH18)+(BH19*BH20)+(BH21*BH22))/BH27</f>
        <v/>
      </c>
      <c r="BI28" s="10">
        <f>((BI11*BI12)+(BI13*BI14)+(BI15*BI16)+(BI17*BI18)+(BI19*BI20)+(BI21*BI22))/BI27</f>
        <v/>
      </c>
      <c r="BJ28" s="10">
        <f>((BJ11*BJ12)+(BJ13*BJ14)+(BJ15*BJ16)+(BJ17*BJ18)+(BJ19*BJ20)+(BJ21*BJ22))/BJ27</f>
        <v/>
      </c>
      <c r="BK28" s="10">
        <f>((BK11*BK12)+(BK13*BK14)+(BK15*BK16)+(BK17*BK18)+(BK19*BK20)+(BK21*BK22))/BK27</f>
        <v/>
      </c>
      <c r="BL28" s="10">
        <f>((BL11*BL12)+(BL13*BL14)+(BL15*BL16)+(BL17*BL18)+(BL19*BL20)+(BL21*BL22))/BL27</f>
        <v/>
      </c>
      <c r="BM28" s="10">
        <f>((BM11*BM12)+(BM13*BM14)+(BM15*BM16)+(BM17*BM18)+(BM19*BM20)+(BM21*BM22))/BM27</f>
        <v/>
      </c>
      <c r="BN28" s="10">
        <f>((BN11*BN12)+(BN13*BN14)+(BN15*BN16)+(BN17*BN18)+(BN19*BN20)+(BN21*BN22))/BN27</f>
        <v/>
      </c>
      <c r="BO28" s="10">
        <f>((BO11*BO12)+(BO13*BO14)+(BO15*BO16)+(BO17*BO18)+(BO19*BO20)+(BO21*BO22))/BO27</f>
        <v/>
      </c>
      <c r="BP28" s="10">
        <f>((BP11*BP12)+(BP13*BP14)+(BP15*BP16)+(BP17*BP18)+(BP19*BP20)+(BP21*BP22))/BP27</f>
        <v/>
      </c>
      <c r="BQ28" s="10">
        <f>((BQ11*BQ12)+(BQ13*BQ14)+(BQ15*BQ16)+(BQ17*BQ18)+(BQ19*BQ20)+(BQ21*BQ22))/BQ27</f>
        <v/>
      </c>
      <c r="BR28" s="10">
        <f>((BR11*BR12)+(BR13*BR14)+(BR15*BR16)+(BR17*BR18)+(BR19*BR20)+(BR21*BR22))/BR27</f>
        <v/>
      </c>
      <c r="BS28" s="10">
        <f>((BS11*BS12)+(BS13*BS14)+(BS15*BS16)+(BS17*BS18)+(BS19*BS20)+(BS21*BS22))/BS27</f>
        <v/>
      </c>
      <c r="BT28" s="10">
        <f>((BT11*BT12)+(BT13*BT14)+(BT15*BT16)+(BT17*BT18)+(BT19*BT20)+(BT21*BT22))/BT27</f>
        <v/>
      </c>
      <c r="BU28" s="10">
        <f>((BU11*BU12)+(BU13*BU14)+(BU15*BU16)+(BU17*BU18)+(BU19*BU20)+(BU21*BU22))/BU27</f>
        <v/>
      </c>
      <c r="BV28" s="10">
        <f>((BV11*BV12)+(BV13*BV14)+(BV15*BV16)+(BV17*BV18)+(BV19*BV20)+(BV21*BV22))/BV27</f>
        <v/>
      </c>
      <c r="BW28" s="10">
        <f>((BW11*BW12)+(BW13*BW14)+(BW15*BW16)+(BW17*BW18)+(BW19*BW20)+(BW21*BW22))/BW27</f>
        <v/>
      </c>
      <c r="BX28" s="10">
        <f>((BX11*BX12)+(BX13*BX14)+(BX15*BX16)+(BX17*BX18)+(BX19*BX20)+(BX21*BX22))/BX27</f>
        <v/>
      </c>
      <c r="BY28" s="10">
        <f>((BY11*BY12)+(BY13*BY14)+(BY15*BY16)+(BY17*BY18)+(BY19*BY20)+(BY21*BY22))/BY27</f>
        <v/>
      </c>
      <c r="BZ28" s="10">
        <f>((BZ11*BZ12)+(BZ13*BZ14)+(BZ15*BZ16)+(BZ17*BZ18)+(BZ19*BZ20)+(BZ21*BZ22))/BZ27</f>
        <v/>
      </c>
      <c r="CA28" s="10">
        <f>((CA11*CA12)+(CA13*CA14)+(CA15*CA16)+(CA17*CA18)+(CA19*CA20)+(CA21*CA22))/CA27</f>
        <v/>
      </c>
      <c r="CB28" s="10">
        <f>((CB11*CB12)+(CB13*CB14)+(CB15*CB16)+(CB17*CB18)+(CB19*CB20)+(CB21*CB22))/CB27</f>
        <v/>
      </c>
      <c r="CC28" s="10">
        <f>((CC11*CC12)+(CC13*CC14)+(CC15*CC16)+(CC17*CC18)+(CC19*CC20)+(CC21*CC22))/CC27</f>
        <v/>
      </c>
      <c r="CD28" s="10">
        <f>((CD11*CD12)+(CD13*CD14)+(CD15*CD16)+(CD17*CD18)+(CD19*CD20)+(CD21*CD22))/CD27</f>
        <v/>
      </c>
      <c r="CE28" s="10">
        <f>((CE11*CE12)+(CE13*CE14)+(CE15*CE16)+(CE17*CE18)+(CE19*CE20)+(CE21*CE22))/CE27</f>
        <v/>
      </c>
      <c r="CF28" s="10">
        <f>((CF11*CF12)+(CF13*CF14)+(CF15*CF16)+(CF17*CF18)+(CF19*CF20)+(CF21*CF22))/CF27</f>
        <v/>
      </c>
      <c r="CG28" s="10">
        <f>((CG11*CG12)+(CG13*CG14)+(CG15*CG16)+(CG17*CG18)+(CG19*CG20)+(CG21*CG22))/CG27</f>
        <v/>
      </c>
      <c r="CH28" s="10">
        <f>((CH11*CH12)+(CH13*CH14)+(CH15*CH16)+(CH17*CH18)+(CH19*CH20)+(CH21*CH22))/CH27</f>
        <v/>
      </c>
      <c r="CI28" s="10">
        <f>((CI11*CI12)+(CI13*CI14)+(CI15*CI16)+(CI17*CI18)+(CI19*CI20)+(CI21*CI22))/CI27</f>
        <v/>
      </c>
      <c r="CJ28" s="10">
        <f>((CJ11*CJ12)+(CJ13*CJ14)+(CJ15*CJ16)+(CJ17*CJ18)+(CJ19*CJ20)+(CJ21*CJ22))/CJ27</f>
        <v/>
      </c>
      <c r="CK28" s="10">
        <f>((CK11*CK12)+(CK13*CK14)+(CK15*CK16)+(CK17*CK18)+(CK19*CK20)+(CK21*CK22))/CK27</f>
        <v/>
      </c>
      <c r="CL28" s="10">
        <f>((CL11*CL12)+(CL13*CL14)+(CL15*CL16)+(CL17*CL18)+(CL19*CL20)+(CL21*CL22))/CL27</f>
        <v/>
      </c>
      <c r="CM28" s="10">
        <f>((CM11*CM12)+(CM13*CM14)+(CM15*CM16)+(CM17*CM18)+(CM19*CM20)+(CM21*CM22))/CM27</f>
        <v/>
      </c>
      <c r="CN28" s="10">
        <f>((CN11*CN12)+(CN13*CN14)+(CN15*CN16)+(CN17*CN18)+(CN19*CN20)+(CN21*CN22))/CN27</f>
        <v/>
      </c>
      <c r="CO28" s="10">
        <f>((CO11*CO12)+(CO13*CO14)+(CO15*CO16)+(CO17*CO18)+(CO19*CO20)+(CO21*CO22))/CO27</f>
        <v/>
      </c>
      <c r="CP28" s="10">
        <f>((CP11*CP12)+(CP13*CP14)+(CP15*CP16)+(CP17*CP18)+(CP19*CP20)+(CP21*CP22))/CP27</f>
        <v/>
      </c>
      <c r="CQ28" s="10">
        <f>((CQ11*CQ12)+(CQ13*CQ14)+(CQ15*CQ16)+(CQ17*CQ18)+(CQ19*CQ20)+(CQ21*CQ22))/CQ27</f>
        <v/>
      </c>
      <c r="CR28" s="10">
        <f>((CR11*CR12)+(CR13*CR14)+(CR15*CR16)+(CR17*CR18)+(CR19*CR20)+(CR21*CR22))/CR27</f>
        <v/>
      </c>
      <c r="CS28" s="10">
        <f>((CS11*CS12)+(CS13*CS14)+(CS15*CS16)+(CS17*CS18)+(CS19*CS20)+(CS21*CS22))/CS27</f>
        <v/>
      </c>
      <c r="CT28" s="10">
        <f>((CT11*CT12)+(CT13*CT14)+(CT15*CT16)+(CT17*CT18)+(CT19*CT20)+(CT21*CT22))/CT27</f>
        <v/>
      </c>
      <c r="CU28" s="10">
        <f>((CU11*CU12)+(CU13*CU14)+(CU15*CU16)+(CU17*CU18)+(CU19*CU20)+(CU21*CU22))/CU27</f>
        <v/>
      </c>
      <c r="CV28" s="10">
        <f>((CV11*CV12)+(CV13*CV14)+(CV15*CV16)+(CV17*CV18)+(CV19*CV20)+(CV21*CV22))/CV27</f>
        <v/>
      </c>
      <c r="CW28" s="10">
        <f>((CW11*CW12)+(CW13*CW14)+(CW15*CW16)+(CW17*CW18)+(CW19*CW20)+(CW21*CW22))/CW27</f>
        <v/>
      </c>
      <c r="CX28" s="10">
        <f>((CX11*CX12)+(CX13*CX14)+(CX15*CX16)+(CX17*CX18)+(CX19*CX20)+(CX21*CX22))/CX27</f>
        <v/>
      </c>
      <c r="CY28" s="10">
        <f>((CY11*CY12)+(CY13*CY14)+(CY15*CY16)+(CY17*CY18)+(CY19*CY20)+(CY21*CY22))/CY27</f>
        <v/>
      </c>
      <c r="CZ28" s="10">
        <f>((CZ11*CZ12)+(CZ13*CZ14)+(CZ15*CZ16)+(CZ17*CZ18)+(CZ19*CZ20)+(CZ21*CZ22))/CZ27</f>
        <v/>
      </c>
      <c r="DA28" s="10">
        <f>((DA11*DA12)+(DA13*DA14)+(DA15*DA16)+(DA17*DA18)+(DA19*DA20)+(DA21*DA22))/DA27</f>
        <v/>
      </c>
      <c r="DB28" s="10">
        <f>((DB11*DB12)+(DB13*DB14)+(DB15*DB16)+(DB17*DB18)+(DB19*DB20)+(DB21*DB22))/DB27</f>
        <v/>
      </c>
      <c r="DC28" s="10">
        <f>((DC11*DC12)+(DC13*DC14)+(DC15*DC16)+(DC17*DC18)+(DC19*DC20)+(DC21*DC22))/DC27</f>
        <v/>
      </c>
      <c r="DD28" s="10">
        <f>((DD11*DD12)+(DD13*DD14)+(DD15*DD16)+(DD17*DD18)+(DD19*DD20)+(DD21*DD22))/DD27</f>
        <v/>
      </c>
      <c r="DE28" s="10">
        <f>((DE11*DE12)+(DE13*DE14)+(DE15*DE16)+(DE17*DE18)+(DE19*DE20)+(DE21*DE22))/DE27</f>
        <v/>
      </c>
      <c r="DF28" s="10">
        <f>((DF11*DF12)+(DF13*DF14)+(DF15*DF16)+(DF17*DF18)+(DF19*DF20)+(DF21*DF22))/DF27</f>
        <v/>
      </c>
      <c r="DG28" s="10">
        <f>((DG11*DG12)+(DG13*DG14)+(DG15*DG16)+(DG17*DG18)+(DG19*DG20)+(DG21*DG22))/DG27</f>
        <v/>
      </c>
      <c r="DH28" s="10">
        <f>((DH11*DH12)+(DH13*DH14)+(DH15*DH16)+(DH17*DH18)+(DH19*DH20)+(DH21*DH22))/DH27</f>
        <v/>
      </c>
      <c r="DI28" s="10">
        <f>((DI11*DI12)+(DI13*DI14)+(DI15*DI16)+(DI17*DI18)+(DI19*DI20)+(DI21*DI22))/DI27</f>
        <v/>
      </c>
      <c r="DJ28" s="10">
        <f>((DJ11*DJ12)+(DJ13*DJ14)+(DJ15*DJ16)+(DJ17*DJ18)+(DJ19*DJ20)+(DJ21*DJ22))/DJ27</f>
        <v/>
      </c>
      <c r="DK28" s="10">
        <f>((DK11*DK12)+(DK13*DK14)+(DK15*DK16)+(DK17*DK18)+(DK19*DK20)+(DK21*DK22))/DK27</f>
        <v/>
      </c>
      <c r="DL28" s="10">
        <f>((DL11*DL12)+(DL13*DL14)+(DL15*DL16)+(DL17*DL18)+(DL19*DL20)+(DL21*DL22))/DL27</f>
        <v/>
      </c>
      <c r="DM28" s="10">
        <f>((DM11*DM12)+(DM13*DM14)+(DM15*DM16)+(DM17*DM18)+(DM19*DM20)+(DM21*DM22))/DM27</f>
        <v/>
      </c>
      <c r="DN28" s="10">
        <f>((DN11*DN12)+(DN13*DN14)+(DN15*DN16)+(DN17*DN18)+(DN19*DN20)+(DN21*DN22))/DN27</f>
        <v/>
      </c>
      <c r="DO28" s="10">
        <f>((DO11*DO12)+(DO13*DO14)+(DO15*DO16)+(DO17*DO18)+(DO19*DO20)+(DO21*DO22))/DO27</f>
        <v/>
      </c>
      <c r="DP28" s="10">
        <f>((DP11*DP12)+(DP13*DP14)+(DP15*DP16)+(DP17*DP18)+(DP19*DP20)+(DP21*DP22))/DP27</f>
        <v/>
      </c>
      <c r="DQ28" s="10">
        <f>((DQ11*DQ12)+(DQ13*DQ14)+(DQ15*DQ16)+(DQ17*DQ18)+(DQ19*DQ20)+(DQ21*DQ22))/DQ27</f>
        <v/>
      </c>
      <c r="DR28" s="10">
        <f>((DR11*DR12)+(DR13*DR14)+(DR15*DR16)+(DR17*DR18)+(DR19*DR20)+(DR21*DR22))/DR27</f>
        <v/>
      </c>
      <c r="DS28" s="10">
        <f>((DS11*DS12)+(DS13*DS14)+(DS15*DS16)+(DS17*DS18)+(DS19*DS20)+(DS21*DS22))/DS27</f>
        <v/>
      </c>
      <c r="DT28" s="10">
        <f>((DT11*DT12)+(DT13*DT14)+(DT15*DT16)+(DT17*DT18)+(DT19*DT20)+(DT21*DT22))/DT27</f>
        <v/>
      </c>
      <c r="DU28" s="10">
        <f>((DU11*DU12)+(DU13*DU14)+(DU15*DU16)+(DU17*DU18)+(DU19*DU20)+(DU21*DU22))/DU27</f>
        <v/>
      </c>
      <c r="DV28" s="10">
        <f>((DV11*DV12)+(DV13*DV14)+(DV15*DV16)+(DV17*DV18)+(DV19*DV20)+(DV21*DV22))/DV27</f>
        <v/>
      </c>
      <c r="DW28" s="10">
        <f>((DW11*DW12)+(DW13*DW14)+(DW15*DW16)+(DW17*DW18)+(DW19*DW20)+(DW21*DW22))/DW27</f>
        <v/>
      </c>
      <c r="DX28" s="10">
        <f>((DX11*DX12)+(DX13*DX14)+(DX15*DX16)+(DX17*DX18)+(DX19*DX20)+(DX21*DX22))/DX27</f>
        <v/>
      </c>
      <c r="DY28" s="10">
        <f>((DY11*DY12)+(DY13*DY14)+(DY15*DY16)+(DY17*DY18)+(DY19*DY20)+(DY21*DY22))/DY27</f>
        <v/>
      </c>
      <c r="DZ28" s="10">
        <f>((DZ11*DZ12)+(DZ13*DZ14)+(DZ15*DZ16)+(DZ17*DZ18)+(DZ19*DZ20)+(DZ21*DZ22))/DZ27</f>
        <v/>
      </c>
      <c r="EA28" s="10">
        <f>((EA11*EA12)+(EA13*EA14)+(EA15*EA16)+(EA17*EA18)+(EA19*EA20)+(EA21*EA22))/EA27</f>
        <v/>
      </c>
      <c r="EB28" s="10">
        <f>((EB11*EB12)+(EB13*EB14)+(EB15*EB16)+(EB17*EB18)+(EB19*EB20)+(EB21*EB22))/EB27</f>
        <v/>
      </c>
      <c r="EC28" s="10">
        <f>((EC11*EC12)+(EC13*EC14)+(EC15*EC16)+(EC17*EC18)+(EC19*EC20)+(EC21*EC22))/EC27</f>
        <v/>
      </c>
      <c r="ED28" s="10">
        <f>((ED11*ED12)+(ED13*ED14)+(ED15*ED16)+(ED17*ED18)+(ED19*ED20)+(ED21*ED22))/ED27</f>
        <v/>
      </c>
      <c r="EE28" s="10">
        <f>((EE11*EE12)+(EE13*EE14)+(EE15*EE16)+(EE17*EE18)+(EE19*EE20)+(EE21*EE22))/EE27</f>
        <v/>
      </c>
      <c r="EF28" s="10">
        <f>((EF11*EF12)+(EF13*EF14)+(EF15*EF16)+(EF17*EF18)+(EF19*EF20)+(EF21*EF22))/EF27</f>
        <v/>
      </c>
      <c r="EG28" s="10">
        <f>((EG11*EG12)+(EG13*EG14)+(EG15*EG16)+(EG17*EG18)+(EG19*EG20)+(EG21*EG22))/EG27</f>
        <v/>
      </c>
      <c r="EH28" s="10">
        <f>((EH11*EH12)+(EH13*EH14)+(EH15*EH16)+(EH17*EH18)+(EH19*EH20)+(EH21*EH22))/EH27</f>
        <v/>
      </c>
      <c r="EI28" s="10">
        <f>((EI11*EI12)+(EI13*EI14)+(EI15*EI16)+(EI17*EI18)+(EI19*EI20)+(EI21*EI22))/EI27</f>
        <v/>
      </c>
      <c r="EJ28" s="10">
        <f>((EJ11*EJ12)+(EJ13*EJ14)+(EJ15*EJ16)+(EJ17*EJ18)+(EJ19*EJ20)+(EJ21*EJ22))/EJ27</f>
        <v/>
      </c>
      <c r="EK28" s="10">
        <f>((EK11*EK12)+(EK13*EK14)+(EK15*EK16)+(EK17*EK18)+(EK19*EK20)+(EK21*EK22))/EK27</f>
        <v/>
      </c>
      <c r="EL28" s="10">
        <f>((EL11*EL12)+(EL13*EL14)+(EL15*EL16)+(EL17*EL18)+(EL19*EL20)+(EL21*EL22))/EL27</f>
        <v/>
      </c>
      <c r="EM28" s="10">
        <f>((EM11*EM12)+(EM13*EM14)+(EM15*EM16)+(EM17*EM18)+(EM19*EM20)+(EM21*EM22))/EM27</f>
        <v/>
      </c>
      <c r="EN28" s="10">
        <f>((EN11*EN12)+(EN13*EN14)+(EN15*EN16)+(EN17*EN18)+(EN19*EN20)+(EN21*EN22))/EN27</f>
        <v/>
      </c>
      <c r="EO28" s="10">
        <f>((EO11*EO12)+(EO13*EO14)+(EO15*EO16)+(EO17*EO18)+(EO19*EO20)+(EO21*EO22))/EO27</f>
        <v/>
      </c>
      <c r="EP28" s="10">
        <f>((EP11*EP12)+(EP13*EP14)+(EP15*EP16)+(EP17*EP18)+(EP19*EP20)+(EP21*EP22))/EP27</f>
        <v/>
      </c>
      <c r="EQ28" s="10">
        <f>((EQ11*EQ12)+(EQ13*EQ14)+(EQ15*EQ16)+(EQ17*EQ18)+(EQ19*EQ20)+(EQ21*EQ22))/EQ27</f>
        <v/>
      </c>
      <c r="ER28" s="10">
        <f>((ER11*ER12)+(ER13*ER14)+(ER15*ER16)+(ER17*ER18)+(ER19*ER20)+(ER21*ER22))/ER27</f>
        <v/>
      </c>
      <c r="ES28" s="10">
        <f>((ES11*ES12)+(ES13*ES14)+(ES15*ES16)+(ES17*ES18)+(ES19*ES20)+(ES21*ES22))/ES27</f>
        <v/>
      </c>
      <c r="ET28" s="10">
        <f>((ET11*ET12)+(ET13*ET14)+(ET15*ET16)+(ET17*ET18)+(ET19*ET20)+(ET21*ET22))/ET27</f>
        <v/>
      </c>
      <c r="EU28" s="10">
        <f>((EU11*EU12)+(EU13*EU14)+(EU15*EU16)+(EU17*EU18)+(EU19*EU20)+(EU21*EU22))/EU27</f>
        <v/>
      </c>
      <c r="EV28" s="10">
        <f>((EV11*EV12)+(EV13*EV14)+(EV15*EV16)+(EV17*EV18)+(EV19*EV20)+(EV21*EV22))/EV27</f>
        <v/>
      </c>
      <c r="EW28" s="10">
        <f>((EW11*EW12)+(EW13*EW14)+(EW15*EW16)+(EW17*EW18)+(EW19*EW20)+(EW21*EW22))/EW27</f>
        <v/>
      </c>
      <c r="EX28" s="10">
        <f>((EX11*EX12)+(EX13*EX14)+(EX15*EX16)+(EX17*EX18)+(EX19*EX20)+(EX21*EX22))/EX27</f>
        <v/>
      </c>
      <c r="EY28" s="10">
        <f>((EY11*EY12)+(EY13*EY14)+(EY15*EY16)+(EY17*EY18)+(EY19*EY20)+(EY21*EY22))/EY27</f>
        <v/>
      </c>
      <c r="EZ28" s="10">
        <f>((EZ11*EZ12)+(EZ13*EZ14)+(EZ15*EZ16)+(EZ17*EZ18)+(EZ19*EZ20)+(EZ21*EZ22))/EZ27</f>
        <v/>
      </c>
      <c r="FA28" s="10">
        <f>((FA11*FA12)+(FA13*FA14)+(FA15*FA16)+(FA17*FA18)+(FA19*FA20)+(FA21*FA22))/FA27</f>
        <v/>
      </c>
      <c r="FB28" s="10">
        <f>((FB11*FB12)+(FB13*FB14)+(FB15*FB16)+(FB17*FB18)+(FB19*FB20)+(FB21*FB22))/FB27</f>
        <v/>
      </c>
      <c r="FC28" s="10">
        <f>((FC11*FC12)+(FC13*FC14)+(FC15*FC16)+(FC17*FC18)+(FC19*FC20)+(FC21*FC22))/FC27</f>
        <v/>
      </c>
      <c r="FD28" s="10">
        <f>((FD11*FD12)+(FD13*FD14)+(FD15*FD16)+(FD17*FD18)+(FD19*FD20)+(FD21*FD22))/FD27</f>
        <v/>
      </c>
      <c r="FE28" s="10">
        <f>((FE11*FE12)+(FE13*FE14)+(FE15*FE16)+(FE17*FE18)+(FE19*FE20)+(FE21*FE22))/FE27</f>
        <v/>
      </c>
      <c r="FF28" s="10">
        <f>((FF11*FF12)+(FF13*FF14)+(FF15*FF16)+(FF17*FF18)+(FF19*FF20)+(FF21*FF22))/FF27</f>
        <v/>
      </c>
      <c r="FG28" s="10">
        <f>((FG11*FG12)+(FG13*FG14)+(FG15*FG16)+(FG17*FG18)+(FG19*FG20)+(FG21*FG22))/FG27</f>
        <v/>
      </c>
      <c r="FH28" s="10">
        <f>((FH11*FH12)+(FH13*FH14)+(FH15*FH16)+(FH17*FH18)+(FH19*FH20)+(FH21*FH22))/FH27</f>
        <v/>
      </c>
      <c r="FI28" s="10">
        <f>((FI11*FI12)+(FI13*FI14)+(FI15*FI16)+(FI17*FI18)+(FI19*FI20)+(FI21*FI22))/FI27</f>
        <v/>
      </c>
      <c r="FJ28" s="10">
        <f>((FJ11*FJ12)+(FJ13*FJ14)+(FJ15*FJ16)+(FJ17*FJ18)+(FJ19*FJ20)+(FJ21*FJ22))/FJ27</f>
        <v/>
      </c>
      <c r="FK28" s="10">
        <f>((FK11*FK12)+(FK13*FK14)+(FK15*FK16)+(FK17*FK18)+(FK19*FK20)+(FK21*FK22))/FK27</f>
        <v/>
      </c>
      <c r="FL28" s="10">
        <f>((FL11*FL12)+(FL13*FL14)+(FL15*FL16)+(FL17*FL18)+(FL19*FL20)+(FL21*FL22))/FL27</f>
        <v/>
      </c>
      <c r="FM28" s="10">
        <f>((FM11*FM12)+(FM13*FM14)+(FM15*FM16)+(FM17*FM18)+(FM19*FM20)+(FM21*FM22))/FM27</f>
        <v/>
      </c>
      <c r="FN28" s="10">
        <f>((FN11*FN12)+(FN13*FN14)+(FN15*FN16)+(FN17*FN18)+(FN19*FN20)+(FN21*FN22))/FN27</f>
        <v/>
      </c>
      <c r="FO28" s="10">
        <f>((FO11*FO12)+(FO13*FO14)+(FO15*FO16)+(FO17*FO18)+(FO19*FO20)+(FO21*FO22))/FO27</f>
        <v/>
      </c>
      <c r="FP28" s="10">
        <f>((FP11*FP12)+(FP13*FP14)+(FP15*FP16)+(FP17*FP18)+(FP19*FP20)+(FP21*FP22))/FP27</f>
        <v/>
      </c>
      <c r="FQ28" s="10">
        <f>((FQ11*FQ12)+(FQ13*FQ14)+(FQ15*FQ16)+(FQ17*FQ18)+(FQ19*FQ20)+(FQ21*FQ22))/FQ27</f>
        <v/>
      </c>
      <c r="FR28" s="10">
        <f>((FR11*FR12)+(FR13*FR14)+(FR15*FR16)+(FR17*FR18)+(FR19*FR20)+(FR21*FR22))/FR27</f>
        <v/>
      </c>
      <c r="FS28" s="10">
        <f>((FS11*FS12)+(FS13*FS14)+(FS15*FS16)+(FS17*FS18)+(FS19*FS20)+(FS21*FS22))/FS27</f>
        <v/>
      </c>
      <c r="FT28" s="10">
        <f>((FT11*FT12)+(FT13*FT14)+(FT15*FT16)+(FT17*FT18)+(FT19*FT20)+(FT21*FT22))/FT27</f>
        <v/>
      </c>
      <c r="FU28" s="10">
        <f>((FU11*FU12)+(FU13*FU14)+(FU15*FU16)+(FU17*FU18)+(FU19*FU20)+(FU21*FU22))/FU27</f>
        <v/>
      </c>
      <c r="FV28" s="10">
        <f>((FV11*FV12)+(FV13*FV14)+(FV15*FV16)+(FV17*FV18)+(FV19*FV20)+(FV21*FV22))/FV27</f>
        <v/>
      </c>
      <c r="FW28" s="10">
        <f>((FW11*FW12)+(FW13*FW14)+(FW15*FW16)+(FW17*FW18)+(FW19*FW20)+(FW21*FW22))/FW27</f>
        <v/>
      </c>
      <c r="FX28" s="10">
        <f>((FX11*FX12)+(FX13*FX14)+(FX15*FX16)+(FX17*FX18)+(FX19*FX20)+(FX21*FX22))/FX27</f>
        <v/>
      </c>
      <c r="FY28" s="10">
        <f>((FY11*FY12)+(FY13*FY14)+(FY15*FY16)+(FY17*FY18)+(FY19*FY20)+(FY21*FY22))/FY27</f>
        <v/>
      </c>
      <c r="FZ28" s="10">
        <f>((FZ11*FZ12)+(FZ13*FZ14)+(FZ15*FZ16)+(FZ17*FZ18)+(FZ19*FZ20)+(FZ21*FZ22))/FZ27</f>
        <v/>
      </c>
      <c r="GA28" s="10">
        <f>((GA11*GA12)+(GA13*GA14)+(GA15*GA16)+(GA17*GA18)+(GA19*GA20)+(GA21*GA22))/GA27</f>
        <v/>
      </c>
      <c r="GB28" s="10">
        <f>((GB11*GB12)+(GB13*GB14)+(GB15*GB16)+(GB17*GB18)+(GB19*GB20)+(GB21*GB22))/GB27</f>
        <v/>
      </c>
      <c r="GC28" s="10">
        <f>((GC11*GC12)+(GC13*GC14)+(GC15*GC16)+(GC17*GC18)+(GC19*GC20)+(GC21*GC22))/GC27</f>
        <v/>
      </c>
      <c r="GD28" s="10">
        <f>((GD11*GD12)+(GD13*GD14)+(GD15*GD16)+(GD17*GD18)+(GD19*GD20)+(GD21*GD22))/GD27</f>
        <v/>
      </c>
      <c r="GE28" s="10">
        <f>((GE11*GE12)+(GE13*GE14)+(GE15*GE16)+(GE17*GE18)+(GE19*GE20)+(GE21*GE22))/GE27</f>
        <v/>
      </c>
      <c r="GF28" s="10">
        <f>((GF11*GF12)+(GF13*GF14)+(GF15*GF16)+(GF17*GF18)+(GF19*GF20)+(GF21*GF22))/GF27</f>
        <v/>
      </c>
      <c r="GG28" s="10">
        <f>((GG11*GG12)+(GG13*GG14)+(GG15*GG16)+(GG17*GG18)+(GG19*GG20)+(GG21*GG22))/GG27</f>
        <v/>
      </c>
      <c r="GH28" s="10">
        <f>((GH11*GH12)+(GH13*GH14)+(GH15*GH16)+(GH17*GH18)+(GH19*GH20)+(GH21*GH22))/GH27</f>
        <v/>
      </c>
      <c r="GI28" s="10">
        <f>((GI11*GI12)+(GI13*GI14)+(GI15*GI16)+(GI17*GI18)+(GI19*GI20)+(GI21*GI22))/GI27</f>
        <v/>
      </c>
      <c r="GJ28" s="10">
        <f>((GJ11*GJ12)+(GJ13*GJ14)+(GJ15*GJ16)+(GJ17*GJ18)+(GJ19*GJ20)+(GJ21*GJ22))/GJ27</f>
        <v/>
      </c>
      <c r="GK28" s="10">
        <f>((GK11*GK12)+(GK13*GK14)+(GK15*GK16)+(GK17*GK18)+(GK19*GK20)+(GK21*GK22))/GK27</f>
        <v/>
      </c>
      <c r="GL28" s="10">
        <f>((GL11*GL12)+(GL13*GL14)+(GL15*GL16)+(GL17*GL18)+(GL19*GL20)+(GL21*GL22))/GL27</f>
        <v/>
      </c>
      <c r="GM28" s="10">
        <f>((GM11*GM12)+(GM13*GM14)+(GM15*GM16)+(GM17*GM18)+(GM19*GM20)+(GM21*GM22))/GM27</f>
        <v/>
      </c>
      <c r="GN28" s="10">
        <f>((GN11*GN12)+(GN13*GN14)+(GN15*GN16)+(GN17*GN18)+(GN19*GN20)+(GN21*GN22))/GN27</f>
        <v/>
      </c>
      <c r="GO28" s="10">
        <f>((GO11*GO12)+(GO13*GO14)+(GO15*GO16)+(GO17*GO18)+(GO19*GO20)+(GO21*GO22))/GO27</f>
        <v/>
      </c>
      <c r="GP28" s="10">
        <f>((GP11*GP12)+(GP13*GP14)+(GP15*GP16)+(GP17*GP18)+(GP19*GP20)+(GP21*GP22))/GP27</f>
        <v/>
      </c>
      <c r="GQ28" s="10">
        <f>((GQ11*GQ12)+(GQ13*GQ14)+(GQ15*GQ16)+(GQ17*GQ18)+(GQ19*GQ20)+(GQ21*GQ22))/GQ27</f>
        <v/>
      </c>
      <c r="GR28" s="10">
        <f>((GR11*GR12)+(GR13*GR14)+(GR15*GR16)+(GR17*GR18)+(GR19*GR20)+(GR21*GR22))/GR27</f>
        <v/>
      </c>
      <c r="GS28" s="10">
        <f>((GS11*GS12)+(GS13*GS14)+(GS15*GS16)+(GS17*GS18)+(GS19*GS20)+(GS21*GS22))/GS27</f>
        <v/>
      </c>
      <c r="GT28" s="10">
        <f>((GT11*GT12)+(GT13*GT14)+(GT15*GT16)+(GT17*GT18)+(GT19*GT20)+(GT21*GT22))/GT27</f>
        <v/>
      </c>
      <c r="GU28" s="10">
        <f>((GU11*GU12)+(GU13*GU14)+(GU15*GU16)+(GU17*GU18)+(GU19*GU20)+(GU21*GU22))/GU27</f>
        <v/>
      </c>
      <c r="GV28" s="10">
        <f>((GV11*GV12)+(GV13*GV14)+(GV15*GV16)+(GV17*GV18)+(GV19*GV20)+(GV21*GV22))/GV27</f>
        <v/>
      </c>
      <c r="GW28" s="10">
        <f>((GW11*GW12)+(GW13*GW14)+(GW15*GW16)+(GW17*GW18)+(GW19*GW20)+(GW21*GW22))/GW27</f>
        <v/>
      </c>
      <c r="GX28" s="10">
        <f>((GX11*GX12)+(GX13*GX14)+(GX15*GX16)+(GX17*GX18)+(GX19*GX20)+(GX21*GX22))/GX27</f>
        <v/>
      </c>
      <c r="GY28" s="10">
        <f>((GY11*GY12)+(GY13*GY14)+(GY15*GY16)+(GY17*GY18)+(GY19*GY20)+(GY21*GY22))/GY27</f>
        <v/>
      </c>
      <c r="GZ28" s="10">
        <f>((GZ11*GZ12)+(GZ13*GZ14)+(GZ15*GZ16)+(GZ17*GZ18)+(GZ19*GZ20)+(GZ21*GZ22))/GZ27</f>
        <v/>
      </c>
      <c r="HA28" s="10">
        <f>((HA11*HA12)+(HA13*HA14)+(HA15*HA16)+(HA17*HA18)+(HA19*HA20)+(HA21*HA22))/HA27</f>
        <v/>
      </c>
      <c r="HB28" s="10">
        <f>((HB11*HB12)+(HB13*HB14)+(HB15*HB16)+(HB17*HB18)+(HB19*HB20)+(HB21*HB22))/HB27</f>
        <v/>
      </c>
      <c r="HC28" s="10">
        <f>((HC11*HC12)+(HC13*HC14)+(HC15*HC16)+(HC17*HC18)+(HC19*HC20)+(HC21*HC22))/HC27</f>
        <v/>
      </c>
      <c r="HD28" s="10">
        <f>((HD11*HD12)+(HD13*HD14)+(HD15*HD16)+(HD17*HD18)+(HD19*HD20)+(HD21*HD22))/HD27</f>
        <v/>
      </c>
      <c r="HE28" s="10">
        <f>((HE11*HE12)+(HE13*HE14)+(HE15*HE16)+(HE17*HE18)+(HE19*HE20)+(HE21*HE22))/HE27</f>
        <v/>
      </c>
      <c r="HF28" s="10">
        <f>((HF11*HF12)+(HF13*HF14)+(HF15*HF16)+(HF17*HF18)+(HF19*HF20)+(HF21*HF22))/HF27</f>
        <v/>
      </c>
      <c r="HG28" s="10">
        <f>((HG11*HG12)+(HG13*HG14)+(HG15*HG16)+(HG17*HG18)+(HG19*HG20)+(HG21*HG22))/HG27</f>
        <v/>
      </c>
      <c r="HH28" s="10">
        <f>((HH11*HH12)+(HH13*HH14)+(HH15*HH16)+(HH17*HH18)+(HH19*HH20)+(HH21*HH22))/HH27</f>
        <v/>
      </c>
      <c r="HI28" s="10">
        <f>((HI11*HI12)+(HI13*HI14)+(HI15*HI16)+(HI17*HI18)+(HI19*HI20)+(HI21*HI22))/HI27</f>
        <v/>
      </c>
      <c r="HJ28" s="10">
        <f>((HJ11*HJ12)+(HJ13*HJ14)+(HJ15*HJ16)+(HJ17*HJ18)+(HJ19*HJ20)+(HJ21*HJ22))/HJ27</f>
        <v/>
      </c>
      <c r="HK28" s="10">
        <f>((HK11*HK12)+(HK13*HK14)+(HK15*HK16)+(HK17*HK18)+(HK19*HK20)+(HK21*HK22))/HK27</f>
        <v/>
      </c>
      <c r="HL28" s="10">
        <f>((HL11*HL12)+(HL13*HL14)+(HL15*HL16)+(HL17*HL18)+(HL19*HL20)+(HL21*HL22))/HL27</f>
        <v/>
      </c>
      <c r="HM28" s="10">
        <f>((HM11*HM12)+(HM13*HM14)+(HM15*HM16)+(HM17*HM18)+(HM19*HM20)+(HM21*HM22))/HM27</f>
        <v/>
      </c>
      <c r="HN28" s="10">
        <f>((HN11*HN12)+(HN13*HN14)+(HN15*HN16)+(HN17*HN18)+(HN19*HN20)+(HN21*HN22))/HN27</f>
        <v/>
      </c>
      <c r="HO28" s="10">
        <f>((HO11*HO12)+(HO13*HO14)+(HO15*HO16)+(HO17*HO18)+(HO19*HO20)+(HO21*HO22))/HO27</f>
        <v/>
      </c>
      <c r="HP28" s="10">
        <f>((HP11*HP12)+(HP13*HP14)+(HP15*HP16)+(HP17*HP18)+(HP19*HP20)+(HP21*HP22))/HP27</f>
        <v/>
      </c>
      <c r="HQ28" s="10">
        <f>((HQ11*HQ12)+(HQ13*HQ14)+(HQ15*HQ16)+(HQ17*HQ18)+(HQ19*HQ20)+(HQ21*HQ22))/HQ27</f>
        <v/>
      </c>
      <c r="HR28" s="10">
        <f>((HR11*HR12)+(HR13*HR14)+(HR15*HR16)+(HR17*HR18)+(HR19*HR20)+(HR21*HR22))/HR27</f>
        <v/>
      </c>
      <c r="HS28" s="10">
        <f>((HS11*HS12)+(HS13*HS14)+(HS15*HS16)+(HS17*HS18)+(HS19*HS20)+(HS21*HS22))/HS27</f>
        <v/>
      </c>
      <c r="HT28" s="10">
        <f>((HT11*HT12)+(HT13*HT14)+(HT15*HT16)+(HT17*HT18)+(HT19*HT20)+(HT21*HT22)+(HT23*HT24)+(HT25*HT26))/HT27</f>
        <v/>
      </c>
      <c r="HU28" s="10">
        <f>((HU11*HU12)+(HU13*HU14)+(HU15*HU16)+(HU17*HU18)+(HU19*HU20)+(HU21*HU22)+(HU23*HU24)+(HU25*HU26))/HU27</f>
        <v/>
      </c>
      <c r="HV28" s="10">
        <f>((HV11*HV12)+(HV13*HV14)+(HV15*HV16)+(HV17*HV18)+(HV19*HV20)+(HV21*HV22)+(HV23*HV24)+(HV25*HV26))/HV27</f>
        <v/>
      </c>
      <c r="HW28" s="10">
        <f>((HW11*HW12)+(HW13*HW14)+(HW15*HW16)+(HW17*HW18)+(HW19*HW20)+(HW21*HW22)+(HW23*HW24)+(HW25*HW26))/HW27</f>
        <v/>
      </c>
      <c r="HX28" s="10">
        <f>((HX11*HX12)+(HX13*HX14)+(HX15*HX16)+(HX17*HX18)+(HX19*HX20)+(HX21*HX22)+(HX23*HX24)+(HX25*HX26))/HX27</f>
        <v/>
      </c>
      <c r="HY28" s="10">
        <f>((HY11*HY12)+(HY13*HY14)+(HY15*HY16)+(HY17*HY18)+(HY19*HY20)+(HY21*HY22)+(HY23*HY24)+(HY25*HY26))/HY27</f>
        <v/>
      </c>
      <c r="HZ28" s="10">
        <f>((HZ11*HZ12)+(HZ13*HZ14)+(HZ15*HZ16)+(HZ17*HZ18)+(HZ19*HZ20)+(HZ21*HZ22)+(HZ23*HZ24)+(HZ25*HZ26))/HZ27</f>
        <v/>
      </c>
      <c r="IA28" s="10">
        <f>((IA11*IA12)+(IA13*IA14)+(IA15*IA16)+(IA17*IA18)+(IA19*IA20)+(IA21*IA22)+(IA23*IA24)+(IA25*IA26))/IA27</f>
        <v/>
      </c>
      <c r="IB28" s="10">
        <f>((IB11*IB12)+(IB13*IB14)+(IB15*IB16)+(IB17*IB18)+(IB19*IB20)+(IB21*IB22)+(IB23*IB24)+(IB25*IB26))/IB27</f>
        <v/>
      </c>
      <c r="IC28" s="10">
        <f>((IC11*IC12)+(IC13*IC14)+(IC15*IC16)+(IC17*IC18)+(IC19*IC20)+(IC21*IC22)+(IC23*IC24)+(IC25*IC26))/IC27</f>
        <v/>
      </c>
      <c r="ID28" s="10">
        <f>((ID11*ID12)+(ID13*ID14)+(ID15*ID16)+(ID17*ID18)+(ID19*ID20)+(ID21*ID22)+(ID23*ID24)+(ID25*ID26))/ID27</f>
        <v/>
      </c>
      <c r="IE28" s="10">
        <f>((IE11*IE12)+(IE13*IE14)+(IE15*IE16)+(IE17*IE18)+(IE19*IE20)+(IE21*IE22)+(IE23*IE24)+(IE25*IE26))/IE27</f>
        <v/>
      </c>
      <c r="IF28" s="10">
        <f>((IF11*IF12)+(IF13*IF14)+(IF15*IF16)+(IF17*IF18)+(IF19*IF20)+(IF21*IF22)+(IF23*IF24)+(IF25*IF26))/IF27</f>
        <v/>
      </c>
      <c r="IG28" s="10">
        <f>((IG11*IG12)+(IG13*IG14)+(IG15*IG16)+(IG17*IG18)+(IG19*IG20)+(IG21*IG22)+(IG23*IG24)+(IG25*IG26))/IG27</f>
        <v/>
      </c>
      <c r="IH28" s="10">
        <f>((IH11*IH12)+(IH13*IH14)+(IH15*IH16)+(IH17*IH18)+(IH19*IH20)+(IH21*IH22)+(IH23*IH24)+(IH25*IH26))/IH27</f>
        <v/>
      </c>
      <c r="II28" s="10" t="n">
        <v>0.05744511694912782</v>
      </c>
      <c r="IJ28" s="10" t="n">
        <v>0.06482179012212382</v>
      </c>
      <c r="IK28" s="10" t="n">
        <v>0.06189975287430271</v>
      </c>
      <c r="IL28" s="10" t="n">
        <v>0.05287214573017467</v>
      </c>
      <c r="IM28" s="10" t="n">
        <v>0.05758522182021919</v>
      </c>
      <c r="IN28" s="10" t="n">
        <v>0.05631111816383336</v>
      </c>
      <c r="IO28" s="10" t="n">
        <v>0.0561464052284902</v>
      </c>
      <c r="IP28" s="10" t="n">
        <v>0.05939222633284826</v>
      </c>
      <c r="IQ28" s="10" t="n">
        <v>0.05827945357266874</v>
      </c>
      <c r="IR28" s="10" t="n">
        <v>0.05745819927446607</v>
      </c>
      <c r="IS28" s="10" t="n">
        <v>0.05778951197524217</v>
      </c>
      <c r="IT28" s="10" t="n">
        <v>0.05486564881939632</v>
      </c>
      <c r="IU28" s="10" t="n">
        <v>0.05603806803028548</v>
      </c>
      <c r="IV28" s="10" t="n">
        <v>0.0574765040996347</v>
      </c>
      <c r="IW28" s="10" t="n">
        <v>0.05680552273549353</v>
      </c>
      <c r="IX28" s="10" t="n">
        <v>0.0560379100775153</v>
      </c>
      <c r="IY28" s="10" t="n">
        <v>0.05659372807111029</v>
      </c>
      <c r="IZ28" s="10" t="n">
        <v>0.056295176657122</v>
      </c>
      <c r="JA28" s="10" t="n">
        <v>0.05586995604366255</v>
      </c>
      <c r="JB28" s="10" t="n">
        <v>0.05623042645720774</v>
      </c>
      <c r="JC28" s="10" t="n">
        <v>0.05495944093803874</v>
      </c>
      <c r="JD28" s="10" t="n">
        <v>0.05475724342190861</v>
      </c>
      <c r="JE28" s="10" t="n">
        <v>0.05491928135981648</v>
      </c>
      <c r="JF28" s="10" t="n">
        <v>0.05394222453182115</v>
      </c>
      <c r="JG28" s="10" t="n">
        <v>0.05047444128157175</v>
      </c>
      <c r="JH28" s="10" t="n">
        <v>0.052759962235225</v>
      </c>
      <c r="JI28" s="10" t="n">
        <v>0.05173569763846515</v>
      </c>
      <c r="JJ28" s="10" t="n">
        <v>0.05327653579642146</v>
      </c>
      <c r="JK28" s="10" t="n">
        <v>0.05444458212579234</v>
      </c>
      <c r="JL28" s="10" t="n">
        <v>0.05284629267012045</v>
      </c>
      <c r="JM28" s="10" t="n">
        <v>0.05401556976279118</v>
      </c>
      <c r="JN28" s="10" t="n">
        <v>0.05402003179876622</v>
      </c>
      <c r="JO28" s="10" t="n">
        <v>0.05363670955414768</v>
      </c>
      <c r="JP28" s="10" t="n">
        <v>0.05312934140310978</v>
      </c>
      <c r="JQ28" s="10" t="n">
        <v>0.05173755326003074</v>
      </c>
      <c r="JR28" s="10" t="n">
        <v>0.05214827510066052</v>
      </c>
      <c r="JS28" s="10" t="n">
        <v>0.05147614952315731</v>
      </c>
      <c r="JT28" s="10" t="n">
        <v>0.05226334404564694</v>
      </c>
      <c r="JU28" s="10">
        <f>((JU11*JU12)+(JU13*JU14)+(JU15*JU16)+(JU17*JU18)+(JU19*JU20)+(JU21*JU22)+(JU23*JU24)+(JU25*JU26))/JU27</f>
        <v/>
      </c>
      <c r="JV28" s="10" t="n">
        <v>0.05247110580829525</v>
      </c>
      <c r="JW28" s="10" t="n">
        <v>0.05324351388230483</v>
      </c>
      <c r="JX28" s="10" t="n">
        <v>0.05373732797925067</v>
      </c>
      <c r="JY28" s="10" t="n">
        <v>0.04288310577476768</v>
      </c>
      <c r="JZ28" s="10" t="n">
        <v>0.0477692792965661</v>
      </c>
      <c r="KA28" s="10" t="n">
        <v>0.04864343516474549</v>
      </c>
      <c r="KB28" s="10" t="n">
        <v>0.04784754504670649</v>
      </c>
      <c r="KC28" s="10" t="n">
        <v>0.04878825180521252</v>
      </c>
      <c r="KD28" s="10" t="n">
        <v>0.04922893756312759</v>
      </c>
      <c r="KE28" s="10" t="n">
        <v>0.04953384136058214</v>
      </c>
      <c r="KF28" s="10" t="n">
        <v>0.04924039179260108</v>
      </c>
      <c r="KG28" s="10" t="n">
        <v>0.04836999505825113</v>
      </c>
      <c r="KH28" s="10" t="n">
        <v>0.04792567298932561</v>
      </c>
      <c r="KI28" s="10" t="n">
        <v>0.0474310600323696</v>
      </c>
      <c r="KJ28" s="10" t="n">
        <v>0.03899952931997079</v>
      </c>
      <c r="KK28" s="10" t="n">
        <v>0.03905290500130578</v>
      </c>
      <c r="KL28" s="10" t="n">
        <v>0.03810003565773552</v>
      </c>
      <c r="KM28" s="10" t="n">
        <v>0.04477369325996322</v>
      </c>
      <c r="KN28" s="10" t="n">
        <v>0.04541148048646198</v>
      </c>
      <c r="KO28" s="10" t="n">
        <v>0.04741770559175151</v>
      </c>
      <c r="KP28" s="10" t="n">
        <v>0.04367737000949695</v>
      </c>
      <c r="KQ28" s="10" t="n">
        <v>0.04366454604232918</v>
      </c>
      <c r="KR28" s="10" t="n">
        <v>0.04190746111897374</v>
      </c>
      <c r="KS28" s="10" t="n">
        <v>0.03699221628297635</v>
      </c>
      <c r="KT28" s="10" t="n">
        <v>0.041707478853694</v>
      </c>
      <c r="KU28" s="10" t="n">
        <v>0.04360652601154499</v>
      </c>
      <c r="KV28" s="10" t="n">
        <v>0.04171652211831699</v>
      </c>
      <c r="KW28" s="10" t="n">
        <v>0.03996116079885061</v>
      </c>
      <c r="KX28" s="10" t="n">
        <v>0.03514205033164897</v>
      </c>
      <c r="KY28" s="10" t="n">
        <v>0.0367622419469765</v>
      </c>
      <c r="KZ28" s="10" t="n">
        <v>0.03766439643125491</v>
      </c>
      <c r="LA28" s="10" t="n">
        <v>0.03763048299624083</v>
      </c>
      <c r="LB28" s="10" t="n">
        <v>0.04219333595981483</v>
      </c>
      <c r="LC28" s="10" t="n">
        <v>0.03740294852494613</v>
      </c>
      <c r="LD28" s="10" t="n">
        <v>0.03645192500354991</v>
      </c>
      <c r="LE28" s="10" t="n">
        <v>0.03952349486309886</v>
      </c>
      <c r="LF28" s="10" t="n">
        <v>0.03938730359269427</v>
      </c>
      <c r="LG28" s="10" t="n">
        <v>0.03862782948758273</v>
      </c>
      <c r="LH28" s="10" t="n">
        <v>0.03832626322602808</v>
      </c>
      <c r="LI28" s="10" t="n">
        <v>0.03970162192482717</v>
      </c>
      <c r="LJ28" s="10" t="n">
        <v>0.03927322957443768</v>
      </c>
      <c r="LK28" s="10" t="n">
        <v>0.03888099694412069</v>
      </c>
      <c r="LL28" s="10" t="n">
        <v>0.03377182281446237</v>
      </c>
      <c r="LM28" s="10" t="n">
        <v>0.03788380067737531</v>
      </c>
      <c r="LN28" s="10" t="n">
        <v>0.0380288736220301</v>
      </c>
      <c r="LO28" s="10" t="n">
        <v>0.03830662270814986</v>
      </c>
      <c r="LP28" s="10" t="n">
        <v>0.04074143897836972</v>
      </c>
      <c r="LQ28" s="10">
        <f>((LQ11*LQ12)+(LQ13*LQ14)+(LQ15*LQ16)+(LQ17*LQ18)+(LQ19*LQ20)+(LQ21*LQ22)+(LQ23*LQ24)+(LQ25*LQ26))/LQ27</f>
        <v/>
      </c>
      <c r="LR28" s="10">
        <f>((LR11*LR12)+(LR13*LR14)+(LR15*LR16)+(LR17*LR18)+(LR19*LR20)+(LR21*LR22)+(LR23*LR24)+(LR25*LR26))/LR27</f>
        <v/>
      </c>
      <c r="LS28" s="10">
        <f>((LS11*LS12)+(LS13*LS14)+(LS15*LS16)+(LS17*LS18)+(LS19*LS20)+(LS21*LS22)+(LS23*LS24)+(LS25*LS26))/LS27</f>
        <v/>
      </c>
      <c r="LT28" s="10" t="n">
        <v>0.03979337830758875</v>
      </c>
      <c r="LU28" s="10" t="n">
        <v>0.03620791330761723</v>
      </c>
      <c r="LV28" s="10" t="n">
        <v>0.03570923231702409</v>
      </c>
      <c r="LW28" s="10" t="n">
        <v>0.0416911202615628</v>
      </c>
      <c r="LX28" s="10" t="n">
        <v>0.03786702300411376</v>
      </c>
      <c r="LY28" s="10" t="n">
        <v>0.03735878983474052</v>
      </c>
      <c r="LZ28" s="10" t="n">
        <v>0.02904464008914333</v>
      </c>
      <c r="MA28" s="10" t="n">
        <v>0.02969491713378163</v>
      </c>
      <c r="MB28" s="10" t="n">
        <v>0.040108548820757</v>
      </c>
      <c r="MC28" s="10" t="n">
        <v>0.0457650759497993</v>
      </c>
      <c r="MD28" s="10" t="n">
        <v>0.04452442858163565</v>
      </c>
      <c r="ME28" s="10" t="n">
        <v>0.04320232522281716</v>
      </c>
      <c r="MF28" s="10" t="n">
        <v>0.05236022490002865</v>
      </c>
      <c r="MG28" s="10" t="n">
        <v>0.04458757714924712</v>
      </c>
      <c r="MH28" s="10" t="n">
        <v>0.05474634380497909</v>
      </c>
      <c r="MI28" s="10" t="n">
        <v>0.05447439258671518</v>
      </c>
      <c r="MJ28" s="10" t="n">
        <v>0.05591895133400226</v>
      </c>
      <c r="MK28" s="10" t="n">
        <v>0.05872972504281375</v>
      </c>
      <c r="ML28" s="10" t="n">
        <v>0.0595927460034074</v>
      </c>
      <c r="MM28" s="10" t="n">
        <v>0.05825944770084116</v>
      </c>
      <c r="MN28" s="10" t="n">
        <v>0.05259587355893396</v>
      </c>
      <c r="MO28" s="10" t="n">
        <v>0.05597513900846088</v>
      </c>
      <c r="MP28" s="10" t="n">
        <v>0.052861961580158</v>
      </c>
      <c r="MQ28" s="10" t="n">
        <v>0.05449845817080832</v>
      </c>
      <c r="MR28" s="10" t="n">
        <v>0.06119821477558802</v>
      </c>
      <c r="MS28" s="10" t="n">
        <v>0.06590315984199181</v>
      </c>
      <c r="MT28" s="10" t="n">
        <v>0.06768883829147487</v>
      </c>
      <c r="MU28" s="10" t="n">
        <v>0.06225994471693343</v>
      </c>
      <c r="MV28" s="10" t="n">
        <v>0.06377122974532227</v>
      </c>
      <c r="MW28" s="10" t="n">
        <v>0.05882008211921173</v>
      </c>
      <c r="MX28" s="10" t="n">
        <v>0.06494653815015666</v>
      </c>
      <c r="MY28" s="10" t="n">
        <v>0.06057355789120791</v>
      </c>
      <c r="MZ28" s="10" t="n">
        <v>0.06746762754274273</v>
      </c>
      <c r="NA28" s="10" t="n">
        <v>0.06482137800780084</v>
      </c>
      <c r="NB28" s="10" t="n">
        <v>0.06514907752191634</v>
      </c>
      <c r="NC28" s="10" t="n">
        <v>0.06482865295112858</v>
      </c>
      <c r="ND28" s="10" t="n">
        <v>0.05951629425526681</v>
      </c>
      <c r="NE28" s="10" t="n">
        <v>0.05964233394223514</v>
      </c>
      <c r="NF28" s="10" t="n">
        <v>0.0637212583172104</v>
      </c>
      <c r="NG28" s="10" t="n">
        <v>0.0673578226956687</v>
      </c>
      <c r="NH28" s="10" t="n">
        <v>0.06554496865804262</v>
      </c>
      <c r="NI28" s="10" t="n">
        <v>0.06648698194492318</v>
      </c>
      <c r="NJ28" s="10" t="n">
        <v>0.06936297255159272</v>
      </c>
      <c r="NK28" s="10" t="n">
        <v>0.07172537859758844</v>
      </c>
      <c r="NL28" s="10" t="n">
        <v>0.07132967556651283</v>
      </c>
      <c r="NM28" s="10" t="n">
        <v>0.07464329967094653</v>
      </c>
      <c r="NN28" s="10" t="n">
        <v>0.07687618107100552</v>
      </c>
      <c r="NO28" s="10" t="n">
        <v>0.07564955961284742</v>
      </c>
      <c r="NP28" s="10" t="n">
        <v>0.07129005837018049</v>
      </c>
      <c r="NQ28" s="10" t="n">
        <v>0.07494904863492291</v>
      </c>
      <c r="NR28" s="10" t="n">
        <v>0.07614366101271543</v>
      </c>
      <c r="NS28" s="10" t="n">
        <v>0.07468682424950192</v>
      </c>
      <c r="NT28" s="10" t="n">
        <v>0.07432274512939517</v>
      </c>
      <c r="NU28" s="10" t="n">
        <v>0.07382367076746468</v>
      </c>
      <c r="NV28" s="10" t="n">
        <v>0.07481126964551311</v>
      </c>
      <c r="NW28" s="10" t="n">
        <v>0.07548949511112414</v>
      </c>
      <c r="NX28" s="10" t="n">
        <v>0.07216117802023962</v>
      </c>
      <c r="NY28" s="10" t="n">
        <v>0.07722668658188384</v>
      </c>
      <c r="NZ28" s="10" t="n">
        <v>0.07752150949288028</v>
      </c>
      <c r="OA28" s="10" t="n">
        <v>0.07261310397628708</v>
      </c>
      <c r="OB28" s="10" t="n">
        <v>0.07485686045096697</v>
      </c>
      <c r="OC28" s="10" t="n">
        <v>0.07850721351994114</v>
      </c>
      <c r="OD28" s="10" t="n">
        <v>0.07672877489264222</v>
      </c>
      <c r="OE28" s="10" t="n">
        <v>0.07635130899531604</v>
      </c>
      <c r="OF28" s="10" t="n">
        <v>0.0725225008616272</v>
      </c>
      <c r="OG28" s="10" t="n">
        <v>0.07608134799367157</v>
      </c>
      <c r="OH28" s="10" t="n">
        <v>0.08089092979139538</v>
      </c>
      <c r="OI28" s="10" t="n">
        <v>0.0748290010112812</v>
      </c>
      <c r="OJ28" s="10" t="n">
        <v>0.07704645049257008</v>
      </c>
      <c r="OK28" s="10" t="n">
        <v>0.07483258112003323</v>
      </c>
      <c r="OL28" s="10" t="n">
        <v>0.07877191645143644</v>
      </c>
      <c r="OM28" s="10" t="n">
        <v>0.08030326120056339</v>
      </c>
      <c r="ON28" s="10" t="n">
        <v>0.07722499227550966</v>
      </c>
      <c r="OO28" s="10" t="n">
        <v>0.07635638598964339</v>
      </c>
      <c r="OP28" s="10" t="n">
        <v>0.07280837031820853</v>
      </c>
      <c r="OQ28" s="10" t="n">
        <v>0.06929011998462882</v>
      </c>
      <c r="OR28" s="10" t="n">
        <v>0.09571261138975309</v>
      </c>
      <c r="OS28" s="10" t="n">
        <v>0.08604554835462569</v>
      </c>
      <c r="OT28" s="10" t="n">
        <v>0.07758981724051001</v>
      </c>
      <c r="OU28" s="10" t="n">
        <v>0.07680915638422835</v>
      </c>
      <c r="OV28" s="10" t="n">
        <v>0.07847467232990135</v>
      </c>
      <c r="OW28" s="10" t="n">
        <v>0.07942672976497227</v>
      </c>
      <c r="OX28" s="10" t="n">
        <v>0.07370864985416264</v>
      </c>
      <c r="OY28" s="10" t="n">
        <v>0.07535755950673874</v>
      </c>
      <c r="OZ28" s="10" t="n">
        <v>0.0720967802972568</v>
      </c>
      <c r="PA28" s="10" t="n">
        <v>0.06864354284791324</v>
      </c>
      <c r="PB28" s="10" t="n">
        <v>0.06968555740653379</v>
      </c>
      <c r="PC28" s="10" t="n">
        <v>0.07502796483485386</v>
      </c>
      <c r="PD28" s="10" t="n">
        <v>0.08180979128254487</v>
      </c>
      <c r="PE28" s="10" t="n">
        <v>0.07883921034675435</v>
      </c>
      <c r="PF28" s="10" t="n">
        <v>0.07707037808713695</v>
      </c>
      <c r="PG28" s="10" t="n">
        <v>0.07592400653450014</v>
      </c>
      <c r="PH28" s="10" t="n">
        <v>0.07807161303085698</v>
      </c>
      <c r="PI28" s="10" t="n">
        <v>0.07816606088629462</v>
      </c>
      <c r="PJ28" s="10" t="n">
        <v>0.07531997902423816</v>
      </c>
      <c r="PK28" s="10" t="n">
        <v>0.07800407500841182</v>
      </c>
      <c r="PL28" s="10" t="n">
        <v>0.08318056803512146</v>
      </c>
      <c r="PM28" s="10" t="n">
        <v>0.08290490250280516</v>
      </c>
      <c r="PN28" s="10" t="n">
        <v>0.07784871391518446</v>
      </c>
      <c r="PO28" s="10" t="n">
        <v>0.08233424947636794</v>
      </c>
      <c r="PP28" s="10" t="n">
        <v>0.06871358056634362</v>
      </c>
      <c r="PQ28" s="10" t="n">
        <v>0.07786088258051982</v>
      </c>
      <c r="PR28" s="10" t="n">
        <v>0.07438394244229211</v>
      </c>
      <c r="PS28" s="10" t="n">
        <v>0.06507136737530086</v>
      </c>
      <c r="PT28" s="10" t="n">
        <v>0.07468126053901755</v>
      </c>
      <c r="PU28" s="10" t="n">
        <v>0.08585995508236623</v>
      </c>
      <c r="PV28" s="10" t="n">
        <v>0.08385903136057112</v>
      </c>
      <c r="PW28" s="10" t="n">
        <v>0.09132950162156366</v>
      </c>
      <c r="PX28" s="10" t="n">
        <v>0.1018452801394833</v>
      </c>
      <c r="PY28" s="10" t="n">
        <v>0.1018753677707498</v>
      </c>
      <c r="PZ28" s="10" t="n">
        <v>0.09462273973337645</v>
      </c>
      <c r="QA28" s="10" t="n">
        <v>0.08990515699780484</v>
      </c>
      <c r="QB28" s="10" t="n">
        <v>0.08953620128684266</v>
      </c>
      <c r="QC28" s="10" t="n">
        <v>0.09378135799045592</v>
      </c>
      <c r="QD28" s="10" t="n">
        <v>0.08740381658818504</v>
      </c>
      <c r="QE28" s="10" t="n">
        <v>0.0842936245773967</v>
      </c>
      <c r="QF28" s="10" t="n">
        <v>0.07912843354022703</v>
      </c>
      <c r="QG28" s="10" t="n">
        <v>0.08803901956544348</v>
      </c>
      <c r="QH28" s="10" t="n">
        <v>0.09256528067261936</v>
      </c>
      <c r="QI28" s="10" t="n">
        <v>0.09445392323632353</v>
      </c>
      <c r="QJ28" s="10" t="n">
        <v>0.08870096346541913</v>
      </c>
      <c r="QK28" s="10" t="n">
        <v>0.08396152136128202</v>
      </c>
      <c r="QL28" s="10" t="n">
        <v>0.08308663447110171</v>
      </c>
      <c r="QM28" s="10" t="n">
        <v>0.09251283379939183</v>
      </c>
      <c r="QN28" s="10" t="n">
        <v>0.08568135033186833</v>
      </c>
      <c r="QO28" s="10" t="n">
        <v>0.0815797025665724</v>
      </c>
      <c r="QP28" s="10" t="n">
        <v>0.08159279010153332</v>
      </c>
      <c r="QQ28" s="10" t="n">
        <v>0.08512933317597107</v>
      </c>
      <c r="QR28" s="10" t="n">
        <v>0.09043267843426449</v>
      </c>
      <c r="QS28" s="10" t="n">
        <v>0.08989933623211858</v>
      </c>
      <c r="QT28" s="10" t="n">
        <v>0.08207335893078577</v>
      </c>
      <c r="QU28" s="10" t="n">
        <v>0.0811814947751026</v>
      </c>
      <c r="QV28" s="10" t="n">
        <v>0.0807175041856605</v>
      </c>
      <c r="QW28" s="10" t="n">
        <v>0.08051962944118098</v>
      </c>
      <c r="QX28" s="10" t="n">
        <v>0.08782540806989092</v>
      </c>
      <c r="QY28" s="10" t="n">
        <v>0.0860712246071673</v>
      </c>
      <c r="QZ28" s="10" t="n">
        <v>0.08826709757660305</v>
      </c>
      <c r="RA28" s="10" t="n">
        <v>0.08917120124208404</v>
      </c>
      <c r="RB28" s="10" t="n">
        <v>0.08344050304897102</v>
      </c>
      <c r="RC28" s="10" t="n">
        <v>0.08579231408072045</v>
      </c>
      <c r="RD28" s="10" t="n">
        <v>0.08717022864552684</v>
      </c>
      <c r="RE28" s="10" t="n">
        <v>0.07409163554916612</v>
      </c>
      <c r="RF28" s="10" t="n">
        <v>0.1432266900092695</v>
      </c>
      <c r="RG28" s="10">
        <f>((RG11*RG12)+(RG13*RG14)+(RG15*RG16)+(RG17*RG18)+(RG19*RG20)+(RG21*RG22)+(RG23*RG24)+(RG25*RG26))/RG27</f>
        <v/>
      </c>
      <c r="RH28" s="10" t="n">
        <v>0.08712616859601606</v>
      </c>
      <c r="RI28" s="10" t="n">
        <v>0.08721757371220464</v>
      </c>
      <c r="RJ28" s="10" t="n">
        <v>0.08646359167910127</v>
      </c>
      <c r="RK28" s="10" t="n">
        <v>0.07558807805897252</v>
      </c>
      <c r="RL28" s="10" t="n">
        <v>0.08378155356922355</v>
      </c>
      <c r="RM28" s="10" t="n">
        <v>0.08205074924559441</v>
      </c>
      <c r="RN28" s="10" t="n">
        <v>0.08165962038358206</v>
      </c>
      <c r="RO28" s="10" t="n">
        <v>0.08157874968464587</v>
      </c>
      <c r="RP28" s="10" t="n">
        <v>0.08324274811142582</v>
      </c>
      <c r="RQ28" s="10" t="n">
        <v>0.08366055690474464</v>
      </c>
      <c r="RR28" s="10" t="n">
        <v>0.08025136598486407</v>
      </c>
      <c r="RS28" s="10" t="n">
        <v>0.08311512745568295</v>
      </c>
      <c r="RT28" s="10" t="n">
        <v>0.08286993971389046</v>
      </c>
      <c r="RU28" s="10" t="n">
        <v>0.08353914241063212</v>
      </c>
      <c r="RV28" s="10" t="n">
        <v>0.08261574758523925</v>
      </c>
      <c r="RW28" s="10" t="n">
        <v>0.08806687901180242</v>
      </c>
      <c r="RX28" s="10" t="n">
        <v>0.08889100532674442</v>
      </c>
      <c r="RY28" s="10" t="n">
        <v>0.08892093962835279</v>
      </c>
      <c r="RZ28" s="10" t="n">
        <v>0.08680308126056846</v>
      </c>
      <c r="SA28" s="10" t="n">
        <v>0.09130789311165202</v>
      </c>
      <c r="SB28" s="10" t="n">
        <v>0.09321925982245226</v>
      </c>
      <c r="SC28" s="10" t="n">
        <v>0.0945951875056795</v>
      </c>
      <c r="SD28" s="10" t="n">
        <v>0.09430830669205645</v>
      </c>
      <c r="SE28" s="10" t="n">
        <v>0.09420194915519363</v>
      </c>
      <c r="SF28" s="10">
        <f>((SF11*SF12)+(SF13*SF14)+(SF15*SF16)+(SF17*SF18)+(SF19*SF20)+(SF21*SF22)+(SF23*SF24)+(SF25*SF26))/SF27</f>
        <v/>
      </c>
      <c r="SG28" s="10" t="n">
        <v>0.0948941902615402</v>
      </c>
      <c r="SH28" s="10" t="n">
        <v>0.09570469272863748</v>
      </c>
      <c r="SI28" s="10" t="n">
        <v>0.09667304276725665</v>
      </c>
      <c r="SJ28" s="10" t="n">
        <v>0.09668827990988121</v>
      </c>
      <c r="SK28" s="10" t="n">
        <v>0.09777779352448515</v>
      </c>
      <c r="SL28" s="10" t="n">
        <v>0.09618353579148094</v>
      </c>
      <c r="SM28" s="10" t="n">
        <v>0.09843444663842935</v>
      </c>
      <c r="SN28" s="10" t="n">
        <v>0.0988012012585063</v>
      </c>
      <c r="SO28" s="10" t="n">
        <v>0.05860147712336961</v>
      </c>
      <c r="SP28" s="10" t="n">
        <v>0.05024819219694556</v>
      </c>
      <c r="SQ28" s="10" t="n">
        <v>0.05584676012914961</v>
      </c>
      <c r="SR28" s="10" t="n">
        <v>0.07392135383686223</v>
      </c>
      <c r="SS28" s="10" t="n">
        <v>0.08172746630483864</v>
      </c>
      <c r="ST28" s="10" t="n">
        <v>0.08495452863418661</v>
      </c>
      <c r="SU28" s="10" t="n">
        <v>0.07518058190887909</v>
      </c>
      <c r="SV28" s="10" t="n">
        <v>0.08314918057500821</v>
      </c>
      <c r="SW28" s="10" t="n">
        <v>0.07749954635970251</v>
      </c>
      <c r="SX28" s="10" t="n">
        <v>0.09259788042558471</v>
      </c>
      <c r="SY28" s="10" t="n">
        <v>0.09113364677853858</v>
      </c>
      <c r="SZ28" s="10" t="n">
        <v>0.0899280972088401</v>
      </c>
      <c r="TA28" s="10" t="n">
        <v>0.08932591538016471</v>
      </c>
      <c r="TB28" s="10" t="n">
        <v>0.080474219704707</v>
      </c>
      <c r="TC28" s="10" t="n">
        <v>0.08184394532151397</v>
      </c>
      <c r="TD28" s="10" t="n">
        <v>0.08989676098870185</v>
      </c>
      <c r="TE28" s="10">
        <f>((TE11*TE12)+(TE13*TE14)+(TE15*TE16)+(TE17*TE18)+(TE19*TE20)+(TE21*TE22)+(TE23*TE24)+(TE25*TE26))/TE27</f>
        <v/>
      </c>
      <c r="TF28" s="10" t="n">
        <v>0.083074519901458</v>
      </c>
      <c r="TG28" s="10" t="n">
        <v>0.08119005149165878</v>
      </c>
      <c r="TH28" s="10" t="n">
        <v>0.0809957231589135</v>
      </c>
      <c r="TI28" s="10" t="n">
        <v>0.08666316375713405</v>
      </c>
      <c r="TJ28" s="10" t="n">
        <v>0.0876010661782253</v>
      </c>
      <c r="TK28" s="10" t="n">
        <v>0.08233473613661792</v>
      </c>
      <c r="TL28" s="10" t="n">
        <v>0.08235575634843385</v>
      </c>
      <c r="TM28" s="10" t="n">
        <v>0.08553045310702515</v>
      </c>
      <c r="TN28" s="10" t="n">
        <v>0.08484896540446259</v>
      </c>
      <c r="TO28" s="10" t="n">
        <v>0.08484810851062102</v>
      </c>
      <c r="TP28" s="10" t="n">
        <v>0.08470190707802</v>
      </c>
      <c r="TQ28" s="10" t="n">
        <v>0.08289536234157983</v>
      </c>
      <c r="TR28" s="10" t="n">
        <v>0.08469273424981485</v>
      </c>
      <c r="TS28" s="10" t="n">
        <v>0.08446392465629363</v>
      </c>
      <c r="TT28" s="10" t="n">
        <v>0.08389556896428967</v>
      </c>
      <c r="TU28" s="10" t="n">
        <v>0.08672266208589562</v>
      </c>
      <c r="TV28" s="10" t="n">
        <v>0.08465731046403825</v>
      </c>
      <c r="TW28" s="10" t="n">
        <v>0.08248229723199338</v>
      </c>
      <c r="TX28" s="10" t="n">
        <v>0.08234811223558175</v>
      </c>
      <c r="TY28" s="10" t="n">
        <v>0.08052303722170488</v>
      </c>
      <c r="TZ28" s="10" t="n">
        <v>0.07851770644163382</v>
      </c>
      <c r="UA28" s="10" t="n">
        <v>0.07947926547220632</v>
      </c>
      <c r="UB28" s="10" t="n">
        <v>0.07834306303081587</v>
      </c>
      <c r="UC28" s="10" t="n">
        <v>0.08728517107141086</v>
      </c>
      <c r="UD28" s="10" t="n">
        <v>0.09674484521777134</v>
      </c>
      <c r="UE28" s="10" t="n">
        <v>0.09709675575378393</v>
      </c>
      <c r="UF28" s="10" t="n">
        <v>0.09625260558897034</v>
      </c>
      <c r="UG28" s="10" t="n">
        <v>0.09591039887636633</v>
      </c>
      <c r="UH28" s="10" t="n">
        <v>0.09394569851265243</v>
      </c>
      <c r="UI28" s="10" t="n">
        <v>0.09427827452365602</v>
      </c>
      <c r="UJ28" s="10" t="n">
        <v>0.1084229949497219</v>
      </c>
      <c r="UK28" s="10" t="n">
        <v>0.104790213134021</v>
      </c>
      <c r="UL28" s="10" t="n">
        <v>0.0987767638438163</v>
      </c>
      <c r="UM28" s="10" t="n">
        <v>0.1058582408273306</v>
      </c>
      <c r="UN28" s="10" t="n">
        <v>0.1000709077476816</v>
      </c>
      <c r="UO28" s="10" t="n">
        <v>0.118575052920436</v>
      </c>
      <c r="UP28" s="10" t="n">
        <v>0.09644558598708801</v>
      </c>
      <c r="UQ28" s="10" t="n">
        <v>0.09733145164751671</v>
      </c>
      <c r="UR28" s="10" t="n">
        <v>0.09369915737999257</v>
      </c>
      <c r="US28" s="10" t="n">
        <v>0.09826300016102991</v>
      </c>
      <c r="UT28" s="10" t="n">
        <v>0.09833926858823887</v>
      </c>
      <c r="UU28" s="10" t="n">
        <v>0.09792386534182829</v>
      </c>
      <c r="UV28" s="10" t="n">
        <v>0.1156816529754697</v>
      </c>
      <c r="UW28" s="10" t="n">
        <v>0.09818523342015067</v>
      </c>
      <c r="UX28" s="10" t="n">
        <v>0.09484423596788955</v>
      </c>
      <c r="UY28" s="10" t="n">
        <v>0.09611626246036067</v>
      </c>
      <c r="UZ28" s="10" t="n">
        <v>0.09135511138219661</v>
      </c>
      <c r="VA28" s="10" t="n">
        <v>0.0860021244223895</v>
      </c>
      <c r="VB28" s="10" t="n">
        <v>0.097438363468852</v>
      </c>
      <c r="VC28" s="10" t="n">
        <v>0.08766932151400823</v>
      </c>
      <c r="VD28" s="10" t="n">
        <v>0.09632361639126014</v>
      </c>
      <c r="VE28" s="10" t="n">
        <v>0.1061600773567924</v>
      </c>
      <c r="VF28" s="10" t="n">
        <v>0.09595250186400979</v>
      </c>
      <c r="VG28" s="10" t="n">
        <v>0.0952211911629845</v>
      </c>
      <c r="VH28" s="10" t="n">
        <v>0.09432878040375266</v>
      </c>
      <c r="VI28" s="10" t="n">
        <v>0.09856710358132642</v>
      </c>
      <c r="VJ28" s="10">
        <f>((VJ11*VJ12)+(VJ13*VJ14)+(VJ15*VJ16)+(VJ17*VJ18)+(VJ19*VJ20)+(VJ21*VJ22)+(VJ23*VJ24)+(VJ25*VJ26))/VJ27</f>
        <v/>
      </c>
      <c r="VK28" s="10" t="n">
        <v>0.09469216605151279</v>
      </c>
      <c r="VL28" s="10" t="n">
        <v>0.09401539943064162</v>
      </c>
      <c r="VM28" s="10" t="n">
        <v>0.1047914979594573</v>
      </c>
      <c r="VN28" s="10" t="n">
        <v>0.1117282017070961</v>
      </c>
      <c r="VO28" s="10" t="n">
        <v>0.1127759364922493</v>
      </c>
      <c r="VP28" s="10" t="n">
        <v>0.1126110283694166</v>
      </c>
      <c r="VQ28" s="10" t="n">
        <v>0.105608468386358</v>
      </c>
      <c r="VR28" s="10" t="n">
        <v>0.1082593598094503</v>
      </c>
      <c r="VS28" s="10" t="n">
        <v>0.1074253539977463</v>
      </c>
      <c r="VT28" s="10" t="n">
        <v>0.1093228822405213</v>
      </c>
      <c r="VU28" s="10" t="n">
        <v>0.1078408947576868</v>
      </c>
      <c r="VV28" s="10" t="n">
        <v>0.1606204050320452</v>
      </c>
      <c r="VW28" s="10" t="n">
        <v>0.1059338898601039</v>
      </c>
      <c r="VX28" s="10" t="n">
        <v>0.09682022392602771</v>
      </c>
      <c r="VY28" s="10" t="n">
        <v>0.0925661036471425</v>
      </c>
      <c r="VZ28" s="10" t="n">
        <v>0.09561923079412998</v>
      </c>
      <c r="WA28" s="10" t="n">
        <v>0.09459566089842936</v>
      </c>
      <c r="WB28" s="10" t="n">
        <v>0.1111869234674935</v>
      </c>
      <c r="WC28" s="10" t="n">
        <v>0.1131971013315883</v>
      </c>
      <c r="WD28" s="10" t="n">
        <v>0.09650349243072989</v>
      </c>
      <c r="WE28" s="10" t="n">
        <v>0.08592234194042228</v>
      </c>
      <c r="WF28" s="10" t="n">
        <v>0.06419626745785259</v>
      </c>
      <c r="WG28" s="10" t="n">
        <v>0.0705975009475955</v>
      </c>
      <c r="WH28" s="10" t="n">
        <v>0.09415304452086387</v>
      </c>
      <c r="WI28" s="10" t="n">
        <v>0.0727330635327527</v>
      </c>
      <c r="WJ28" s="10" t="n">
        <v>0.07111878394789722</v>
      </c>
      <c r="WK28" s="10" t="n">
        <v>0.09192491475611998</v>
      </c>
      <c r="WL28" s="10" t="n">
        <v>0.08844812753350031</v>
      </c>
      <c r="WM28" s="10" t="n">
        <v>0.08947609906368675</v>
      </c>
      <c r="WN28" s="10" t="n">
        <v>0.07999559402949251</v>
      </c>
      <c r="WO28" s="10" t="n">
        <v>0.09382089699364066</v>
      </c>
      <c r="WP28" s="10" t="n">
        <v>0.08936395580514091</v>
      </c>
      <c r="WQ28" s="10" t="n">
        <v>0.09116047475628355</v>
      </c>
      <c r="WR28" s="10">
        <f>((WR11*WR12)+(WR13*WR14)+(WR15*WR16)+(WR17*WR18)+(WR19*WR20)+(WR21*WR22)+(WR23*WR24)+(WR25*WR26))/WR27</f>
        <v/>
      </c>
      <c r="WS28" s="10" t="n">
        <v>0.09298544543873803</v>
      </c>
      <c r="WT28" s="10" t="n">
        <v>0.05991495834675845</v>
      </c>
      <c r="WU28" s="10" t="n">
        <v>0.07157744950874953</v>
      </c>
      <c r="WV28" s="10" t="n">
        <v>0.07113004669914065</v>
      </c>
      <c r="WW28" s="10" t="n">
        <v>0.06728172469543772</v>
      </c>
      <c r="WX28" s="10" t="n">
        <v>0.07545013291079039</v>
      </c>
      <c r="WY28" s="10" t="n">
        <v>0.07565647903041471</v>
      </c>
      <c r="WZ28" s="10" t="n">
        <v>0.08001608983243778</v>
      </c>
      <c r="XA28" s="10" t="n">
        <v>0.07597955353446045</v>
      </c>
      <c r="XB28" s="10" t="n">
        <v>0.07419631329467673</v>
      </c>
      <c r="XC28" s="10" t="n">
        <v>0.0915359969864621</v>
      </c>
      <c r="XD28" s="10" t="n">
        <v>0.090869758211662</v>
      </c>
      <c r="XE28" s="10" t="n">
        <v>0.08143555746036557</v>
      </c>
      <c r="XF28" s="10" t="n">
        <v>0.06666356039009363</v>
      </c>
      <c r="XG28" s="10" t="n">
        <v>0.1286583019133522</v>
      </c>
      <c r="XH28" s="10" t="n">
        <v>0.07591804263052562</v>
      </c>
      <c r="XI28" s="10" t="n">
        <v>0.08526891705026575</v>
      </c>
      <c r="XJ28" s="10" t="n">
        <v>0.07254930542308367</v>
      </c>
      <c r="XK28" s="10" t="n">
        <v>0.08197226863743712</v>
      </c>
      <c r="XL28" s="10" t="n">
        <v>0.08276993429079944</v>
      </c>
      <c r="XM28" s="10" t="n">
        <v>0.06555252439808024</v>
      </c>
      <c r="XN28" s="10" t="n">
        <v>0.07706751339987372</v>
      </c>
      <c r="XO28" s="10" t="n">
        <v>0.08872646265910021</v>
      </c>
      <c r="XP28" s="10" t="n">
        <v>0.08465345620485741</v>
      </c>
      <c r="XQ28" s="10" t="n">
        <v>0.08697962637256211</v>
      </c>
      <c r="XR28" s="10" t="n">
        <v>0.08643427799622677</v>
      </c>
      <c r="XS28" s="10" t="n">
        <v>0.08296323944477911</v>
      </c>
      <c r="XT28" s="10">
        <f>((XT11*XT12)+(XT13*XT14)+(XT15*XT16)+(XT17*XT18)+(XT19*XT20)+(XT21*XT22)+(XT23*XT24)+(XT25*XT26))/XT27</f>
        <v/>
      </c>
      <c r="XU28" s="10" t="n">
        <v>0.08632646805055293</v>
      </c>
      <c r="XV28" s="10" t="n">
        <v>0.08566139804035305</v>
      </c>
      <c r="XW28" s="10" t="n">
        <v>0.106930022179514</v>
      </c>
      <c r="XX28" s="10" t="n">
        <v>0.08357896386314645</v>
      </c>
      <c r="XY28" s="10" t="n">
        <v>0.09959143060732632</v>
      </c>
      <c r="XZ28" s="10" t="n">
        <v>0.09457189785423853</v>
      </c>
      <c r="YA28" s="10" t="n">
        <v>0.09435901166057424</v>
      </c>
      <c r="YB28" s="10" t="n">
        <v>0.09123907649087692</v>
      </c>
      <c r="YC28" s="10" t="n">
        <v>0.09638559401764983</v>
      </c>
      <c r="YD28" s="10" t="n">
        <v>0.1128885290935055</v>
      </c>
      <c r="YE28" s="10" t="n">
        <v>0.1031920772589568</v>
      </c>
      <c r="YF28" s="10" t="n">
        <v>0.08170633389318153</v>
      </c>
      <c r="YG28" s="10" t="n">
        <v>0.1066528601494406</v>
      </c>
      <c r="YH28" s="10" t="n">
        <v>0.1045797071480201</v>
      </c>
      <c r="YI28" s="10" t="n">
        <v>0.09397982372475822</v>
      </c>
      <c r="YJ28" s="10" t="n">
        <v>0.106377314307554</v>
      </c>
      <c r="YK28" s="10" t="n">
        <v>0.1026558526676498</v>
      </c>
      <c r="YL28" s="10" t="n">
        <v>0.08428240786869494</v>
      </c>
      <c r="YM28" s="10">
        <f>((YM11*YM12)+(YM13*YM14)+(YM15*YM16)+(YM17*YM18)+(YM19*YM20)+(YM21*YM22)+(YM23*YM24)+(YM25*YM26))/YM27</f>
        <v/>
      </c>
      <c r="YN28" s="10" t="n">
        <v>0.06409837174591096</v>
      </c>
      <c r="YO28" s="10" t="n">
        <v>0.06287419200726421</v>
      </c>
      <c r="YP28" s="10" t="n">
        <v>0.1104526712166459</v>
      </c>
      <c r="YQ28" s="10" t="n">
        <v>0.1063764120981139</v>
      </c>
      <c r="YR28" s="10" t="n">
        <v>0.1095683012204013</v>
      </c>
      <c r="YS28" s="10" t="n">
        <v>0.09998363236994835</v>
      </c>
      <c r="YT28" s="10" t="n">
        <v>0.1147472761574884</v>
      </c>
      <c r="YU28" s="10" t="n">
        <v>0.1119671405536345</v>
      </c>
      <c r="YV28" s="10" t="n">
        <v>0.1157545795736188</v>
      </c>
      <c r="YW28" s="10" t="n">
        <v>0.1117098294495669</v>
      </c>
      <c r="YX28" s="10" t="n">
        <v>0.1077217205622918</v>
      </c>
      <c r="YY28" s="10" t="n">
        <v>0.1160226891247062</v>
      </c>
      <c r="YZ28" s="10" t="n">
        <v>0.07227406820794297</v>
      </c>
      <c r="ZA28" s="10" t="n">
        <v>0.1122299512112268</v>
      </c>
      <c r="ZB28" s="10" t="n">
        <v>0.09687170791012828</v>
      </c>
      <c r="ZC28" s="10" t="n">
        <v>0.1020141292439551</v>
      </c>
      <c r="ZD28" s="10" t="n">
        <v>0.09684394541276736</v>
      </c>
      <c r="ZE28" s="10" t="n">
        <v>0.09916017697214914</v>
      </c>
      <c r="ZF28" s="1465">
        <f>((ZF11*ZF12)+(ZF13*ZF14)+(ZF15*ZF16)+(ZF17*ZF18)+(ZF19*ZF20)+(ZF21*ZF22)+(ZF23*ZF24)+(ZF25*ZF26))/ZF27</f>
        <v/>
      </c>
    </row>
    <row r="29">
      <c r="A29" s="1324" t="inlineStr">
        <is>
          <t>Promissory note  (Equivalent  to USD)</t>
        </is>
      </c>
      <c r="B29" s="1424" t="n"/>
      <c r="C29" s="1425" t="n"/>
      <c r="D29" s="1463">
        <f>+D13+D15+D17+D19+D21+D27</f>
        <v/>
      </c>
      <c r="E29" s="1463">
        <f>+E13+E15+E17+E19+E21+E27</f>
        <v/>
      </c>
      <c r="F29" s="1463">
        <f>+F13+F15+F17+F19+F21+F27</f>
        <v/>
      </c>
      <c r="G29" s="1463">
        <f>+G13+G15+G17+G19+G21+G27</f>
        <v/>
      </c>
      <c r="H29" s="1463">
        <f>+H13+H15+H17+H19+H21+H27</f>
        <v/>
      </c>
      <c r="I29" s="1463">
        <f>+I13+I15+I17+I19+I21+I27</f>
        <v/>
      </c>
      <c r="J29" s="1463">
        <f>4500/J7</f>
        <v/>
      </c>
      <c r="K29" s="1463">
        <f>4500/K7</f>
        <v/>
      </c>
      <c r="L29" s="1463">
        <f>4500/L7</f>
        <v/>
      </c>
      <c r="M29" s="1463">
        <f>4500/M7</f>
        <v/>
      </c>
      <c r="N29" s="1463">
        <f>4500/N7</f>
        <v/>
      </c>
      <c r="O29" s="1463">
        <f>4500/O7</f>
        <v/>
      </c>
      <c r="P29" s="1463">
        <f>4500/P7</f>
        <v/>
      </c>
      <c r="Q29" s="1463">
        <f>4500/Q7</f>
        <v/>
      </c>
      <c r="R29" s="1463">
        <f>4500/R7</f>
        <v/>
      </c>
      <c r="S29" s="1463">
        <f>4500/S7</f>
        <v/>
      </c>
      <c r="T29" s="1463">
        <f>4500/T7</f>
        <v/>
      </c>
      <c r="U29" s="1463">
        <f>4500/U7</f>
        <v/>
      </c>
      <c r="V29" s="1463">
        <f>4500/V7</f>
        <v/>
      </c>
      <c r="W29" s="1463">
        <f>4500/W7</f>
        <v/>
      </c>
      <c r="X29" s="1463">
        <f>4500/X7</f>
        <v/>
      </c>
      <c r="Y29" s="1463">
        <f>4500/Y7</f>
        <v/>
      </c>
      <c r="Z29" s="1463">
        <f>4500/Z7</f>
        <v/>
      </c>
      <c r="AA29" s="1463">
        <f>4500/AA7</f>
        <v/>
      </c>
      <c r="AB29" s="1463">
        <f>4500/AB7</f>
        <v/>
      </c>
      <c r="AC29" s="1463">
        <f>4500/AC7</f>
        <v/>
      </c>
      <c r="AD29" s="1463">
        <f>4500/AD7</f>
        <v/>
      </c>
      <c r="AE29" s="1463">
        <f>4500/AE7</f>
        <v/>
      </c>
      <c r="AF29" s="1463">
        <f>4500/AF7</f>
        <v/>
      </c>
      <c r="AG29" s="1463">
        <f>4500/AG7</f>
        <v/>
      </c>
      <c r="AH29" s="1463">
        <f>4500/AH7</f>
        <v/>
      </c>
      <c r="AI29" s="1463">
        <f>4500/AI7</f>
        <v/>
      </c>
      <c r="AJ29" s="1463">
        <f>4500/AJ7</f>
        <v/>
      </c>
      <c r="AK29" s="1463">
        <f>4500/AK7</f>
        <v/>
      </c>
      <c r="AL29" s="1463">
        <f>4500/AL7</f>
        <v/>
      </c>
      <c r="AM29" s="1463">
        <f>4500/AM7</f>
        <v/>
      </c>
      <c r="AN29" s="1463">
        <f>4500/AN7</f>
        <v/>
      </c>
      <c r="AO29" s="1463">
        <f>4500/AO7</f>
        <v/>
      </c>
      <c r="AP29" s="1463">
        <f>4500/AP7</f>
        <v/>
      </c>
      <c r="AQ29" s="1463">
        <f>4500/AQ7</f>
        <v/>
      </c>
      <c r="AR29" s="1463">
        <f>4500/AR7</f>
        <v/>
      </c>
      <c r="AS29" s="1463">
        <f>4500/AS7</f>
        <v/>
      </c>
      <c r="AT29" s="1463">
        <f>4500/AT7</f>
        <v/>
      </c>
      <c r="AU29" s="1463">
        <f>4500/AU7</f>
        <v/>
      </c>
      <c r="AV29" s="1463">
        <f>4500/AV7</f>
        <v/>
      </c>
      <c r="AW29" s="1463">
        <f>4500/AW7</f>
        <v/>
      </c>
      <c r="AX29" s="1463">
        <f>4500/AX7</f>
        <v/>
      </c>
      <c r="AY29" s="1463">
        <f>4500/AY7</f>
        <v/>
      </c>
      <c r="AZ29" s="1463">
        <f>4500/AZ7</f>
        <v/>
      </c>
      <c r="BA29" s="1463">
        <f>4500/BA7</f>
        <v/>
      </c>
      <c r="BB29" s="1463">
        <f>4500/BB7</f>
        <v/>
      </c>
      <c r="BC29" s="1463">
        <f>4500/BC7</f>
        <v/>
      </c>
      <c r="BD29" s="1463">
        <f>4500/BD7</f>
        <v/>
      </c>
      <c r="BE29" s="1463">
        <f>4500/BE7</f>
        <v/>
      </c>
      <c r="BF29" s="1463">
        <f>4500/BF7</f>
        <v/>
      </c>
      <c r="BG29" s="1463">
        <f>4500/BG7</f>
        <v/>
      </c>
      <c r="BH29" s="1463">
        <f>4500/BH7</f>
        <v/>
      </c>
      <c r="BI29" s="1463">
        <f>4500/BI7</f>
        <v/>
      </c>
      <c r="BJ29" s="1463">
        <f>4500/BJ7</f>
        <v/>
      </c>
      <c r="BK29" s="1463">
        <f>4500/BK7</f>
        <v/>
      </c>
      <c r="BL29" s="1463">
        <f>4500/BL7</f>
        <v/>
      </c>
      <c r="BM29" s="1463">
        <f>4500/BM7</f>
        <v/>
      </c>
      <c r="BN29" s="1463">
        <f>4500/BN7</f>
        <v/>
      </c>
      <c r="BO29" s="1463">
        <f>4500/BO7</f>
        <v/>
      </c>
      <c r="BP29" s="1463">
        <f>4500/BP7</f>
        <v/>
      </c>
      <c r="BQ29" s="1463">
        <f>4500/BQ7</f>
        <v/>
      </c>
      <c r="BR29" s="1463">
        <f>4500/BR7</f>
        <v/>
      </c>
      <c r="BS29" s="1463">
        <f>4500/BS7</f>
        <v/>
      </c>
      <c r="BT29" s="1463">
        <f>4500/BT7</f>
        <v/>
      </c>
      <c r="BU29" s="1463">
        <f>4500/BU7</f>
        <v/>
      </c>
      <c r="BV29" s="1463">
        <f>4500/BV7</f>
        <v/>
      </c>
      <c r="BW29" s="1463">
        <f>4500/BW7</f>
        <v/>
      </c>
      <c r="BX29" s="1463">
        <f>4500/BX7</f>
        <v/>
      </c>
      <c r="BY29" s="1463">
        <f>4500/BY7</f>
        <v/>
      </c>
      <c r="BZ29" s="1463">
        <f>4500/BZ7</f>
        <v/>
      </c>
      <c r="CA29" s="1463">
        <f>4500/CA7</f>
        <v/>
      </c>
      <c r="CB29" s="1463">
        <f>4500/CB7</f>
        <v/>
      </c>
      <c r="CC29" s="1463">
        <f>4500/CC7</f>
        <v/>
      </c>
      <c r="CD29" s="1463">
        <f>4500/CD7</f>
        <v/>
      </c>
      <c r="CE29" s="1463">
        <f>4500/CE7</f>
        <v/>
      </c>
      <c r="CF29" s="1463">
        <f>4500/CF7</f>
        <v/>
      </c>
      <c r="CG29" s="1463">
        <f>4500/CG7</f>
        <v/>
      </c>
      <c r="CH29" s="1463">
        <f>4500/CH7</f>
        <v/>
      </c>
      <c r="CI29" s="1463">
        <f>4500/CI7</f>
        <v/>
      </c>
      <c r="CJ29" s="1463">
        <f>4500/CJ7</f>
        <v/>
      </c>
      <c r="CK29" s="1463">
        <f>4500/CK7</f>
        <v/>
      </c>
      <c r="CL29" s="1463">
        <f>4500/CL7</f>
        <v/>
      </c>
      <c r="CM29" s="1463">
        <f>4500/CM7</f>
        <v/>
      </c>
      <c r="CN29" s="1463">
        <f>4500/CN7</f>
        <v/>
      </c>
      <c r="CO29" s="1463">
        <f>4500/CO7</f>
        <v/>
      </c>
      <c r="CP29" s="1463">
        <f>4500/CP7</f>
        <v/>
      </c>
      <c r="CQ29" s="1463">
        <f>4500/CQ7</f>
        <v/>
      </c>
      <c r="CR29" s="1463">
        <f>4500/CR7</f>
        <v/>
      </c>
      <c r="CS29" s="1463">
        <f>4500/CS7</f>
        <v/>
      </c>
      <c r="CT29" s="1463">
        <f>4500/CT7</f>
        <v/>
      </c>
      <c r="CU29" s="1463">
        <f>4500/CU7</f>
        <v/>
      </c>
      <c r="CV29" s="1463">
        <f>4500/CV7</f>
        <v/>
      </c>
      <c r="CW29" s="1463">
        <f>4500/CW7</f>
        <v/>
      </c>
      <c r="CX29" s="1463">
        <f>4500/CX7</f>
        <v/>
      </c>
      <c r="CY29" s="1463">
        <f>4500/CY7</f>
        <v/>
      </c>
      <c r="CZ29" s="1463">
        <f>4500/CZ7</f>
        <v/>
      </c>
      <c r="DA29" s="1463">
        <f>4500/DA7</f>
        <v/>
      </c>
      <c r="DB29" s="1463">
        <f>4500/DB7</f>
        <v/>
      </c>
      <c r="DC29" s="1463">
        <f>4500/DC7</f>
        <v/>
      </c>
      <c r="DD29" s="1463">
        <f>4500/DD7</f>
        <v/>
      </c>
      <c r="DE29" s="1463">
        <f>4500/DE7</f>
        <v/>
      </c>
      <c r="DF29" s="1463">
        <f>4500/DF7</f>
        <v/>
      </c>
      <c r="DG29" s="1463">
        <f>4500/DG7</f>
        <v/>
      </c>
      <c r="DH29" s="1463">
        <f>4500/DH7</f>
        <v/>
      </c>
      <c r="DI29" s="1463">
        <f>4500/DI7</f>
        <v/>
      </c>
      <c r="DJ29" s="1463">
        <f>4500/DJ7</f>
        <v/>
      </c>
      <c r="DK29" s="1463">
        <f>4500/DK7</f>
        <v/>
      </c>
      <c r="DL29" s="1463">
        <f>4500/DL7</f>
        <v/>
      </c>
      <c r="DM29" s="1463">
        <f>4500/DM7</f>
        <v/>
      </c>
      <c r="DN29" s="1463">
        <f>4500/DN7</f>
        <v/>
      </c>
      <c r="DO29" s="1463">
        <f>4500/DO7</f>
        <v/>
      </c>
      <c r="DP29" s="1463">
        <f>4500/DP7</f>
        <v/>
      </c>
      <c r="DQ29" s="1463">
        <f>4500/DQ7</f>
        <v/>
      </c>
      <c r="DR29" s="1463">
        <f>4500/DR7</f>
        <v/>
      </c>
      <c r="DS29" s="1463">
        <f>4500/DS7</f>
        <v/>
      </c>
      <c r="DT29" s="1463">
        <f>4500/DT7</f>
        <v/>
      </c>
      <c r="DU29" s="1463">
        <f>4500/DU7</f>
        <v/>
      </c>
      <c r="DV29" s="1463">
        <f>4500/DV7</f>
        <v/>
      </c>
      <c r="DW29" s="1463">
        <f>4500/DW7</f>
        <v/>
      </c>
      <c r="DX29" s="1463">
        <f>4500/DX7</f>
        <v/>
      </c>
      <c r="DY29" s="1463">
        <f>4500/DY7</f>
        <v/>
      </c>
      <c r="DZ29" s="1463">
        <f>4500/DZ7</f>
        <v/>
      </c>
      <c r="EA29" s="1463">
        <f>4500/EA7</f>
        <v/>
      </c>
      <c r="EB29" s="1463">
        <f>4500/EB7</f>
        <v/>
      </c>
      <c r="EC29" s="1463">
        <f>4500/EC7</f>
        <v/>
      </c>
      <c r="ED29" s="1463">
        <f>4500/ED7</f>
        <v/>
      </c>
      <c r="EE29" s="1463">
        <f>4500/EE7</f>
        <v/>
      </c>
      <c r="EF29" s="1463">
        <f>4500/EF7</f>
        <v/>
      </c>
      <c r="EG29" s="1463">
        <f>4500/EG7</f>
        <v/>
      </c>
      <c r="EH29" s="1463">
        <f>4500/EH7</f>
        <v/>
      </c>
      <c r="EI29" s="1463">
        <f>4500/EI7</f>
        <v/>
      </c>
      <c r="EJ29" s="1463">
        <f>4500/EJ7</f>
        <v/>
      </c>
      <c r="EK29" s="1463">
        <f>4500/EK7</f>
        <v/>
      </c>
      <c r="EL29" s="1463">
        <f>4500/EL7</f>
        <v/>
      </c>
      <c r="EM29" s="1463">
        <f>4500/EM7</f>
        <v/>
      </c>
      <c r="EN29" s="1463">
        <f>4500/EN7</f>
        <v/>
      </c>
      <c r="EO29" s="1463">
        <f>4500/EO7</f>
        <v/>
      </c>
      <c r="EP29" s="1463">
        <f>4500/EP7</f>
        <v/>
      </c>
      <c r="EQ29" s="1463">
        <f>4500/EQ7</f>
        <v/>
      </c>
      <c r="ER29" s="1463">
        <f>4500/ER7</f>
        <v/>
      </c>
      <c r="ES29" s="1463">
        <f>4500/ES7</f>
        <v/>
      </c>
      <c r="ET29" s="1463">
        <f>4500/ET7</f>
        <v/>
      </c>
      <c r="EU29" s="1463">
        <f>4500/EU7</f>
        <v/>
      </c>
      <c r="EV29" s="1463">
        <f>4500/EV7</f>
        <v/>
      </c>
      <c r="EW29" s="1463">
        <f>4500/EW7</f>
        <v/>
      </c>
      <c r="EX29" s="1463">
        <f>4500/EX7</f>
        <v/>
      </c>
      <c r="EY29" s="1463">
        <f>4500/EY7</f>
        <v/>
      </c>
      <c r="EZ29" s="1463">
        <f>4500/EZ7</f>
        <v/>
      </c>
      <c r="FA29" s="1463">
        <f>4500/FA7</f>
        <v/>
      </c>
      <c r="FB29" s="1463">
        <f>4500/FB7</f>
        <v/>
      </c>
      <c r="FC29" s="1463">
        <f>4500/FC7</f>
        <v/>
      </c>
      <c r="FD29" s="1463">
        <f>4500/FD7</f>
        <v/>
      </c>
      <c r="FE29" s="1463">
        <f>4500/FE7</f>
        <v/>
      </c>
      <c r="FF29" s="1463">
        <f>4500/FF7</f>
        <v/>
      </c>
      <c r="FG29" s="1463">
        <f>4500/FG7</f>
        <v/>
      </c>
      <c r="FH29" s="1463">
        <f>4500/FH7</f>
        <v/>
      </c>
      <c r="FI29" s="1463">
        <f>4500/FI7</f>
        <v/>
      </c>
      <c r="FJ29" s="1463">
        <f>4500/FJ7</f>
        <v/>
      </c>
      <c r="FK29" s="1463">
        <f>4500/FK7</f>
        <v/>
      </c>
      <c r="FL29" s="1463">
        <f>4500/FL7</f>
        <v/>
      </c>
      <c r="FM29" s="1463">
        <f>4500/FM7</f>
        <v/>
      </c>
      <c r="FN29" s="1463">
        <f>4500/FN7</f>
        <v/>
      </c>
      <c r="FO29" s="1463">
        <f>4500/FO7</f>
        <v/>
      </c>
      <c r="FP29" s="1463">
        <f>4500/FP7</f>
        <v/>
      </c>
      <c r="FQ29" s="1463">
        <f>4500/FQ7</f>
        <v/>
      </c>
      <c r="FR29" s="1463">
        <f>4500/FR7</f>
        <v/>
      </c>
      <c r="FS29" s="1463">
        <f>4500/FS7</f>
        <v/>
      </c>
      <c r="FT29" s="1463">
        <f>4500/FT7</f>
        <v/>
      </c>
      <c r="FU29" s="1463">
        <f>4500/FU7</f>
        <v/>
      </c>
      <c r="FV29" s="1463">
        <f>4500/FV7</f>
        <v/>
      </c>
      <c r="FW29" s="1463">
        <f>4500/FW7</f>
        <v/>
      </c>
      <c r="FX29" s="1463">
        <f>4500/FX7</f>
        <v/>
      </c>
      <c r="FY29" s="1463">
        <f>4500/FY7</f>
        <v/>
      </c>
      <c r="FZ29" s="1463">
        <f>4500/FZ7</f>
        <v/>
      </c>
      <c r="GA29" s="1463">
        <f>4500/GA7</f>
        <v/>
      </c>
      <c r="GB29" s="1463">
        <f>4500/GB7</f>
        <v/>
      </c>
      <c r="GC29" s="1463">
        <f>4500/GC7</f>
        <v/>
      </c>
      <c r="GD29" s="1463">
        <f>4500/GD7</f>
        <v/>
      </c>
      <c r="GE29" s="1463">
        <f>4500/GE7</f>
        <v/>
      </c>
      <c r="GF29" s="1463">
        <f>4500/GF7</f>
        <v/>
      </c>
      <c r="GG29" s="1463">
        <f>4500/GG7</f>
        <v/>
      </c>
      <c r="GH29" s="1463">
        <f>4500/GH7</f>
        <v/>
      </c>
      <c r="GI29" s="1463">
        <f>4500/GI7</f>
        <v/>
      </c>
      <c r="GJ29" s="1463">
        <f>4500/GJ7</f>
        <v/>
      </c>
      <c r="GK29" s="1463">
        <f>4500/GK7</f>
        <v/>
      </c>
      <c r="GL29" s="1463">
        <f>4500/GL7</f>
        <v/>
      </c>
      <c r="GM29" s="1463">
        <f>4500/GM7</f>
        <v/>
      </c>
      <c r="GN29" s="1463">
        <f>4500/GN7</f>
        <v/>
      </c>
      <c r="GO29" s="1463">
        <f>4500/GO7</f>
        <v/>
      </c>
      <c r="GP29" s="1463">
        <f>4500/GP7</f>
        <v/>
      </c>
      <c r="GQ29" s="1463">
        <f>4500/GQ7</f>
        <v/>
      </c>
      <c r="GR29" s="1463">
        <f>4500/GR7</f>
        <v/>
      </c>
      <c r="GS29" s="1463">
        <f>4500/GS7</f>
        <v/>
      </c>
      <c r="GT29" s="1463">
        <f>4500/GT7</f>
        <v/>
      </c>
      <c r="GU29" s="1463">
        <f>4500/GU7</f>
        <v/>
      </c>
      <c r="GV29" s="1463">
        <f>4500/GV7</f>
        <v/>
      </c>
      <c r="GW29" s="1463">
        <f>4500/GW7</f>
        <v/>
      </c>
      <c r="GX29" s="1463">
        <f>4500/GX7</f>
        <v/>
      </c>
      <c r="GY29" s="1463">
        <f>4500/GY7</f>
        <v/>
      </c>
      <c r="GZ29" s="1463">
        <f>4500/GZ7</f>
        <v/>
      </c>
      <c r="HA29" s="1463">
        <f>4500/HA7</f>
        <v/>
      </c>
      <c r="HB29" s="1463">
        <f>4500/HB7</f>
        <v/>
      </c>
      <c r="HC29" s="1463">
        <f>4500/HC7</f>
        <v/>
      </c>
      <c r="HD29" s="1463">
        <f>4500/HD7</f>
        <v/>
      </c>
      <c r="HE29" s="1463" t="n"/>
      <c r="HF29" s="1463" t="n"/>
      <c r="HG29" s="1463" t="n"/>
      <c r="HH29" s="1463" t="n"/>
      <c r="HI29" s="1463" t="n"/>
      <c r="HJ29" s="1463" t="n"/>
      <c r="HK29" s="1463" t="n"/>
      <c r="HL29" s="1463" t="n"/>
      <c r="HM29" s="1463" t="n"/>
      <c r="HN29" s="1463" t="n"/>
      <c r="HO29" s="1463" t="n"/>
      <c r="HP29" s="1463" t="n"/>
      <c r="HQ29" s="1463" t="n"/>
      <c r="HR29" s="1463" t="n"/>
      <c r="HS29" s="1463" t="n"/>
      <c r="HT29" s="1463" t="n"/>
      <c r="HU29" s="1463" t="n"/>
      <c r="HV29" s="1463" t="n"/>
      <c r="HW29" s="1463" t="n"/>
      <c r="HX29" s="1463" t="n"/>
      <c r="HY29" s="1463" t="n"/>
      <c r="HZ29" s="1463" t="n"/>
      <c r="IA29" s="1463" t="n"/>
      <c r="IB29" s="1463" t="n"/>
      <c r="IC29" s="1463" t="n"/>
      <c r="ID29" s="1463" t="n"/>
      <c r="IE29" s="1463" t="n"/>
      <c r="IF29" s="1463" t="n"/>
      <c r="IG29" s="1463" t="n"/>
      <c r="IH29" s="1463" t="n"/>
      <c r="II29" s="1463" t="n"/>
      <c r="IJ29" s="1463" t="n"/>
      <c r="IK29" s="1463" t="n"/>
      <c r="IL29" s="1463" t="n"/>
      <c r="IM29" s="1463" t="n"/>
      <c r="IN29" s="1463" t="n"/>
      <c r="IO29" s="1463" t="n"/>
      <c r="IP29" s="1463" t="n"/>
      <c r="IQ29" s="1463" t="n"/>
      <c r="IR29" s="1463" t="n"/>
      <c r="IS29" s="1463" t="n"/>
      <c r="IT29" s="1463" t="n"/>
      <c r="IU29" s="1463" t="n"/>
      <c r="IV29" s="1463" t="n"/>
      <c r="IW29" s="1463" t="n"/>
      <c r="IX29" s="1463" t="n"/>
      <c r="IY29" s="1463" t="n"/>
      <c r="IZ29" s="1463" t="n"/>
      <c r="JA29" s="1463" t="n"/>
      <c r="JB29" s="1463" t="n"/>
      <c r="JC29" s="1463" t="n"/>
      <c r="JD29" s="1463" t="n"/>
      <c r="JE29" s="1463" t="n"/>
      <c r="JF29" s="1463" t="n"/>
      <c r="JG29" s="1463" t="n"/>
      <c r="JH29" s="1463" t="n"/>
      <c r="JI29" s="1463" t="n"/>
      <c r="JJ29" s="1463" t="n"/>
      <c r="JK29" s="1463" t="n"/>
      <c r="JL29" s="1463" t="n"/>
      <c r="JM29" s="1463" t="n"/>
      <c r="JN29" s="1463" t="n"/>
      <c r="JO29" s="1463" t="n"/>
      <c r="JP29" s="1463" t="n"/>
      <c r="JQ29" s="1463" t="n"/>
      <c r="JR29" s="1463" t="n"/>
      <c r="JS29" s="1463" t="n"/>
      <c r="JT29" s="1463" t="n"/>
      <c r="JU29" s="1463" t="n"/>
      <c r="JV29" s="1463" t="n"/>
      <c r="JW29" s="1463" t="n"/>
      <c r="JX29" s="1463" t="n"/>
      <c r="JY29" s="1463" t="n"/>
      <c r="JZ29" s="1463" t="n"/>
      <c r="KA29" s="1463" t="n"/>
      <c r="KB29" s="1463" t="n"/>
      <c r="KC29" s="1463" t="n"/>
      <c r="KD29" s="1463" t="n"/>
      <c r="KE29" s="1463" t="n"/>
      <c r="KF29" s="1463" t="n"/>
      <c r="KG29" s="1463" t="n"/>
      <c r="KH29" s="1463" t="n"/>
      <c r="KI29" s="1463" t="n"/>
      <c r="KJ29" s="1463" t="n"/>
      <c r="KK29" s="1463" t="n"/>
      <c r="KL29" s="1463" t="n"/>
      <c r="KM29" s="1463" t="n"/>
      <c r="KN29" s="1463" t="n"/>
      <c r="KO29" s="1463" t="n"/>
      <c r="KP29" s="1463" t="n"/>
      <c r="KQ29" s="1463" t="n"/>
      <c r="KR29" s="1463" t="n"/>
      <c r="KS29" s="1463" t="n"/>
      <c r="KT29" s="1463" t="n"/>
      <c r="KU29" s="1463" t="n"/>
      <c r="KV29" s="1463" t="n"/>
      <c r="KW29" s="1463" t="n"/>
      <c r="KX29" s="1463" t="n"/>
      <c r="KY29" s="1463" t="n"/>
      <c r="KZ29" s="1463" t="n"/>
      <c r="LA29" s="1463" t="n"/>
      <c r="LB29" s="1463" t="n"/>
      <c r="LC29" s="1463" t="n"/>
      <c r="LD29" s="1463" t="n"/>
      <c r="LE29" s="1463" t="n"/>
      <c r="LF29" s="1463" t="n"/>
      <c r="LG29" s="1463" t="n"/>
      <c r="LH29" s="1463" t="n"/>
      <c r="LI29" s="1463" t="n"/>
      <c r="LJ29" s="1463" t="n"/>
      <c r="LK29" s="1463" t="n"/>
      <c r="LL29" s="1463" t="n"/>
      <c r="LM29" s="1463" t="n"/>
      <c r="LN29" s="1463" t="n"/>
      <c r="LO29" s="1463" t="n"/>
      <c r="LP29" s="1463" t="n"/>
      <c r="LQ29" s="1463" t="n"/>
      <c r="LR29" s="1463" t="n"/>
      <c r="LS29" s="1463" t="n"/>
      <c r="LT29" s="1463" t="n"/>
      <c r="LU29" s="1463" t="n"/>
      <c r="LV29" s="1463" t="n"/>
      <c r="LW29" s="1463" t="n"/>
      <c r="LX29" s="1463" t="n"/>
      <c r="LY29" s="1463" t="n"/>
      <c r="LZ29" s="1463" t="n"/>
      <c r="MA29" s="1463" t="n"/>
      <c r="MB29" s="1463" t="n"/>
      <c r="MC29" s="1463" t="n"/>
      <c r="MD29" s="1463" t="n"/>
      <c r="ME29" s="1463" t="n"/>
      <c r="MF29" s="1463" t="n"/>
      <c r="MG29" s="1463" t="n"/>
      <c r="MH29" s="1463" t="n"/>
      <c r="MI29" s="1463" t="n"/>
      <c r="MJ29" s="1463" t="n"/>
      <c r="MK29" s="1463" t="n"/>
      <c r="ML29" s="1463" t="n"/>
      <c r="MM29" s="1463" t="n"/>
      <c r="MN29" s="1463" t="n"/>
      <c r="MO29" s="1463" t="n"/>
      <c r="MP29" s="1463" t="n"/>
      <c r="MQ29" s="1463" t="n"/>
      <c r="MR29" s="1463" t="n"/>
      <c r="MS29" s="1463" t="n"/>
      <c r="MT29" s="1463" t="n"/>
      <c r="MU29" s="1463" t="n"/>
      <c r="MV29" s="1463" t="n"/>
      <c r="MW29" s="1463" t="n"/>
      <c r="MX29" s="1463" t="n"/>
      <c r="MY29" s="1463" t="n"/>
      <c r="MZ29" s="1463" t="n"/>
      <c r="NA29" s="1463" t="n"/>
      <c r="NB29" s="1463" t="n"/>
      <c r="NC29" s="1463" t="n"/>
      <c r="ND29" s="1463" t="n"/>
      <c r="NE29" s="1463" t="n"/>
      <c r="NF29" s="1463" t="n"/>
      <c r="NG29" s="1463" t="n"/>
      <c r="NH29" s="1463" t="n"/>
      <c r="NI29" s="1463" t="n"/>
      <c r="NJ29" s="1463" t="n"/>
      <c r="NK29" s="1463" t="n"/>
      <c r="NL29" s="1463" t="n"/>
      <c r="NM29" s="1463" t="n"/>
      <c r="NN29" s="1463" t="n"/>
      <c r="NO29" s="1463" t="n"/>
      <c r="NP29" s="1463" t="n"/>
      <c r="NQ29" s="1463" t="n"/>
      <c r="NR29" s="1463" t="n"/>
      <c r="NS29" s="1463" t="n"/>
      <c r="NT29" s="1463" t="n"/>
      <c r="NU29" s="1463" t="n"/>
      <c r="NV29" s="1463" t="n"/>
      <c r="NW29" s="1463" t="n"/>
      <c r="NX29" s="1463" t="n"/>
      <c r="NY29" s="1463" t="n"/>
      <c r="NZ29" s="1463" t="n"/>
      <c r="OA29" s="1463" t="n"/>
      <c r="OB29" s="1463" t="n"/>
      <c r="OC29" s="1463" t="n"/>
      <c r="OD29" s="1463" t="n"/>
      <c r="OE29" s="1463" t="n"/>
      <c r="OF29" s="1463" t="n"/>
      <c r="OG29" s="1463" t="n"/>
      <c r="OH29" s="1463" t="n"/>
      <c r="OI29" s="1463" t="n"/>
      <c r="OJ29" s="1463" t="n"/>
      <c r="OK29" s="1463" t="n"/>
      <c r="OL29" s="1463" t="n"/>
      <c r="OM29" s="1463" t="n"/>
      <c r="ON29" s="1463" t="n"/>
      <c r="OO29" s="1463" t="n"/>
      <c r="OP29" s="1463" t="n"/>
      <c r="OQ29" s="1463" t="n"/>
      <c r="OR29" s="1463" t="n"/>
      <c r="OS29" s="1463" t="n"/>
      <c r="OT29" s="1463" t="n"/>
      <c r="OU29" s="1463" t="n"/>
      <c r="OV29" s="1463" t="n"/>
      <c r="OW29" s="1463" t="n"/>
      <c r="OX29" s="1463" t="n"/>
      <c r="OY29" s="1463" t="n"/>
      <c r="OZ29" s="1463" t="n"/>
      <c r="PA29" s="1463" t="n"/>
      <c r="PB29" s="1463" t="n"/>
      <c r="PC29" s="1463" t="n"/>
      <c r="PD29" s="1463" t="n"/>
      <c r="PE29" s="1463" t="n"/>
      <c r="PF29" s="1463" t="n"/>
      <c r="PG29" s="1463" t="n"/>
      <c r="PH29" s="1463" t="n"/>
      <c r="PI29" s="1463" t="n"/>
      <c r="PJ29" s="1463" t="n"/>
      <c r="PK29" s="1463" t="n"/>
      <c r="PL29" s="1463" t="n"/>
      <c r="PM29" s="1463" t="n"/>
      <c r="PN29" s="1463" t="n"/>
      <c r="PO29" s="1463" t="n"/>
      <c r="PP29" s="1463" t="n"/>
      <c r="PQ29" s="1463" t="n"/>
      <c r="PR29" s="1463" t="n"/>
      <c r="PS29" s="1463" t="n"/>
      <c r="PT29" s="1463" t="n"/>
      <c r="PU29" s="1463" t="n"/>
      <c r="PV29" s="1463" t="n"/>
      <c r="PW29" s="1463" t="n"/>
      <c r="PX29" s="1463" t="n"/>
      <c r="PY29" s="1463" t="n"/>
      <c r="PZ29" s="1463" t="n"/>
      <c r="QA29" s="1463" t="n"/>
      <c r="QB29" s="1463" t="n"/>
      <c r="QC29" s="1463" t="n"/>
      <c r="QD29" s="1463" t="n"/>
      <c r="QE29" s="1463" t="n"/>
      <c r="QF29" s="1463" t="n"/>
      <c r="QG29" s="1463" t="n"/>
      <c r="QH29" s="1463" t="n"/>
      <c r="QI29" s="1463" t="n"/>
      <c r="QJ29" s="1463" t="n"/>
      <c r="QK29" s="1463" t="n"/>
      <c r="QL29" s="1463" t="n"/>
      <c r="QM29" s="1463" t="n"/>
      <c r="QN29" s="1463" t="n"/>
      <c r="QO29" s="1463" t="n"/>
      <c r="QP29" s="1463" t="n"/>
      <c r="QQ29" s="1463" t="n"/>
      <c r="QR29" s="1463" t="n"/>
      <c r="QS29" s="1463" t="n"/>
      <c r="QT29" s="1463" t="n"/>
      <c r="QU29" s="1463" t="n"/>
      <c r="QV29" s="1463" t="n"/>
      <c r="QW29" s="1463" t="n"/>
      <c r="QX29" s="1463" t="n"/>
      <c r="QY29" s="1463" t="n"/>
      <c r="QZ29" s="1463" t="n"/>
      <c r="RA29" s="1463" t="n"/>
      <c r="RB29" s="1463" t="n"/>
      <c r="RC29" s="1463" t="n"/>
      <c r="RD29" s="1463" t="n"/>
      <c r="RE29" s="1463" t="n"/>
      <c r="RF29" s="1463" t="n"/>
      <c r="RG29" s="1463" t="n"/>
      <c r="RH29" s="1463" t="n"/>
      <c r="RI29" s="1463" t="n"/>
      <c r="RJ29" s="1463" t="n"/>
      <c r="RK29" s="1463" t="n"/>
      <c r="RL29" s="1463" t="n"/>
      <c r="RM29" s="1463" t="n"/>
      <c r="RN29" s="1463" t="n"/>
      <c r="RO29" s="1463" t="n"/>
      <c r="RP29" s="1463" t="n"/>
      <c r="RQ29" s="1463" t="n"/>
      <c r="RR29" s="1463" t="n"/>
      <c r="RS29" s="1463" t="n"/>
      <c r="RT29" s="1463" t="n"/>
      <c r="RU29" s="1463" t="n"/>
      <c r="RV29" s="1463" t="n"/>
      <c r="RW29" s="1463" t="n"/>
      <c r="RX29" s="1463" t="n"/>
      <c r="RY29" s="1463" t="n"/>
      <c r="RZ29" s="1463" t="n"/>
      <c r="SA29" s="1463" t="n"/>
      <c r="SB29" s="1463" t="n"/>
      <c r="SC29" s="1463" t="n"/>
      <c r="SD29" s="1463" t="n"/>
      <c r="SE29" s="1463" t="n"/>
      <c r="SF29" s="1463" t="n"/>
      <c r="SG29" s="1463" t="n"/>
      <c r="SH29" s="1463" t="n"/>
      <c r="SI29" s="1463" t="n"/>
      <c r="SJ29" s="1463" t="n"/>
      <c r="SK29" s="1463" t="n"/>
      <c r="SL29" s="1463" t="n"/>
      <c r="SM29" s="1463" t="n"/>
      <c r="SN29" s="1463" t="n"/>
      <c r="SO29" s="1463" t="n"/>
      <c r="SP29" s="1463" t="n"/>
      <c r="SQ29" s="1463" t="n"/>
      <c r="SR29" s="1463" t="n"/>
      <c r="SS29" s="1463" t="n"/>
      <c r="ST29" s="1463" t="n"/>
      <c r="SU29" s="1463" t="n"/>
      <c r="SV29" s="1463" t="n"/>
      <c r="SW29" s="1463" t="n"/>
      <c r="SX29" s="1463" t="n"/>
      <c r="SY29" s="1463" t="n"/>
      <c r="SZ29" s="1463" t="n"/>
      <c r="TA29" s="1463" t="n"/>
      <c r="TB29" s="1463" t="n"/>
      <c r="TC29" s="1463" t="n"/>
      <c r="TD29" s="1463" t="n"/>
      <c r="TE29" s="1463" t="n"/>
      <c r="TF29" s="1463" t="n"/>
      <c r="TG29" s="1463" t="n"/>
      <c r="TH29" s="1463" t="n"/>
      <c r="TI29" s="1463" t="n"/>
      <c r="TJ29" s="1463" t="n"/>
      <c r="TK29" s="1463" t="n"/>
      <c r="TL29" s="1463" t="n"/>
      <c r="TM29" s="1463" t="n"/>
      <c r="TN29" s="1463" t="n"/>
      <c r="TO29" s="1463" t="n"/>
      <c r="TP29" s="1463" t="n"/>
      <c r="TQ29" s="1463" t="n"/>
      <c r="TR29" s="1463" t="n"/>
      <c r="TS29" s="1463" t="n"/>
      <c r="TT29" s="1463" t="n"/>
      <c r="TU29" s="1463" t="n"/>
      <c r="TV29" s="1463" t="n"/>
      <c r="TW29" s="1463" t="n"/>
      <c r="TX29" s="1463" t="n"/>
      <c r="TY29" s="1463" t="n"/>
      <c r="TZ29" s="1463" t="n"/>
      <c r="UA29" s="1463" t="n"/>
      <c r="UB29" s="1463" t="n"/>
      <c r="UC29" s="1463" t="n"/>
      <c r="UD29" s="1463" t="n"/>
      <c r="UE29" s="1463" t="n"/>
      <c r="UF29" s="1463" t="n"/>
      <c r="UG29" s="1463" t="n"/>
      <c r="UH29" s="1463" t="n"/>
      <c r="UI29" s="1463" t="n"/>
      <c r="UJ29" s="1463" t="n"/>
      <c r="UK29" s="1463" t="n"/>
      <c r="UL29" s="1463" t="n"/>
      <c r="UM29" s="1463" t="n"/>
      <c r="UN29" s="1463" t="n"/>
      <c r="UO29" s="1463" t="n"/>
      <c r="UP29" s="1463" t="n"/>
      <c r="UQ29" s="1463" t="n"/>
      <c r="UR29" s="1463" t="n"/>
      <c r="US29" s="1463" t="n"/>
      <c r="UT29" s="1463" t="n"/>
      <c r="UU29" s="1463" t="n"/>
      <c r="UV29" s="1463" t="n"/>
      <c r="UW29" s="1463">
        <f>(116.841+700)/UW7</f>
        <v/>
      </c>
      <c r="UX29" s="1463">
        <f>(116.841+700)/UX7</f>
        <v/>
      </c>
      <c r="UY29" s="1463">
        <f>(116.841+700)/UY7</f>
        <v/>
      </c>
      <c r="UZ29" s="1463">
        <f>(116.841+700)/UZ7</f>
        <v/>
      </c>
      <c r="VA29" s="1463">
        <f>(116.841+700)/VA7</f>
        <v/>
      </c>
      <c r="VB29" s="1463" t="n">
        <v>8.841418798978221</v>
      </c>
      <c r="VC29" s="1463" t="n">
        <v>8.810463734163426</v>
      </c>
      <c r="VD29" s="1463" t="n">
        <v>8.762310653804194</v>
      </c>
      <c r="VE29" s="1463" t="n">
        <v>8.749546102587779</v>
      </c>
      <c r="VF29" s="1463" t="n">
        <v>8.40030892827393</v>
      </c>
      <c r="VG29" s="1463" t="n">
        <v>8.502684540005788</v>
      </c>
      <c r="VH29" s="1463" t="n">
        <v>8.499720609643287</v>
      </c>
      <c r="VI29" s="1463" t="n">
        <v>8.408125662641922</v>
      </c>
      <c r="VJ29" s="1463">
        <f>(700+116.841)/VJ7</f>
        <v/>
      </c>
      <c r="VK29" s="1463" t="n">
        <v>8.45259468593585</v>
      </c>
      <c r="VL29" s="1463" t="n">
        <v>8.443656308339243</v>
      </c>
      <c r="VM29" s="1463" t="n">
        <v>8.2274025158719</v>
      </c>
      <c r="VN29" s="1463" t="n">
        <v>8.253138959376475</v>
      </c>
      <c r="VO29" s="1463" t="n">
        <v>8.217768436435886</v>
      </c>
      <c r="VP29" s="1463" t="n">
        <v>8.208527123041645</v>
      </c>
      <c r="VQ29" s="1463" t="n">
        <v>8.164777929819339</v>
      </c>
      <c r="VR29" s="1463" t="n">
        <v>8.174580164361187</v>
      </c>
      <c r="VS29" s="1463" t="n">
        <v>8.174505057888295</v>
      </c>
      <c r="VT29" s="1463" t="n">
        <v>8.140449363955119</v>
      </c>
      <c r="VU29" s="1463" t="n">
        <v>8.007650229506885</v>
      </c>
      <c r="VV29" s="1463" t="n">
        <v>8.004624390712031</v>
      </c>
      <c r="VW29" s="1463" t="n">
        <v>7.989896147644363</v>
      </c>
      <c r="VX29" s="1463" t="n">
        <v>7.714951614208581</v>
      </c>
      <c r="VY29" s="1463" t="n">
        <v>7.307484517905934</v>
      </c>
      <c r="VZ29" s="1463" t="n">
        <v>7.432098673762703</v>
      </c>
      <c r="WA29" s="1463" t="n">
        <v>7.471285495419675</v>
      </c>
      <c r="WB29" s="1463" t="n">
        <v>7.745331227263098</v>
      </c>
      <c r="WC29" s="1463" t="n">
        <v>7.753806258696804</v>
      </c>
      <c r="WD29" s="1463" t="n">
        <v>7.741826637210494</v>
      </c>
      <c r="WE29" s="1463" t="n">
        <v>7.791105536976909</v>
      </c>
      <c r="WF29" s="1463" t="n">
        <v>7.824030376046228</v>
      </c>
      <c r="WG29" s="1463" t="n">
        <v>8.038559417743757</v>
      </c>
      <c r="WH29" s="1463" t="n">
        <v>7.875131417578927</v>
      </c>
      <c r="WI29" s="1463" t="n">
        <v>7.856980256018274</v>
      </c>
      <c r="WJ29" s="1463" t="n">
        <v>7.796278969234169</v>
      </c>
      <c r="WK29" s="1463" t="n">
        <v>7.821554228424184</v>
      </c>
      <c r="WL29" s="1463" t="n">
        <v>7.818690272883413</v>
      </c>
      <c r="WM29" s="1463" t="n">
        <v>8.013163451358075</v>
      </c>
      <c r="WN29" s="1463" t="n">
        <v>8.148907632124205</v>
      </c>
      <c r="WO29" s="1463" t="n">
        <v>8.169776130823996</v>
      </c>
      <c r="WP29" s="1463" t="n">
        <v>8.011952777224687</v>
      </c>
      <c r="WQ29" s="1463" t="n">
        <v>8.126578141872416</v>
      </c>
      <c r="WR29" s="1463">
        <f>(700+100.741)/WR7</f>
        <v/>
      </c>
      <c r="WS29" s="1463" t="n">
        <v>8.231622945797636</v>
      </c>
      <c r="WT29" s="1463" t="n">
        <v>8.796326098825348</v>
      </c>
      <c r="WU29" s="1463" t="n">
        <v>8.757517660144343</v>
      </c>
      <c r="WV29" s="1463" t="n">
        <v>8.855129231599481</v>
      </c>
      <c r="WW29" s="1463" t="n">
        <v>9.082032401925424</v>
      </c>
      <c r="WX29" s="1463" t="n">
        <v>9.243037775966792</v>
      </c>
      <c r="WY29" s="1463" t="n">
        <v>9.130799676612687</v>
      </c>
      <c r="WZ29" s="1463" t="n">
        <v>8.972410717487181</v>
      </c>
      <c r="XA29" s="1463" t="n">
        <v>9.059467886752833</v>
      </c>
      <c r="XB29" s="1463" t="n">
        <v>9.249967366279721</v>
      </c>
      <c r="XC29" s="1463" t="n">
        <v>9.357796128055123</v>
      </c>
      <c r="XD29" s="1463" t="n">
        <v>9.824825954764188</v>
      </c>
      <c r="XE29" s="1463" t="n">
        <v>9.665100357639892</v>
      </c>
      <c r="XF29" s="1463" t="n">
        <v>9.460550567107751</v>
      </c>
      <c r="XG29" s="1463" t="n">
        <v>9.510778805838966</v>
      </c>
      <c r="XH29" s="1463" t="n">
        <v>9.509254036208606</v>
      </c>
      <c r="XI29" s="1463" t="n">
        <v>9.551426795825595</v>
      </c>
      <c r="XJ29" s="1463" t="n">
        <v>9.365797116366439</v>
      </c>
      <c r="XK29" s="1463" t="n">
        <v>9.470374514205426</v>
      </c>
      <c r="XL29" s="1463" t="n">
        <v>9.501254191515162</v>
      </c>
      <c r="XM29" s="1463" t="n">
        <v>9.369325833888146</v>
      </c>
      <c r="XN29" s="1463" t="n">
        <v>9.532177039188609</v>
      </c>
      <c r="XO29" s="1463" t="n">
        <v>8.667689454022241</v>
      </c>
      <c r="XP29" s="1463" t="n">
        <v>8.5929635903857</v>
      </c>
      <c r="XQ29" s="1463" t="n">
        <v>8.498889680769564</v>
      </c>
      <c r="XR29" s="1463" t="n">
        <v>8.448402588107786</v>
      </c>
      <c r="XS29" s="1463" t="n">
        <v>8.468947394528334</v>
      </c>
      <c r="XT29" s="1463">
        <f>(700)/XT7</f>
        <v/>
      </c>
      <c r="XU29" s="1463" t="n">
        <v>8.589663199305955</v>
      </c>
      <c r="XV29" s="1463" t="n">
        <v>8.545579066749518</v>
      </c>
      <c r="XW29" s="1463" t="n">
        <v>8.645775180202657</v>
      </c>
      <c r="XX29" s="1463" t="n">
        <v>8.656809446310469</v>
      </c>
      <c r="XY29" s="1463" t="n">
        <v>8.653909156206769</v>
      </c>
      <c r="XZ29" s="1463" t="n">
        <v>8.725601038097221</v>
      </c>
      <c r="YA29" s="1463" t="n">
        <v>8.704984349681707</v>
      </c>
      <c r="YB29" s="1463" t="n">
        <v>8.777099294070442</v>
      </c>
      <c r="YC29" s="1463" t="n">
        <v>8.781746011832775</v>
      </c>
      <c r="YD29" s="1463" t="n">
        <v>8.787478596212848</v>
      </c>
      <c r="YE29" s="1463" t="n">
        <v>8.846370144764528</v>
      </c>
      <c r="YF29" s="1463" t="n">
        <v>8.877064075916651</v>
      </c>
      <c r="YG29" s="1463" t="n">
        <v>8.846515483929673</v>
      </c>
      <c r="YH29" s="1463" t="n">
        <v>8.841699475687221</v>
      </c>
      <c r="YI29" s="1463" t="n">
        <v>8.860445452566239</v>
      </c>
      <c r="YJ29" s="1463" t="n">
        <v>8.916436431540239</v>
      </c>
      <c r="YK29" s="1463" t="n">
        <v>8.89301072878223</v>
      </c>
      <c r="YL29" s="1463" t="n">
        <v>8.940853698256406</v>
      </c>
      <c r="YM29" s="1463">
        <f>(700)/YM7</f>
        <v/>
      </c>
      <c r="YN29" s="1463" t="n">
        <v>8.926510588754383</v>
      </c>
      <c r="YO29" s="1463" t="n">
        <v>8.885154303397556</v>
      </c>
      <c r="YP29" s="1463" t="n">
        <v>8.879259824900995</v>
      </c>
      <c r="YQ29" s="1463" t="n">
        <v>8.892445867235782</v>
      </c>
      <c r="YR29" s="1463" t="n">
        <v>8.955048216538183</v>
      </c>
      <c r="YS29" s="1463" t="n">
        <v>8.95453272050217</v>
      </c>
      <c r="YT29" s="1463" t="n">
        <v>8.985544825674012</v>
      </c>
      <c r="YU29" s="1463" t="n">
        <v>8.931738550149159</v>
      </c>
      <c r="YV29" s="1463" t="n">
        <v>8.953055294069497</v>
      </c>
      <c r="YW29" s="1463" t="n">
        <v>8.938501830477483</v>
      </c>
      <c r="YX29" s="1463" t="n">
        <v>8.964222507369872</v>
      </c>
      <c r="YY29" s="1463" t="n">
        <v>8.876231101552959</v>
      </c>
      <c r="YZ29" s="1463" t="n">
        <v>8.513774679304351</v>
      </c>
      <c r="ZA29" s="1463" t="n">
        <v>8.715540930047824</v>
      </c>
      <c r="ZB29" s="1463" t="n">
        <v>8.744643905607814</v>
      </c>
      <c r="ZC29" s="1463" t="n">
        <v>8.729115590948656</v>
      </c>
      <c r="ZD29" s="1463" t="n">
        <v>8.774172846191256</v>
      </c>
      <c r="ZE29" s="1463" t="n">
        <v>8.764088271897075</v>
      </c>
      <c r="ZF29" s="1463">
        <f>(700)/ZF7</f>
        <v/>
      </c>
    </row>
    <row r="30" ht="26.25" customHeight="1">
      <c r="A30" s="1327" t="inlineStr">
        <is>
          <t>Total Cash and Promissory note
 (Equivalent  to USD)</t>
        </is>
      </c>
      <c r="B30" s="1424" t="n"/>
      <c r="C30" s="1425" t="n"/>
      <c r="D30" s="1464">
        <f>D27+D29</f>
        <v/>
      </c>
      <c r="E30" s="1464">
        <f>E27+E29</f>
        <v/>
      </c>
      <c r="F30" s="1464">
        <f>F27+F29</f>
        <v/>
      </c>
      <c r="G30" s="1464">
        <f>G27+G29</f>
        <v/>
      </c>
      <c r="H30" s="1464">
        <f>H27+H29</f>
        <v/>
      </c>
      <c r="I30" s="1464">
        <f>I27+I29</f>
        <v/>
      </c>
      <c r="J30" s="1464">
        <f>J27+J29</f>
        <v/>
      </c>
      <c r="K30" s="1464">
        <f>K27+K29</f>
        <v/>
      </c>
      <c r="L30" s="1464">
        <f>L27+L29</f>
        <v/>
      </c>
      <c r="M30" s="1464">
        <f>M27+M29</f>
        <v/>
      </c>
      <c r="N30" s="1464">
        <f>N27+N29</f>
        <v/>
      </c>
      <c r="O30" s="1464">
        <f>O27+O29</f>
        <v/>
      </c>
      <c r="P30" s="1464">
        <f>P27+P29</f>
        <v/>
      </c>
      <c r="Q30" s="1464">
        <f>Q27+Q29</f>
        <v/>
      </c>
      <c r="R30" s="1464">
        <f>R27+R29</f>
        <v/>
      </c>
      <c r="S30" s="1464">
        <f>S27+S29</f>
        <v/>
      </c>
      <c r="T30" s="1464">
        <f>T27+T29</f>
        <v/>
      </c>
      <c r="U30" s="1464">
        <f>U27+U29</f>
        <v/>
      </c>
      <c r="V30" s="1464">
        <f>V27+V29</f>
        <v/>
      </c>
      <c r="W30" s="1464">
        <f>W27+W29</f>
        <v/>
      </c>
      <c r="X30" s="1464">
        <f>X27+X29</f>
        <v/>
      </c>
      <c r="Y30" s="1464">
        <f>Y27+Y29</f>
        <v/>
      </c>
      <c r="Z30" s="1464">
        <f>Z27+Z29</f>
        <v/>
      </c>
      <c r="AA30" s="1464">
        <f>AA27+AA29</f>
        <v/>
      </c>
      <c r="AB30" s="1464">
        <f>AB27+AB29</f>
        <v/>
      </c>
      <c r="AC30" s="1464">
        <f>AC27+AC29</f>
        <v/>
      </c>
      <c r="AD30" s="1464">
        <f>AD27+AD29</f>
        <v/>
      </c>
      <c r="AE30" s="1464">
        <f>AE27+AE29</f>
        <v/>
      </c>
      <c r="AF30" s="1464">
        <f>AF27+AF29</f>
        <v/>
      </c>
      <c r="AG30" s="1464">
        <f>AG27+AG29</f>
        <v/>
      </c>
      <c r="AH30" s="1464">
        <f>AH27+AH29</f>
        <v/>
      </c>
      <c r="AI30" s="1464">
        <f>AI27+AI29</f>
        <v/>
      </c>
      <c r="AJ30" s="1464">
        <f>AJ27+AJ29</f>
        <v/>
      </c>
      <c r="AK30" s="1464">
        <f>AK27+AK29</f>
        <v/>
      </c>
      <c r="AL30" s="1464">
        <f>AL27+AL29</f>
        <v/>
      </c>
      <c r="AM30" s="1464">
        <f>AM27+AM29</f>
        <v/>
      </c>
      <c r="AN30" s="1464">
        <f>AN27+AN29</f>
        <v/>
      </c>
      <c r="AO30" s="1464">
        <f>AO27+AO29</f>
        <v/>
      </c>
      <c r="AP30" s="1464">
        <f>AP27+AP29</f>
        <v/>
      </c>
      <c r="AQ30" s="1464">
        <f>AQ27+AQ29</f>
        <v/>
      </c>
      <c r="AR30" s="1464">
        <f>AR27+AR29</f>
        <v/>
      </c>
      <c r="AS30" s="1464">
        <f>AS27+AS29</f>
        <v/>
      </c>
      <c r="AT30" s="1464">
        <f>AT27+AT29</f>
        <v/>
      </c>
      <c r="AU30" s="1464">
        <f>AU27+AU29</f>
        <v/>
      </c>
      <c r="AV30" s="1464">
        <f>AV27+AV29</f>
        <v/>
      </c>
      <c r="AW30" s="1464">
        <f>AW27+AW29</f>
        <v/>
      </c>
      <c r="AX30" s="1464">
        <f>AX27+AX29</f>
        <v/>
      </c>
      <c r="AY30" s="1464">
        <f>AY27+AY29</f>
        <v/>
      </c>
      <c r="AZ30" s="1464">
        <f>AZ27+AZ29</f>
        <v/>
      </c>
      <c r="BA30" s="1464">
        <f>BA27+BA29</f>
        <v/>
      </c>
      <c r="BB30" s="1464">
        <f>BB27+BB29</f>
        <v/>
      </c>
      <c r="BC30" s="1464">
        <f>BC27+BC29</f>
        <v/>
      </c>
      <c r="BD30" s="1464">
        <f>BD27+BD29</f>
        <v/>
      </c>
      <c r="BE30" s="1464">
        <f>BE27+BE29</f>
        <v/>
      </c>
      <c r="BF30" s="1464">
        <f>BF27+BF29</f>
        <v/>
      </c>
      <c r="BG30" s="1464">
        <f>BG27+BG29</f>
        <v/>
      </c>
      <c r="BH30" s="1464">
        <f>BH27+BH29</f>
        <v/>
      </c>
      <c r="BI30" s="1464">
        <f>BI27+BI29</f>
        <v/>
      </c>
      <c r="BJ30" s="1464">
        <f>BJ27+BJ29</f>
        <v/>
      </c>
      <c r="BK30" s="1464">
        <f>BK27+BK29</f>
        <v/>
      </c>
      <c r="BL30" s="1464">
        <f>BL27+BL29</f>
        <v/>
      </c>
      <c r="BM30" s="1464">
        <f>BM27+BM29</f>
        <v/>
      </c>
      <c r="BN30" s="1464">
        <f>BN27+BN29</f>
        <v/>
      </c>
      <c r="BO30" s="1464">
        <f>BO27+BO29</f>
        <v/>
      </c>
      <c r="BP30" s="1464">
        <f>BP27+BP29</f>
        <v/>
      </c>
      <c r="BQ30" s="1464">
        <f>BQ27+BQ29</f>
        <v/>
      </c>
      <c r="BR30" s="1464">
        <f>BR27+BR29</f>
        <v/>
      </c>
      <c r="BS30" s="1464">
        <f>BS27+BS29</f>
        <v/>
      </c>
      <c r="BT30" s="1464">
        <f>BT27+BT29</f>
        <v/>
      </c>
      <c r="BU30" s="1464">
        <f>BU27+BU29</f>
        <v/>
      </c>
      <c r="BV30" s="1464">
        <f>BV27+BV29</f>
        <v/>
      </c>
      <c r="BW30" s="1464">
        <f>BW27+BW29</f>
        <v/>
      </c>
      <c r="BX30" s="1464">
        <f>BX27+BX29</f>
        <v/>
      </c>
      <c r="BY30" s="1464">
        <f>BY27+BY29</f>
        <v/>
      </c>
      <c r="BZ30" s="1464">
        <f>BZ27+BZ29</f>
        <v/>
      </c>
      <c r="CA30" s="1464">
        <f>CA27+CA29</f>
        <v/>
      </c>
      <c r="CB30" s="1464">
        <f>CB27+CB29</f>
        <v/>
      </c>
      <c r="CC30" s="1464">
        <f>CC27+CC29</f>
        <v/>
      </c>
      <c r="CD30" s="1464">
        <f>CD27+CD29</f>
        <v/>
      </c>
      <c r="CE30" s="1464">
        <f>CE27+CE29</f>
        <v/>
      </c>
      <c r="CF30" s="1464">
        <f>CF27+CF29</f>
        <v/>
      </c>
      <c r="CG30" s="1464">
        <f>CG27+CG29</f>
        <v/>
      </c>
      <c r="CH30" s="1464">
        <f>CH27+CH29</f>
        <v/>
      </c>
      <c r="CI30" s="1464">
        <f>CI27+CI29</f>
        <v/>
      </c>
      <c r="CJ30" s="1464">
        <f>CJ27+CJ29</f>
        <v/>
      </c>
      <c r="CK30" s="1464">
        <f>CK27+CK29</f>
        <v/>
      </c>
      <c r="CL30" s="1464">
        <f>CL27+CL29</f>
        <v/>
      </c>
      <c r="CM30" s="1464">
        <f>CM27+CM29</f>
        <v/>
      </c>
      <c r="CN30" s="1464">
        <f>CN27+CN29</f>
        <v/>
      </c>
      <c r="CO30" s="1464">
        <f>CO27+CO29</f>
        <v/>
      </c>
      <c r="CP30" s="1464">
        <f>CP27+CP29</f>
        <v/>
      </c>
      <c r="CQ30" s="1464">
        <f>CQ27+CQ29</f>
        <v/>
      </c>
      <c r="CR30" s="1464">
        <f>CR27+CR29</f>
        <v/>
      </c>
      <c r="CS30" s="1464">
        <f>CS27+CS29</f>
        <v/>
      </c>
      <c r="CT30" s="1464">
        <f>CT27+CT29</f>
        <v/>
      </c>
      <c r="CU30" s="1464">
        <f>CU27+CU29</f>
        <v/>
      </c>
      <c r="CV30" s="1464">
        <f>CV27+CV29</f>
        <v/>
      </c>
      <c r="CW30" s="1464">
        <f>CW27+CW29</f>
        <v/>
      </c>
      <c r="CX30" s="1464">
        <f>CX27+CX29</f>
        <v/>
      </c>
      <c r="CY30" s="1464">
        <f>CY27+CY29</f>
        <v/>
      </c>
      <c r="CZ30" s="1464">
        <f>CZ27+CZ29</f>
        <v/>
      </c>
      <c r="DA30" s="1464">
        <f>DA27+DA29</f>
        <v/>
      </c>
      <c r="DB30" s="1464">
        <f>DB27+DB29</f>
        <v/>
      </c>
      <c r="DC30" s="1464">
        <f>DC27+DC29</f>
        <v/>
      </c>
      <c r="DD30" s="1464">
        <f>DD27+DD29</f>
        <v/>
      </c>
      <c r="DE30" s="1464">
        <f>DE27+DE29</f>
        <v/>
      </c>
      <c r="DF30" s="1464">
        <f>DF27+DF29</f>
        <v/>
      </c>
      <c r="DG30" s="1464">
        <f>DG27+DG29</f>
        <v/>
      </c>
      <c r="DH30" s="1464">
        <f>DH27+DH29</f>
        <v/>
      </c>
      <c r="DI30" s="1464">
        <f>DI27+DI29</f>
        <v/>
      </c>
      <c r="DJ30" s="1464">
        <f>DJ27+DJ29</f>
        <v/>
      </c>
      <c r="DK30" s="1464">
        <f>DK27+DK29</f>
        <v/>
      </c>
      <c r="DL30" s="1464">
        <f>DL27+DL29</f>
        <v/>
      </c>
      <c r="DM30" s="1464">
        <f>DM27+DM29</f>
        <v/>
      </c>
      <c r="DN30" s="1464">
        <f>DN27+DN29</f>
        <v/>
      </c>
      <c r="DO30" s="1464">
        <f>DO27+DO29</f>
        <v/>
      </c>
      <c r="DP30" s="1464">
        <f>DP27+DP29</f>
        <v/>
      </c>
      <c r="DQ30" s="1464">
        <f>DQ27+DQ29</f>
        <v/>
      </c>
      <c r="DR30" s="1464">
        <f>DR27+DR29</f>
        <v/>
      </c>
      <c r="DS30" s="1464">
        <f>DS27+DS29</f>
        <v/>
      </c>
      <c r="DT30" s="1464">
        <f>DT27+DT29</f>
        <v/>
      </c>
      <c r="DU30" s="1464">
        <f>DU27+DU29</f>
        <v/>
      </c>
      <c r="DV30" s="1464">
        <f>DV27+DV29</f>
        <v/>
      </c>
      <c r="DW30" s="1464">
        <f>DW27+DW29</f>
        <v/>
      </c>
      <c r="DX30" s="1464">
        <f>DX27+DX29</f>
        <v/>
      </c>
      <c r="DY30" s="1464">
        <f>DY27+DY29</f>
        <v/>
      </c>
      <c r="DZ30" s="1464">
        <f>DZ27+DZ29</f>
        <v/>
      </c>
      <c r="EA30" s="1464">
        <f>EA27+EA29</f>
        <v/>
      </c>
      <c r="EB30" s="1464">
        <f>EB27+EB29</f>
        <v/>
      </c>
      <c r="EC30" s="1464">
        <f>EC27+EC29</f>
        <v/>
      </c>
      <c r="ED30" s="1464">
        <f>ED27+ED29</f>
        <v/>
      </c>
      <c r="EE30" s="1464">
        <f>EE27+EE29</f>
        <v/>
      </c>
      <c r="EF30" s="1464">
        <f>EF27+EF29</f>
        <v/>
      </c>
      <c r="EG30" s="1464">
        <f>EG27+EG29</f>
        <v/>
      </c>
      <c r="EH30" s="1464">
        <f>EH27+EH29</f>
        <v/>
      </c>
      <c r="EI30" s="1464">
        <f>EI27+EI29</f>
        <v/>
      </c>
      <c r="EJ30" s="1464">
        <f>EJ27+EJ29</f>
        <v/>
      </c>
      <c r="EK30" s="1464">
        <f>EK27+EK29</f>
        <v/>
      </c>
      <c r="EL30" s="1464">
        <f>EL27+EL29</f>
        <v/>
      </c>
      <c r="EM30" s="1464">
        <f>EM27+EM29</f>
        <v/>
      </c>
      <c r="EN30" s="1464">
        <f>EN27+EN29</f>
        <v/>
      </c>
      <c r="EO30" s="1464">
        <f>EO27+EO29</f>
        <v/>
      </c>
      <c r="EP30" s="1464">
        <f>EP27+EP29</f>
        <v/>
      </c>
      <c r="EQ30" s="1464">
        <f>EQ27+EQ29</f>
        <v/>
      </c>
      <c r="ER30" s="1464">
        <f>ER27+ER29</f>
        <v/>
      </c>
      <c r="ES30" s="1464">
        <f>ES27+ES29</f>
        <v/>
      </c>
      <c r="ET30" s="1464">
        <f>ET27+ET29</f>
        <v/>
      </c>
      <c r="EU30" s="1464">
        <f>EU27+EU29</f>
        <v/>
      </c>
      <c r="EV30" s="1464">
        <f>EV27+EV29</f>
        <v/>
      </c>
      <c r="EW30" s="1464">
        <f>EW27+EW29</f>
        <v/>
      </c>
      <c r="EX30" s="1464">
        <f>EX27+EX29</f>
        <v/>
      </c>
      <c r="EY30" s="1464">
        <f>EY27+EY29</f>
        <v/>
      </c>
      <c r="EZ30" s="1464">
        <f>EZ27+EZ29</f>
        <v/>
      </c>
      <c r="FA30" s="1464">
        <f>FA27+FA29</f>
        <v/>
      </c>
      <c r="FB30" s="1464">
        <f>FB27+FB29</f>
        <v/>
      </c>
      <c r="FC30" s="1464">
        <f>FC27+FC29</f>
        <v/>
      </c>
      <c r="FD30" s="1464">
        <f>FD27+FD29</f>
        <v/>
      </c>
      <c r="FE30" s="1464">
        <f>FE27+FE29</f>
        <v/>
      </c>
      <c r="FF30" s="1464">
        <f>FF27+FF29</f>
        <v/>
      </c>
      <c r="FG30" s="1464">
        <f>FG27+FG29</f>
        <v/>
      </c>
      <c r="FH30" s="1464">
        <f>FH27+FH29</f>
        <v/>
      </c>
      <c r="FI30" s="1464">
        <f>FI27+FI29</f>
        <v/>
      </c>
      <c r="FJ30" s="1464">
        <f>FJ27+FJ29</f>
        <v/>
      </c>
      <c r="FK30" s="1464">
        <f>FK27+FK29</f>
        <v/>
      </c>
      <c r="FL30" s="1464">
        <f>FL27+FL29</f>
        <v/>
      </c>
      <c r="FM30" s="1464">
        <f>FM27+FM29</f>
        <v/>
      </c>
      <c r="FN30" s="1464">
        <f>FN27+FN29</f>
        <v/>
      </c>
      <c r="FO30" s="1464">
        <f>FO27+FO29</f>
        <v/>
      </c>
      <c r="FP30" s="1464">
        <f>FP27+FP29</f>
        <v/>
      </c>
      <c r="FQ30" s="1464">
        <f>FQ27+FQ29</f>
        <v/>
      </c>
      <c r="FR30" s="1464">
        <f>FR27+FR29</f>
        <v/>
      </c>
      <c r="FS30" s="1464">
        <f>FS27+FS29</f>
        <v/>
      </c>
      <c r="FT30" s="1464">
        <f>FT27+FT29</f>
        <v/>
      </c>
      <c r="FU30" s="1464">
        <f>FU27+FU29</f>
        <v/>
      </c>
      <c r="FV30" s="1464">
        <f>FV27+FV29</f>
        <v/>
      </c>
      <c r="FW30" s="1464">
        <f>FW27+FW29</f>
        <v/>
      </c>
      <c r="FX30" s="1464">
        <f>FX27+FX29</f>
        <v/>
      </c>
      <c r="FY30" s="1464">
        <f>FY27+FY29</f>
        <v/>
      </c>
      <c r="FZ30" s="1464">
        <f>FZ27+FZ29</f>
        <v/>
      </c>
      <c r="GA30" s="1464">
        <f>GA27+GA29</f>
        <v/>
      </c>
      <c r="GB30" s="1464">
        <f>GB27+GB29</f>
        <v/>
      </c>
      <c r="GC30" s="1464">
        <f>GC27+GC29</f>
        <v/>
      </c>
      <c r="GD30" s="1464">
        <f>GD27+GD29</f>
        <v/>
      </c>
      <c r="GE30" s="1464">
        <f>GE27+GE29</f>
        <v/>
      </c>
      <c r="GF30" s="1464">
        <f>GF27+GF29</f>
        <v/>
      </c>
      <c r="GG30" s="1464">
        <f>GG27+GG29</f>
        <v/>
      </c>
      <c r="GH30" s="1464">
        <f>GH27+GH29</f>
        <v/>
      </c>
      <c r="GI30" s="1464">
        <f>GI27+GI29</f>
        <v/>
      </c>
      <c r="GJ30" s="1464">
        <f>GJ27+GJ29</f>
        <v/>
      </c>
      <c r="GK30" s="1464">
        <f>GK27+GK29</f>
        <v/>
      </c>
      <c r="GL30" s="1464">
        <f>GL27+GL29</f>
        <v/>
      </c>
      <c r="GM30" s="1464">
        <f>GM27+GM29</f>
        <v/>
      </c>
      <c r="GN30" s="1464">
        <f>GN27+GN29</f>
        <v/>
      </c>
      <c r="GO30" s="1464">
        <f>GO27+GO29</f>
        <v/>
      </c>
      <c r="GP30" s="1464">
        <f>GP27+GP29</f>
        <v/>
      </c>
      <c r="GQ30" s="1464">
        <f>GQ27+GQ29</f>
        <v/>
      </c>
      <c r="GR30" s="1464">
        <f>GR27+GR29</f>
        <v/>
      </c>
      <c r="GS30" s="1464">
        <f>GS27+GS29</f>
        <v/>
      </c>
      <c r="GT30" s="1464">
        <f>GT27+GT29</f>
        <v/>
      </c>
      <c r="GU30" s="1464">
        <f>GU27+GU29</f>
        <v/>
      </c>
      <c r="GV30" s="1464">
        <f>GV27+GV29</f>
        <v/>
      </c>
      <c r="GW30" s="1464">
        <f>GW27+GW29</f>
        <v/>
      </c>
      <c r="GX30" s="1464">
        <f>GX27+GX29</f>
        <v/>
      </c>
      <c r="GY30" s="1464">
        <f>GY27+GY29</f>
        <v/>
      </c>
      <c r="GZ30" s="1464">
        <f>GZ27+GZ29</f>
        <v/>
      </c>
      <c r="HA30" s="1464">
        <f>HA27+HA29</f>
        <v/>
      </c>
      <c r="HB30" s="1464">
        <f>HB27+HB29</f>
        <v/>
      </c>
      <c r="HC30" s="1464">
        <f>HC27+HC29</f>
        <v/>
      </c>
      <c r="HD30" s="1464">
        <f>HD27+HD29</f>
        <v/>
      </c>
      <c r="HE30" s="1464">
        <f>HE27+HE29</f>
        <v/>
      </c>
      <c r="HF30" s="1464">
        <f>HF27+HF29</f>
        <v/>
      </c>
      <c r="HG30" s="1464">
        <f>HG27+HG29</f>
        <v/>
      </c>
      <c r="HH30" s="1464">
        <f>HH27+HH29</f>
        <v/>
      </c>
      <c r="HI30" s="1464">
        <f>HI27+HI29</f>
        <v/>
      </c>
      <c r="HJ30" s="1464">
        <f>HJ27+HJ29</f>
        <v/>
      </c>
      <c r="HK30" s="1464">
        <f>HK27+HK29</f>
        <v/>
      </c>
      <c r="HL30" s="1464">
        <f>HL27+HL29</f>
        <v/>
      </c>
      <c r="HM30" s="1464">
        <f>HM27+HM29</f>
        <v/>
      </c>
      <c r="HN30" s="1464">
        <f>HN27+HN29</f>
        <v/>
      </c>
      <c r="HO30" s="1464">
        <f>HO27+HO29</f>
        <v/>
      </c>
      <c r="HP30" s="1464">
        <f>HP27+HP29</f>
        <v/>
      </c>
      <c r="HQ30" s="1464">
        <f>HQ27+HQ29</f>
        <v/>
      </c>
      <c r="HR30" s="1464">
        <f>HR27+HR29</f>
        <v/>
      </c>
      <c r="HS30" s="1464">
        <f>HS27+HS29</f>
        <v/>
      </c>
      <c r="HT30" s="1464">
        <f>HT27+HT29</f>
        <v/>
      </c>
      <c r="HU30" s="1464">
        <f>HU27+HU29</f>
        <v/>
      </c>
      <c r="HV30" s="1464">
        <f>HV27+HV29</f>
        <v/>
      </c>
      <c r="HW30" s="1464">
        <f>HW27+HW29</f>
        <v/>
      </c>
      <c r="HX30" s="1464">
        <f>HX27+HX29</f>
        <v/>
      </c>
      <c r="HY30" s="1464">
        <f>HY27+HY29</f>
        <v/>
      </c>
      <c r="HZ30" s="1464">
        <f>HZ27+HZ29</f>
        <v/>
      </c>
      <c r="IA30" s="1464">
        <f>IA27+IA29</f>
        <v/>
      </c>
      <c r="IB30" s="1464">
        <f>IB27+IB29</f>
        <v/>
      </c>
      <c r="IC30" s="1464">
        <f>IC27+IC29</f>
        <v/>
      </c>
      <c r="ID30" s="1464">
        <f>ID27+ID29</f>
        <v/>
      </c>
      <c r="IE30" s="1464">
        <f>IE27+IE29</f>
        <v/>
      </c>
      <c r="IF30" s="1464">
        <f>IF27+IF29</f>
        <v/>
      </c>
      <c r="IG30" s="1464">
        <f>IG27+IG29</f>
        <v/>
      </c>
      <c r="IH30" s="1464">
        <f>IH27+IH29</f>
        <v/>
      </c>
      <c r="II30" s="1464">
        <f>II27+II29</f>
        <v/>
      </c>
      <c r="IJ30" s="1464">
        <f>IJ27+IJ29</f>
        <v/>
      </c>
      <c r="IK30" s="1464">
        <f>IK27+IK29</f>
        <v/>
      </c>
      <c r="IL30" s="1464" t="n">
        <v>157.721772160792</v>
      </c>
      <c r="IM30" s="1464" t="n">
        <v>151.3999007540042</v>
      </c>
      <c r="IN30" s="1464" t="n">
        <v>154.3016785231416</v>
      </c>
      <c r="IO30" s="1464" t="n">
        <v>154.6983811650758</v>
      </c>
      <c r="IP30" s="1464" t="n">
        <v>145.5141884519834</v>
      </c>
      <c r="IQ30" s="1464" t="n">
        <v>143.3057416073968</v>
      </c>
      <c r="IR30" s="1464" t="n">
        <v>136.0946271509262</v>
      </c>
      <c r="IS30" s="1464" t="n">
        <v>137.1727973623152</v>
      </c>
      <c r="IT30" s="1464" t="n">
        <v>138.8748568405101</v>
      </c>
      <c r="IU30" s="1464" t="n">
        <v>135.7302597275015</v>
      </c>
      <c r="IV30" s="1464" t="n">
        <v>130.4059650659601</v>
      </c>
      <c r="IW30" s="1464" t="n">
        <v>129.1806085627217</v>
      </c>
      <c r="IX30" s="1464" t="n">
        <v>131.9987435751281</v>
      </c>
      <c r="IY30" s="1464" t="n">
        <v>130.0093568938589</v>
      </c>
      <c r="IZ30" s="1464" t="n">
        <v>130.4748683071154</v>
      </c>
      <c r="JA30" s="1464" t="n">
        <v>130.7220915201707</v>
      </c>
      <c r="JB30" s="1464" t="n">
        <v>132.2250084296473</v>
      </c>
      <c r="JC30" s="1464" t="n">
        <v>134.5658813930693</v>
      </c>
      <c r="JD30" s="1464" t="n">
        <v>134.037612512524</v>
      </c>
      <c r="JE30" s="1464" t="n">
        <v>133.5567963450005</v>
      </c>
      <c r="JF30" s="1464" t="n">
        <v>134.8429258405491</v>
      </c>
      <c r="JG30" s="1464" t="n">
        <v>135.6456338601525</v>
      </c>
      <c r="JH30" s="1464" t="n">
        <v>131.4668687706488</v>
      </c>
      <c r="JI30" s="1464" t="n">
        <v>132.6944438963211</v>
      </c>
      <c r="JJ30" s="1464" t="n">
        <v>128.7343690900441</v>
      </c>
      <c r="JK30" s="1464" t="n">
        <v>126.0693244289103</v>
      </c>
      <c r="JL30" s="1464" t="n">
        <v>128.7564449699025</v>
      </c>
      <c r="JM30" s="1464" t="n">
        <v>130.278137983326</v>
      </c>
      <c r="JN30" s="1464" t="n">
        <v>131.341183832415</v>
      </c>
      <c r="JO30" s="1464" t="n">
        <v>133.4460055271988</v>
      </c>
      <c r="JP30" s="1464" t="n">
        <v>137.7641883463893</v>
      </c>
      <c r="JQ30" s="1464" t="n">
        <v>141.7057136839638</v>
      </c>
      <c r="JR30" s="1464" t="n">
        <v>142.0868157395736</v>
      </c>
      <c r="JS30" s="1464" t="n">
        <v>141.844492407833</v>
      </c>
      <c r="JT30" s="1464" t="n">
        <v>136.359418684522</v>
      </c>
      <c r="JU30" s="1464">
        <f>JU27+JU29</f>
        <v/>
      </c>
      <c r="JV30" s="1464" t="n">
        <v>134.2308181700722</v>
      </c>
      <c r="JW30" s="1464" t="n">
        <v>170.4303408583584</v>
      </c>
      <c r="JX30" s="1464" t="n">
        <v>168.8037321944951</v>
      </c>
      <c r="JY30" s="1464" t="n">
        <v>146.5882186447921</v>
      </c>
      <c r="JZ30" s="1464" t="n">
        <v>134.8676057347799</v>
      </c>
      <c r="KA30" s="1464" t="n">
        <v>132.4153462148248</v>
      </c>
      <c r="KB30" s="1464" t="n">
        <v>134.6472807159645</v>
      </c>
      <c r="KC30" s="1464" t="n">
        <v>135.0844889593465</v>
      </c>
      <c r="KD30" s="1464" t="n">
        <v>132.8273240736881</v>
      </c>
      <c r="KE30" s="1464" t="n">
        <v>133.1743868523193</v>
      </c>
      <c r="KF30" s="1464" t="n">
        <v>134.0151825252892</v>
      </c>
      <c r="KG30" s="1464" t="n">
        <v>136.5788504792703</v>
      </c>
      <c r="KH30" s="1464" t="n">
        <v>137.0759399907992</v>
      </c>
      <c r="KI30" s="1464" t="n">
        <v>140.8210278211758</v>
      </c>
      <c r="KJ30" s="1464" t="n">
        <v>135.0029157416885</v>
      </c>
      <c r="KK30" s="1464" t="n">
        <v>134.4543880832532</v>
      </c>
      <c r="KL30" s="1464" t="n">
        <v>136.9022841703216</v>
      </c>
      <c r="KM30" s="1464" t="n">
        <v>136.4414084197375</v>
      </c>
      <c r="KN30" s="1464" t="n">
        <v>136.8671757964277</v>
      </c>
      <c r="KO30" s="1464" t="n">
        <v>131.662465428001</v>
      </c>
      <c r="KP30" s="1464" t="n">
        <v>143.4693826075589</v>
      </c>
      <c r="KQ30" s="1464" t="n">
        <v>144.7550440735539</v>
      </c>
      <c r="KR30" s="1464" t="n">
        <v>143.2546143648581</v>
      </c>
      <c r="KS30" s="1464" t="n">
        <v>154.3522283679388</v>
      </c>
      <c r="KT30" s="1464" t="n">
        <v>142.3412942784053</v>
      </c>
      <c r="KU30" s="1464" t="n">
        <v>141.9171693612926</v>
      </c>
      <c r="KV30" s="1464" t="n">
        <v>142.0798210272337</v>
      </c>
      <c r="KW30" s="1464" t="n">
        <v>147.6403317000614</v>
      </c>
      <c r="KX30" s="1464" t="n">
        <v>122.2646661987412</v>
      </c>
      <c r="KY30" s="1464" t="n">
        <v>118.8571606096747</v>
      </c>
      <c r="KZ30" s="1464" t="n">
        <v>119.0147061863141</v>
      </c>
      <c r="LA30" s="1464" t="n">
        <v>118.8662768549207</v>
      </c>
      <c r="LB30" s="1464" t="n">
        <v>105.7544323570869</v>
      </c>
      <c r="LC30" s="1464" t="n">
        <v>120.2491611876231</v>
      </c>
      <c r="LD30" s="1464" t="n">
        <v>118.6075176152268</v>
      </c>
      <c r="LE30" s="1464" t="n">
        <v>114.7428976672348</v>
      </c>
      <c r="LF30" s="1464" t="n">
        <v>115.3010865971811</v>
      </c>
      <c r="LG30" s="1464" t="n">
        <v>118.8498724259509</v>
      </c>
      <c r="LH30" s="1464" t="n">
        <v>119.6264681027288</v>
      </c>
      <c r="LI30" s="1464" t="n">
        <v>120.3316343552948</v>
      </c>
      <c r="LJ30" s="1464" t="n">
        <v>121.721588058206</v>
      </c>
      <c r="LK30" s="1464" t="n">
        <v>122.5374583592233</v>
      </c>
      <c r="LL30" s="1464" t="n">
        <v>122.9497982738834</v>
      </c>
      <c r="LM30" s="1464" t="n">
        <v>121.533063650896</v>
      </c>
      <c r="LN30" s="1464" t="n">
        <v>121.5364689202945</v>
      </c>
      <c r="LO30" s="1464" t="n">
        <v>121.2803171671118</v>
      </c>
      <c r="LP30" s="1464" t="n">
        <v>120.1074858855937</v>
      </c>
      <c r="LQ30" s="1464">
        <f>LQ27+LQ29</f>
        <v/>
      </c>
      <c r="LR30" s="1464">
        <f>LR27+LR29</f>
        <v/>
      </c>
      <c r="LS30" s="1464">
        <f>LS27+LS29</f>
        <v/>
      </c>
      <c r="LT30" s="1464" t="n">
        <v>99.28610444750662</v>
      </c>
      <c r="LU30" s="1464" t="n">
        <v>107.9387242475409</v>
      </c>
      <c r="LV30" s="1464" t="n">
        <v>107.4599976329864</v>
      </c>
      <c r="LW30" s="1464" t="n">
        <v>108.1990587772367</v>
      </c>
      <c r="LX30" s="1464" t="n">
        <v>106.8384295248439</v>
      </c>
      <c r="LY30" s="1464" t="n">
        <v>108.4255402381542</v>
      </c>
      <c r="LZ30" s="1464" t="n">
        <v>110.1373840658843</v>
      </c>
      <c r="MA30" s="1464" t="n">
        <v>105.5704964563072</v>
      </c>
      <c r="MB30" s="1464" t="n">
        <v>111.9499396942989</v>
      </c>
      <c r="MC30" s="1464" t="n">
        <v>111.2493040012482</v>
      </c>
      <c r="MD30" s="1464" t="n">
        <v>117.94649738296</v>
      </c>
      <c r="ME30" s="1464" t="n">
        <v>117.5735081945587</v>
      </c>
      <c r="MF30" s="1464" t="n">
        <v>117.9239333300095</v>
      </c>
      <c r="MG30" s="1464" t="n">
        <v>118.7688519791157</v>
      </c>
      <c r="MH30" s="1464" t="n">
        <v>120.6348845072095</v>
      </c>
      <c r="MI30" s="1464" t="n">
        <v>121.2907209795244</v>
      </c>
      <c r="MJ30" s="1464" t="n">
        <v>117.7700925577499</v>
      </c>
      <c r="MK30" s="1464" t="n">
        <v>115.607425706508</v>
      </c>
      <c r="ML30" s="1464" t="n">
        <v>113.6541798098767</v>
      </c>
      <c r="MM30" s="1464" t="n">
        <v>113.5835725753834</v>
      </c>
      <c r="MN30" s="1464" t="n">
        <v>107.9528997022959</v>
      </c>
      <c r="MO30" s="1464" t="n">
        <v>112.1130880184903</v>
      </c>
      <c r="MP30" s="1464" t="n">
        <v>111.3608175450074</v>
      </c>
      <c r="MQ30" s="1464" t="n">
        <v>107.0009338731074</v>
      </c>
      <c r="MR30" s="1464" t="n">
        <v>106.0406625099817</v>
      </c>
      <c r="MS30" s="1464" t="n">
        <v>107.2766444878139</v>
      </c>
      <c r="MT30" s="1464" t="n">
        <v>105.0500927977353</v>
      </c>
      <c r="MU30" s="1464" t="n">
        <v>107.7429668641028</v>
      </c>
      <c r="MV30" s="1464" t="n">
        <v>107.1896355047905</v>
      </c>
      <c r="MW30" s="1464" t="n">
        <v>106.0207419547477</v>
      </c>
      <c r="MX30" s="1464" t="n">
        <v>106.5266157033065</v>
      </c>
      <c r="MY30" s="1464" t="n">
        <v>107.6631110761373</v>
      </c>
      <c r="MZ30" s="1464" t="n">
        <v>104.2026314608444</v>
      </c>
      <c r="NA30" s="1464" t="n">
        <v>103.3005583321781</v>
      </c>
      <c r="NB30" s="1464" t="n">
        <v>102.3629732588481</v>
      </c>
      <c r="NC30" s="1464" t="n">
        <v>103.4467747838644</v>
      </c>
      <c r="ND30" s="1464" t="n">
        <v>107.3927639215684</v>
      </c>
      <c r="NE30" s="1464" t="n">
        <v>107.0501894609973</v>
      </c>
      <c r="NF30" s="1464" t="n">
        <v>100.1019042994252</v>
      </c>
      <c r="NG30" s="1464" t="n">
        <v>98.20081695783121</v>
      </c>
      <c r="NH30" s="1464" t="n">
        <v>100.4942824969941</v>
      </c>
      <c r="NI30" s="1464" t="n">
        <v>102.3193643911404</v>
      </c>
      <c r="NJ30" s="1464" t="n">
        <v>100.0224690432047</v>
      </c>
      <c r="NK30" s="1464" t="n">
        <v>95.96363180978945</v>
      </c>
      <c r="NL30" s="1464" t="n">
        <v>93.16643918890733</v>
      </c>
      <c r="NM30" s="1464" t="n">
        <v>88.83401003129286</v>
      </c>
      <c r="NN30" s="1464" t="n">
        <v>88.97170684028578</v>
      </c>
      <c r="NO30" s="1464" t="n">
        <v>89.62260440334003</v>
      </c>
      <c r="NP30" s="1464" t="n">
        <v>91.20903504727789</v>
      </c>
      <c r="NQ30" s="1464" t="n">
        <v>92.06130899081241</v>
      </c>
      <c r="NR30" s="1464" t="n">
        <v>95.52584361010983</v>
      </c>
      <c r="NS30" s="1464" t="n">
        <v>97.88332031118118</v>
      </c>
      <c r="NT30" s="1464" t="n">
        <v>100.4984625991909</v>
      </c>
      <c r="NU30" s="1464" t="n">
        <v>101.1161740268782</v>
      </c>
      <c r="NV30" s="1464" t="n">
        <v>99.75410093819447</v>
      </c>
      <c r="NW30" s="1464" t="n">
        <v>99.25554210773045</v>
      </c>
      <c r="NX30" s="1464" t="n">
        <v>103.0092670282722</v>
      </c>
      <c r="NY30" s="1464" t="n">
        <v>104.8501745570395</v>
      </c>
      <c r="NZ30" s="1464" t="n">
        <v>107.6270455357136</v>
      </c>
      <c r="OA30" s="1464" t="n">
        <v>109.9576524340881</v>
      </c>
      <c r="OB30" s="1464" t="n">
        <v>106.1940349636636</v>
      </c>
      <c r="OC30" s="1464" t="n">
        <v>107.0936361674045</v>
      </c>
      <c r="OD30" s="1464" t="n">
        <v>109.5451270241537</v>
      </c>
      <c r="OE30" s="1464" t="n">
        <v>111.5444782545667</v>
      </c>
      <c r="OF30" s="1464" t="n">
        <v>108.7311410180974</v>
      </c>
      <c r="OG30" s="1464" t="n">
        <v>112.2903732649765</v>
      </c>
      <c r="OH30" s="1464" t="n">
        <v>114.268421280886</v>
      </c>
      <c r="OI30" s="1464" t="n">
        <v>116.7357941294699</v>
      </c>
      <c r="OJ30" s="1464" t="n">
        <v>114.6152036403746</v>
      </c>
      <c r="OK30" s="1464" t="n">
        <v>109.194034033675</v>
      </c>
      <c r="OL30" s="1464" t="n">
        <v>114.6791087686495</v>
      </c>
      <c r="OM30" s="1464" t="n">
        <v>112.4130752438013</v>
      </c>
      <c r="ON30" s="1464" t="n">
        <v>117.995620608469</v>
      </c>
      <c r="OO30" s="1464" t="n">
        <v>121.73718435677</v>
      </c>
      <c r="OP30" s="1464" t="n">
        <v>120.049154561689</v>
      </c>
      <c r="OQ30" s="1464" t="n">
        <v>125.8952041578358</v>
      </c>
      <c r="OR30" s="1464" t="n">
        <v>102.6960425554036</v>
      </c>
      <c r="OS30" s="1464" t="n">
        <v>129.7989230717596</v>
      </c>
      <c r="OT30" s="1464" t="n">
        <v>127.8537207602272</v>
      </c>
      <c r="OU30" s="1464" t="n">
        <v>129.2179616939166</v>
      </c>
      <c r="OV30" s="1464" t="n">
        <v>138.1024025106454</v>
      </c>
      <c r="OW30" s="1464" t="n">
        <v>136.6143808402842</v>
      </c>
      <c r="OX30" s="1464" t="n">
        <v>137.7110988172566</v>
      </c>
      <c r="OY30" s="1464" t="n">
        <v>129.6565005042927</v>
      </c>
      <c r="OZ30" s="1464" t="n">
        <v>129.6460782221318</v>
      </c>
      <c r="PA30" s="1464" t="n">
        <v>125.6206055288233</v>
      </c>
      <c r="PB30" s="1464" t="n">
        <v>124.6641154099343</v>
      </c>
      <c r="PC30" s="1464" t="n">
        <v>126.1783274304773</v>
      </c>
      <c r="PD30" s="1464" t="n">
        <v>122.5792344744276</v>
      </c>
      <c r="PE30" s="1464" t="n">
        <v>120.1023319032624</v>
      </c>
      <c r="PF30" s="1464" t="n">
        <v>125.0455422443653</v>
      </c>
      <c r="PG30" s="1464" t="n">
        <v>127.8482312453482</v>
      </c>
      <c r="PH30" s="1464" t="n">
        <v>130.4098462886598</v>
      </c>
      <c r="PI30" s="1464" t="n">
        <v>130.7205816299482</v>
      </c>
      <c r="PJ30" s="1464" t="n">
        <v>131.5252745956348</v>
      </c>
      <c r="PK30" s="1464" t="n">
        <v>126.9676734862758</v>
      </c>
      <c r="PL30" s="1464" t="n">
        <v>126.6851640936973</v>
      </c>
      <c r="PM30" s="1464" t="n">
        <v>127.5708805298407</v>
      </c>
      <c r="PN30" s="1464" t="n">
        <v>126.7388277564012</v>
      </c>
      <c r="PO30" s="1464" t="n">
        <v>118.1346317656385</v>
      </c>
      <c r="PP30" s="1464" t="n">
        <v>131.7117868228595</v>
      </c>
      <c r="PQ30" s="1464" t="n">
        <v>125.7491246230243</v>
      </c>
      <c r="PR30" s="1464" t="n">
        <v>132.0032279029093</v>
      </c>
      <c r="PS30" s="1464" t="n">
        <v>120.721240046445</v>
      </c>
      <c r="PT30" s="1464" t="n">
        <v>123.954134585014</v>
      </c>
      <c r="PU30" s="1464" t="n">
        <v>107.5241498949672</v>
      </c>
      <c r="PV30" s="1464" t="n">
        <v>105.5743767743005</v>
      </c>
      <c r="PW30" s="1464" t="n">
        <v>108.916817181143</v>
      </c>
      <c r="PX30" s="1464" t="n">
        <v>107.413052832684</v>
      </c>
      <c r="PY30" s="1464" t="n">
        <v>108.330118463762</v>
      </c>
      <c r="PZ30" s="1464" t="n">
        <v>109.5920992530548</v>
      </c>
      <c r="QA30" s="1464" t="n">
        <v>115.3841669446773</v>
      </c>
      <c r="QB30" s="1464" t="n">
        <v>114.9726604129044</v>
      </c>
      <c r="QC30" s="1464" t="n">
        <v>108.6696991184561</v>
      </c>
      <c r="QD30" s="1464" t="n">
        <v>116.6932664493104</v>
      </c>
      <c r="QE30" s="1464" t="n">
        <v>121.8462637613634</v>
      </c>
      <c r="QF30" s="1464" t="n">
        <v>130.1370128120056</v>
      </c>
      <c r="QG30" s="1464" t="n">
        <v>129.2540406863519</v>
      </c>
      <c r="QH30" s="1464" t="n">
        <v>122.4167368973141</v>
      </c>
      <c r="QI30" s="1464" t="n">
        <v>126.4114364240803</v>
      </c>
      <c r="QJ30" s="1464" t="n">
        <v>126.4890736327097</v>
      </c>
      <c r="QK30" s="1464" t="n">
        <v>125.6774919598968</v>
      </c>
      <c r="QL30" s="1464" t="n">
        <v>126.4647970169935</v>
      </c>
      <c r="QM30" s="1464" t="n">
        <v>121.6390175852104</v>
      </c>
      <c r="QN30" s="1464" t="n">
        <v>120.5032624923865</v>
      </c>
      <c r="QO30" s="1464" t="n">
        <v>125.7568569560347</v>
      </c>
      <c r="QP30" s="1464" t="n">
        <v>126.5113283502086</v>
      </c>
      <c r="QQ30" s="1464" t="n">
        <v>120.6350645457497</v>
      </c>
      <c r="QR30" s="1464" t="n">
        <v>121.1270621843139</v>
      </c>
      <c r="QS30" s="1464" t="n">
        <v>122.3348424434632</v>
      </c>
      <c r="QT30" s="1464" t="n">
        <v>125.2290976209262</v>
      </c>
      <c r="QU30" s="1464" t="n">
        <v>126.4250509499611</v>
      </c>
      <c r="QV30" s="1464" t="n">
        <v>124.594531481571</v>
      </c>
      <c r="QW30" s="1464" t="n">
        <v>124.3686430459037</v>
      </c>
      <c r="QX30" s="1464" t="n">
        <v>113.4255217325458</v>
      </c>
      <c r="QY30" s="1464" t="n">
        <v>112.7425621736322</v>
      </c>
      <c r="QZ30" s="1464" t="n">
        <v>110.0111377693756</v>
      </c>
      <c r="RA30" s="1464" t="n">
        <v>108.7901762776029</v>
      </c>
      <c r="RB30" s="1464" t="n">
        <v>109.2404931657095</v>
      </c>
      <c r="RC30" s="1464" t="n">
        <v>109.49741396006</v>
      </c>
      <c r="RD30" s="1464" t="n">
        <v>108.4561738182676</v>
      </c>
      <c r="RE30" s="1464" t="n">
        <v>112.2201130813038</v>
      </c>
      <c r="RF30" s="1464" t="n">
        <v>110.1466016451521</v>
      </c>
      <c r="RG30" s="1464">
        <f>RG27+RG29</f>
        <v/>
      </c>
      <c r="RH30" s="1464" t="n">
        <v>104.1059211199804</v>
      </c>
      <c r="RI30" s="1464" t="n">
        <v>103.5361767285187</v>
      </c>
      <c r="RJ30" s="1464" t="n">
        <v>105.3902275765046</v>
      </c>
      <c r="RK30" s="1464" t="n">
        <v>108.1570195062474</v>
      </c>
      <c r="RL30" s="1464" t="n">
        <v>107.3073006383072</v>
      </c>
      <c r="RM30" s="1464" t="n">
        <v>109.2767628874347</v>
      </c>
      <c r="RN30" s="1464" t="n">
        <v>111.6401652734688</v>
      </c>
      <c r="RO30" s="1464" t="n">
        <v>110.9580062690352</v>
      </c>
      <c r="RP30" s="1464" t="n">
        <v>114.0420327738095</v>
      </c>
      <c r="RQ30" s="1464" t="n">
        <v>110.7404563536496</v>
      </c>
      <c r="RR30" s="1464" t="n">
        <v>115.143193564238</v>
      </c>
      <c r="RS30" s="1464" t="n">
        <v>110.6379176401717</v>
      </c>
      <c r="RT30" s="1464" t="n">
        <v>111.837132887005</v>
      </c>
      <c r="RU30" s="1464" t="n">
        <v>110.1481861690927</v>
      </c>
      <c r="RV30" s="1464" t="n">
        <v>111.1830283215037</v>
      </c>
      <c r="RW30" s="1464" t="n">
        <v>104.5280999549584</v>
      </c>
      <c r="RX30" s="1464" t="n">
        <v>103.5388036183718</v>
      </c>
      <c r="RY30" s="1464" t="n">
        <v>102.2160823171427</v>
      </c>
      <c r="RZ30" s="1464" t="n">
        <v>104.5962781811967</v>
      </c>
      <c r="SA30" s="1464" t="n">
        <v>100.5499710991121</v>
      </c>
      <c r="SB30" s="1464" t="n">
        <v>101.0469415762919</v>
      </c>
      <c r="SC30" s="1464" t="n">
        <v>99.72384246338189</v>
      </c>
      <c r="SD30" s="1464" t="n">
        <v>100.1175696876283</v>
      </c>
      <c r="SE30" s="1464" t="n">
        <v>100.1124978239471</v>
      </c>
      <c r="SF30" s="1464">
        <f>SF27+SF29</f>
        <v/>
      </c>
      <c r="SG30" s="1464" t="n">
        <v>103.4341805735119</v>
      </c>
      <c r="SH30" s="1464" t="n">
        <v>103.8952265582375</v>
      </c>
      <c r="SI30" s="1464" t="n">
        <v>102.3067249103607</v>
      </c>
      <c r="SJ30" s="1464" t="n">
        <v>101.8441711999807</v>
      </c>
      <c r="SK30" s="1464" t="n">
        <v>100.7018151824338</v>
      </c>
      <c r="SL30" s="1464" t="n">
        <v>101.5310754511291</v>
      </c>
      <c r="SM30" s="1464" t="n">
        <v>98.92216887766889</v>
      </c>
      <c r="SN30" s="1464" t="n">
        <v>99.71005007691748</v>
      </c>
      <c r="SO30" s="1464" t="n">
        <v>100.4684117185888</v>
      </c>
      <c r="SP30" s="1464" t="n">
        <v>99.84271120932796</v>
      </c>
      <c r="SQ30" s="1464" t="n">
        <v>89.79490498295287</v>
      </c>
      <c r="SR30" s="1464" t="n">
        <v>107.9802384288324</v>
      </c>
      <c r="SS30" s="1464" t="n">
        <v>98.06249247628197</v>
      </c>
      <c r="ST30" s="1464" t="n">
        <v>94.4577171651716</v>
      </c>
      <c r="SU30" s="1464" t="n">
        <v>107.0086528066924</v>
      </c>
      <c r="SV30" s="1464" t="n">
        <v>108.5739002085112</v>
      </c>
      <c r="SW30" s="1464" t="n">
        <v>106.5893963207371</v>
      </c>
      <c r="SX30" s="1464" t="n">
        <v>114.3116928477937</v>
      </c>
      <c r="SY30" s="1464" t="n">
        <v>116.3886392462646</v>
      </c>
      <c r="SZ30" s="1464" t="n">
        <v>119.0115760560867</v>
      </c>
      <c r="TA30" s="1464" t="n">
        <v>120.0634641998981</v>
      </c>
      <c r="TB30" s="1464" t="n">
        <v>122.5013388452526</v>
      </c>
      <c r="TC30" s="1464" t="n">
        <v>120.5857389985009</v>
      </c>
      <c r="TD30" s="1464" t="n">
        <v>122.2439327011917</v>
      </c>
      <c r="TE30" s="1464">
        <f>TE27+TE29</f>
        <v/>
      </c>
      <c r="TF30" s="1464" t="n">
        <v>130.4056661701991</v>
      </c>
      <c r="TG30" s="1464" t="n">
        <v>133.7936956137879</v>
      </c>
      <c r="TH30" s="1464" t="n">
        <v>134.4403411705891</v>
      </c>
      <c r="TI30" s="1464" t="n">
        <v>129.4645576769948</v>
      </c>
      <c r="TJ30" s="1464" t="n">
        <v>131.334483113538</v>
      </c>
      <c r="TK30" s="1464" t="n">
        <v>130.8880089149417</v>
      </c>
      <c r="TL30" s="1464" t="n">
        <v>138.2916925080444</v>
      </c>
      <c r="TM30" s="1464" t="n">
        <v>137.4850471871322</v>
      </c>
      <c r="TN30" s="1464" t="n">
        <v>137.7308992243688</v>
      </c>
      <c r="TO30" s="1464" t="n">
        <v>137.115097732972</v>
      </c>
      <c r="TP30" s="1464" t="n">
        <v>138.604033127001</v>
      </c>
      <c r="TQ30" s="1464" t="n">
        <v>142.61047426547</v>
      </c>
      <c r="TR30" s="1464" t="n">
        <v>139.6046924274729</v>
      </c>
      <c r="TS30" s="1464" t="n">
        <v>139.956432473289</v>
      </c>
      <c r="TT30" s="1464" t="n">
        <v>138.298152566205</v>
      </c>
      <c r="TU30" s="1464" t="n">
        <v>138.8827541742455</v>
      </c>
      <c r="TV30" s="1464" t="n">
        <v>139.8784530822753</v>
      </c>
      <c r="TW30" s="1464" t="n">
        <v>143.1075606925509</v>
      </c>
      <c r="TX30" s="1464" t="n">
        <v>141.9633005993281</v>
      </c>
      <c r="TY30" s="1464" t="n">
        <v>145.2059245695831</v>
      </c>
      <c r="TZ30" s="1464" t="n">
        <v>149.922755845253</v>
      </c>
      <c r="UA30" s="1464" t="n">
        <v>155.9909968348594</v>
      </c>
      <c r="UB30" s="1464" t="n">
        <v>146.0345720847274</v>
      </c>
      <c r="UC30" s="1464" t="n">
        <v>130.2348339633899</v>
      </c>
      <c r="UD30" s="1464" t="n">
        <v>128.5062881684148</v>
      </c>
      <c r="UE30" s="1464" t="n">
        <v>131.186771072622</v>
      </c>
      <c r="UF30" s="1464" t="n">
        <v>130.0008975295586</v>
      </c>
      <c r="UG30" s="1464" t="n">
        <v>132.9125418011806</v>
      </c>
      <c r="UH30" s="1464" t="n">
        <v>132.8382606693953</v>
      </c>
      <c r="UI30" s="1464" t="n">
        <v>127.7834470873788</v>
      </c>
      <c r="UJ30" s="1464" t="n">
        <v>127.5920039270133</v>
      </c>
      <c r="UK30" s="1464" t="n">
        <v>137.8886415443457</v>
      </c>
      <c r="UL30" s="1464" t="n">
        <v>135.1106301467685</v>
      </c>
      <c r="UM30" s="1464" t="n">
        <v>135.4776765783686</v>
      </c>
      <c r="UN30" s="1464" t="n">
        <v>125.3193192689989</v>
      </c>
      <c r="UO30" s="1464" t="n">
        <v>104.6214905644849</v>
      </c>
      <c r="UP30" s="1464" t="n">
        <v>123.4915161491376</v>
      </c>
      <c r="UQ30" s="1464" t="n">
        <v>122.1250178744974</v>
      </c>
      <c r="UR30" s="1464" t="n">
        <v>121.5959011493316</v>
      </c>
      <c r="US30" s="1464" t="n">
        <v>120.9302121483122</v>
      </c>
      <c r="UT30" s="1464" t="n">
        <v>124.3498733102287</v>
      </c>
      <c r="UU30" s="1464" t="n">
        <v>120.3273359346569</v>
      </c>
      <c r="UV30" s="1464" t="n">
        <v>96.17381970781283</v>
      </c>
      <c r="UW30" s="1464">
        <f>UW27+UW29</f>
        <v/>
      </c>
      <c r="UX30" s="1464">
        <f>UX27+UX29</f>
        <v/>
      </c>
      <c r="UY30" s="1464">
        <f>UY27+UY29</f>
        <v/>
      </c>
      <c r="UZ30" s="1464">
        <f>UZ27+UZ29</f>
        <v/>
      </c>
      <c r="VA30" s="1464">
        <f>VA27+VA29</f>
        <v/>
      </c>
      <c r="VB30" s="1464" t="n">
        <v>124.0384670648085</v>
      </c>
      <c r="VC30" s="1464" t="n">
        <v>124.510287668299</v>
      </c>
      <c r="VD30" s="1464" t="n">
        <v>120.9674569286473</v>
      </c>
      <c r="VE30" s="1464" t="n">
        <v>117.5830984026839</v>
      </c>
      <c r="VF30" s="1464" t="n">
        <v>106.0526929897094</v>
      </c>
      <c r="VG30" s="1464" t="n">
        <v>108.0953387253709</v>
      </c>
      <c r="VH30" s="1464" t="n">
        <v>104.9194375328422</v>
      </c>
      <c r="VI30" s="1464" t="n">
        <v>108.5135260598592</v>
      </c>
      <c r="VJ30" s="1464">
        <f>VJ27+VJ29</f>
        <v/>
      </c>
      <c r="VK30" s="1464" t="n">
        <v>100.5536564985728</v>
      </c>
      <c r="VL30" s="1464" t="n">
        <v>101.1103223435928</v>
      </c>
      <c r="VM30" s="1464" t="n">
        <v>97.80927598859952</v>
      </c>
      <c r="VN30" s="1464" t="n">
        <v>93.69097661763456</v>
      </c>
      <c r="VO30" s="1464" t="n">
        <v>92.50039863762179</v>
      </c>
      <c r="VP30" s="1464" t="n">
        <v>93.10534099940294</v>
      </c>
      <c r="VQ30" s="1464" t="n">
        <v>92.09735533110735</v>
      </c>
      <c r="VR30" s="1464" t="n">
        <v>90.14723331897382</v>
      </c>
      <c r="VS30" s="1464" t="n">
        <v>90.78034572222944</v>
      </c>
      <c r="VT30" s="1464" t="n">
        <v>88.97684281359986</v>
      </c>
      <c r="VU30" s="1464" t="n">
        <v>89.48785169976829</v>
      </c>
      <c r="VV30" s="1464" t="n">
        <v>86.91034741262536</v>
      </c>
      <c r="VW30" s="1464" t="n">
        <v>84.47771191657901</v>
      </c>
      <c r="VX30" s="1464" t="n">
        <v>83.10140028082776</v>
      </c>
      <c r="VY30" s="1464" t="n">
        <v>75.09126515266908</v>
      </c>
      <c r="VZ30" s="1464" t="n">
        <v>76.64670868212093</v>
      </c>
      <c r="WA30" s="1464" t="n">
        <v>77.49792030732472</v>
      </c>
      <c r="WB30" s="1464" t="n">
        <v>84.55272858020527</v>
      </c>
      <c r="WC30" s="1464" t="n">
        <v>95.67392292860534</v>
      </c>
      <c r="WD30" s="1464" t="n">
        <v>88.3211475259332</v>
      </c>
      <c r="WE30" s="1464" t="n">
        <v>91.18608000794235</v>
      </c>
      <c r="WF30" s="1464" t="n">
        <v>84.62945031835831</v>
      </c>
      <c r="WG30" s="1464" t="n">
        <v>79.77364484823107</v>
      </c>
      <c r="WH30" s="1464" t="n">
        <v>74.70444743046275</v>
      </c>
      <c r="WI30" s="1464" t="n">
        <v>75.66354114568493</v>
      </c>
      <c r="WJ30" s="1464" t="n">
        <v>76.61041072657881</v>
      </c>
      <c r="WK30" s="1464" t="n">
        <v>76.58108748495336</v>
      </c>
      <c r="WL30" s="1464" t="n">
        <v>79.24336366814836</v>
      </c>
      <c r="WM30" s="1464" t="n">
        <v>80.36394061556388</v>
      </c>
      <c r="WN30" s="1464" t="n">
        <v>73.3382732150844</v>
      </c>
      <c r="WO30" s="1464" t="n">
        <v>72.14939481165013</v>
      </c>
      <c r="WP30" s="1464" t="n">
        <v>73.8858912499804</v>
      </c>
      <c r="WQ30" s="1464" t="n">
        <v>73.62337491251708</v>
      </c>
      <c r="WR30" s="1464">
        <f>WR27+WR29</f>
        <v/>
      </c>
      <c r="WS30" s="1464" t="n">
        <v>73.26813501768423</v>
      </c>
      <c r="WT30" s="1464" t="n">
        <v>73.42771493952138</v>
      </c>
      <c r="WU30" s="1464" t="n">
        <v>81.56527488631212</v>
      </c>
      <c r="WV30" s="1464" t="n">
        <v>79.40960146512988</v>
      </c>
      <c r="WW30" s="1464" t="n">
        <v>85.5627784904963</v>
      </c>
      <c r="WX30" s="1464" t="n">
        <v>83.17775037743422</v>
      </c>
      <c r="WY30" s="1464" t="n">
        <v>81.58064694542196</v>
      </c>
      <c r="WZ30" s="1464" t="n">
        <v>76.75263064015671</v>
      </c>
      <c r="XA30" s="1464" t="n">
        <v>79.20862874730754</v>
      </c>
      <c r="XB30" s="1464" t="n">
        <v>83.16181524230825</v>
      </c>
      <c r="XC30" s="1464" t="n">
        <v>74.41609793143448</v>
      </c>
      <c r="XD30" s="1464" t="n">
        <v>79.08519037947319</v>
      </c>
      <c r="XE30" s="1464" t="n">
        <v>76.8776416238418</v>
      </c>
      <c r="XF30" s="1464" t="n">
        <v>78.573614087949</v>
      </c>
      <c r="XG30" s="1464" t="n">
        <v>45.77156174864685</v>
      </c>
      <c r="XH30" s="1464" t="n">
        <v>71.07312843025048</v>
      </c>
      <c r="XI30" s="1464" t="n">
        <v>73.51172760470904</v>
      </c>
      <c r="XJ30" s="1464" t="n">
        <v>73.30360032810451</v>
      </c>
      <c r="XK30" s="1464" t="n">
        <v>69.06136294900087</v>
      </c>
      <c r="XL30" s="1464" t="n">
        <v>67.69357394762858</v>
      </c>
      <c r="XM30" s="1464" t="n">
        <v>68.91669740424608</v>
      </c>
      <c r="XN30" s="1464" t="n">
        <v>72.67275884174195</v>
      </c>
      <c r="XO30" s="1464" t="n">
        <v>79.04539816358067</v>
      </c>
      <c r="XP30" s="1464" t="n">
        <v>81.72387271716036</v>
      </c>
      <c r="XQ30" s="1464" t="n">
        <v>78.90522255950319</v>
      </c>
      <c r="XR30" s="1464" t="n">
        <v>72.94357339521555</v>
      </c>
      <c r="XS30" s="1464" t="n">
        <v>69.63975564333722</v>
      </c>
      <c r="XT30" s="1464">
        <f>XT27+XT29</f>
        <v/>
      </c>
      <c r="XU30" s="1464" t="n">
        <v>75.03820455161602</v>
      </c>
      <c r="XV30" s="1464" t="n">
        <v>75.1718692122374</v>
      </c>
      <c r="XW30" s="1464" t="n">
        <v>62.64069172389655</v>
      </c>
      <c r="XX30" s="1464" t="n">
        <v>77.87280286591752</v>
      </c>
      <c r="XY30" s="1464" t="n">
        <v>76.61227948145813</v>
      </c>
      <c r="XZ30" s="1464" t="n">
        <v>80.88202696324977</v>
      </c>
      <c r="YA30" s="1464" t="n">
        <v>82.38848763247096</v>
      </c>
      <c r="YB30" s="1464" t="n">
        <v>85.61240764661291</v>
      </c>
      <c r="YC30" s="1464" t="n">
        <v>82.12551034483081</v>
      </c>
      <c r="YD30" s="1464" t="n">
        <v>69.27104878023633</v>
      </c>
      <c r="YE30" s="1464" t="n">
        <v>86.60995874596162</v>
      </c>
      <c r="YF30" s="1464" t="n">
        <v>90.14449966287289</v>
      </c>
      <c r="YG30" s="1464" t="n">
        <v>82.98278418200353</v>
      </c>
      <c r="YH30" s="1464" t="n">
        <v>84.33061982153578</v>
      </c>
      <c r="YI30" s="1464" t="n">
        <v>92.45269009449572</v>
      </c>
      <c r="YJ30" s="1464" t="n">
        <v>94.80604385869978</v>
      </c>
      <c r="YK30" s="1464" t="n">
        <v>97.66200073996723</v>
      </c>
      <c r="YL30" s="1464" t="n">
        <v>100.250148439464</v>
      </c>
      <c r="YM30" s="1464">
        <f>YM27+YM29</f>
        <v/>
      </c>
      <c r="YN30" s="1464" t="n">
        <v>98.4925626511809</v>
      </c>
      <c r="YO30" s="1464" t="n">
        <v>99.77356853475197</v>
      </c>
      <c r="YP30" s="1464" t="n">
        <v>99.33832718170963</v>
      </c>
      <c r="YQ30" s="1464" t="n">
        <v>102.955942665063</v>
      </c>
      <c r="YR30" s="1464" t="n">
        <v>106.1744611688269</v>
      </c>
      <c r="YS30" s="1464" t="n">
        <v>102.3506503093897</v>
      </c>
      <c r="YT30" s="1464" t="n">
        <v>102.4603312370661</v>
      </c>
      <c r="YU30" s="1464" t="n">
        <v>104.5578800309372</v>
      </c>
      <c r="YV30" s="1464" t="n">
        <v>106.8797078963894</v>
      </c>
      <c r="YW30" s="1464" t="n">
        <v>105.069665604786</v>
      </c>
      <c r="YX30" s="1464" t="n">
        <v>105.556516340758</v>
      </c>
      <c r="YY30" s="1464" t="n">
        <v>101.0345371353288</v>
      </c>
      <c r="YZ30" s="1464" t="n">
        <v>69.92776433139454</v>
      </c>
      <c r="ZA30" s="1464" t="n">
        <v>100.9934060337063</v>
      </c>
      <c r="ZB30" s="1464" t="n">
        <v>111.0839837522788</v>
      </c>
      <c r="ZC30" s="1464" t="n">
        <v>105.7382400506902</v>
      </c>
      <c r="ZD30" s="1464" t="n">
        <v>107.3342192662458</v>
      </c>
      <c r="ZE30" s="1464" t="n">
        <v>107.1157631575862</v>
      </c>
      <c r="ZF30" s="1464">
        <f>ZF27+ZF29</f>
        <v/>
      </c>
    </row>
    <row r="31"/>
    <row r="32" ht="15.6" customHeight="1">
      <c r="A32" s="12" t="inlineStr">
        <is>
          <t xml:space="preserve">Detail of Time Deposit </t>
        </is>
      </c>
      <c r="B32" s="2" t="n"/>
      <c r="C32" s="2" t="n"/>
      <c r="IC32" s="1466" t="n"/>
      <c r="ID32" s="1466" t="n"/>
      <c r="IE32" s="1466" t="n"/>
      <c r="IF32" s="1466" t="n"/>
      <c r="IG32" s="1466" t="n"/>
      <c r="IH32" s="1466" t="n"/>
      <c r="II32" s="1466" t="n"/>
      <c r="IJ32" s="1466" t="n"/>
      <c r="IK32" s="1466" t="n"/>
      <c r="IL32" s="1466" t="n"/>
      <c r="IM32" s="1466" t="n"/>
      <c r="IN32" s="1466" t="n"/>
      <c r="IO32" s="1466" t="n"/>
      <c r="IP32" s="1466" t="n"/>
      <c r="IQ32" s="1466" t="n"/>
      <c r="IR32" s="1466" t="n"/>
      <c r="IS32" s="1466" t="n"/>
      <c r="IT32" s="1466" t="n"/>
      <c r="IU32" s="1466" t="n"/>
      <c r="IV32" s="1466" t="n"/>
      <c r="IW32" s="1466" t="n"/>
      <c r="IX32" s="1466" t="n"/>
      <c r="IY32" s="1466" t="n"/>
      <c r="IZ32" s="1466" t="n"/>
      <c r="JA32" s="1466" t="n"/>
      <c r="JB32" s="1466" t="n"/>
      <c r="JC32" s="1466" t="n"/>
      <c r="JD32" s="1466" t="n"/>
      <c r="JE32" s="1466" t="n"/>
      <c r="JF32" s="1466" t="n"/>
      <c r="JG32" s="1466" t="n"/>
      <c r="JH32" s="1466" t="n"/>
      <c r="JI32" s="1466" t="n"/>
      <c r="JJ32" s="1466" t="n"/>
      <c r="JK32" s="1466" t="n"/>
      <c r="JL32" s="1466" t="n"/>
      <c r="JM32" s="1466" t="n"/>
      <c r="JN32" s="1466" t="n"/>
      <c r="JO32" s="1466" t="n"/>
      <c r="JP32" s="1466" t="n"/>
      <c r="JQ32" s="1466" t="n"/>
      <c r="JR32" s="1466" t="n"/>
      <c r="JS32" s="1466" t="n"/>
      <c r="JT32" s="1466" t="n"/>
      <c r="JU32" s="1466" t="n"/>
      <c r="JV32" s="1466" t="n"/>
      <c r="JW32" s="1466" t="n"/>
      <c r="JX32" s="1466" t="n"/>
      <c r="JY32" s="1466" t="n"/>
      <c r="JZ32" s="1466" t="n"/>
      <c r="KA32" s="1466" t="n"/>
      <c r="KB32" s="1466" t="n"/>
      <c r="KC32" s="1466" t="n"/>
      <c r="KD32" s="1466" t="n"/>
      <c r="KE32" s="1466" t="n"/>
      <c r="KF32" s="1466" t="n"/>
      <c r="KG32" s="1466" t="n"/>
      <c r="KH32" s="1466" t="n"/>
      <c r="KI32" s="1466" t="n"/>
      <c r="KJ32" s="1466" t="n"/>
      <c r="KK32" s="1466" t="n"/>
      <c r="KL32" s="1466" t="n"/>
      <c r="KM32" s="1466" t="n"/>
      <c r="KN32" s="1466" t="n"/>
      <c r="KO32" s="1466" t="n"/>
      <c r="KP32" s="1466" t="n"/>
      <c r="KQ32" s="1466" t="n"/>
      <c r="KR32" s="1466" t="n"/>
      <c r="KS32" s="1466" t="n"/>
      <c r="KT32" s="1466" t="n"/>
      <c r="KU32" s="1466" t="n"/>
      <c r="KV32" s="1466" t="n"/>
      <c r="KW32" s="1466" t="n"/>
      <c r="KX32" s="1466" t="n"/>
      <c r="KY32" s="1466" t="n"/>
      <c r="KZ32" s="1466" t="n"/>
      <c r="LA32" s="1466" t="n"/>
      <c r="LB32" s="1466" t="n"/>
      <c r="LC32" s="1466" t="n"/>
      <c r="LD32" s="1466" t="n"/>
      <c r="LE32" s="1466" t="n"/>
      <c r="LF32" s="1466" t="n"/>
      <c r="LG32" s="1466" t="n"/>
      <c r="LH32" s="1466" t="n"/>
      <c r="LI32" s="1466" t="n"/>
      <c r="LJ32" s="1466" t="n"/>
      <c r="LK32" s="1466" t="n"/>
      <c r="LL32" s="1466" t="n"/>
      <c r="LM32" s="1466" t="n"/>
      <c r="LN32" s="1466" t="n"/>
      <c r="LO32" s="1466" t="n"/>
      <c r="LP32" s="1466" t="n"/>
      <c r="LQ32" s="1466" t="n"/>
      <c r="LR32" s="1466" t="n"/>
      <c r="LS32" s="1466" t="n"/>
      <c r="LT32" s="1466" t="n"/>
      <c r="LU32" s="1466" t="n"/>
      <c r="LV32" s="1466" t="n"/>
      <c r="LW32" s="1466" t="n"/>
      <c r="LX32" s="1466" t="n"/>
      <c r="LY32" s="1466" t="n"/>
      <c r="LZ32" s="1466" t="n"/>
      <c r="MA32" s="1466" t="n"/>
      <c r="MB32" s="1466" t="n"/>
      <c r="MC32" s="1466" t="n"/>
      <c r="MD32" s="1466" t="n"/>
      <c r="ME32" s="1466" t="n"/>
      <c r="MF32" s="1466" t="n"/>
      <c r="MG32" s="1466" t="n"/>
      <c r="MH32" s="1466" t="n"/>
      <c r="MI32" s="1466" t="n"/>
      <c r="MJ32" s="1466" t="n"/>
      <c r="MK32" s="1466" t="n"/>
      <c r="ML32" s="1466" t="n"/>
      <c r="MM32" s="1466" t="n"/>
      <c r="MN32" s="1466" t="n"/>
      <c r="MO32" s="1466" t="n"/>
      <c r="MP32" s="1466" t="n"/>
      <c r="MQ32" s="1466" t="n"/>
      <c r="MR32" s="1466" t="n"/>
      <c r="MS32" s="1466" t="n"/>
      <c r="MT32" s="1466" t="n"/>
      <c r="MU32" s="1466" t="n"/>
      <c r="MV32" s="1466" t="n"/>
      <c r="MW32" s="1466" t="n"/>
      <c r="MX32" s="1466" t="n"/>
      <c r="MY32" s="1466" t="n"/>
      <c r="MZ32" s="1466" t="n"/>
      <c r="NA32" s="1466" t="n"/>
      <c r="NB32" s="1466" t="n"/>
      <c r="NC32" s="1466" t="n"/>
      <c r="ND32" s="1466" t="n"/>
      <c r="NE32" s="1466" t="n"/>
      <c r="NF32" s="1466" t="n"/>
      <c r="NG32" s="1466" t="n"/>
      <c r="NH32" s="1466" t="n"/>
      <c r="NI32" s="1466" t="n"/>
      <c r="NJ32" s="1466" t="n"/>
      <c r="NK32" s="1466" t="n"/>
      <c r="NL32" s="1466" t="n"/>
      <c r="NM32" s="1466" t="n"/>
      <c r="NN32" s="1466" t="n"/>
      <c r="NO32" s="1466" t="n"/>
      <c r="NP32" s="1466" t="n"/>
      <c r="NQ32" s="1466" t="n"/>
      <c r="NR32" s="1466" t="n"/>
      <c r="NS32" s="1466" t="n"/>
      <c r="NT32" s="1466" t="n"/>
      <c r="NU32" s="1466" t="n"/>
      <c r="NV32" s="1466" t="n"/>
      <c r="NW32" s="1466" t="n"/>
      <c r="NX32" s="1466" t="n"/>
      <c r="NY32" s="1466" t="n"/>
      <c r="NZ32" s="1466" t="n"/>
      <c r="OA32" s="1466" t="n"/>
      <c r="OB32" s="1466" t="n"/>
      <c r="OC32" s="1466" t="n"/>
      <c r="OD32" s="1466" t="n"/>
      <c r="OE32" s="1466" t="n"/>
      <c r="OF32" s="1466" t="n"/>
      <c r="OG32" s="1466" t="n"/>
      <c r="OH32" s="1466" t="n"/>
      <c r="OI32" s="1466" t="n"/>
      <c r="OJ32" s="1466" t="n"/>
      <c r="OK32" s="1466" t="n"/>
      <c r="OL32" s="1466" t="n"/>
      <c r="OM32" s="1466" t="n"/>
      <c r="ON32" s="1466" t="n"/>
      <c r="OO32" s="1466" t="n"/>
      <c r="OP32" s="1466" t="n"/>
      <c r="OQ32" s="1466" t="n"/>
      <c r="OR32" s="1466" t="n"/>
      <c r="OS32" s="1466" t="n"/>
      <c r="OT32" s="1466" t="n"/>
      <c r="OU32" s="1466" t="n"/>
      <c r="OV32" s="1466" t="n"/>
      <c r="OW32" s="1466" t="n"/>
      <c r="OX32" s="1466" t="n"/>
      <c r="OY32" s="1466" t="n"/>
      <c r="OZ32" s="1466" t="n"/>
      <c r="PA32" s="1466" t="n"/>
      <c r="PB32" s="1466" t="n"/>
      <c r="PC32" s="1466" t="n"/>
      <c r="PD32" s="1466" t="n"/>
      <c r="PE32" s="1466" t="n"/>
      <c r="PF32" s="1466" t="n"/>
      <c r="PG32" s="1466" t="n"/>
      <c r="PH32" s="1466" t="n"/>
      <c r="PI32" s="1466" t="n"/>
      <c r="PJ32" s="1466" t="n"/>
      <c r="PK32" s="1466" t="n"/>
      <c r="PL32" s="1466" t="n"/>
      <c r="PM32" s="1466" t="n"/>
      <c r="PN32" s="1466" t="n"/>
      <c r="PO32" s="1466" t="n"/>
      <c r="PP32" s="1466" t="n"/>
      <c r="PQ32" s="1466" t="n"/>
      <c r="PR32" s="1466" t="n"/>
      <c r="PS32" s="1466" t="n"/>
      <c r="PT32" s="1466" t="n"/>
      <c r="PU32" s="1466" t="n"/>
      <c r="PV32" s="1466" t="n"/>
      <c r="PW32" s="1466" t="n"/>
      <c r="PX32" s="1466" t="n"/>
      <c r="PY32" s="1466" t="n"/>
      <c r="PZ32" s="1466" t="n"/>
      <c r="QA32" s="1466" t="n"/>
      <c r="QB32" s="1466" t="n"/>
      <c r="QC32" s="1466" t="n"/>
      <c r="QD32" s="1466" t="n"/>
      <c r="QE32" s="1466" t="n"/>
      <c r="QF32" s="1466" t="n"/>
      <c r="QG32" s="1466" t="n"/>
      <c r="QH32" s="1466" t="n"/>
      <c r="QI32" s="1466" t="n"/>
      <c r="QJ32" s="1466" t="n"/>
      <c r="QK32" s="1466" t="n"/>
      <c r="QL32" s="1466" t="n"/>
      <c r="QM32" s="1466" t="n"/>
      <c r="QN32" s="1466" t="n"/>
      <c r="QO32" s="1466" t="n"/>
      <c r="QP32" s="1466" t="n"/>
      <c r="QQ32" s="1466" t="n"/>
      <c r="QR32" s="1466" t="n"/>
      <c r="QS32" s="1466" t="n"/>
      <c r="QT32" s="1466" t="n"/>
      <c r="QU32" s="1466" t="n"/>
      <c r="QV32" s="1466" t="n"/>
      <c r="QW32" s="1466" t="n"/>
      <c r="QX32" s="1466" t="n"/>
      <c r="QY32" s="1466" t="n"/>
      <c r="QZ32" s="1466" t="n"/>
      <c r="RA32" s="1466" t="n"/>
      <c r="RB32" s="1466" t="n"/>
      <c r="RC32" s="1466" t="n"/>
      <c r="RD32" s="1466" t="n"/>
      <c r="RE32" s="1466" t="n"/>
      <c r="RF32" s="1466" t="n"/>
      <c r="RG32" s="1466" t="n"/>
      <c r="RH32" s="1466" t="n"/>
      <c r="RI32" s="1466" t="n"/>
      <c r="RJ32" s="1466" t="n"/>
      <c r="RK32" s="1466" t="n"/>
      <c r="RL32" s="1466" t="n"/>
      <c r="RM32" s="1466" t="n"/>
      <c r="RN32" s="1466" t="n"/>
      <c r="RO32" s="1466" t="n"/>
      <c r="RP32" s="1466" t="n"/>
      <c r="RQ32" s="1466" t="n"/>
      <c r="RR32" s="1466" t="n"/>
      <c r="RS32" s="1466" t="n"/>
      <c r="RT32" s="1466" t="n"/>
      <c r="RU32" s="1466" t="n"/>
      <c r="RV32" s="1466" t="n"/>
      <c r="RW32" s="1466" t="n"/>
      <c r="RX32" s="1466" t="n"/>
      <c r="RY32" s="1466" t="n"/>
      <c r="RZ32" s="1466" t="n"/>
      <c r="SA32" s="1466" t="n"/>
      <c r="SB32" s="1466" t="n"/>
      <c r="SC32" s="1466" t="n"/>
      <c r="SD32" s="1466" t="n"/>
      <c r="SE32" s="1466" t="n"/>
      <c r="SF32" s="1466" t="n"/>
      <c r="SG32" s="1466" t="n"/>
      <c r="SH32" s="1466" t="n"/>
      <c r="SI32" s="1466" t="n"/>
      <c r="SJ32" s="1466" t="n"/>
      <c r="SK32" s="1466" t="n"/>
      <c r="SL32" s="1466" t="n"/>
      <c r="SM32" s="1466" t="n"/>
      <c r="SN32" s="1466" t="n"/>
      <c r="SO32" s="1466" t="n"/>
      <c r="SP32" s="1466" t="n"/>
      <c r="SQ32" s="1466" t="n"/>
      <c r="SR32" s="1466" t="n"/>
      <c r="SS32" s="1466" t="n"/>
      <c r="ST32" s="1466" t="n"/>
      <c r="SU32" s="1466" t="n"/>
      <c r="SV32" s="1466" t="n"/>
      <c r="SW32" s="1466" t="n"/>
      <c r="SX32" s="1466" t="n"/>
      <c r="SY32" s="1466" t="n"/>
      <c r="SZ32" s="1466" t="n"/>
      <c r="TA32" s="1466" t="n"/>
      <c r="TB32" s="1466" t="n"/>
      <c r="TC32" s="1466" t="n"/>
      <c r="TD32" s="1466" t="n"/>
      <c r="TE32" s="1466" t="n"/>
      <c r="TF32" s="1466" t="n"/>
      <c r="TG32" s="1466" t="n"/>
      <c r="TH32" s="1466" t="n"/>
      <c r="TI32" s="1466" t="n"/>
      <c r="TJ32" s="1466" t="n"/>
      <c r="TK32" s="1466" t="n"/>
      <c r="TL32" s="1466" t="n"/>
      <c r="TM32" s="1466" t="n"/>
      <c r="TN32" s="1466" t="n"/>
      <c r="TO32" s="1466" t="n"/>
      <c r="TP32" s="1466" t="n"/>
      <c r="TQ32" s="1466" t="n"/>
      <c r="TR32" s="1466" t="n"/>
      <c r="TS32" s="1466" t="n"/>
      <c r="TT32" s="1466" t="n"/>
      <c r="TU32" s="1466" t="n"/>
      <c r="TV32" s="1466" t="n"/>
      <c r="TW32" s="1466" t="n"/>
      <c r="TX32" s="1466" t="n"/>
      <c r="TY32" s="1466" t="n"/>
      <c r="TZ32" s="1466" t="n"/>
      <c r="UA32" s="1466" t="n"/>
      <c r="UB32" s="1466" t="n"/>
      <c r="UC32" s="1466" t="n"/>
      <c r="UD32" s="1466" t="n"/>
      <c r="UE32" s="1466" t="n"/>
      <c r="UF32" s="1466" t="n"/>
      <c r="UG32" s="1466" t="n"/>
      <c r="UH32" s="1466" t="n"/>
      <c r="UI32" s="1466" t="n"/>
      <c r="UJ32" s="1466" t="n"/>
      <c r="UK32" s="1466" t="n"/>
      <c r="UL32" s="1466" t="n"/>
      <c r="UM32" s="1466" t="n"/>
      <c r="UN32" s="1466" t="n"/>
      <c r="UO32" s="1466" t="n"/>
      <c r="UP32" s="1466" t="n"/>
      <c r="UQ32" s="1466" t="n"/>
      <c r="UR32" s="1466" t="n"/>
      <c r="US32" s="1466" t="n"/>
      <c r="UT32" s="1466" t="n"/>
      <c r="UU32" s="1466" t="n"/>
      <c r="UV32" s="1466" t="n"/>
      <c r="UW32" s="1466" t="n"/>
      <c r="UX32" s="1466" t="n"/>
      <c r="UY32" s="1466" t="n"/>
      <c r="UZ32" s="1466" t="n"/>
      <c r="VA32" s="1466" t="n"/>
      <c r="VB32" s="1466" t="n"/>
      <c r="VC32" s="1466" t="n"/>
      <c r="VD32" s="1466" t="n"/>
      <c r="VE32" s="1466" t="n"/>
      <c r="VF32" s="1466" t="n"/>
      <c r="VG32" s="1466" t="n"/>
      <c r="VH32" s="1466" t="n"/>
      <c r="VI32" s="1466" t="n"/>
      <c r="VJ32" s="1466" t="n"/>
      <c r="VK32" s="1466" t="n"/>
      <c r="VL32" s="1466" t="n"/>
      <c r="VM32" s="1466" t="n"/>
      <c r="VN32" s="1466" t="n"/>
      <c r="VO32" s="1466" t="n"/>
      <c r="VP32" s="1466" t="n"/>
      <c r="VQ32" s="1466" t="n"/>
      <c r="VR32" s="1466" t="n"/>
      <c r="VS32" s="1466" t="n"/>
      <c r="VT32" s="1466" t="n"/>
      <c r="VU32" s="1466" t="n"/>
      <c r="VV32" s="1466" t="n"/>
      <c r="VW32" s="1466" t="n"/>
      <c r="VX32" s="1466" t="n"/>
      <c r="VY32" s="1466" t="n"/>
      <c r="VZ32" s="1466" t="n"/>
      <c r="WA32" s="1466" t="n"/>
      <c r="WB32" s="1466" t="n"/>
      <c r="WC32" s="1466" t="n"/>
      <c r="WD32" s="1466" t="n"/>
      <c r="WE32" s="1466" t="n"/>
      <c r="WF32" s="1466" t="n"/>
      <c r="WG32" s="1466" t="n"/>
      <c r="WH32" s="1466" t="n"/>
      <c r="WI32" s="1466" t="n"/>
      <c r="WJ32" s="1466" t="n"/>
      <c r="WK32" s="1466" t="n"/>
      <c r="WL32" s="1466" t="n"/>
      <c r="WM32" s="1466" t="n"/>
      <c r="WN32" s="1466" t="n"/>
      <c r="WO32" s="1466" t="n"/>
      <c r="WP32" s="1466" t="n"/>
      <c r="WQ32" s="1466" t="n"/>
      <c r="WR32" s="1466" t="n"/>
      <c r="WS32" s="1466" t="n"/>
      <c r="WT32" s="1466" t="n"/>
      <c r="WU32" s="1466" t="n"/>
      <c r="WV32" s="1466" t="n"/>
      <c r="WW32" s="1466" t="n"/>
      <c r="WX32" s="1466" t="n"/>
      <c r="WY32" s="1466" t="n"/>
      <c r="WZ32" s="1466" t="n"/>
      <c r="XA32" s="1466" t="n"/>
      <c r="XB32" s="1466" t="n"/>
      <c r="XC32" s="1466" t="n"/>
      <c r="XD32" s="1466" t="n"/>
      <c r="XE32" s="1466" t="n"/>
      <c r="XF32" s="1466" t="n"/>
      <c r="XG32" s="1466" t="n"/>
      <c r="XH32" s="1466" t="n"/>
      <c r="XI32" s="1466" t="n"/>
      <c r="XJ32" s="1466" t="n"/>
      <c r="XK32" s="1466" t="n"/>
      <c r="XL32" s="1466" t="n"/>
      <c r="XM32" s="1466" t="n"/>
      <c r="XN32" s="1466" t="n"/>
      <c r="XO32" s="1466" t="n"/>
      <c r="XP32" s="1466" t="n"/>
      <c r="XQ32" s="1466" t="n"/>
      <c r="XR32" s="1466" t="n"/>
      <c r="XS32" s="1466" t="n"/>
      <c r="XT32" s="1466" t="n"/>
      <c r="XU32" s="1466" t="n"/>
      <c r="XV32" s="1466" t="n"/>
      <c r="XW32" s="1466" t="n"/>
      <c r="XX32" s="1466" t="n"/>
      <c r="XY32" s="1466" t="n"/>
      <c r="XZ32" s="1466" t="n"/>
      <c r="YA32" s="1466" t="n"/>
      <c r="YB32" s="1466" t="n"/>
      <c r="YC32" s="1466" t="n"/>
      <c r="YD32" s="1466" t="n"/>
      <c r="YE32" s="1466" t="n"/>
      <c r="YF32" s="1466" t="n"/>
      <c r="YG32" s="1466" t="n"/>
      <c r="YH32" s="1466" t="n"/>
      <c r="YI32" s="1466" t="n"/>
      <c r="YJ32" s="1466" t="n"/>
      <c r="YK32" s="1466" t="n"/>
      <c r="YL32" s="1466" t="n"/>
      <c r="YM32" s="1466" t="n"/>
      <c r="YN32" s="1466" t="n"/>
      <c r="YO32" s="1466" t="n"/>
      <c r="YP32" s="1466" t="n"/>
      <c r="YQ32" s="1466" t="n"/>
      <c r="YR32" s="1466" t="n"/>
      <c r="YS32" s="1466" t="n"/>
      <c r="YT32" s="1466" t="n"/>
      <c r="YU32" s="1466" t="n"/>
      <c r="YV32" s="1466" t="n"/>
      <c r="YW32" s="1466" t="n"/>
      <c r="YX32" s="1466" t="n"/>
      <c r="YY32" s="1466" t="n"/>
      <c r="YZ32" s="1466" t="n"/>
      <c r="ZA32" s="1466" t="n"/>
      <c r="ZB32" s="1466" t="n"/>
      <c r="ZC32" s="1466" t="n"/>
      <c r="ZD32" s="1466" t="n"/>
      <c r="ZE32" s="1466" t="n"/>
    </row>
    <row r="33" ht="26.4" customFormat="1" customHeight="1" s="132">
      <c r="A33" s="13" t="inlineStr">
        <is>
          <t>Start</t>
        </is>
      </c>
      <c r="B33" s="13" t="inlineStr">
        <is>
          <t>Duedate</t>
        </is>
      </c>
      <c r="C33" s="13" t="inlineStr">
        <is>
          <t>Deposit Rate</t>
        </is>
      </c>
      <c r="D33" s="13" t="inlineStr">
        <is>
          <t>Amount 
(RUB million)</t>
        </is>
      </c>
      <c r="GZ33" s="1467" t="n"/>
      <c r="HA33" s="1467" t="n"/>
      <c r="HB33" s="1467" t="n"/>
      <c r="HC33" s="1468" t="n"/>
      <c r="HD33" s="1468" t="n"/>
      <c r="HE33" s="1468" t="n"/>
      <c r="HF33" s="1" t="n"/>
      <c r="HG33" s="1468" t="n"/>
      <c r="HH33" s="1468" t="n"/>
      <c r="HI33" s="1468" t="n"/>
      <c r="HJ33" s="1468" t="n"/>
      <c r="HK33" s="1468" t="n"/>
      <c r="HL33" s="1468" t="n"/>
      <c r="HM33" s="1468" t="n"/>
      <c r="HN33" s="1468" t="n"/>
      <c r="HO33" s="1469" t="n"/>
      <c r="HP33" s="1469" t="n"/>
      <c r="HQ33" s="1469" t="n"/>
      <c r="HR33" s="1469" t="n"/>
      <c r="HS33" s="1469" t="n"/>
      <c r="HT33" s="13" t="inlineStr">
        <is>
          <t>Company</t>
        </is>
      </c>
      <c r="HU33" s="1469" t="n"/>
      <c r="HV33" s="1469" t="n"/>
      <c r="HW33" s="1469" t="n"/>
      <c r="HX33" s="1469" t="n"/>
      <c r="HY33" s="1469" t="n"/>
      <c r="HZ33" s="1469" t="n"/>
      <c r="IA33" s="1469" t="n"/>
      <c r="IB33" s="1" t="n"/>
      <c r="IC33" s="654" t="n"/>
      <c r="ID33" s="654" t="n"/>
      <c r="IE33" s="654" t="n"/>
      <c r="IF33" s="654" t="n"/>
      <c r="IG33" s="654" t="n"/>
      <c r="IH33" s="654" t="n"/>
      <c r="II33" s="654" t="n"/>
      <c r="IJ33" s="654" t="n"/>
      <c r="IK33" s="654" t="n"/>
      <c r="IL33" s="654" t="n"/>
      <c r="IM33" s="654" t="n"/>
      <c r="IN33" s="654" t="n"/>
      <c r="IO33" s="654" t="n"/>
      <c r="IP33" s="654" t="n"/>
      <c r="IQ33" s="654" t="n"/>
      <c r="IR33" s="654" t="n"/>
      <c r="IS33" s="654" t="n"/>
      <c r="IT33" s="654" t="n"/>
      <c r="IU33" s="654" t="n"/>
      <c r="IV33" s="654" t="n"/>
      <c r="IW33" s="654" t="n"/>
      <c r="IX33" s="654" t="n"/>
      <c r="IY33" s="654" t="n"/>
      <c r="IZ33" s="654" t="n"/>
      <c r="JA33" s="654" t="n"/>
      <c r="JB33" s="654" t="n"/>
      <c r="JC33" s="654" t="n"/>
      <c r="JD33" s="654" t="n"/>
      <c r="JE33" s="654" t="n"/>
      <c r="JF33" s="654" t="n"/>
      <c r="JG33" s="654" t="n"/>
      <c r="JH33" s="654" t="n"/>
      <c r="JI33" s="654" t="n"/>
      <c r="JJ33" s="654" t="n"/>
      <c r="JK33" s="654" t="n"/>
      <c r="JL33" s="654" t="n"/>
      <c r="JM33" s="654" t="n"/>
      <c r="JN33" s="654" t="n"/>
      <c r="JO33" s="654" t="n"/>
      <c r="JP33" s="654" t="n"/>
      <c r="JQ33" s="654" t="n"/>
      <c r="JR33" s="654" t="n"/>
      <c r="JS33" s="654" t="n"/>
      <c r="JT33" s="654" t="n"/>
      <c r="JU33" s="654" t="n"/>
      <c r="JV33" s="654" t="n"/>
      <c r="JW33" s="654" t="n"/>
      <c r="JX33" s="654" t="n"/>
      <c r="JY33" s="654" t="n"/>
      <c r="JZ33" s="654" t="n"/>
      <c r="KA33" s="654" t="n"/>
      <c r="KB33" s="654" t="n"/>
      <c r="KC33" s="654" t="n"/>
      <c r="KD33" s="654" t="n"/>
      <c r="KE33" s="654" t="n"/>
      <c r="KF33" s="654" t="n"/>
      <c r="KG33" s="654" t="n"/>
      <c r="KH33" s="654" t="n"/>
      <c r="KI33" s="654" t="n"/>
      <c r="KJ33" s="654" t="n"/>
      <c r="KK33" s="654" t="n"/>
      <c r="KL33" s="654" t="n"/>
      <c r="KM33" s="654" t="n"/>
      <c r="KN33" s="654" t="n"/>
      <c r="KO33" s="654" t="n"/>
      <c r="KP33" s="654" t="n"/>
      <c r="KQ33" s="654" t="n"/>
      <c r="KR33" s="654" t="n"/>
      <c r="KS33" s="654" t="n"/>
      <c r="KT33" s="654" t="n"/>
      <c r="KU33" s="654" t="n"/>
      <c r="KV33" s="654" t="n"/>
      <c r="KW33" s="654" t="n"/>
      <c r="KX33" s="654" t="n"/>
      <c r="KY33" s="654" t="n"/>
      <c r="KZ33" s="654" t="n"/>
      <c r="LA33" s="654" t="n"/>
      <c r="LB33" s="654" t="n"/>
      <c r="LC33" s="654" t="n"/>
      <c r="LD33" s="654" t="n"/>
      <c r="LE33" s="654" t="n"/>
      <c r="LF33" s="654" t="n"/>
      <c r="LG33" s="654" t="n"/>
      <c r="LH33" s="654" t="n"/>
      <c r="LI33" s="654" t="n"/>
      <c r="LJ33" s="654" t="n"/>
      <c r="LK33" s="654" t="n"/>
      <c r="LL33" s="654" t="n"/>
      <c r="LM33" s="654" t="n"/>
      <c r="LN33" s="654" t="n"/>
      <c r="LO33" s="654" t="n"/>
      <c r="LP33" s="654" t="n"/>
      <c r="LQ33" s="654" t="n"/>
      <c r="LR33" s="654" t="n"/>
      <c r="LS33" s="654" t="n"/>
      <c r="LT33" s="654" t="n"/>
      <c r="LU33" s="654" t="n"/>
      <c r="LV33" s="654" t="n"/>
      <c r="LW33" s="654" t="n"/>
      <c r="LX33" s="654" t="n"/>
      <c r="LY33" s="654" t="n"/>
      <c r="LZ33" s="654" t="n"/>
      <c r="MA33" s="654" t="n"/>
      <c r="MB33" s="654" t="n"/>
      <c r="MC33" s="1" t="n"/>
      <c r="VB33" s="1470" t="n"/>
      <c r="VC33" s="1470" t="n"/>
      <c r="VD33" s="1470" t="n"/>
      <c r="VE33" s="1470" t="n"/>
      <c r="VF33" s="1470" t="n"/>
      <c r="VG33" s="1470" t="n"/>
      <c r="VH33" s="1470" t="n"/>
      <c r="VI33" s="1470" t="n"/>
      <c r="VJ33" s="1470" t="n"/>
      <c r="VK33" s="1470" t="n"/>
      <c r="VL33" s="1470" t="n"/>
      <c r="VM33" s="1470" t="n"/>
      <c r="VN33" s="1470" t="n"/>
      <c r="VO33" s="1470" t="n"/>
      <c r="VP33" s="1470" t="n"/>
      <c r="VQ33" s="1470" t="n"/>
      <c r="VR33" s="1470" t="n"/>
      <c r="VS33" s="1470" t="n"/>
      <c r="VT33" s="1470" t="n"/>
      <c r="VU33" s="1470" t="n"/>
      <c r="VV33" s="1470" t="n"/>
      <c r="VW33" s="1470" t="n"/>
      <c r="VX33" s="1470" t="n"/>
      <c r="VY33" s="1470" t="n"/>
      <c r="VZ33" s="1470" t="n"/>
      <c r="WA33" s="1470" t="n"/>
      <c r="WB33" s="1470" t="n"/>
      <c r="WC33" s="1470" t="n"/>
      <c r="WD33" s="1470" t="n"/>
      <c r="WE33" s="1470" t="n"/>
      <c r="WF33" s="1470" t="n"/>
      <c r="WG33" s="1470" t="n"/>
      <c r="WH33" s="1470" t="n"/>
      <c r="WI33" s="1470" t="n"/>
      <c r="WJ33" s="1470" t="n"/>
      <c r="WK33" s="1470" t="n"/>
      <c r="WL33" s="1470" t="n"/>
      <c r="WM33" s="1470" t="n"/>
      <c r="WN33" s="1470" t="n"/>
      <c r="WO33" s="1470" t="n"/>
      <c r="WP33" s="1470" t="n"/>
      <c r="WQ33" s="1470" t="n"/>
      <c r="WR33" s="1470" t="n"/>
      <c r="WS33" s="1470" t="n"/>
      <c r="WT33" s="1470" t="n"/>
      <c r="WU33" s="1470" t="n"/>
      <c r="WV33" s="1470" t="n"/>
      <c r="WW33" s="1470" t="n"/>
      <c r="WX33" s="1470" t="n"/>
      <c r="WY33" s="1470" t="n"/>
      <c r="WZ33" s="1470" t="n"/>
      <c r="XA33" s="1470" t="n"/>
      <c r="XB33" s="1470" t="n"/>
      <c r="XC33" s="1470" t="n"/>
      <c r="XD33" s="1470" t="n"/>
      <c r="XE33" s="1470" t="n"/>
      <c r="XF33" s="1470" t="n"/>
      <c r="XG33" s="1470" t="n"/>
      <c r="XH33" s="1470" t="n"/>
      <c r="XI33" s="1470" t="n"/>
      <c r="XJ33" s="1470" t="n"/>
      <c r="XK33" s="1470" t="n"/>
      <c r="XL33" s="1470" t="n"/>
      <c r="XM33" s="1470" t="n"/>
      <c r="XN33" s="1470" t="n"/>
      <c r="XO33" s="1470" t="n"/>
      <c r="XP33" s="1470" t="n"/>
      <c r="XQ33" s="1470" t="n"/>
      <c r="XR33" s="1470" t="n"/>
      <c r="XS33" s="1470" t="n"/>
      <c r="XT33" s="1470" t="n"/>
      <c r="XU33" s="1470" t="n"/>
      <c r="XV33" s="1470" t="n"/>
      <c r="XW33" s="1470" t="n"/>
      <c r="XX33" s="1470" t="n"/>
      <c r="XY33" s="1470" t="n"/>
      <c r="XZ33" s="1470" t="n"/>
      <c r="YA33" s="1470" t="n"/>
      <c r="YB33" s="1470" t="n"/>
      <c r="YC33" s="1470" t="n"/>
      <c r="YD33" s="1470" t="n"/>
      <c r="YE33" s="1470" t="n"/>
      <c r="YF33" s="1470" t="n"/>
      <c r="YG33" s="1470" t="n"/>
      <c r="YH33" s="1470" t="n"/>
      <c r="YI33" s="1470" t="n"/>
      <c r="YJ33" s="1470" t="n"/>
      <c r="YK33" s="1470" t="n"/>
      <c r="YL33" s="1470" t="n"/>
      <c r="YM33" s="1470" t="n"/>
      <c r="YN33" s="1470" t="n"/>
      <c r="YO33" s="1470" t="n"/>
      <c r="YP33" s="1470" t="n"/>
      <c r="YQ33" s="1470" t="n"/>
      <c r="YR33" s="1470" t="n"/>
      <c r="YS33" s="1470" t="n"/>
      <c r="YT33" s="1470" t="n"/>
      <c r="YU33" s="1470" t="n"/>
      <c r="YV33" s="1470" t="n"/>
      <c r="YW33" s="1470" t="n"/>
      <c r="YX33" s="1470" t="n"/>
      <c r="YY33" s="1470" t="n"/>
      <c r="YZ33" s="1470" t="n"/>
      <c r="ZA33" s="1470" t="n"/>
      <c r="ZB33" s="1470" t="n"/>
      <c r="ZC33" s="1470" t="n"/>
      <c r="ZD33" s="1470" t="n"/>
      <c r="ZE33" s="1470" t="n"/>
    </row>
    <row r="34" ht="13.95" customHeight="1">
      <c r="A34" s="1164" t="n">
        <v>45869</v>
      </c>
      <c r="B34" s="1165" t="n">
        <v>45898</v>
      </c>
      <c r="C34" s="1166" t="n">
        <v>0.1774</v>
      </c>
      <c r="D34" s="1471" t="n">
        <v>400</v>
      </c>
      <c r="GZ34" s="1467" t="n"/>
      <c r="HA34" s="1467" t="n"/>
      <c r="HB34" s="1467" t="n"/>
      <c r="HC34" s="1467" t="n"/>
      <c r="HD34" s="1467" t="n"/>
      <c r="HE34" s="1467" t="n"/>
      <c r="HF34" s="1467" t="n"/>
      <c r="HG34" s="1467" t="n"/>
      <c r="HH34" s="1467" t="n"/>
      <c r="HI34" s="1467" t="n"/>
      <c r="HJ34" s="1467" t="n"/>
      <c r="HK34" s="1467" t="n"/>
      <c r="HL34" s="1467" t="n"/>
      <c r="HM34" s="1467" t="n"/>
      <c r="HN34" s="1467" t="n"/>
      <c r="HO34" s="1467" t="n"/>
      <c r="HP34" s="1467" t="n"/>
      <c r="HQ34" s="1467" t="n"/>
      <c r="HR34" s="1469" t="n"/>
      <c r="HS34" s="1467" t="n"/>
      <c r="HT34" s="1472" t="n"/>
      <c r="PC34" s="132" t="n"/>
      <c r="XE34" s="1470" t="n"/>
    </row>
    <row r="35" ht="13.95" customHeight="1">
      <c r="A35" s="1164" t="n">
        <v>45869</v>
      </c>
      <c r="B35" s="1165" t="n">
        <v>45889</v>
      </c>
      <c r="C35" s="1166" t="n">
        <v>0.1774</v>
      </c>
      <c r="D35" s="1471" t="n">
        <v>200</v>
      </c>
      <c r="GZ35" s="1467" t="n"/>
      <c r="HA35" s="1467" t="n"/>
      <c r="HB35" s="1467" t="n"/>
      <c r="HC35" s="1467" t="n"/>
      <c r="HD35" s="1467" t="n"/>
      <c r="HE35" s="1467" t="n"/>
      <c r="HF35" s="1467" t="n"/>
      <c r="HG35" s="1467" t="n"/>
      <c r="HH35" s="1467" t="n"/>
      <c r="HI35" s="1467" t="n"/>
      <c r="HJ35" s="1467" t="n"/>
      <c r="HK35" s="1467" t="n"/>
      <c r="HL35" s="1467" t="n"/>
      <c r="HM35" s="1467" t="n"/>
      <c r="HN35" s="1467" t="n"/>
      <c r="HO35" s="1467" t="n"/>
      <c r="HP35" s="1467" t="n"/>
      <c r="HQ35" s="1467" t="n"/>
      <c r="HR35" s="1469" t="n"/>
      <c r="HS35" s="1467" t="n"/>
      <c r="HT35" s="1472" t="n"/>
      <c r="PC35" s="132" t="n"/>
      <c r="XE35" s="1470" t="n"/>
    </row>
    <row r="36" ht="13.95" customHeight="1">
      <c r="A36" s="1164" t="n">
        <v>45869</v>
      </c>
      <c r="B36" s="1165" t="n">
        <v>45894</v>
      </c>
      <c r="C36" s="1166" t="n">
        <v>0.1774</v>
      </c>
      <c r="D36" s="1471" t="n">
        <v>300</v>
      </c>
      <c r="GZ36" s="1467" t="n"/>
      <c r="HA36" s="1467" t="n"/>
      <c r="HB36" s="1467" t="n"/>
      <c r="HC36" s="1467" t="n"/>
      <c r="HD36" s="1467" t="n"/>
      <c r="HE36" s="1467" t="n"/>
      <c r="HF36" s="1467" t="n"/>
      <c r="HG36" s="1467" t="n"/>
      <c r="HH36" s="1467" t="n"/>
      <c r="HI36" s="1467" t="n"/>
      <c r="HJ36" s="1467" t="n"/>
      <c r="HK36" s="1467" t="n"/>
      <c r="HL36" s="1467" t="n"/>
      <c r="HM36" s="1467" t="n"/>
      <c r="HN36" s="1467" t="n"/>
      <c r="HO36" s="1467" t="n"/>
      <c r="HP36" s="1467" t="n"/>
      <c r="HQ36" s="1467" t="n"/>
      <c r="HR36" s="1469" t="n"/>
      <c r="HS36" s="1467" t="n"/>
      <c r="HT36" s="1472" t="n"/>
      <c r="PC36" s="132" t="n"/>
      <c r="XE36" s="1470" t="n"/>
    </row>
    <row r="37" ht="13.95" customHeight="1">
      <c r="A37" s="1164" t="n">
        <v>45869</v>
      </c>
      <c r="B37" s="1165" t="n">
        <v>45896</v>
      </c>
      <c r="C37" s="1166" t="n">
        <v>0.1774</v>
      </c>
      <c r="D37" s="1471" t="n">
        <v>500</v>
      </c>
      <c r="GZ37" s="1467" t="n"/>
      <c r="HA37" s="1467" t="n"/>
      <c r="HB37" s="1467" t="n"/>
      <c r="HC37" s="1467" t="n"/>
      <c r="HD37" s="1467" t="n"/>
      <c r="HE37" s="1467" t="n"/>
      <c r="HF37" s="1467" t="n"/>
      <c r="HG37" s="1467" t="n"/>
      <c r="HH37" s="1467" t="n"/>
      <c r="HI37" s="1467" t="n"/>
      <c r="HJ37" s="1467" t="n"/>
      <c r="HK37" s="1467" t="n"/>
      <c r="HL37" s="1467" t="n"/>
      <c r="HM37" s="1467" t="n"/>
      <c r="HN37" s="1467" t="n"/>
      <c r="HO37" s="1467" t="n"/>
      <c r="HP37" s="1467" t="n"/>
      <c r="HQ37" s="1467" t="n"/>
      <c r="HR37" s="1469" t="n"/>
      <c r="HS37" s="1467" t="n"/>
      <c r="HT37" s="1472" t="n"/>
      <c r="PC37" s="132" t="n"/>
      <c r="XE37" s="1470" t="n"/>
    </row>
    <row r="38" ht="13.95" customHeight="1">
      <c r="A38" s="1164" t="n">
        <v>45847</v>
      </c>
      <c r="B38" s="1165" t="n">
        <v>45890</v>
      </c>
      <c r="C38" s="1166" t="n">
        <v>0.192</v>
      </c>
      <c r="D38" s="1471" t="n">
        <v>200</v>
      </c>
      <c r="GZ38" s="1467" t="n"/>
      <c r="HA38" s="1467" t="n"/>
      <c r="HB38" s="1467" t="n"/>
      <c r="HC38" s="1467" t="n"/>
      <c r="HD38" s="1467" t="n"/>
      <c r="HE38" s="1467" t="n"/>
      <c r="HF38" s="1467" t="n"/>
      <c r="HG38" s="1467" t="n"/>
      <c r="HH38" s="1467" t="n"/>
      <c r="HI38" s="1467" t="n"/>
      <c r="HJ38" s="1467" t="n"/>
      <c r="HK38" s="1467" t="n"/>
      <c r="HL38" s="1467" t="n"/>
      <c r="HM38" s="1467" t="n"/>
      <c r="HN38" s="1467" t="n"/>
      <c r="HO38" s="1467" t="n"/>
      <c r="HP38" s="1467" t="n"/>
      <c r="HQ38" s="1467" t="n"/>
      <c r="HR38" s="1469" t="n"/>
      <c r="HS38" s="1467" t="n"/>
      <c r="HT38" s="1472" t="n"/>
      <c r="PC38" s="132" t="n"/>
      <c r="XE38" s="1470" t="n"/>
    </row>
    <row r="39" ht="13.95" customHeight="1">
      <c r="A39" s="1164" t="n">
        <v>45849</v>
      </c>
      <c r="B39" s="1165" t="n">
        <v>45884</v>
      </c>
      <c r="C39" s="1166" t="n">
        <v>0.192</v>
      </c>
      <c r="D39" s="1471" t="n">
        <v>300</v>
      </c>
      <c r="GZ39" s="1467" t="n"/>
      <c r="HA39" s="1467" t="n"/>
      <c r="HB39" s="1467" t="n"/>
      <c r="HC39" s="1467" t="n"/>
      <c r="HD39" s="1467" t="n"/>
      <c r="HE39" s="1467" t="n"/>
      <c r="HF39" s="1467" t="n"/>
      <c r="HG39" s="1467" t="n"/>
      <c r="HH39" s="1467" t="n"/>
      <c r="HI39" s="1467" t="n"/>
      <c r="HJ39" s="1467" t="n"/>
      <c r="HK39" s="1467" t="n"/>
      <c r="HL39" s="1467" t="n"/>
      <c r="HM39" s="1467" t="n"/>
      <c r="HN39" s="1467" t="n"/>
      <c r="HO39" s="1467" t="n"/>
      <c r="HP39" s="1467" t="n"/>
      <c r="HQ39" s="1467" t="n"/>
      <c r="HR39" s="1469" t="n"/>
      <c r="HS39" s="1467" t="n"/>
      <c r="HT39" s="1472" t="n"/>
      <c r="PC39" s="132" t="n"/>
      <c r="XE39" s="1470" t="n"/>
    </row>
    <row r="40" ht="13.95" customHeight="1">
      <c r="A40" s="1164" t="n">
        <v>45849</v>
      </c>
      <c r="B40" s="1165" t="n">
        <v>45894</v>
      </c>
      <c r="C40" s="1166" t="n">
        <v>0.192</v>
      </c>
      <c r="D40" s="1471" t="n">
        <v>250</v>
      </c>
      <c r="GZ40" s="1467" t="n"/>
      <c r="HA40" s="1467" t="n"/>
      <c r="HB40" s="1467" t="n"/>
      <c r="HC40" s="1467" t="n"/>
      <c r="HD40" s="1467" t="n"/>
      <c r="HE40" s="1467" t="n"/>
      <c r="HF40" s="1467" t="n"/>
      <c r="HG40" s="1467" t="n"/>
      <c r="HH40" s="1467" t="n"/>
      <c r="HI40" s="1467" t="n"/>
      <c r="HJ40" s="1467" t="n"/>
      <c r="HK40" s="1467" t="n"/>
      <c r="HL40" s="1467" t="n"/>
      <c r="HM40" s="1467" t="n"/>
      <c r="HN40" s="1467" t="n"/>
      <c r="HO40" s="1467" t="n"/>
      <c r="HP40" s="1467" t="n"/>
      <c r="HQ40" s="1467" t="n"/>
      <c r="HR40" s="1469" t="n"/>
      <c r="HS40" s="1467" t="n"/>
      <c r="HT40" s="1472" t="n"/>
      <c r="PC40" s="132" t="n"/>
      <c r="XE40" s="1470" t="n"/>
    </row>
    <row r="41">
      <c r="A41" s="1164" t="n">
        <v>45863</v>
      </c>
      <c r="B41" s="1165" t="n">
        <v>45898</v>
      </c>
      <c r="C41" s="1166" t="n">
        <v>0.1716</v>
      </c>
      <c r="D41" s="1471" t="n">
        <v>200</v>
      </c>
      <c r="GZ41" s="1467" t="n"/>
      <c r="HA41" s="1467" t="n"/>
      <c r="HB41" s="1467" t="n"/>
      <c r="HC41" s="1467" t="n"/>
      <c r="HD41" s="1467" t="n"/>
      <c r="HE41" s="1467" t="n"/>
      <c r="HF41" s="1467" t="n"/>
      <c r="HG41" s="1467" t="n"/>
      <c r="HH41" s="1467" t="n"/>
      <c r="HI41" s="1467" t="n"/>
      <c r="HJ41" s="1467" t="n"/>
      <c r="HK41" s="1467" t="n"/>
      <c r="HL41" s="1467" t="n"/>
      <c r="HM41" s="1467" t="n"/>
      <c r="HN41" s="1467" t="n"/>
      <c r="HO41" s="1467" t="n"/>
      <c r="HP41" s="1467" t="n"/>
      <c r="HQ41" s="1467" t="n"/>
      <c r="HR41" s="1469" t="n"/>
      <c r="HS41" s="1467" t="n"/>
      <c r="HT41" s="1472" t="n"/>
      <c r="PC41" s="132" t="n"/>
      <c r="XE41" s="1470" t="n"/>
    </row>
    <row r="42">
      <c r="A42" s="1164" t="n">
        <v>45870</v>
      </c>
      <c r="B42" s="1165" t="n">
        <v>45912</v>
      </c>
      <c r="C42" s="1166" t="n">
        <v>0.1778</v>
      </c>
      <c r="D42" s="1471" t="n">
        <v>1000</v>
      </c>
      <c r="GZ42" s="1467" t="n"/>
      <c r="HA42" s="1467" t="n"/>
      <c r="HB42" s="1467" t="n"/>
      <c r="HC42" s="1467" t="n"/>
      <c r="HD42" s="1467" t="n"/>
      <c r="HE42" s="1467" t="n"/>
      <c r="HF42" s="1467" t="n"/>
      <c r="HG42" s="1467" t="n"/>
      <c r="HH42" s="1467" t="n"/>
      <c r="HI42" s="1467" t="n"/>
      <c r="HJ42" s="1467" t="n"/>
      <c r="HK42" s="1467" t="n"/>
      <c r="HL42" s="1467" t="n"/>
      <c r="HM42" s="1467" t="n"/>
      <c r="HN42" s="1467" t="n"/>
      <c r="HO42" s="1467" t="n"/>
      <c r="HP42" s="1467" t="n"/>
      <c r="HQ42" s="1467" t="n"/>
      <c r="HR42" s="1469" t="n"/>
      <c r="HS42" s="1467" t="n"/>
      <c r="HT42" s="1472" t="n"/>
      <c r="PC42" s="132" t="n"/>
      <c r="XE42" s="1470" t="n"/>
    </row>
    <row r="43">
      <c r="A43" s="1164" t="n"/>
      <c r="B43" s="1165" t="n"/>
      <c r="C43" s="1166" t="n"/>
      <c r="D43" s="1471" t="n"/>
      <c r="GZ43" s="1467" t="n"/>
      <c r="HA43" s="1467" t="n"/>
      <c r="HB43" s="1467" t="n"/>
      <c r="HC43" s="1467" t="n"/>
      <c r="HD43" s="1467" t="n"/>
      <c r="HE43" s="1467" t="n"/>
      <c r="HF43" s="1467" t="n"/>
      <c r="HG43" s="1467" t="n"/>
      <c r="HH43" s="1467" t="n"/>
      <c r="HI43" s="1467" t="n"/>
      <c r="HJ43" s="1467" t="n"/>
      <c r="HK43" s="1467" t="n"/>
      <c r="HL43" s="1467" t="n"/>
      <c r="HM43" s="1467" t="n"/>
      <c r="HN43" s="1467" t="n"/>
      <c r="HO43" s="1467" t="n"/>
      <c r="HP43" s="1467" t="n"/>
      <c r="HQ43" s="1467" t="n"/>
      <c r="HR43" s="1469" t="n"/>
      <c r="HS43" s="1467" t="n"/>
      <c r="HT43" s="1472" t="n"/>
      <c r="PC43" s="132" t="n"/>
    </row>
    <row r="44">
      <c r="A44" s="1164" t="n">
        <v>45863</v>
      </c>
      <c r="B44" s="1165" t="n">
        <v>45894</v>
      </c>
      <c r="C44" s="1166" t="n">
        <v>0.175</v>
      </c>
      <c r="D44" s="1471" t="n">
        <v>235</v>
      </c>
      <c r="GZ44" s="1467" t="n"/>
      <c r="HA44" s="1467" t="n"/>
      <c r="HB44" s="1467" t="n"/>
      <c r="HC44" s="1467" t="n"/>
      <c r="HD44" s="1467" t="n"/>
      <c r="HE44" s="1467" t="n"/>
      <c r="HF44" s="1467" t="n"/>
      <c r="HG44" s="1467" t="n"/>
      <c r="HH44" s="1467" t="n"/>
      <c r="HI44" s="1467" t="n"/>
      <c r="HJ44" s="1467" t="n"/>
      <c r="HK44" s="1467" t="n"/>
      <c r="HL44" s="1467" t="n"/>
      <c r="HM44" s="1467" t="n"/>
      <c r="HN44" s="1467" t="n"/>
      <c r="HO44" s="1467" t="n"/>
      <c r="HP44" s="1467" t="n"/>
      <c r="HQ44" s="1467" t="n"/>
      <c r="HR44" s="1469" t="n"/>
      <c r="HS44" s="1467" t="n"/>
      <c r="HT44" s="1472" t="n"/>
      <c r="PC44" s="132" t="n"/>
    </row>
    <row r="45">
      <c r="A45" s="1164" t="n">
        <v>45882</v>
      </c>
      <c r="B45" s="1165" t="n">
        <v>45912</v>
      </c>
      <c r="C45" s="1166" t="n">
        <v>0.1746</v>
      </c>
      <c r="D45" s="1471" t="n">
        <v>100</v>
      </c>
      <c r="GZ45" s="1467" t="n"/>
      <c r="HA45" s="1467" t="n"/>
      <c r="HB45" s="1467" t="n"/>
      <c r="HC45" s="1467" t="n"/>
      <c r="HD45" s="1467" t="n"/>
      <c r="HE45" s="1467" t="n"/>
      <c r="HF45" s="1467" t="n"/>
      <c r="HG45" s="1467" t="n"/>
      <c r="HH45" s="1467" t="n"/>
      <c r="HI45" s="1467" t="n"/>
      <c r="HJ45" s="1467" t="n"/>
      <c r="HK45" s="1467" t="n"/>
      <c r="HL45" s="1467" t="n"/>
      <c r="HM45" s="1467" t="n"/>
      <c r="HN45" s="1467" t="n"/>
      <c r="HO45" s="1467" t="n"/>
      <c r="HP45" s="1467" t="n"/>
      <c r="HQ45" s="1467" t="n"/>
      <c r="HR45" s="1469" t="n"/>
      <c r="HS45" s="1467" t="n"/>
      <c r="HT45" s="1472" t="n"/>
      <c r="PC45" s="132" t="n"/>
    </row>
    <row r="46">
      <c r="A46" s="1164" t="n">
        <v>45877</v>
      </c>
      <c r="B46" s="1165" t="n">
        <v>45905</v>
      </c>
      <c r="C46" s="1166" t="n">
        <v>0.1755</v>
      </c>
      <c r="D46" s="1471" t="n">
        <v>200</v>
      </c>
      <c r="GZ46" s="1467" t="n"/>
      <c r="HA46" s="1467" t="n"/>
      <c r="HB46" s="1467" t="n"/>
      <c r="HC46" s="1467" t="n"/>
      <c r="HD46" s="1467" t="n"/>
      <c r="HE46" s="1467" t="n"/>
      <c r="HF46" s="1467" t="n"/>
      <c r="HG46" s="1467" t="n"/>
      <c r="HH46" s="1467" t="n"/>
      <c r="HI46" s="1467" t="n"/>
      <c r="HJ46" s="1467" t="n"/>
      <c r="HK46" s="1467" t="n"/>
      <c r="HL46" s="1467" t="n"/>
      <c r="HM46" s="1467" t="n"/>
      <c r="HN46" s="1467" t="n"/>
      <c r="HO46" s="1467" t="n"/>
      <c r="HP46" s="1467" t="n"/>
      <c r="HQ46" s="1467" t="n"/>
      <c r="HR46" s="1469" t="n"/>
      <c r="HS46" s="1467" t="n"/>
      <c r="HT46" s="1472" t="n"/>
      <c r="PC46" s="132" t="n"/>
    </row>
    <row r="47">
      <c r="A47" s="1164" t="n"/>
      <c r="B47" s="1165" t="n"/>
      <c r="C47" s="1166" t="n"/>
      <c r="D47" s="1471" t="n"/>
      <c r="GZ47" s="1467" t="n"/>
      <c r="HA47" s="1467" t="n"/>
      <c r="HB47" s="1467" t="n"/>
      <c r="HC47" s="1467" t="n"/>
      <c r="HD47" s="1467" t="n"/>
      <c r="HE47" s="1467" t="n"/>
      <c r="HF47" s="1467" t="n"/>
      <c r="HG47" s="1467" t="n"/>
      <c r="HH47" s="1467" t="n"/>
      <c r="HI47" s="1467" t="n"/>
      <c r="HJ47" s="1467" t="n"/>
      <c r="HK47" s="1467" t="n"/>
      <c r="HL47" s="1467" t="n"/>
      <c r="HM47" s="1467" t="n"/>
      <c r="HN47" s="1467" t="n"/>
      <c r="HO47" s="1467" t="n"/>
      <c r="HP47" s="1467" t="n"/>
      <c r="HQ47" s="1467" t="n"/>
      <c r="HR47" s="1469" t="n"/>
      <c r="HS47" s="1467" t="n"/>
      <c r="HT47" s="1472" t="n"/>
      <c r="PC47" s="132" t="n"/>
    </row>
    <row r="48">
      <c r="A48" s="1164" t="n">
        <v>45873</v>
      </c>
      <c r="B48" s="1165" t="n">
        <v>45894</v>
      </c>
      <c r="C48" s="1166" t="n">
        <v>0.1725</v>
      </c>
      <c r="D48" s="1471" t="n">
        <v>458</v>
      </c>
      <c r="GZ48" s="1467" t="n"/>
      <c r="HA48" s="1467" t="n"/>
      <c r="HB48" s="1467" t="n"/>
      <c r="HC48" s="1467" t="n"/>
      <c r="HD48" s="1467" t="n"/>
      <c r="HE48" s="1467" t="n"/>
      <c r="HF48" s="1467" t="n"/>
      <c r="HG48" s="1467" t="n"/>
      <c r="HH48" s="1467" t="n"/>
      <c r="HI48" s="1467" t="n"/>
      <c r="HJ48" s="1467" t="n"/>
      <c r="HK48" s="1467" t="n"/>
      <c r="HL48" s="1467" t="n"/>
      <c r="HM48" s="1467" t="n"/>
      <c r="HN48" s="1467" t="n"/>
      <c r="HO48" s="1467" t="n"/>
      <c r="HP48" s="1467" t="n"/>
      <c r="HQ48" s="1467" t="n"/>
      <c r="HR48" s="1469" t="n"/>
      <c r="HS48" s="1467" t="n"/>
      <c r="HT48" s="1472" t="n"/>
      <c r="PC48" s="132" t="n"/>
    </row>
    <row r="49">
      <c r="A49" s="1473" t="inlineStr">
        <is>
          <t>Total</t>
        </is>
      </c>
      <c r="B49" s="1425" t="n"/>
      <c r="C49" s="409">
        <f>(SUMPRODUCT(C34:C48,D34:D48))/D49</f>
        <v/>
      </c>
      <c r="D49" s="1474">
        <f>SUM(D34:D48)</f>
        <v/>
      </c>
      <c r="BJ49" s="484" t="n"/>
      <c r="HT49" s="1475" t="n"/>
    </row>
    <row r="50" ht="15.6" customHeight="1">
      <c r="A50" s="12" t="inlineStr">
        <is>
          <t>Detail of TimeCNY Deposit</t>
        </is>
      </c>
      <c r="B50" s="2" t="n"/>
      <c r="C50" s="2" t="n"/>
    </row>
    <row r="51" ht="26.4" customFormat="1" customHeight="1" s="132">
      <c r="A51" s="13" t="inlineStr">
        <is>
          <t>Start</t>
        </is>
      </c>
      <c r="B51" s="13" t="inlineStr">
        <is>
          <t>Duedate</t>
        </is>
      </c>
      <c r="C51" s="13" t="inlineStr">
        <is>
          <t>Deposit Rate</t>
        </is>
      </c>
      <c r="D51" s="13" t="inlineStr">
        <is>
          <t>Amount (CNY million)</t>
        </is>
      </c>
      <c r="QJ51" s="1" t="n"/>
      <c r="QK51" s="1" t="n"/>
      <c r="QL51" s="1" t="n"/>
      <c r="QM51" s="1" t="n"/>
      <c r="QN51" s="1" t="n"/>
      <c r="QO51" s="1" t="n"/>
      <c r="QP51" s="1" t="n"/>
      <c r="QQ51" s="1" t="n"/>
      <c r="QR51" s="1" t="n"/>
      <c r="QS51" s="1" t="n"/>
      <c r="QT51" s="1" t="n"/>
      <c r="QU51" s="1" t="n"/>
      <c r="QV51" s="1" t="n"/>
      <c r="QW51" s="1" t="n"/>
      <c r="QX51" s="1" t="n"/>
      <c r="QY51" s="1" t="n"/>
      <c r="QZ51" s="1" t="n"/>
      <c r="RA51" s="1" t="n"/>
      <c r="RB51" s="1" t="n"/>
      <c r="RC51" s="1" t="n"/>
      <c r="RD51" s="1" t="n"/>
      <c r="RE51" s="1" t="n"/>
      <c r="RF51" s="1" t="n"/>
      <c r="RG51" s="1" t="n"/>
      <c r="RH51" s="1" t="n"/>
      <c r="RI51" s="1" t="n"/>
      <c r="RJ51" s="1" t="n"/>
      <c r="RK51" s="1" t="n"/>
      <c r="RL51" s="1" t="n"/>
      <c r="RM51" s="1" t="n"/>
      <c r="RN51" s="1" t="n"/>
      <c r="RO51" s="1" t="n"/>
      <c r="RP51" s="1" t="n"/>
      <c r="RQ51" s="1" t="n"/>
      <c r="RR51" s="1" t="n"/>
      <c r="RS51" s="1" t="n"/>
      <c r="RT51" s="1" t="n"/>
      <c r="RU51" s="1" t="n"/>
      <c r="RV51" s="1" t="n"/>
      <c r="RW51" s="1" t="n"/>
      <c r="RX51" s="1" t="n"/>
      <c r="RY51" s="1" t="n"/>
      <c r="RZ51" s="1" t="n"/>
      <c r="SA51" s="1" t="n"/>
      <c r="SB51" s="1" t="n"/>
      <c r="SC51" s="1" t="n"/>
      <c r="SD51" s="1" t="n"/>
      <c r="SE51" s="1" t="n"/>
      <c r="SF51" s="1" t="n"/>
      <c r="SG51" s="1" t="n"/>
      <c r="SH51" s="1" t="n"/>
      <c r="SI51" s="1" t="n"/>
      <c r="SJ51" s="1" t="n"/>
      <c r="SK51" s="1" t="n"/>
      <c r="SL51" s="1" t="n"/>
      <c r="SM51" s="1" t="n"/>
      <c r="SN51" s="1" t="n"/>
      <c r="SO51" s="1" t="n"/>
      <c r="SP51" s="1" t="n"/>
      <c r="SQ51" s="1" t="n"/>
      <c r="SR51" s="1" t="n"/>
      <c r="SS51" s="1" t="n"/>
      <c r="ST51" s="1" t="n"/>
      <c r="SU51" s="1" t="n"/>
      <c r="SV51" s="1" t="n"/>
      <c r="SW51" s="1" t="n"/>
      <c r="SX51" s="1" t="n"/>
      <c r="SY51" s="1" t="n"/>
      <c r="SZ51" s="1" t="n"/>
      <c r="TA51" s="1" t="n"/>
      <c r="TB51" s="1" t="n"/>
      <c r="TC51" s="1" t="n"/>
      <c r="TD51" s="1" t="n"/>
      <c r="TE51" s="1" t="n"/>
      <c r="TF51" s="1" t="n"/>
      <c r="TG51" s="1" t="n"/>
      <c r="TH51" s="1" t="n"/>
      <c r="TI51" s="1" t="n"/>
      <c r="TJ51" s="1" t="n"/>
      <c r="TK51" s="1" t="n"/>
      <c r="TL51" s="1" t="n"/>
      <c r="TM51" s="1" t="n"/>
      <c r="TN51" s="1" t="n"/>
      <c r="TO51" s="1" t="n"/>
      <c r="TP51" s="1" t="n"/>
      <c r="TQ51" s="1" t="n"/>
      <c r="TR51" s="1" t="n"/>
      <c r="TS51" s="1" t="n"/>
      <c r="TT51" s="1" t="n"/>
      <c r="TU51" s="1" t="n"/>
      <c r="TV51" s="1" t="n"/>
      <c r="TW51" s="1" t="n"/>
      <c r="TX51" s="1" t="n"/>
      <c r="TY51" s="1" t="n"/>
      <c r="TZ51" s="1" t="n"/>
      <c r="UA51" s="1" t="n"/>
      <c r="UB51" s="1" t="n"/>
      <c r="UC51" s="1" t="n"/>
      <c r="UD51" s="1" t="n"/>
      <c r="UE51" s="1" t="n"/>
      <c r="UF51" s="1" t="n"/>
      <c r="UG51" s="1" t="n"/>
      <c r="UH51" s="1" t="n"/>
      <c r="UI51" s="1" t="n"/>
      <c r="UJ51" s="1" t="n"/>
      <c r="UK51" s="1" t="n"/>
      <c r="UL51" s="1" t="n"/>
      <c r="UM51" s="1" t="n"/>
      <c r="UN51" s="1" t="n"/>
      <c r="UO51" s="1" t="n"/>
      <c r="UP51" s="1" t="n"/>
      <c r="UQ51" s="1" t="n"/>
      <c r="UR51" s="1" t="n"/>
      <c r="US51" s="1" t="n"/>
      <c r="UT51" s="1" t="n"/>
      <c r="UU51" s="1" t="n"/>
      <c r="UV51" s="1" t="n"/>
      <c r="UW51" s="1" t="n"/>
      <c r="UX51" s="1" t="n"/>
      <c r="UY51" s="1" t="n"/>
      <c r="UZ51" s="1" t="n"/>
      <c r="VA51" s="1" t="n"/>
      <c r="VB51" s="1" t="n"/>
      <c r="VC51" s="1" t="n"/>
      <c r="VD51" s="1" t="n"/>
      <c r="VE51" s="1" t="n"/>
      <c r="VF51" s="1" t="n"/>
      <c r="VG51" s="1" t="n"/>
      <c r="VH51" s="1" t="n"/>
      <c r="VI51" s="1" t="n"/>
      <c r="VJ51" s="1" t="n"/>
      <c r="VK51" s="1" t="n"/>
      <c r="VL51" s="1" t="n"/>
      <c r="VM51" s="1" t="n"/>
      <c r="VN51" s="1" t="n"/>
      <c r="VO51" s="1" t="n"/>
      <c r="VP51" s="1" t="n"/>
      <c r="VQ51" s="1" t="n"/>
      <c r="VR51" s="1" t="n"/>
      <c r="VS51" s="1" t="n"/>
      <c r="VT51" s="1" t="n"/>
      <c r="VU51" s="1" t="n"/>
      <c r="VV51" s="1" t="n"/>
      <c r="VW51" s="1" t="n"/>
      <c r="VX51" s="1" t="n"/>
      <c r="VY51" s="1" t="n"/>
      <c r="VZ51" s="1" t="n"/>
      <c r="WA51" s="1" t="n"/>
      <c r="WB51" s="1" t="n"/>
      <c r="WC51" s="1" t="n"/>
      <c r="WD51" s="1" t="n"/>
      <c r="WE51" s="1" t="n"/>
      <c r="WF51" s="1" t="n"/>
      <c r="WG51" s="1" t="n"/>
      <c r="WH51" s="1" t="n"/>
      <c r="WI51" s="1" t="n"/>
      <c r="WJ51" s="1" t="n"/>
      <c r="WK51" s="1" t="n"/>
      <c r="WL51" s="1" t="n"/>
      <c r="WM51" s="1" t="n"/>
      <c r="WN51" s="1" t="n"/>
      <c r="WO51" s="1" t="n"/>
      <c r="WP51" s="1" t="n"/>
      <c r="WQ51" s="1" t="n"/>
      <c r="WR51" s="1" t="n"/>
      <c r="WS51" s="1" t="n"/>
      <c r="WT51" s="1" t="n"/>
      <c r="WU51" s="1" t="n"/>
      <c r="WV51" s="1" t="n"/>
      <c r="WW51" s="1" t="n"/>
      <c r="WX51" s="1" t="n"/>
      <c r="WY51" s="1" t="n"/>
      <c r="WZ51" s="1" t="n"/>
      <c r="XA51" s="1" t="n"/>
      <c r="XB51" s="1" t="n"/>
      <c r="XC51" s="1" t="n"/>
      <c r="XD51" s="1" t="n"/>
      <c r="XE51" s="1" t="n"/>
      <c r="XF51" s="1" t="n"/>
      <c r="XG51" s="1" t="n"/>
      <c r="XH51" s="1" t="n"/>
      <c r="XI51" s="1" t="n"/>
      <c r="XJ51" s="1" t="n"/>
      <c r="XK51" s="1" t="n"/>
      <c r="XL51" s="1" t="n"/>
      <c r="XM51" s="1" t="n"/>
      <c r="XN51" s="1" t="n"/>
      <c r="XO51" s="1" t="n"/>
      <c r="XP51" s="1" t="n"/>
      <c r="XQ51" s="1" t="n"/>
      <c r="XR51" s="1" t="n"/>
      <c r="XS51" s="1" t="n"/>
      <c r="XT51" s="1" t="n"/>
      <c r="XU51" s="1" t="n"/>
      <c r="XV51" s="1" t="n"/>
      <c r="XW51" s="1" t="n"/>
      <c r="XX51" s="1" t="n"/>
      <c r="XY51" s="1" t="n"/>
      <c r="XZ51" s="1" t="n"/>
      <c r="YA51" s="1" t="n"/>
      <c r="YB51" s="1" t="n"/>
      <c r="YC51" s="1" t="n"/>
      <c r="YD51" s="1" t="n"/>
      <c r="YE51" s="1" t="n"/>
      <c r="YF51" s="1" t="n"/>
      <c r="YG51" s="1" t="n"/>
      <c r="YH51" s="1" t="n"/>
      <c r="YI51" s="1" t="n"/>
      <c r="YJ51" s="1" t="n"/>
      <c r="YK51" s="1" t="n"/>
      <c r="YL51" s="1" t="n"/>
      <c r="YM51" s="1" t="n"/>
      <c r="YN51" s="1" t="n"/>
      <c r="YO51" s="1" t="n"/>
      <c r="YP51" s="1" t="n"/>
      <c r="YQ51" s="1" t="n"/>
      <c r="YR51" s="1" t="n"/>
      <c r="YS51" s="1" t="n"/>
      <c r="YT51" s="1" t="n"/>
      <c r="YU51" s="1" t="n"/>
      <c r="YV51" s="1" t="n"/>
      <c r="YW51" s="1" t="n"/>
      <c r="YX51" s="1" t="n"/>
      <c r="YY51" s="1" t="n"/>
      <c r="YZ51" s="1" t="n"/>
      <c r="ZA51" s="1" t="n"/>
      <c r="ZB51" s="1" t="n"/>
      <c r="ZC51" s="1" t="n"/>
      <c r="ZD51" s="1" t="n"/>
      <c r="ZE51" s="1" t="n"/>
    </row>
    <row r="52">
      <c r="A52" s="1299" t="n"/>
      <c r="B52" s="1165" t="n"/>
      <c r="C52" s="1166" t="n"/>
      <c r="D52" s="1476" t="n"/>
      <c r="QJ52" s="132" t="n"/>
      <c r="QK52" s="132" t="n"/>
      <c r="QL52" s="132" t="n"/>
      <c r="QM52" s="132" t="n"/>
      <c r="QN52" s="132" t="n"/>
      <c r="QO52" s="132" t="n"/>
      <c r="QP52" s="132" t="n"/>
      <c r="QQ52" s="132" t="n"/>
      <c r="QR52" s="132" t="n"/>
      <c r="QS52" s="132" t="n"/>
      <c r="QT52" s="132" t="n"/>
      <c r="QU52" s="132" t="n"/>
      <c r="QV52" s="132" t="n"/>
      <c r="QW52" s="132" t="n"/>
      <c r="QX52" s="132" t="n"/>
      <c r="QY52" s="132" t="n"/>
      <c r="QZ52" s="132" t="n"/>
      <c r="RA52" s="132" t="n"/>
      <c r="RB52" s="132" t="n"/>
      <c r="RC52" s="132" t="n"/>
      <c r="RD52" s="132" t="n"/>
      <c r="RE52" s="132" t="n"/>
      <c r="RF52" s="132" t="n"/>
      <c r="RG52" s="132" t="n"/>
      <c r="RH52" s="132" t="n"/>
      <c r="RI52" s="132" t="n"/>
      <c r="RJ52" s="132" t="n"/>
      <c r="RK52" s="132" t="n"/>
      <c r="RL52" s="132" t="n"/>
      <c r="RM52" s="132" t="n"/>
      <c r="RN52" s="132" t="n"/>
      <c r="RO52" s="132" t="n"/>
      <c r="RP52" s="132" t="n"/>
      <c r="RQ52" s="132" t="n"/>
      <c r="RR52" s="132" t="n"/>
      <c r="RS52" s="132" t="n"/>
      <c r="RT52" s="132" t="n"/>
      <c r="RU52" s="132" t="n"/>
      <c r="RV52" s="132" t="n"/>
      <c r="RW52" s="132" t="n"/>
      <c r="RX52" s="132" t="n"/>
      <c r="RY52" s="132" t="n"/>
      <c r="RZ52" s="132" t="n"/>
      <c r="SA52" s="132" t="n"/>
      <c r="SB52" s="132" t="n"/>
      <c r="SC52" s="132" t="n"/>
      <c r="SD52" s="132" t="n"/>
      <c r="SE52" s="132" t="n"/>
      <c r="SF52" s="132" t="n"/>
      <c r="SG52" s="132" t="n"/>
      <c r="SH52" s="132" t="n"/>
      <c r="SI52" s="132" t="n"/>
      <c r="SJ52" s="132" t="n"/>
      <c r="SK52" s="132" t="n"/>
      <c r="SL52" s="132" t="n"/>
      <c r="SM52" s="132" t="n"/>
      <c r="SN52" s="132" t="n"/>
      <c r="SO52" s="132" t="n"/>
      <c r="SP52" s="132" t="n"/>
      <c r="SQ52" s="132" t="n"/>
      <c r="SR52" s="132" t="n"/>
      <c r="SS52" s="132" t="n"/>
      <c r="ST52" s="132" t="n"/>
      <c r="SU52" s="132" t="n"/>
      <c r="SV52" s="132" t="n"/>
      <c r="SW52" s="132" t="n"/>
      <c r="SX52" s="132" t="n"/>
      <c r="SY52" s="132" t="n"/>
      <c r="SZ52" s="132" t="n"/>
      <c r="TA52" s="132" t="n"/>
      <c r="TB52" s="132" t="n"/>
      <c r="TC52" s="132" t="n"/>
      <c r="TD52" s="132" t="n"/>
      <c r="TE52" s="132" t="n"/>
      <c r="TF52" s="132" t="n"/>
      <c r="TG52" s="132" t="n"/>
      <c r="TH52" s="132" t="n"/>
      <c r="TI52" s="132" t="n"/>
      <c r="TJ52" s="132" t="n"/>
      <c r="TK52" s="132" t="n"/>
      <c r="TL52" s="132" t="n"/>
      <c r="TM52" s="132" t="n"/>
      <c r="TN52" s="132" t="n"/>
      <c r="TO52" s="132" t="n"/>
      <c r="TP52" s="132" t="n"/>
      <c r="TQ52" s="132" t="n"/>
      <c r="TR52" s="132" t="n"/>
      <c r="TS52" s="132" t="n"/>
      <c r="TT52" s="132" t="n"/>
      <c r="TU52" s="132" t="n"/>
      <c r="TV52" s="132" t="n"/>
      <c r="TW52" s="132" t="n"/>
      <c r="TX52" s="132" t="n"/>
      <c r="TY52" s="132" t="n"/>
      <c r="TZ52" s="132" t="n"/>
      <c r="UA52" s="132" t="n"/>
      <c r="UB52" s="132" t="n"/>
      <c r="UC52" s="132" t="n"/>
      <c r="UD52" s="132" t="n"/>
      <c r="UE52" s="132" t="n"/>
      <c r="UF52" s="132" t="n"/>
      <c r="UG52" s="132" t="n"/>
      <c r="UH52" s="132" t="n"/>
      <c r="UI52" s="132" t="n"/>
      <c r="UJ52" s="132" t="n"/>
      <c r="UK52" s="132" t="n"/>
      <c r="UL52" s="132" t="n"/>
      <c r="UM52" s="132" t="n"/>
      <c r="UN52" s="132" t="n"/>
      <c r="UO52" s="132" t="n"/>
      <c r="UP52" s="132" t="n"/>
      <c r="UQ52" s="132" t="n"/>
      <c r="UT52" s="132" t="n"/>
      <c r="UU52" s="132" t="n"/>
      <c r="UV52" s="132" t="n"/>
      <c r="UW52" s="132" t="n"/>
      <c r="UX52" s="132" t="n"/>
      <c r="UY52" s="132" t="n"/>
      <c r="UZ52" s="132" t="n"/>
      <c r="VA52" s="132" t="n"/>
      <c r="VB52" s="132" t="n"/>
      <c r="VC52" s="132" t="n"/>
      <c r="VD52" s="132" t="n"/>
      <c r="VE52" s="132" t="n"/>
      <c r="VF52" s="132" t="n"/>
      <c r="VG52" s="132" t="n"/>
      <c r="VH52" s="132" t="n"/>
      <c r="VI52" s="132" t="n"/>
      <c r="VJ52" s="132" t="n"/>
      <c r="VK52" s="132" t="n"/>
      <c r="VL52" s="132" t="n"/>
      <c r="VM52" s="132" t="n"/>
      <c r="VN52" s="132" t="n"/>
      <c r="VO52" s="132" t="n"/>
      <c r="VP52" s="132" t="n"/>
      <c r="VQ52" s="132" t="n"/>
      <c r="VR52" s="132" t="n"/>
      <c r="VS52" s="132" t="n"/>
      <c r="VT52" s="132" t="n"/>
      <c r="VU52" s="132" t="n"/>
      <c r="VV52" s="132" t="n"/>
      <c r="VW52" s="132" t="n"/>
      <c r="VX52" s="132" t="n"/>
      <c r="VY52" s="132" t="n"/>
      <c r="VZ52" s="132" t="n"/>
      <c r="WA52" s="132" t="n"/>
      <c r="WB52" s="132" t="n"/>
      <c r="WC52" s="132" t="n"/>
      <c r="WD52" s="132" t="n"/>
      <c r="WE52" s="132" t="n"/>
      <c r="WF52" s="132" t="n"/>
      <c r="WG52" s="132" t="n"/>
      <c r="WH52" s="132" t="n"/>
      <c r="WI52" s="132" t="n"/>
      <c r="WJ52" s="132" t="n"/>
      <c r="WK52" s="132" t="n"/>
      <c r="WL52" s="132" t="n"/>
      <c r="WM52" s="132" t="n"/>
      <c r="WN52" s="132" t="n"/>
      <c r="WO52" s="132" t="n"/>
      <c r="WP52" s="132" t="n"/>
      <c r="WQ52" s="132" t="n"/>
      <c r="WR52" s="132" t="n"/>
      <c r="WS52" s="132" t="n"/>
      <c r="WT52" s="132" t="n"/>
      <c r="WU52" s="132" t="n"/>
      <c r="WV52" s="132" t="n"/>
      <c r="WW52" s="132" t="n"/>
      <c r="WX52" s="132" t="n"/>
      <c r="WY52" s="132" t="n"/>
      <c r="WZ52" s="132" t="n"/>
      <c r="XA52" s="132" t="n"/>
      <c r="XB52" s="132" t="n"/>
      <c r="XC52" s="132" t="n"/>
      <c r="XD52" s="132" t="n"/>
      <c r="XE52" s="132" t="n"/>
      <c r="XF52" s="132" t="n"/>
      <c r="XG52" s="132" t="n"/>
      <c r="XH52" s="132" t="n"/>
      <c r="XI52" s="132" t="n"/>
      <c r="XJ52" s="132" t="n"/>
      <c r="XK52" s="132" t="n"/>
      <c r="XL52" s="132" t="n"/>
      <c r="XM52" s="132" t="n"/>
      <c r="XN52" s="132" t="n"/>
      <c r="XO52" s="132" t="n"/>
      <c r="XP52" s="132" t="n"/>
      <c r="XQ52" s="132" t="n"/>
      <c r="XR52" s="132" t="n"/>
      <c r="XS52" s="132" t="n"/>
      <c r="XT52" s="132" t="n"/>
      <c r="XU52" s="132" t="n"/>
      <c r="XV52" s="132" t="n"/>
      <c r="XW52" s="132" t="n"/>
      <c r="XX52" s="132" t="n"/>
      <c r="XY52" s="132" t="n"/>
      <c r="XZ52" s="132" t="n"/>
      <c r="YA52" s="132" t="n"/>
      <c r="YB52" s="132" t="n"/>
      <c r="YC52" s="132" t="n"/>
      <c r="YD52" s="132" t="n"/>
      <c r="YE52" s="132" t="n"/>
      <c r="YF52" s="132" t="n"/>
      <c r="YG52" s="132" t="n"/>
      <c r="YH52" s="132" t="n"/>
      <c r="YI52" s="132" t="n"/>
      <c r="YJ52" s="132" t="n"/>
      <c r="YK52" s="132" t="n"/>
      <c r="YL52" s="132" t="n"/>
      <c r="YM52" s="132" t="n"/>
      <c r="YN52" s="132" t="n"/>
      <c r="YO52" s="132" t="n"/>
      <c r="YP52" s="132" t="n"/>
      <c r="YQ52" s="132" t="n"/>
      <c r="YR52" s="132" t="n"/>
      <c r="YS52" s="132" t="n"/>
      <c r="YT52" s="132" t="n"/>
      <c r="YU52" s="132" t="n"/>
      <c r="YV52" s="132" t="n"/>
      <c r="YW52" s="132" t="n"/>
      <c r="YX52" s="132" t="n"/>
      <c r="YY52" s="132" t="n"/>
      <c r="YZ52" s="132" t="n"/>
      <c r="ZA52" s="132" t="n"/>
      <c r="ZB52" s="132" t="n"/>
      <c r="ZC52" s="132" t="n"/>
      <c r="ZD52" s="132" t="n"/>
      <c r="ZE52" s="132" t="n"/>
    </row>
    <row r="53">
      <c r="A53" s="1246" t="n"/>
      <c r="B53" s="662" t="n"/>
      <c r="C53" s="663" t="n"/>
      <c r="D53" s="1477" t="n"/>
    </row>
    <row r="54">
      <c r="A54" s="1333" t="inlineStr">
        <is>
          <t>Total</t>
        </is>
      </c>
      <c r="B54" s="1425" t="n"/>
      <c r="C54" s="409">
        <f>IF(D54=0,"-",(SUMPRODUCT(C52:C53,D52:D53))/D54)</f>
        <v/>
      </c>
      <c r="D54" s="1478">
        <f>SUM(D52:D53)</f>
        <v/>
      </c>
    </row>
    <row r="55" ht="15.6" customHeight="1">
      <c r="A55" s="12" t="inlineStr">
        <is>
          <t>Detail of TimeEUR Deposit</t>
        </is>
      </c>
      <c r="B55" s="2" t="n"/>
      <c r="C55" s="2" t="n"/>
    </row>
    <row r="56" ht="26.4" customHeight="1">
      <c r="A56" s="13" t="inlineStr">
        <is>
          <t>Start</t>
        </is>
      </c>
      <c r="B56" s="13" t="inlineStr">
        <is>
          <t>Duedate</t>
        </is>
      </c>
      <c r="C56" s="13" t="inlineStr">
        <is>
          <t>Deposit Rate</t>
        </is>
      </c>
      <c r="D56" s="13" t="inlineStr">
        <is>
          <t>Amount (EUR million)</t>
        </is>
      </c>
    </row>
    <row r="57">
      <c r="A57" s="1164" t="n">
        <v>45727</v>
      </c>
      <c r="B57" s="1165" t="n">
        <v>45908</v>
      </c>
      <c r="C57" s="1166" t="n">
        <v>0.0075</v>
      </c>
      <c r="D57" s="1476" t="n">
        <v>2.557845</v>
      </c>
    </row>
    <row r="58">
      <c r="A58" s="661" t="n"/>
      <c r="B58" s="662" t="n"/>
      <c r="C58" s="663" t="n"/>
      <c r="D58" s="1477" t="n"/>
    </row>
    <row r="59">
      <c r="A59" s="1333" t="inlineStr">
        <is>
          <t>Total</t>
        </is>
      </c>
      <c r="B59" s="1425" t="n"/>
      <c r="C59" s="1479" t="n">
        <v>0</v>
      </c>
      <c r="D59" s="1479" t="n">
        <v>0</v>
      </c>
    </row>
    <row r="60" ht="15.6" customHeight="1">
      <c r="A60" s="12" t="inlineStr">
        <is>
          <t>Detail of TimeUSD Deposit</t>
        </is>
      </c>
      <c r="B60" s="2" t="n"/>
      <c r="C60" s="2" t="n"/>
    </row>
    <row r="61" ht="26.4" customHeight="1">
      <c r="A61" s="13" t="inlineStr">
        <is>
          <t>Start</t>
        </is>
      </c>
      <c r="B61" s="13" t="inlineStr">
        <is>
          <t>Duedate</t>
        </is>
      </c>
      <c r="C61" s="13" t="inlineStr">
        <is>
          <t>Deposit Rate</t>
        </is>
      </c>
      <c r="D61" s="13" t="inlineStr">
        <is>
          <t>Amount (USD million)</t>
        </is>
      </c>
    </row>
    <row r="62">
      <c r="A62" s="1164" t="n"/>
      <c r="B62" s="1165" t="n"/>
      <c r="C62" s="1166" t="n"/>
      <c r="D62" s="1476" t="n"/>
    </row>
    <row r="63">
      <c r="A63" s="661" t="n"/>
      <c r="B63" s="662" t="n"/>
      <c r="C63" s="663" t="n"/>
      <c r="D63" s="1477" t="n"/>
    </row>
    <row r="64">
      <c r="A64" s="1333" t="inlineStr">
        <is>
          <t>Total</t>
        </is>
      </c>
      <c r="B64" s="1425" t="n"/>
      <c r="C64" s="1479">
        <f>IF(D64=0,0,(SUMPRODUCT(C62:C63,D62:D63))/D64)</f>
        <v/>
      </c>
      <c r="D64" s="1479">
        <f>SUM(D62:D63)</f>
        <v/>
      </c>
    </row>
  </sheetData>
  <mergeCells count="39">
    <mergeCell ref="BE5:BE6"/>
    <mergeCell ref="A64:B64"/>
    <mergeCell ref="A59:B59"/>
    <mergeCell ref="BG5:BG6"/>
    <mergeCell ref="BS5:BS6"/>
    <mergeCell ref="A49:B49"/>
    <mergeCell ref="AZ5:AZ6"/>
    <mergeCell ref="BB5:BB6"/>
    <mergeCell ref="A27:C27"/>
    <mergeCell ref="A3:C3"/>
    <mergeCell ref="BQ5:BQ6"/>
    <mergeCell ref="A54:B54"/>
    <mergeCell ref="BD5:BD6"/>
    <mergeCell ref="BP5:BP6"/>
    <mergeCell ref="BH5:BH6"/>
    <mergeCell ref="BN5:BN6"/>
    <mergeCell ref="AW5:AW6"/>
    <mergeCell ref="AY5:AY6"/>
    <mergeCell ref="A29:C29"/>
    <mergeCell ref="A4:C4"/>
    <mergeCell ref="A7:B9"/>
    <mergeCell ref="A28:C28"/>
    <mergeCell ref="BA5:BA6"/>
    <mergeCell ref="BC5:BC6"/>
    <mergeCell ref="BI5:BI6"/>
    <mergeCell ref="BT5:BT6"/>
    <mergeCell ref="BU5:BU6"/>
    <mergeCell ref="BK5:BK6"/>
    <mergeCell ref="BF5:BF6"/>
    <mergeCell ref="BW5:BW6"/>
    <mergeCell ref="BO5:BO6"/>
    <mergeCell ref="A30:C30"/>
    <mergeCell ref="BM5:BM6"/>
    <mergeCell ref="AX5:AX6"/>
    <mergeCell ref="BR5:BR6"/>
    <mergeCell ref="BJ5:BJ6"/>
    <mergeCell ref="BV5:BV6"/>
    <mergeCell ref="BL5:BL6"/>
    <mergeCell ref="CW5:CW6"/>
  </mergeCells>
  <hyperlinks>
    <hyperlink xmlns:r="http://schemas.openxmlformats.org/officeDocument/2006/relationships" ref="ZF8" display="http://cbr.ru/eng/" r:id="rId1"/>
  </hyperlinks>
  <pageMargins left="0.7086614173228347" right="0.7086614173228347" top="0.7480314960629921" bottom="0.7480314960629921" header="0.3149606299212598" footer="0.3149606299212598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T70"/>
  <sheetViews>
    <sheetView showGridLines="0" showZeros="0" topLeftCell="A9" zoomScale="66" zoomScaleNormal="60" workbookViewId="0">
      <selection activeCell="J49" sqref="J49"/>
    </sheetView>
  </sheetViews>
  <sheetFormatPr baseColWidth="8" defaultColWidth="8.77734375" defaultRowHeight="14.4"/>
  <cols>
    <col width="2.21875" customWidth="1" style="19" min="1" max="1"/>
    <col width="39.77734375" customWidth="1" style="20" min="2" max="2"/>
    <col width="9.21875" customWidth="1" style="25" min="3" max="3"/>
    <col width="10.6640625" bestFit="1" customWidth="1" style="38" min="4" max="4"/>
    <col width="17.77734375" customWidth="1" style="25" min="5" max="5"/>
    <col width="15.21875" customWidth="1" style="25" min="6" max="6"/>
    <col width="16.21875" customWidth="1" style="25" min="7" max="7"/>
    <col width="17.21875" customWidth="1" style="25" min="8" max="8"/>
    <col width="15.21875" customWidth="1" style="25" min="9" max="9"/>
    <col width="12.6640625" customWidth="1" style="25" min="10" max="11"/>
    <col width="14.6640625" customWidth="1" style="25" min="12" max="12"/>
    <col width="12.6640625" customWidth="1" style="25" min="13" max="17"/>
    <col width="13.21875" customWidth="1" style="19" min="18" max="18"/>
    <col width="8.77734375" customWidth="1" style="19" min="19" max="16384"/>
  </cols>
  <sheetData>
    <row r="1" ht="17.4" customHeight="1">
      <c r="B1" s="85" t="inlineStr">
        <is>
          <t>CPF RUSSIA Cash in bank report</t>
        </is>
      </c>
      <c r="E1" s="67" t="n"/>
      <c r="F1" s="19" t="n"/>
    </row>
    <row r="2" ht="15.6" customHeight="1">
      <c r="B2" s="86" t="n">
        <v>45884</v>
      </c>
      <c r="D2" s="84" t="inlineStr">
        <is>
          <t>Exchange</t>
        </is>
      </c>
      <c r="E2" s="27">
        <f>SUMIF(Daily!3:3,'Cash in bank report'!B2,Daily!7:7)</f>
        <v/>
      </c>
      <c r="F2" s="28" t="inlineStr">
        <is>
          <t>Ruble / USD</t>
        </is>
      </c>
    </row>
    <row r="3" ht="15.6" customHeight="1">
      <c r="A3" s="18" t="n"/>
      <c r="B3" s="18" t="n"/>
      <c r="D3" s="25" t="n"/>
      <c r="E3" s="27">
        <f>SUMIF(Daily!3:3,'Cash in bank report'!B2,Daily!8:8)</f>
        <v/>
      </c>
      <c r="F3" s="28" t="inlineStr">
        <is>
          <t>Ruble / EUR</t>
        </is>
      </c>
      <c r="I3" s="1480" t="n"/>
    </row>
    <row r="4" ht="15.6" customHeight="1">
      <c r="A4" s="18" t="n"/>
      <c r="B4" s="18" t="n"/>
      <c r="D4" s="25" t="n"/>
      <c r="E4" s="27">
        <f>SUMIF(Daily!3:3,'Cash in bank report'!B2,Daily!9:9)</f>
        <v/>
      </c>
      <c r="F4" s="28" t="inlineStr">
        <is>
          <t>Ruble /CNY</t>
        </is>
      </c>
      <c r="I4" s="1480" t="n"/>
    </row>
    <row r="5" ht="15.6" customHeight="1">
      <c r="A5" s="18" t="n"/>
      <c r="B5" s="18" t="n"/>
      <c r="D5" s="25" t="n"/>
      <c r="E5" s="27" t="n">
        <v>2.46875</v>
      </c>
      <c r="F5" s="28" t="inlineStr">
        <is>
          <t>Ruble/THB</t>
        </is>
      </c>
      <c r="I5" s="1480" t="n"/>
    </row>
    <row r="6" ht="16.2" customHeight="1">
      <c r="B6" s="26" t="inlineStr">
        <is>
          <t>Cash in bank</t>
        </is>
      </c>
      <c r="C6" s="26" t="inlineStr">
        <is>
          <t>Unit</t>
        </is>
      </c>
      <c r="D6" s="26" t="inlineStr">
        <is>
          <t>Total</t>
        </is>
      </c>
      <c r="E6" s="26" t="inlineStr">
        <is>
          <t>CPFO</t>
        </is>
      </c>
      <c r="F6" s="26" t="inlineStr">
        <is>
          <t>APK DON</t>
        </is>
      </c>
      <c r="G6" s="26" t="inlineStr">
        <is>
          <t>RBPI</t>
        </is>
      </c>
      <c r="H6" s="26" t="inlineStr">
        <is>
          <t>S&amp;W</t>
        </is>
      </c>
      <c r="I6" s="1481" t="n"/>
      <c r="J6" s="19" t="n"/>
      <c r="K6" s="19" t="n"/>
      <c r="L6" s="19" t="n"/>
      <c r="M6" s="19" t="n"/>
      <c r="N6" s="19" t="n"/>
      <c r="O6" s="19" t="n"/>
      <c r="P6" s="19" t="n"/>
      <c r="Q6" s="19" t="n"/>
    </row>
    <row r="7" ht="16.2" customHeight="1">
      <c r="B7" s="73" t="inlineStr">
        <is>
          <t xml:space="preserve">  - Ruble</t>
        </is>
      </c>
      <c r="C7" s="45" t="inlineStr">
        <is>
          <t>M.RUB</t>
        </is>
      </c>
      <c r="D7" s="46">
        <f>SUM(E7:H7)</f>
        <v/>
      </c>
      <c r="E7" s="74">
        <f>D19</f>
        <v/>
      </c>
      <c r="F7" s="74">
        <f>D28</f>
        <v/>
      </c>
      <c r="G7" s="74">
        <f>D37</f>
        <v/>
      </c>
      <c r="H7" s="75">
        <f>D48</f>
        <v/>
      </c>
      <c r="I7" s="1482" t="n"/>
      <c r="J7" s="19" t="n"/>
      <c r="K7" s="19" t="n"/>
      <c r="L7" s="19" t="n"/>
      <c r="M7" s="19" t="n"/>
      <c r="N7" s="19" t="n"/>
      <c r="O7" s="19" t="n"/>
      <c r="P7" s="19" t="n"/>
      <c r="Q7" s="19" t="n"/>
    </row>
    <row r="8" ht="16.2" customHeight="1">
      <c r="B8" s="76" t="inlineStr">
        <is>
          <t xml:space="preserve">  - USD  (Equivalent To RUB)</t>
        </is>
      </c>
      <c r="C8" s="42" t="inlineStr">
        <is>
          <t>M.RUB</t>
        </is>
      </c>
      <c r="D8" s="31">
        <f>SUM(E8:H8)</f>
        <v/>
      </c>
      <c r="E8" s="77">
        <f>+D23*E2</f>
        <v/>
      </c>
      <c r="F8" s="77">
        <f>+D32*E2</f>
        <v/>
      </c>
      <c r="G8" s="77">
        <f>+D41*E2</f>
        <v/>
      </c>
      <c r="H8" s="82">
        <f>(D51+D56)*E2</f>
        <v/>
      </c>
      <c r="I8" s="1482" t="n"/>
      <c r="J8" s="19" t="n"/>
      <c r="K8" s="19" t="n"/>
      <c r="L8" s="19" t="n"/>
      <c r="M8" s="19" t="n"/>
      <c r="N8" s="19" t="n"/>
      <c r="O8" s="19" t="n"/>
      <c r="P8" s="19" t="n"/>
      <c r="Q8" s="19" t="n"/>
    </row>
    <row r="9" ht="16.2" customHeight="1">
      <c r="B9" s="76" t="inlineStr">
        <is>
          <t xml:space="preserve">  - EUR  (Equivalent To RUB)</t>
        </is>
      </c>
      <c r="C9" s="42" t="inlineStr">
        <is>
          <t>M.RUB</t>
        </is>
      </c>
      <c r="D9" s="31">
        <f>SUM(E9:H9)</f>
        <v/>
      </c>
      <c r="E9" s="77">
        <f>+E14*E2</f>
        <v/>
      </c>
      <c r="F9" s="77">
        <f>+F14*E2</f>
        <v/>
      </c>
      <c r="G9" s="77">
        <f>+G14*E2</f>
        <v/>
      </c>
      <c r="H9" s="82">
        <f>(D52+D57)*E2</f>
        <v/>
      </c>
      <c r="I9" s="1482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 ht="16.2" customHeight="1">
      <c r="B10" s="23" t="inlineStr">
        <is>
          <t xml:space="preserve">  - CNY  (Equivalent To RUB)</t>
        </is>
      </c>
      <c r="C10" s="54" t="inlineStr">
        <is>
          <t>M.RUB</t>
        </is>
      </c>
      <c r="D10" s="34">
        <f>SUM(E10:H10)</f>
        <v/>
      </c>
      <c r="E10" s="1483">
        <f>D25*E2</f>
        <v/>
      </c>
      <c r="F10" s="35" t="n"/>
      <c r="G10" s="35">
        <f>D43*E2</f>
        <v/>
      </c>
      <c r="H10" s="71">
        <f>(D58+D53)*E2</f>
        <v/>
      </c>
      <c r="I10" s="1482" t="n"/>
      <c r="J10" s="19" t="n"/>
      <c r="K10" s="19" t="n"/>
      <c r="L10" s="19" t="n"/>
      <c r="M10" s="19" t="n"/>
      <c r="N10" s="19" t="n"/>
      <c r="O10" s="19" t="n"/>
      <c r="P10" s="19" t="n"/>
      <c r="Q10" s="19" t="n"/>
    </row>
    <row r="11" ht="16.2" customHeight="1" thickBot="1">
      <c r="B11" s="61" t="inlineStr">
        <is>
          <t>Total (Equivalent to RUB)</t>
        </is>
      </c>
      <c r="C11" s="1484" t="inlineStr">
        <is>
          <t>M.RUB</t>
        </is>
      </c>
      <c r="D11" s="72">
        <f>SUM(E11:H11)</f>
        <v/>
      </c>
      <c r="E11" s="72">
        <f>SUM(E7:E10)</f>
        <v/>
      </c>
      <c r="F11" s="72">
        <f>SUM(F7:F10)</f>
        <v/>
      </c>
      <c r="G11" s="72">
        <f>SUM(G7:G10)</f>
        <v/>
      </c>
      <c r="H11" s="72">
        <f>SUM(H7:H10)</f>
        <v/>
      </c>
      <c r="I11" s="1482" t="n"/>
      <c r="J11" s="19" t="n"/>
      <c r="K11" s="19" t="n"/>
      <c r="L11" s="19" t="n"/>
      <c r="M11" s="19" t="n"/>
      <c r="N11" s="19" t="n"/>
      <c r="O11" s="19" t="n"/>
      <c r="P11" s="19" t="n"/>
      <c r="Q11" s="19" t="n"/>
    </row>
    <row r="12" ht="16.2" customHeight="1" thickTop="1">
      <c r="B12" s="73" t="inlineStr">
        <is>
          <t xml:space="preserve">  - Ruble  (Equivalent To USD)</t>
        </is>
      </c>
      <c r="C12" s="45" t="inlineStr">
        <is>
          <t>M.USD</t>
        </is>
      </c>
      <c r="D12" s="1485">
        <f>D7/$E$2</f>
        <v/>
      </c>
      <c r="E12" s="1486">
        <f>E7/$E$2</f>
        <v/>
      </c>
      <c r="F12" s="1486">
        <f>F7/$E$2</f>
        <v/>
      </c>
      <c r="G12" s="1486">
        <f>G7/$E$2</f>
        <v/>
      </c>
      <c r="H12" s="1487">
        <f>H7/$E$2</f>
        <v/>
      </c>
      <c r="I12" s="1482" t="n"/>
      <c r="J12" s="19" t="n"/>
      <c r="K12" s="19" t="n"/>
      <c r="L12" s="19" t="n"/>
      <c r="M12" s="19" t="n"/>
      <c r="N12" s="19" t="n"/>
      <c r="O12" s="19" t="n"/>
      <c r="P12" s="19" t="n"/>
      <c r="Q12" s="19" t="n"/>
    </row>
    <row r="13" ht="16.2" customHeight="1">
      <c r="B13" s="76" t="inlineStr">
        <is>
          <t xml:space="preserve">  - USD</t>
        </is>
      </c>
      <c r="C13" s="42" t="inlineStr">
        <is>
          <t>M.USD</t>
        </is>
      </c>
      <c r="D13" s="1488">
        <f>D8/$E$2</f>
        <v/>
      </c>
      <c r="E13" s="1489">
        <f>+D23</f>
        <v/>
      </c>
      <c r="F13" s="1489">
        <f>+D32</f>
        <v/>
      </c>
      <c r="G13" s="1489">
        <f>+D41</f>
        <v/>
      </c>
      <c r="H13" s="1490">
        <f>H8/$E$2</f>
        <v/>
      </c>
      <c r="I13" s="1482" t="n"/>
      <c r="J13" s="19" t="n"/>
      <c r="K13" s="19" t="n"/>
      <c r="L13" s="19" t="n"/>
      <c r="M13" s="19" t="n"/>
      <c r="N13" s="19" t="n"/>
      <c r="O13" s="19" t="n"/>
      <c r="P13" s="19" t="n"/>
      <c r="Q13" s="19" t="n"/>
    </row>
    <row r="14" ht="16.2" customHeight="1">
      <c r="B14" s="76" t="inlineStr">
        <is>
          <t xml:space="preserve">  - EUR  (Equivalent To USD)</t>
        </is>
      </c>
      <c r="C14" s="42" t="inlineStr">
        <is>
          <t>M.USD</t>
        </is>
      </c>
      <c r="D14" s="1488">
        <f>D9/$E$2</f>
        <v/>
      </c>
      <c r="E14" s="1489">
        <f>+D24</f>
        <v/>
      </c>
      <c r="F14" s="1489">
        <f>+D33</f>
        <v/>
      </c>
      <c r="G14" s="1489" t="n"/>
      <c r="H14" s="1490">
        <f>H9/$E$2</f>
        <v/>
      </c>
      <c r="I14" s="1482" t="n"/>
      <c r="J14" s="19" t="n"/>
      <c r="K14" s="19" t="n"/>
      <c r="L14" s="19" t="n"/>
      <c r="M14" s="19" t="n"/>
      <c r="N14" s="19" t="n"/>
      <c r="O14" s="19" t="n"/>
      <c r="P14" s="19" t="n"/>
      <c r="Q14" s="19" t="n"/>
    </row>
    <row r="15" ht="16.2" customHeight="1">
      <c r="B15" s="23" t="inlineStr">
        <is>
          <t xml:space="preserve">  - CNY  (Equivalent To USD)</t>
        </is>
      </c>
      <c r="C15" s="42" t="inlineStr">
        <is>
          <t>M.USD</t>
        </is>
      </c>
      <c r="D15" s="1491">
        <f>D10/$E$2</f>
        <v/>
      </c>
      <c r="E15" s="1490">
        <f>E10/$E$2</f>
        <v/>
      </c>
      <c r="F15" s="1483" t="n"/>
      <c r="G15" s="1483">
        <f>G10/E2</f>
        <v/>
      </c>
      <c r="H15" s="1490">
        <f>H10/$E$2</f>
        <v/>
      </c>
      <c r="I15" s="1482" t="n"/>
      <c r="J15" s="19" t="n"/>
      <c r="K15" s="19" t="n"/>
      <c r="L15" s="19" t="n"/>
      <c r="M15" s="19" t="n"/>
      <c r="N15" s="19" t="n"/>
      <c r="O15" s="19" t="n"/>
      <c r="P15" s="19" t="n"/>
      <c r="Q15" s="19" t="n"/>
    </row>
    <row r="16" ht="16.2" customHeight="1" thickBot="1">
      <c r="B16" s="61" t="inlineStr">
        <is>
          <t>Total (Equivalent to USD)</t>
        </is>
      </c>
      <c r="C16" s="1484" t="inlineStr">
        <is>
          <t>M.USD</t>
        </is>
      </c>
      <c r="D16" s="1492">
        <f>D11/$E$2</f>
        <v/>
      </c>
      <c r="E16" s="1493">
        <f>SUM(E12:E15)</f>
        <v/>
      </c>
      <c r="F16" s="1493">
        <f>SUM(F12:F15)</f>
        <v/>
      </c>
      <c r="G16" s="1493">
        <f>SUM(G12:G15)</f>
        <v/>
      </c>
      <c r="H16" s="1493">
        <f>SUM(H12:H15)</f>
        <v/>
      </c>
      <c r="I16" s="1482" t="n"/>
      <c r="J16" s="19" t="n"/>
      <c r="K16" s="19" t="n"/>
      <c r="L16" s="19" t="n"/>
      <c r="M16" s="19" t="n"/>
      <c r="N16" s="19" t="n"/>
      <c r="O16" s="19" t="n"/>
      <c r="P16" s="19" t="n"/>
      <c r="Q16" s="19" t="n"/>
    </row>
    <row r="17" ht="15" customFormat="1" customHeight="1" s="60" thickTop="1">
      <c r="B17" s="64" t="n"/>
      <c r="C17" s="64" t="inlineStr">
        <is>
          <t>Test</t>
        </is>
      </c>
      <c r="D17" s="64">
        <f>SUMIF(Daily!3:3,'Cash in bank report'!B2,Daily!30:30)-D16</f>
        <v/>
      </c>
      <c r="E17" s="1494" t="n"/>
      <c r="F17" s="1494" t="n"/>
      <c r="G17" s="1495" t="n"/>
      <c r="H17" s="1495" t="n"/>
      <c r="I17" s="1480" t="n"/>
      <c r="J17" s="63" t="n"/>
      <c r="K17" s="63" t="n"/>
      <c r="L17" s="63" t="n"/>
      <c r="M17" s="63" t="n"/>
      <c r="N17" s="63" t="n"/>
      <c r="O17" s="63" t="n"/>
      <c r="P17" s="63" t="n"/>
      <c r="Q17" s="63" t="n"/>
    </row>
    <row r="18">
      <c r="B18" s="26" t="inlineStr">
        <is>
          <t>CPFO Group</t>
        </is>
      </c>
      <c r="C18" s="26" t="inlineStr">
        <is>
          <t>Unit</t>
        </is>
      </c>
      <c r="D18" s="26" t="inlineStr">
        <is>
          <t>Total</t>
        </is>
      </c>
      <c r="E18" s="26" t="inlineStr">
        <is>
          <t>CPFO</t>
        </is>
      </c>
      <c r="F18" s="26" t="inlineStr">
        <is>
          <t>CPFA</t>
        </is>
      </c>
      <c r="G18" s="26" t="inlineStr">
        <is>
          <t>CPFF</t>
        </is>
      </c>
      <c r="H18" s="26" t="inlineStr">
        <is>
          <t>CPFSP</t>
        </is>
      </c>
      <c r="I18" s="26" t="inlineStr">
        <is>
          <t>CPFR</t>
        </is>
      </c>
      <c r="J18" s="26" t="inlineStr">
        <is>
          <t>CPFC</t>
        </is>
      </c>
      <c r="K18" s="38" t="n"/>
    </row>
    <row r="19">
      <c r="B19" s="21" t="inlineStr">
        <is>
          <t>Overnight / Saving account</t>
        </is>
      </c>
      <c r="C19" s="42" t="inlineStr">
        <is>
          <t>M.RUB</t>
        </is>
      </c>
      <c r="D19" s="31">
        <f>SUM(E19:J19)</f>
        <v/>
      </c>
      <c r="E19" s="32">
        <f>SUMIF(Table!$1:$1,'Cash in bank report'!$B$2,Table!5:5)</f>
        <v/>
      </c>
      <c r="F19" s="32">
        <f>SUMIF(Table!$1:$1,'Cash in bank report'!$B$2,Table!6:6)</f>
        <v/>
      </c>
      <c r="G19" s="32">
        <f>SUMIF(Table!$1:$1,'Cash in bank report'!$B$2,Table!7:7)</f>
        <v/>
      </c>
      <c r="H19" s="32">
        <f>SUMIF(Table!$1:$1,'Cash in bank report'!$B$2,Table!8:8)</f>
        <v/>
      </c>
      <c r="I19" s="32">
        <f>SUMIF(Table!$1:$1,'Cash in bank report'!$B$2,Table!9:9)</f>
        <v/>
      </c>
      <c r="J19" s="32">
        <f>SUMIF(Table!$1:$1,'Cash in bank report'!$B$2,Table!10:10)</f>
        <v/>
      </c>
      <c r="K19" s="39" t="n"/>
      <c r="L19" s="33" t="n"/>
      <c r="M19" s="33" t="n"/>
      <c r="N19" s="33" t="n"/>
      <c r="O19" s="33" t="n"/>
      <c r="P19" s="33" t="n"/>
      <c r="Q19" s="33" t="n"/>
    </row>
    <row r="20">
      <c r="B20" s="22" t="inlineStr">
        <is>
          <t>(Equivalent  to M.USD)</t>
        </is>
      </c>
      <c r="C20" s="42" t="inlineStr">
        <is>
          <t>M.USD</t>
        </is>
      </c>
      <c r="D20" s="1488">
        <f>SUM(E20:J20)</f>
        <v/>
      </c>
      <c r="E20" s="1496">
        <f>E19/$E$2</f>
        <v/>
      </c>
      <c r="F20" s="41">
        <f>F19/$E$2</f>
        <v/>
      </c>
      <c r="G20" s="41">
        <f>G19/$E$2</f>
        <v/>
      </c>
      <c r="H20" s="41">
        <f>H19/$E$2</f>
        <v/>
      </c>
      <c r="I20" s="1496">
        <f>I19/$E$2</f>
        <v/>
      </c>
      <c r="J20" s="1496">
        <f>J19/$E$2</f>
        <v/>
      </c>
      <c r="K20" s="39" t="n"/>
      <c r="L20" s="33" t="n"/>
      <c r="M20" s="33" t="n"/>
      <c r="N20" s="33" t="n"/>
      <c r="O20" s="33" t="n"/>
      <c r="P20" s="33" t="n"/>
      <c r="Q20" s="33" t="n"/>
    </row>
    <row r="21">
      <c r="B21" s="50" t="inlineStr">
        <is>
          <t>Overnight / Saving account</t>
        </is>
      </c>
      <c r="C21" s="45" t="n"/>
      <c r="D21" s="51" t="n"/>
      <c r="E21" s="51" t="n"/>
      <c r="F21" s="51" t="n"/>
      <c r="G21" s="51" t="n"/>
      <c r="H21" s="51" t="n"/>
      <c r="I21" s="51" t="n"/>
      <c r="J21" s="51" t="n"/>
      <c r="K21" s="33" t="n"/>
      <c r="L21" s="33" t="n"/>
      <c r="M21" s="33" t="n"/>
      <c r="N21" s="33" t="n"/>
      <c r="O21" s="33" t="n"/>
      <c r="P21" s="33" t="n"/>
      <c r="Q21" s="33" t="n"/>
    </row>
    <row r="22">
      <c r="B22" s="22" t="inlineStr">
        <is>
          <t xml:space="preserve">  - Ruble (Equivalent To USD)</t>
        </is>
      </c>
      <c r="C22" s="48" t="inlineStr">
        <is>
          <t>M.USD</t>
        </is>
      </c>
      <c r="D22" s="1497">
        <f>SUM(E22:J22)</f>
        <v/>
      </c>
      <c r="E22" s="1498" t="n"/>
      <c r="F22" s="1498" t="n"/>
      <c r="G22" s="1498" t="n"/>
      <c r="H22" s="1498" t="n"/>
      <c r="I22" s="1498" t="n"/>
      <c r="J22" s="1498" t="n"/>
      <c r="K22" s="33" t="n"/>
      <c r="L22" s="33" t="n"/>
      <c r="M22" s="33" t="n"/>
      <c r="N22" s="33" t="n"/>
      <c r="O22" s="33" t="n"/>
      <c r="P22" s="33" t="n"/>
      <c r="Q22" s="33" t="n"/>
    </row>
    <row r="23">
      <c r="B23" s="22" t="inlineStr">
        <is>
          <t xml:space="preserve">  - USD</t>
        </is>
      </c>
      <c r="C23" s="48" t="inlineStr">
        <is>
          <t>M.USD</t>
        </is>
      </c>
      <c r="D23" s="1497">
        <f>SUM(E23:J23)</f>
        <v/>
      </c>
      <c r="E23" s="1498" t="n"/>
      <c r="F23" s="1498" t="n"/>
      <c r="G23" s="1498" t="n"/>
      <c r="H23" s="1498" t="n"/>
      <c r="I23" s="1498" t="n"/>
      <c r="J23" s="1498" t="n"/>
      <c r="K23" s="33" t="n"/>
      <c r="L23" s="33" t="n"/>
      <c r="M23" s="33" t="n"/>
      <c r="N23" s="33" t="n"/>
      <c r="O23" s="33" t="n"/>
      <c r="P23" s="33" t="n"/>
      <c r="Q23" s="33" t="n"/>
    </row>
    <row r="24" ht="13.5" customHeight="1">
      <c r="B24" s="646" t="inlineStr">
        <is>
          <t xml:space="preserve">  - EUR  (Equivalent To USD)</t>
        </is>
      </c>
      <c r="C24" s="647" t="inlineStr">
        <is>
          <t>M.USD</t>
        </is>
      </c>
      <c r="D24" s="1497">
        <f>SUM(E24:J24)</f>
        <v/>
      </c>
      <c r="E24" s="1498" t="n"/>
      <c r="F24" s="1156" t="n"/>
      <c r="G24" s="1156" t="n"/>
      <c r="H24" s="1156" t="n"/>
      <c r="I24" s="1157">
        <f>0*E3/E2</f>
        <v/>
      </c>
      <c r="J24" s="1156" t="n"/>
      <c r="K24" s="33" t="n"/>
      <c r="L24" s="33" t="n"/>
      <c r="M24" s="33" t="n"/>
      <c r="N24" s="33" t="n"/>
      <c r="O24" s="33" t="n"/>
      <c r="P24" s="33" t="n"/>
      <c r="Q24" s="33" t="n"/>
    </row>
    <row r="25">
      <c r="B25" s="23" t="inlineStr">
        <is>
          <t xml:space="preserve">  - CNY  (Equivalent To USD)</t>
        </is>
      </c>
      <c r="C25" s="645" t="inlineStr">
        <is>
          <t>M.USD</t>
        </is>
      </c>
      <c r="D25" s="1491">
        <f>SUM(E25:J25)</f>
        <v/>
      </c>
      <c r="E25" s="1499">
        <f>0/1000000*E4/E2</f>
        <v/>
      </c>
      <c r="F25" s="1159">
        <f>0/1000000*E4/E2</f>
        <v/>
      </c>
      <c r="G25" s="1159" t="n"/>
      <c r="H25" s="1159" t="n"/>
      <c r="I25" s="1500">
        <f>0/1000000*E4/E2</f>
        <v/>
      </c>
      <c r="J25" s="1159" t="n"/>
      <c r="K25" s="40" t="n"/>
      <c r="L25" s="33" t="n"/>
      <c r="M25" s="33" t="n"/>
      <c r="N25" s="33" t="n"/>
      <c r="O25" s="33" t="n"/>
      <c r="P25" s="33" t="n"/>
      <c r="Q25" s="33" t="n"/>
    </row>
    <row r="26">
      <c r="D26" s="411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</row>
    <row r="27" ht="43.2" customHeight="1">
      <c r="B27" s="26" t="inlineStr">
        <is>
          <t>APK DON Group</t>
        </is>
      </c>
      <c r="C27" s="26" t="inlineStr">
        <is>
          <t>Unit</t>
        </is>
      </c>
      <c r="D27" s="36" t="inlineStr">
        <is>
          <t>Total</t>
        </is>
      </c>
      <c r="E27" s="36" t="inlineStr">
        <is>
          <t>Agro-Sojuz</t>
        </is>
      </c>
      <c r="F27" s="36" t="inlineStr">
        <is>
          <t>Mjaso-Sojuz</t>
        </is>
      </c>
      <c r="G27" s="37" t="inlineStr">
        <is>
          <t>Alekseevsky
Bekon</t>
        </is>
      </c>
      <c r="H27" s="37" t="inlineStr">
        <is>
          <t>Donskoy 
Bekon</t>
        </is>
      </c>
      <c r="I27" s="37" t="inlineStr">
        <is>
          <t>Alekseevskiy
Kombikormovy Zavod</t>
        </is>
      </c>
      <c r="J27" s="36" t="inlineStr">
        <is>
          <t>Agro-Oskol</t>
        </is>
      </c>
      <c r="K27" s="37" t="inlineStr">
        <is>
          <t>Modern 
solutions</t>
        </is>
      </c>
      <c r="L27" s="37" t="inlineStr">
        <is>
          <t>Agro
Ostrogorzhsk</t>
        </is>
      </c>
      <c r="M27" s="37" t="inlineStr">
        <is>
          <t>MPK
Belgorod</t>
        </is>
      </c>
      <c r="N27" s="37" t="inlineStr">
        <is>
          <t>Chochol
Trostjanka</t>
        </is>
      </c>
      <c r="O27" s="37" t="inlineStr">
        <is>
          <t>RBPI
 Voronezh</t>
        </is>
      </c>
      <c r="P27" s="33" t="n"/>
      <c r="Q27" s="33" t="n"/>
    </row>
    <row r="28">
      <c r="B28" s="21">
        <f>B19</f>
        <v/>
      </c>
      <c r="C28" s="42" t="inlineStr">
        <is>
          <t>M.RUB</t>
        </is>
      </c>
      <c r="D28" s="31">
        <f>SUM(E28:O28)</f>
        <v/>
      </c>
      <c r="E28" s="32">
        <f>SUMIF(Table!$1:$1,'Cash in bank report'!$B$2,Table!14:14)+700</f>
        <v/>
      </c>
      <c r="F28" s="32">
        <f>SUMIF(Table!$1:$1,'Cash in bank report'!$B$2,Table!15:15)</f>
        <v/>
      </c>
      <c r="G28" s="32">
        <f>SUMIF(Table!$1:$1,'Cash in bank report'!$B$2,Table!16:16)</f>
        <v/>
      </c>
      <c r="H28" s="32">
        <f>SUMIF(Table!$1:$1,'Cash in bank report'!$B$2,Table!17:17)</f>
        <v/>
      </c>
      <c r="I28" s="32">
        <f>SUMIF(Table!$1:$1,'Cash in bank report'!$B$2,Table!18:18)</f>
        <v/>
      </c>
      <c r="J28" s="32">
        <f>SUMIF(Table!$1:$1,'Cash in bank report'!$B$2,Table!19:19)</f>
        <v/>
      </c>
      <c r="K28" s="32">
        <f>SUMIF(Table!$1:$1,'Cash in bank report'!$B$2,Table!20:20)</f>
        <v/>
      </c>
      <c r="L28" s="32">
        <f>SUMIF(Table!$1:$1,'Cash in bank report'!$B$2,Table!21:21)</f>
        <v/>
      </c>
      <c r="M28" s="32">
        <f>SUMIF(Table!$1:$1,'Cash in bank report'!$B$2,Table!22:22)</f>
        <v/>
      </c>
      <c r="N28" s="32">
        <f>SUMIF(Table!$1:$1,'Cash in bank report'!$B$2,Table!23:23)</f>
        <v/>
      </c>
      <c r="O28" s="32">
        <f>SUMIF(Table!$1:$1,'Cash in bank report'!$B$2,Table!13:13)</f>
        <v/>
      </c>
      <c r="P28" s="33" t="n"/>
      <c r="Q28" s="33" t="n"/>
    </row>
    <row r="29">
      <c r="B29" s="22" t="inlineStr">
        <is>
          <t>(Equivalent  to M.USD)</t>
        </is>
      </c>
      <c r="C29" s="42" t="inlineStr">
        <is>
          <t>M.USD</t>
        </is>
      </c>
      <c r="D29" s="1488">
        <f>SUM(E29:O29)</f>
        <v/>
      </c>
      <c r="E29" s="1496">
        <f>E28/$E$2</f>
        <v/>
      </c>
      <c r="F29" s="41">
        <f>F28/$E$2</f>
        <v/>
      </c>
      <c r="G29" s="1496">
        <f>G28/$E$2</f>
        <v/>
      </c>
      <c r="H29" s="1496">
        <f>H28/$E$2</f>
        <v/>
      </c>
      <c r="I29" s="1496">
        <f>I28/$E$2</f>
        <v/>
      </c>
      <c r="J29" s="1496">
        <f>J28/$E$2</f>
        <v/>
      </c>
      <c r="K29" s="41">
        <f>K28/$E$2</f>
        <v/>
      </c>
      <c r="L29" s="1496">
        <f>L28/$E$2</f>
        <v/>
      </c>
      <c r="M29" s="41">
        <f>M28/$E$2</f>
        <v/>
      </c>
      <c r="N29" s="1496">
        <f>N28/$E$2</f>
        <v/>
      </c>
      <c r="O29" s="1496">
        <f>O28/$E$2</f>
        <v/>
      </c>
      <c r="P29" s="33" t="n"/>
      <c r="Q29" s="33" t="n"/>
    </row>
    <row r="30">
      <c r="B30" s="50" t="inlineStr">
        <is>
          <t>Overnight / Saving account</t>
        </is>
      </c>
      <c r="C30" s="45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33" t="n"/>
      <c r="Q30" s="33" t="n"/>
    </row>
    <row r="31">
      <c r="B31" s="22" t="inlineStr">
        <is>
          <t xml:space="preserve">  - Ruble (Equivalent To USD)</t>
        </is>
      </c>
      <c r="C31" s="48" t="inlineStr">
        <is>
          <t>M.USD</t>
        </is>
      </c>
      <c r="D31" s="1497">
        <f>SUM(E31:N31)</f>
        <v/>
      </c>
      <c r="E31" s="1496" t="n"/>
      <c r="F31" s="1496" t="n"/>
      <c r="G31" s="1496" t="n"/>
      <c r="H31" s="1496" t="n"/>
      <c r="I31" s="1496" t="n"/>
      <c r="J31" s="1496" t="n"/>
      <c r="K31" s="1496" t="n"/>
      <c r="L31" s="1496" t="n"/>
      <c r="M31" s="1496" t="n"/>
      <c r="N31" s="1496" t="n"/>
      <c r="O31" s="1496" t="n"/>
      <c r="P31" s="33" t="n"/>
      <c r="Q31" s="33" t="n"/>
    </row>
    <row r="32">
      <c r="B32" s="22" t="inlineStr">
        <is>
          <t xml:space="preserve">  - USD</t>
        </is>
      </c>
      <c r="C32" s="48" t="inlineStr">
        <is>
          <t>M.USD</t>
        </is>
      </c>
      <c r="D32" s="1497">
        <f>SUM(E32:N32)</f>
        <v/>
      </c>
      <c r="E32" s="1496" t="n"/>
      <c r="F32" s="1496" t="n"/>
      <c r="G32" s="1496" t="n"/>
      <c r="H32" s="1496" t="n"/>
      <c r="I32" s="1496" t="n"/>
      <c r="J32" s="1496" t="n"/>
      <c r="K32" s="1496" t="n"/>
      <c r="L32" s="1496" t="n"/>
      <c r="M32" s="1496" t="n"/>
      <c r="N32" s="1496" t="n"/>
      <c r="O32" s="1496" t="n"/>
      <c r="P32" s="33" t="n"/>
      <c r="Q32" s="33" t="n"/>
    </row>
    <row r="33">
      <c r="B33" s="23" t="inlineStr">
        <is>
          <t xml:space="preserve">  - EUR  (Equivalent To USD)</t>
        </is>
      </c>
      <c r="C33" s="43" t="inlineStr">
        <is>
          <t>M.USD</t>
        </is>
      </c>
      <c r="D33" s="1491">
        <f>SUM(E33:N33)</f>
        <v/>
      </c>
      <c r="E33" s="1483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3" t="n"/>
      <c r="Q33" s="33" t="n"/>
    </row>
    <row r="34" ht="20.25" customHeight="1">
      <c r="B34" s="1501" t="n"/>
      <c r="C34" s="1502" t="n"/>
      <c r="D34" s="134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3" t="n"/>
      <c r="Q34" s="33" t="n"/>
    </row>
    <row r="35">
      <c r="D35" s="39" t="n"/>
      <c r="E35" s="33" t="n"/>
      <c r="F35" s="33" t="n"/>
      <c r="G35" s="33" t="n"/>
      <c r="H35" s="33" t="n"/>
      <c r="I35" s="33" t="n"/>
      <c r="J35" s="33" t="n"/>
      <c r="K35" s="33" t="n"/>
      <c r="L35" s="33" t="n"/>
      <c r="M35" s="33" t="n"/>
      <c r="N35" s="33" t="n"/>
      <c r="O35" s="33" t="n"/>
      <c r="P35" s="33" t="n"/>
      <c r="Q35" s="33" t="n"/>
    </row>
    <row r="36" ht="39.45" customHeight="1">
      <c r="B36" s="26" t="inlineStr">
        <is>
          <t>RBPI Group</t>
        </is>
      </c>
      <c r="C36" s="26" t="inlineStr">
        <is>
          <t>Unit</t>
        </is>
      </c>
      <c r="D36" s="36" t="inlineStr">
        <is>
          <t>Total</t>
        </is>
      </c>
      <c r="E36" s="36" t="inlineStr">
        <is>
          <t>PPP</t>
        </is>
      </c>
      <c r="F36" s="36" t="inlineStr">
        <is>
          <t>PPP2</t>
        </is>
      </c>
      <c r="G36" s="36" t="inlineStr">
        <is>
          <t>NNPP</t>
        </is>
      </c>
      <c r="H36" s="36" t="inlineStr">
        <is>
          <t>NNPP2</t>
        </is>
      </c>
      <c r="I36" s="36" t="inlineStr">
        <is>
          <t>Kornevo</t>
        </is>
      </c>
      <c r="J36" s="36" t="inlineStr">
        <is>
          <t>Rechnoe</t>
        </is>
      </c>
      <c r="K36" s="36" t="inlineStr">
        <is>
          <t>FC</t>
        </is>
      </c>
      <c r="L36" s="36" t="inlineStr">
        <is>
          <t>MC</t>
        </is>
      </c>
      <c r="M36" s="37" t="inlineStr">
        <is>
          <t>Partner West</t>
        </is>
      </c>
      <c r="N36" s="36" t="inlineStr">
        <is>
          <t>RBPI AS</t>
        </is>
      </c>
      <c r="O36" s="36" t="inlineStr">
        <is>
          <t>Finagro</t>
        </is>
      </c>
      <c r="P36" s="37" t="inlineStr">
        <is>
          <t>RBPI 
Elite Seeds</t>
        </is>
      </c>
      <c r="Q36" s="37" t="inlineStr">
        <is>
          <t>Partner 
East</t>
        </is>
      </c>
      <c r="R36" s="37" t="inlineStr">
        <is>
          <t>RBPI TH</t>
        </is>
      </c>
    </row>
    <row r="37">
      <c r="B37" s="21">
        <f>B28</f>
        <v/>
      </c>
      <c r="C37" s="42" t="inlineStr">
        <is>
          <t>M.RUB</t>
        </is>
      </c>
      <c r="D37" s="31">
        <f>SUM(E37:R37)</f>
        <v/>
      </c>
      <c r="E37" s="1503">
        <f>SUMIF(Table!$1:$1,'Cash in bank report'!$B$2,Table!27:27)</f>
        <v/>
      </c>
      <c r="F37" s="1503">
        <f>SUMIF(Table!$1:$1,'Cash in bank report'!$B$2,Table!28:28)</f>
        <v/>
      </c>
      <c r="G37" s="32">
        <f>SUMIF(Table!$1:$1,'Cash in bank report'!$B$2,Table!29:29)</f>
        <v/>
      </c>
      <c r="H37" s="32">
        <f>SUMIF(Table!$1:$1,'Cash in bank report'!$B$2,Table!30:30)</f>
        <v/>
      </c>
      <c r="I37" s="32">
        <f>SUMIF(Table!$1:$1,'Cash in bank report'!$B$2,Table!31:31)</f>
        <v/>
      </c>
      <c r="J37" s="32">
        <f>SUMIF(Table!$1:$1,'Cash in bank report'!$B$2,Table!32:32)</f>
        <v/>
      </c>
      <c r="K37" s="32">
        <f>SUMIF(Table!$1:$1,'Cash in bank report'!$B$2,Table!33:33)</f>
        <v/>
      </c>
      <c r="L37" s="32">
        <f>SUMIF(Table!$1:$1,'Cash in bank report'!$B$2,Table!34:34)</f>
        <v/>
      </c>
      <c r="M37" s="32">
        <f>SUMIF(Table!$1:$1,'Cash in bank report'!$B$2,Table!35:35)</f>
        <v/>
      </c>
      <c r="N37" s="32">
        <f>SUMIF(Table!$1:$1,'Cash in bank report'!$B$2,Table!36:36)</f>
        <v/>
      </c>
      <c r="O37" s="32">
        <f>SUMIF(Table!$1:$1,'Cash in bank report'!$B$2,Table!37:37)</f>
        <v/>
      </c>
      <c r="P37" s="32">
        <f>SUMIF(Table!$1:$1,'Cash in bank report'!$B$2,Table!39:39)</f>
        <v/>
      </c>
      <c r="Q37" s="32">
        <f>SUMIF(Table!$1:$1,'Cash in bank report'!$B$2,Table!40:40)</f>
        <v/>
      </c>
      <c r="R37" s="32">
        <f>SUMIF(Table!$1:$1,'Cash in bank report'!$B$2,Table!38:38)</f>
        <v/>
      </c>
    </row>
    <row r="38">
      <c r="B38" s="22" t="inlineStr">
        <is>
          <t>(Equivalent  to M.USD)</t>
        </is>
      </c>
      <c r="C38" s="42" t="inlineStr">
        <is>
          <t>M.USD</t>
        </is>
      </c>
      <c r="D38" s="1488">
        <f>SUM(E38:R38)</f>
        <v/>
      </c>
      <c r="E38" s="1496">
        <f>E37/$E$2</f>
        <v/>
      </c>
      <c r="F38" s="1496">
        <f>F37/$E$2</f>
        <v/>
      </c>
      <c r="G38" s="1496">
        <f>G37/$E$2</f>
        <v/>
      </c>
      <c r="H38" s="1496">
        <f>H37/$E$2</f>
        <v/>
      </c>
      <c r="I38" s="1496">
        <f>I37/$E$2</f>
        <v/>
      </c>
      <c r="J38" s="1496">
        <f>J37/$E$2</f>
        <v/>
      </c>
      <c r="K38" s="1496">
        <f>K37/$E$2</f>
        <v/>
      </c>
      <c r="L38" s="41">
        <f>L37/$E$2</f>
        <v/>
      </c>
      <c r="M38" s="1496">
        <f>M37/$E$2</f>
        <v/>
      </c>
      <c r="N38" s="1496">
        <f>N37/$E$2</f>
        <v/>
      </c>
      <c r="O38" s="41">
        <f>O37/$E$2</f>
        <v/>
      </c>
      <c r="P38" s="1496">
        <f>P37/$E$2</f>
        <v/>
      </c>
      <c r="Q38" s="1496">
        <f>Q37/$E$2</f>
        <v/>
      </c>
      <c r="R38" s="1496">
        <f>R37/$E$2</f>
        <v/>
      </c>
    </row>
    <row r="39">
      <c r="B39" s="50" t="inlineStr">
        <is>
          <t>Overnight / Saving account</t>
        </is>
      </c>
      <c r="C39" s="45" t="n"/>
      <c r="D39" s="51">
        <f>SUM(E39:R39)</f>
        <v/>
      </c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</row>
    <row r="40" hidden="1">
      <c r="B40" s="22" t="inlineStr">
        <is>
          <t xml:space="preserve">  - Ruble (Equivalent To USD)</t>
        </is>
      </c>
      <c r="C40" s="48" t="inlineStr">
        <is>
          <t>M.USD</t>
        </is>
      </c>
      <c r="D40" s="1497">
        <f>SUM(E40:R40)</f>
        <v/>
      </c>
      <c r="E40" s="1496" t="n"/>
      <c r="F40" s="1496" t="n"/>
      <c r="G40" s="1496" t="n"/>
      <c r="H40" s="1496" t="n"/>
      <c r="I40" s="1496" t="n"/>
      <c r="J40" s="1496" t="n"/>
      <c r="K40" s="1496" t="n"/>
      <c r="L40" s="1496" t="n"/>
      <c r="M40" s="1496" t="n"/>
      <c r="N40" s="1496" t="n"/>
      <c r="O40" s="1496" t="n"/>
      <c r="P40" s="1496" t="n"/>
      <c r="Q40" s="1496" t="n"/>
      <c r="R40" s="1496" t="n"/>
    </row>
    <row r="41">
      <c r="B41" s="22" t="inlineStr">
        <is>
          <t xml:space="preserve">  - USD</t>
        </is>
      </c>
      <c r="C41" s="48" t="inlineStr">
        <is>
          <t>M.USD</t>
        </is>
      </c>
      <c r="D41" s="1497">
        <f>SUM(E41:R41)</f>
        <v/>
      </c>
      <c r="E41" s="1498" t="n"/>
      <c r="F41" s="1496">
        <f>0*E5/E2</f>
        <v/>
      </c>
      <c r="G41" s="1496">
        <f>0*E5/E2</f>
        <v/>
      </c>
      <c r="H41" s="1496" t="n"/>
      <c r="I41" s="1496" t="n"/>
      <c r="J41" s="1496" t="n"/>
      <c r="K41" s="1496" t="n"/>
      <c r="L41" s="1496">
        <f>0/10*24.7568/E2</f>
        <v/>
      </c>
      <c r="M41" s="1496" t="n"/>
      <c r="N41" s="1504" t="n"/>
      <c r="O41" s="1496" t="n"/>
      <c r="P41" s="1496" t="n"/>
      <c r="Q41" s="1496" t="n"/>
      <c r="R41" s="1496" t="n"/>
    </row>
    <row r="42" ht="15" customHeight="1">
      <c r="B42" s="22" t="inlineStr">
        <is>
          <t xml:space="preserve">  - EUR  (Equivalent To USD)</t>
        </is>
      </c>
      <c r="C42" s="48" t="inlineStr">
        <is>
          <t>M.USD</t>
        </is>
      </c>
      <c r="D42" s="1497">
        <f>SUM(E42:R42)</f>
        <v/>
      </c>
      <c r="E42" s="1498">
        <f>0*E3/E2</f>
        <v/>
      </c>
      <c r="F42" s="1496" t="n"/>
      <c r="G42" s="1496" t="n"/>
      <c r="H42" s="1496" t="n"/>
      <c r="I42" s="1496" t="n"/>
      <c r="J42" s="1496" t="n"/>
      <c r="K42" s="1496" t="n"/>
      <c r="L42" s="1496" t="n"/>
      <c r="M42" s="1496" t="n"/>
      <c r="N42" s="1504" t="n"/>
      <c r="O42" s="1496" t="n"/>
      <c r="P42" s="1496" t="n"/>
      <c r="Q42" s="1496" t="n"/>
      <c r="R42" s="1496" t="n"/>
    </row>
    <row r="43" ht="15" customHeight="1">
      <c r="B43" s="23" t="inlineStr">
        <is>
          <t xml:space="preserve">  - CNY  (Equivalent To USD)</t>
        </is>
      </c>
      <c r="C43" s="43" t="inlineStr">
        <is>
          <t>M.USD</t>
        </is>
      </c>
      <c r="D43" s="1491">
        <f>SUM(E43:R43)</f>
        <v/>
      </c>
      <c r="E43" s="1505">
        <f>0*E4/E2</f>
        <v/>
      </c>
      <c r="F43" s="1169" t="n"/>
      <c r="G43" s="35">
        <f>0/1000*E4/E2</f>
        <v/>
      </c>
      <c r="H43" s="1169">
        <f>0*E4/E2</f>
        <v/>
      </c>
      <c r="I43" s="35" t="n"/>
      <c r="J43" s="35" t="n"/>
      <c r="K43" s="35" t="n"/>
      <c r="L43" s="1483">
        <f>0*E4/E2</f>
        <v/>
      </c>
      <c r="M43" s="35" t="n"/>
      <c r="N43" s="1506" t="n"/>
      <c r="O43" s="35" t="n"/>
      <c r="P43" s="35" t="n"/>
      <c r="Q43" s="35" t="n"/>
      <c r="R43" s="35" t="n"/>
    </row>
    <row r="44" ht="12" customHeight="1">
      <c r="D44" s="39" t="n"/>
      <c r="E44" s="33" t="n"/>
      <c r="F44" s="33" t="n"/>
      <c r="G44" s="33" t="n"/>
      <c r="H44" s="33" t="n"/>
      <c r="I44" s="33" t="n"/>
      <c r="J44" s="33" t="n"/>
      <c r="K44" s="33" t="n"/>
      <c r="L44" s="33" t="n"/>
      <c r="M44" s="33" t="n"/>
      <c r="N44" s="33" t="n"/>
      <c r="O44" s="33" t="n"/>
      <c r="P44" s="33" t="n"/>
      <c r="Q44" s="33" t="n"/>
      <c r="R44" s="33" t="n"/>
      <c r="S44" s="33" t="n"/>
    </row>
    <row r="45">
      <c r="B45" s="643" t="inlineStr">
        <is>
          <t>S&amp;W</t>
        </is>
      </c>
      <c r="C45" s="643" t="inlineStr">
        <is>
          <t>Unit</t>
        </is>
      </c>
      <c r="D45" s="644" t="inlineStr">
        <is>
          <t>Total</t>
        </is>
      </c>
      <c r="E45" s="644" t="inlineStr">
        <is>
          <t>Severnaya</t>
        </is>
      </c>
      <c r="F45" s="644" t="inlineStr">
        <is>
          <t>Woyskovitsy</t>
        </is>
      </c>
      <c r="G45" s="644" t="inlineStr">
        <is>
          <t>Stesha</t>
        </is>
      </c>
      <c r="H45" s="644" t="inlineStr">
        <is>
          <t>CPFT</t>
        </is>
      </c>
      <c r="I45" s="33" t="n"/>
      <c r="J45" s="33" t="n"/>
      <c r="K45" s="33" t="n"/>
      <c r="L45" s="33" t="n"/>
      <c r="M45" s="33" t="n"/>
      <c r="N45" s="33" t="n"/>
      <c r="O45" s="33" t="n"/>
      <c r="P45" s="33" t="n"/>
      <c r="Q45" s="33" t="n"/>
      <c r="R45" s="33" t="n"/>
      <c r="S45" s="33" t="n"/>
      <c r="T45" s="33" t="n"/>
    </row>
    <row r="46">
      <c r="B46" s="55" t="inlineStr">
        <is>
          <t>Overnight / Saving account</t>
        </is>
      </c>
      <c r="C46" s="45" t="inlineStr">
        <is>
          <t>M.RUB</t>
        </is>
      </c>
      <c r="D46" s="46">
        <f>SUM(E46:H46)</f>
        <v/>
      </c>
      <c r="E46" s="32">
        <f>SUMIF(Table!$1:$1,'Cash in bank report'!$B$2,Table!45:45)</f>
        <v/>
      </c>
      <c r="F46" s="32">
        <f>SUMIF(Table!$1:$1,'Cash in bank report'!$B$2,Table!46:46)</f>
        <v/>
      </c>
      <c r="G46" s="32">
        <f>SUMIF(Table!$1:$1,'Cash in bank report'!$B$2,Table!48:48)</f>
        <v/>
      </c>
      <c r="H46" s="32">
        <f>SUMIF(Table!$1:$1,'Cash in bank report'!$B$2,Table!47:47)</f>
        <v/>
      </c>
      <c r="I46" s="33" t="n"/>
      <c r="J46" s="33" t="n"/>
      <c r="K46" s="33" t="n"/>
      <c r="L46" s="33" t="n"/>
      <c r="M46" s="33" t="n"/>
      <c r="N46" s="33" t="n"/>
      <c r="O46" s="33" t="n"/>
      <c r="P46" s="33" t="n"/>
      <c r="Q46" s="33" t="n"/>
      <c r="R46" s="33" t="n"/>
      <c r="S46" s="33" t="n"/>
      <c r="T46" s="33" t="n"/>
    </row>
    <row r="47">
      <c r="B47" s="1507" t="inlineStr">
        <is>
          <t xml:space="preserve">Time Deposit </t>
        </is>
      </c>
      <c r="C47" s="48" t="inlineStr">
        <is>
          <t>M.RUB</t>
        </is>
      </c>
      <c r="D47" s="57">
        <f>SUM(E47:H47)</f>
        <v/>
      </c>
      <c r="E47" s="1300">
        <f>Daily!D49-F47-G47</f>
        <v/>
      </c>
      <c r="F47" s="1300">
        <f>SUM(Daily!D44:D46)</f>
        <v/>
      </c>
      <c r="G47" s="1300">
        <f>SUM(Daily!D48:D48)</f>
        <v/>
      </c>
      <c r="H47" s="1153" t="n"/>
      <c r="I47" s="33" t="n"/>
      <c r="J47" s="33" t="n"/>
      <c r="K47" s="33" t="n"/>
      <c r="L47" s="33" t="n"/>
      <c r="M47" s="33" t="n"/>
      <c r="N47" s="33" t="n"/>
      <c r="O47" s="33" t="n"/>
      <c r="P47" s="33" t="n"/>
      <c r="Q47" s="33" t="n"/>
      <c r="R47" s="33" t="n"/>
      <c r="S47" s="33" t="n"/>
      <c r="T47" s="33" t="n"/>
    </row>
    <row r="48">
      <c r="B48" s="1508" t="inlineStr">
        <is>
          <t xml:space="preserve">   Total Ruble</t>
        </is>
      </c>
      <c r="C48" s="54" t="inlineStr">
        <is>
          <t>M.RUB</t>
        </is>
      </c>
      <c r="D48" s="34">
        <f>SUM(D46:D47)</f>
        <v/>
      </c>
      <c r="E48" s="35">
        <f>SUM(E46:E47)</f>
        <v/>
      </c>
      <c r="F48" s="35">
        <f>SUM(F46:F47)</f>
        <v/>
      </c>
      <c r="G48" s="35">
        <f>SUM(G46:G47)</f>
        <v/>
      </c>
      <c r="H48" s="35">
        <f>SUM(H46:H47)</f>
        <v/>
      </c>
      <c r="I48" s="33" t="n"/>
      <c r="J48" s="33" t="n"/>
      <c r="K48" s="33" t="n"/>
      <c r="L48" s="33" t="n"/>
      <c r="M48" s="33" t="n"/>
      <c r="N48" s="33" t="n"/>
      <c r="O48" s="33" t="n"/>
      <c r="P48" s="33" t="n"/>
      <c r="Q48" s="33" t="n"/>
      <c r="R48" s="33" t="n"/>
      <c r="S48" s="33" t="n"/>
      <c r="T48" s="33" t="n"/>
    </row>
    <row r="49">
      <c r="B49" s="50" t="inlineStr">
        <is>
          <t>Overnight / Saving account</t>
        </is>
      </c>
      <c r="C49" s="45" t="n"/>
      <c r="D49" s="51" t="n"/>
      <c r="E49" s="51" t="n"/>
      <c r="F49" s="51" t="n"/>
      <c r="G49" s="51" t="n"/>
      <c r="H49" s="51" t="n"/>
      <c r="I49" s="33" t="n"/>
      <c r="J49" s="33" t="n"/>
      <c r="K49" s="33" t="n"/>
      <c r="L49" s="33" t="n"/>
      <c r="M49" s="33" t="n"/>
      <c r="N49" s="33" t="n"/>
      <c r="O49" s="33" t="n"/>
      <c r="P49" s="33" t="n"/>
      <c r="Q49" s="33" t="n"/>
      <c r="R49" s="33" t="n"/>
      <c r="S49" s="33" t="n"/>
      <c r="T49" s="33" t="n"/>
    </row>
    <row r="50">
      <c r="B50" s="22" t="inlineStr">
        <is>
          <t xml:space="preserve">  - Ruble (Equivalent To USD)</t>
        </is>
      </c>
      <c r="C50" s="48" t="inlineStr">
        <is>
          <t>M.USD</t>
        </is>
      </c>
      <c r="D50" s="1497" t="n"/>
      <c r="E50" s="1496" t="n"/>
      <c r="F50" s="1496" t="n"/>
      <c r="G50" s="1496" t="n"/>
      <c r="H50" s="1496" t="n"/>
      <c r="I50" s="33" t="n"/>
      <c r="J50" s="33" t="n"/>
      <c r="K50" s="33" t="n"/>
      <c r="L50" s="33" t="n"/>
      <c r="M50" s="33" t="n"/>
      <c r="N50" s="33" t="n"/>
      <c r="O50" s="33" t="n"/>
      <c r="P50" s="33" t="n"/>
      <c r="Q50" s="33" t="n"/>
      <c r="R50" s="33" t="n"/>
      <c r="S50" s="33" t="n"/>
      <c r="T50" s="33" t="n"/>
    </row>
    <row r="51">
      <c r="B51" s="22" t="inlineStr">
        <is>
          <t xml:space="preserve">  - USD</t>
        </is>
      </c>
      <c r="C51" s="48" t="inlineStr">
        <is>
          <t>M.USD</t>
        </is>
      </c>
      <c r="D51" s="1497">
        <f>SUM(E51:H51)</f>
        <v/>
      </c>
      <c r="E51" s="1509">
        <f>2933246/1000000</f>
        <v/>
      </c>
      <c r="F51" s="1510" t="n">
        <v>0</v>
      </c>
      <c r="G51" s="1511">
        <f>0/1000000*E5/E2</f>
        <v/>
      </c>
      <c r="H51" s="1510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</row>
    <row r="52">
      <c r="B52" s="656" t="inlineStr">
        <is>
          <t xml:space="preserve">  - EUR  (Equivalent To USD)</t>
        </is>
      </c>
      <c r="C52" s="658" t="inlineStr">
        <is>
          <t>M.USD</t>
        </is>
      </c>
      <c r="D52" s="1172">
        <f>SUM(E52:H52)</f>
        <v/>
      </c>
      <c r="E52" s="1181">
        <f>0*E3/E2</f>
        <v/>
      </c>
      <c r="F52" s="1306">
        <f>0*E3/E2</f>
        <v/>
      </c>
      <c r="G52" s="1512" t="n"/>
      <c r="H52" s="1512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</row>
    <row r="53">
      <c r="B53" s="23" t="inlineStr">
        <is>
          <t xml:space="preserve">  - CNY  (Equivalent To USD)</t>
        </is>
      </c>
      <c r="C53" s="43" t="inlineStr">
        <is>
          <t>M.USD</t>
        </is>
      </c>
      <c r="D53" s="1491">
        <f>SUM(E53:H53)</f>
        <v/>
      </c>
      <c r="E53" s="1513">
        <f>52138166/1000000*E4/E2</f>
        <v/>
      </c>
      <c r="F53" s="1298">
        <f>202572/1000000*E4/E2</f>
        <v/>
      </c>
      <c r="G53" s="1513">
        <f>1099137.93/1000000*E4/E2</f>
        <v/>
      </c>
      <c r="H53" s="1513">
        <f>705444.58/1000000*E4/E2</f>
        <v/>
      </c>
      <c r="I53" s="33" t="n"/>
      <c r="J53" s="33" t="n"/>
      <c r="K53" s="33" t="n"/>
      <c r="L53" s="33" t="n"/>
      <c r="M53" s="33" t="n"/>
      <c r="N53" s="33" t="n"/>
      <c r="O53" s="33" t="n"/>
      <c r="P53" s="33" t="n"/>
      <c r="Q53" s="33" t="n"/>
    </row>
    <row r="54">
      <c r="B54" s="21" t="inlineStr">
        <is>
          <t xml:space="preserve">Time Deposit </t>
        </is>
      </c>
      <c r="C54" s="42" t="n"/>
      <c r="D54" s="657" t="n"/>
      <c r="E54" s="678" t="n"/>
      <c r="F54" s="678" t="n"/>
      <c r="G54" s="678" t="n"/>
      <c r="H54" s="678" t="n"/>
      <c r="I54" s="33" t="n"/>
      <c r="J54" s="33" t="n"/>
      <c r="K54" s="33" t="n"/>
      <c r="L54" s="33" t="n"/>
      <c r="M54" s="33" t="n"/>
      <c r="N54" s="33" t="n"/>
      <c r="O54" s="33" t="n"/>
      <c r="P54" s="33" t="n"/>
      <c r="Q54" s="33" t="n"/>
    </row>
    <row r="55">
      <c r="B55" s="22" t="inlineStr">
        <is>
          <t xml:space="preserve">  - Ruble (Equivalent To USD)</t>
        </is>
      </c>
      <c r="C55" s="48" t="inlineStr">
        <is>
          <t>M.USD</t>
        </is>
      </c>
      <c r="D55" s="1497">
        <f>SUM(E55:H55)</f>
        <v/>
      </c>
      <c r="E55" s="1504">
        <f>E47/$E$2</f>
        <v/>
      </c>
      <c r="F55" s="1504">
        <f>F47/$E$2</f>
        <v/>
      </c>
      <c r="G55" s="1504">
        <f>G47/$E$2</f>
        <v/>
      </c>
      <c r="H55" s="1504">
        <f>H47/$E$2</f>
        <v/>
      </c>
      <c r="I55" s="33" t="n"/>
      <c r="J55" s="33" t="n"/>
      <c r="K55" s="33" t="n"/>
      <c r="L55" s="33" t="n"/>
      <c r="M55" s="33" t="n"/>
      <c r="N55" s="33" t="n"/>
      <c r="O55" s="33" t="n"/>
      <c r="P55" s="33" t="n"/>
      <c r="Q55" s="33" t="n"/>
    </row>
    <row r="56">
      <c r="B56" s="22" t="inlineStr">
        <is>
          <t xml:space="preserve">  - USD</t>
        </is>
      </c>
      <c r="C56" s="48" t="inlineStr">
        <is>
          <t>M.USD</t>
        </is>
      </c>
      <c r="D56" s="1514">
        <f>SUM(E56:H56)</f>
        <v/>
      </c>
      <c r="E56" s="1515">
        <f>SUMIF(Daily!$3:$3,'Cash in bank report'!$B$2,Daily!17:17)</f>
        <v/>
      </c>
      <c r="F56" s="809" t="n"/>
      <c r="G56" s="809" t="n"/>
      <c r="H56" s="809" t="n"/>
      <c r="I56" s="33" t="n"/>
      <c r="J56" s="33" t="n"/>
      <c r="K56" s="33" t="n"/>
      <c r="L56" s="33" t="n"/>
      <c r="M56" s="33" t="n"/>
      <c r="N56" s="33" t="n"/>
      <c r="O56" s="33" t="n"/>
      <c r="P56" s="33" t="n"/>
      <c r="Q56" s="33" t="n"/>
    </row>
    <row r="57">
      <c r="B57" s="656" t="inlineStr">
        <is>
          <t xml:space="preserve">  - EUR  (Equivalent To USD)</t>
        </is>
      </c>
      <c r="C57" s="658" t="inlineStr">
        <is>
          <t>M.USD</t>
        </is>
      </c>
      <c r="D57" s="1516">
        <f>SUM(E57:H57)</f>
        <v/>
      </c>
      <c r="E57" s="1517">
        <f>SUMIF(Daily!3:3,'Cash in bank report'!B2,Daily!21:21)</f>
        <v/>
      </c>
      <c r="F57" s="810" t="n"/>
      <c r="G57" s="810" t="n"/>
      <c r="H57" s="810" t="n"/>
      <c r="I57" s="33" t="n"/>
      <c r="J57" s="33" t="n"/>
      <c r="K57" s="33" t="n"/>
      <c r="L57" s="33" t="n"/>
      <c r="M57" s="33" t="n"/>
      <c r="N57" s="33" t="n"/>
      <c r="O57" s="33" t="n"/>
      <c r="P57" s="33" t="n"/>
      <c r="Q57" s="33" t="n"/>
      <c r="R57" s="33" t="n"/>
      <c r="S57" s="33" t="n"/>
      <c r="T57" s="33" t="n"/>
    </row>
    <row r="58">
      <c r="B58" s="23" t="inlineStr">
        <is>
          <t xml:space="preserve">  - CNY  (Equivalent To USD)</t>
        </is>
      </c>
      <c r="C58" s="43" t="inlineStr">
        <is>
          <t>M.USD</t>
        </is>
      </c>
      <c r="D58" s="1491">
        <f>SUM(E58:H58)</f>
        <v/>
      </c>
      <c r="E58" s="1518" t="n"/>
      <c r="F58" s="1513">
        <f>Daily!$D$54*E4/E2</f>
        <v/>
      </c>
      <c r="G58" s="1518" t="n"/>
      <c r="H58" s="1518" t="n"/>
      <c r="I58" s="33" t="n"/>
      <c r="J58" s="33" t="n"/>
      <c r="K58" s="33" t="n"/>
      <c r="L58" s="33" t="n"/>
      <c r="M58" s="33" t="n"/>
      <c r="N58" s="33" t="n"/>
      <c r="O58" s="33" t="n"/>
      <c r="P58" s="33" t="n"/>
      <c r="Q58" s="33" t="n"/>
      <c r="R58" s="33" t="n"/>
      <c r="S58" s="33" t="n"/>
      <c r="T58" s="33" t="n"/>
    </row>
    <row r="59">
      <c r="D59" s="1519" t="n"/>
      <c r="E59" s="1520" t="n"/>
      <c r="F59" s="38" t="n"/>
      <c r="G59" s="33" t="n"/>
      <c r="H59" s="33" t="n"/>
      <c r="I59" s="33" t="n"/>
      <c r="J59" s="33" t="n"/>
      <c r="K59" s="33" t="n"/>
      <c r="L59" s="33" t="n"/>
      <c r="M59" s="33" t="n"/>
      <c r="N59" s="33" t="n"/>
      <c r="O59" s="33" t="n"/>
      <c r="P59" s="33" t="n"/>
      <c r="Q59" s="33" t="n"/>
      <c r="R59" s="33" t="n"/>
      <c r="S59" s="33" t="n"/>
    </row>
    <row r="60">
      <c r="D60" s="39" t="n"/>
      <c r="E60" s="39" t="n"/>
      <c r="F60" s="39" t="n"/>
      <c r="G60" s="1521" t="n"/>
      <c r="H60" s="1521" t="n"/>
      <c r="I60" s="33" t="n"/>
      <c r="J60" s="33" t="n"/>
      <c r="K60" s="33" t="n"/>
      <c r="L60" s="33" t="n"/>
      <c r="M60" s="33" t="n"/>
      <c r="N60" s="33" t="n"/>
      <c r="O60" s="33" t="n"/>
      <c r="P60" s="33" t="n"/>
      <c r="Q60" s="33" t="n"/>
      <c r="R60" s="33" t="n"/>
      <c r="S60" s="33" t="n"/>
    </row>
    <row r="61">
      <c r="D61" s="39" t="n"/>
      <c r="E61" s="33" t="n"/>
      <c r="F61" s="38" t="n"/>
      <c r="G61" s="1522" t="n"/>
      <c r="H61" s="1522" t="n"/>
    </row>
    <row r="62">
      <c r="D62" s="39" t="n"/>
      <c r="E62" s="33" t="n"/>
    </row>
    <row r="63">
      <c r="D63" s="39" t="n"/>
      <c r="E63" s="33" t="n"/>
    </row>
    <row r="64">
      <c r="D64" s="39" t="n"/>
      <c r="E64" s="33" t="n"/>
    </row>
    <row r="65">
      <c r="D65" s="39" t="n"/>
      <c r="E65" s="33" t="n"/>
    </row>
    <row r="66">
      <c r="D66" s="39" t="n"/>
    </row>
    <row r="67">
      <c r="D67" s="39" t="n"/>
    </row>
    <row r="68">
      <c r="D68" s="39" t="n"/>
    </row>
    <row r="69">
      <c r="D69" s="39" t="n"/>
    </row>
    <row r="70">
      <c r="D70" s="39" t="n"/>
    </row>
  </sheetData>
  <pageMargins left="0.7" right="0.7" top="0.75" bottom="0.75" header="0.3" footer="0.3"/>
  <pageSetup orientation="landscape" paperSize="9" scale="47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B1:YJ56"/>
  <sheetViews>
    <sheetView showGridLines="0" zoomScale="80" zoomScaleNormal="80" zoomScaleSheetLayoutView="70" workbookViewId="0">
      <pane xSplit="2" ySplit="1" topLeftCell="YE2" activePane="bottomRight" state="frozen"/>
      <selection activeCell="HA1" sqref="HA1:HA1048576"/>
      <selection pane="topRight" activeCell="HA1" sqref="HA1:HA1048576"/>
      <selection pane="bottomLeft" activeCell="HA1" sqref="HA1:HA1048576"/>
      <selection pane="bottomRight" activeCell="YK50" sqref="YK50"/>
    </sheetView>
  </sheetViews>
  <sheetFormatPr baseColWidth="8" defaultColWidth="9.21875" defaultRowHeight="14.4"/>
  <cols>
    <col width="30.21875" bestFit="1" customWidth="1" style="917" min="2" max="2"/>
    <col hidden="1" outlineLevel="1" width="9.77734375" customWidth="1" min="3" max="3"/>
    <col hidden="1" outlineLevel="1" width="9.77734375" customWidth="1" style="131" min="4" max="18"/>
    <col hidden="1" outlineLevel="1" width="10" customWidth="1" style="131" min="19" max="41"/>
    <col hidden="1" outlineLevel="1" width="10" customWidth="1" min="42" max="44"/>
    <col hidden="1" outlineLevel="1" width="10.6640625" customWidth="1" min="45" max="46"/>
    <col hidden="1" outlineLevel="1" width="10.21875" customWidth="1" min="47" max="54"/>
    <col hidden="1" outlineLevel="1" width="11.77734375" customWidth="1" min="55" max="57"/>
    <col hidden="1" outlineLevel="1" width="10.21875" customWidth="1" min="58" max="66"/>
    <col hidden="1" outlineLevel="1" width="13.21875" customWidth="1" min="67" max="115"/>
    <col hidden="1" outlineLevel="1" width="14" customWidth="1" min="116" max="121"/>
    <col hidden="1" outlineLevel="1" width="14.21875" customWidth="1" min="122" max="150"/>
    <col hidden="1" outlineLevel="1" width="14.6640625" customWidth="1" min="151" max="190"/>
    <col hidden="1" outlineLevel="1" collapsed="1" width="14.6640625" customWidth="1" min="191" max="191"/>
    <col hidden="1" outlineLevel="1" width="14.6640625" customWidth="1" min="192" max="232"/>
    <col hidden="1" outlineLevel="1" width="14.77734375" customWidth="1" min="233" max="234"/>
    <col hidden="1" outlineLevel="1" width="14.21875" customWidth="1" min="235" max="240"/>
    <col hidden="1" outlineLevel="1" width="14" customWidth="1" min="241" max="241"/>
    <col hidden="1" outlineLevel="1" width="14.21875" customWidth="1" min="242" max="243"/>
    <col hidden="1" outlineLevel="1" width="13" customWidth="1" min="244" max="244"/>
    <col hidden="1" outlineLevel="1" width="12.77734375" customWidth="1" min="245" max="245"/>
    <col hidden="1" outlineLevel="1" width="13.21875" customWidth="1" min="246" max="246"/>
    <col hidden="1" outlineLevel="1" width="12.21875" customWidth="1" min="247" max="247"/>
    <col hidden="1" outlineLevel="1" width="13.21875" customWidth="1" min="248" max="248"/>
    <col hidden="1" outlineLevel="1" width="11.6640625" customWidth="1" min="249" max="250"/>
    <col hidden="1" outlineLevel="1" width="12" customWidth="1" min="251" max="252"/>
    <col hidden="1" outlineLevel="1" width="12.21875" customWidth="1" min="253" max="254"/>
    <col hidden="1" outlineLevel="1" width="11.6640625" customWidth="1" min="255" max="255"/>
    <col hidden="1" outlineLevel="1" width="12" customWidth="1" min="256" max="256"/>
    <col hidden="1" outlineLevel="1" width="11.6640625" customWidth="1" min="257" max="258"/>
    <col hidden="1" outlineLevel="1" width="11.77734375" customWidth="1" min="259" max="259"/>
    <col hidden="1" outlineLevel="1" width="10.21875" customWidth="1" min="260" max="261"/>
    <col hidden="1" outlineLevel="1" width="10.77734375" customWidth="1" min="262" max="262"/>
    <col hidden="1" outlineLevel="1" width="11" customWidth="1" min="263" max="263"/>
    <col hidden="1" outlineLevel="1" width="10.77734375" customWidth="1" min="264" max="265"/>
    <col hidden="1" outlineLevel="1" width="10" customWidth="1" min="266" max="266"/>
    <col hidden="1" outlineLevel="1" width="9.21875" customWidth="1" min="267" max="267"/>
    <col hidden="1" outlineLevel="1" min="268" max="289"/>
    <col hidden="1" outlineLevel="1" width="9.6640625" customWidth="1" min="290" max="290"/>
    <col hidden="1" outlineLevel="1" min="291" max="291"/>
    <col hidden="1" outlineLevel="1" width="8.77734375" customWidth="1" min="292" max="293"/>
    <col hidden="1" outlineLevel="1" min="294" max="307"/>
    <col hidden="1" outlineLevel="1" width="9.6640625" customWidth="1" min="308" max="314"/>
    <col hidden="1" outlineLevel="1" width="9.21875" customWidth="1" min="315" max="316"/>
    <col hidden="1" outlineLevel="1" min="317" max="317"/>
    <col hidden="1" outlineLevel="1" style="970" min="318" max="318"/>
    <col hidden="1" outlineLevel="1" min="319" max="356"/>
    <col hidden="1" outlineLevel="1" width="9.77734375" customWidth="1" min="357" max="361"/>
    <col hidden="1" outlineLevel="1" min="362" max="374"/>
    <col hidden="1" outlineLevel="1" width="9.21875" customWidth="1" min="375" max="375"/>
    <col hidden="1" outlineLevel="1" min="376" max="377"/>
    <col hidden="1" outlineLevel="1" width="9.21875" customWidth="1" min="378" max="378"/>
    <col hidden="1" outlineLevel="1" min="379" max="382"/>
    <col hidden="1" outlineLevel="1" width="10.21875" customWidth="1" min="383" max="386"/>
    <col hidden="1" outlineLevel="1" min="387" max="401"/>
    <col hidden="1" outlineLevel="1" width="10.21875" customWidth="1" min="402" max="402"/>
    <col hidden="1" outlineLevel="1" width="10" customWidth="1" min="403" max="403"/>
    <col hidden="1" outlineLevel="1" min="404" max="413"/>
    <col hidden="1" outlineLevel="1" width="10.21875" customWidth="1" min="414" max="414"/>
    <col hidden="1" outlineLevel="1" width="10.6640625" customWidth="1" min="415" max="415"/>
    <col hidden="1" outlineLevel="1" min="416" max="466"/>
    <col hidden="1" outlineLevel="1" width="10" customWidth="1" min="467" max="474"/>
    <col hidden="1" outlineLevel="1" min="475" max="475"/>
    <col hidden="1" outlineLevel="1" width="9.21875" customWidth="1" min="476" max="476"/>
    <col hidden="1" outlineLevel="1" min="477" max="492"/>
    <col hidden="1" outlineLevel="1" width="9.21875" customWidth="1" min="493" max="493"/>
    <col hidden="1" outlineLevel="1" width="10.21875" customWidth="1" min="494" max="494"/>
    <col hidden="1" outlineLevel="1" width="9.21875" customWidth="1" min="495" max="495"/>
    <col hidden="1" outlineLevel="1" width="9.77734375" customWidth="1" min="496" max="503"/>
    <col hidden="1" outlineLevel="1" min="504" max="512"/>
    <col collapsed="1" width="9.21875" customWidth="1" min="513" max="513"/>
    <col width="10" customWidth="1" min="515" max="515"/>
    <col width="10" customWidth="1" min="520" max="521"/>
    <col width="9.77734375" customWidth="1" min="522" max="522"/>
    <col width="9.21875" customWidth="1" min="523" max="523"/>
    <col width="9.77734375" customWidth="1" min="525" max="525"/>
    <col width="9.21875" customWidth="1" min="526" max="528"/>
    <col width="9.21875" customWidth="1" min="530" max="531"/>
    <col width="10" customWidth="1" min="532" max="532"/>
    <col width="9.21875" customWidth="1" min="533" max="533"/>
    <col width="10.21875" customWidth="1" min="534" max="534"/>
    <col width="10" customWidth="1" min="535" max="535"/>
    <col width="9.77734375" customWidth="1" min="536" max="536"/>
    <col width="10" customWidth="1" min="537" max="537"/>
    <col width="9.6640625" customWidth="1" min="538" max="539"/>
    <col width="9.21875" customWidth="1" min="540" max="543"/>
    <col width="9.77734375" customWidth="1" min="544" max="544"/>
    <col width="10.6640625" customWidth="1" min="545" max="566"/>
    <col width="10.77734375" customWidth="1" min="567" max="583"/>
    <col width="10.21875" customWidth="1" min="585" max="756"/>
  </cols>
  <sheetData>
    <row r="1" customFormat="1" s="1523">
      <c r="B1" s="913" t="n"/>
      <c r="C1" s="1523" t="n">
        <v>44651</v>
      </c>
      <c r="D1" s="1523" t="n">
        <v>44652</v>
      </c>
      <c r="E1" s="1523" t="n">
        <v>44655</v>
      </c>
      <c r="F1" s="1523" t="n">
        <v>44656</v>
      </c>
      <c r="G1" s="1523" t="n">
        <v>44657</v>
      </c>
      <c r="H1" s="1523" t="n">
        <v>44658</v>
      </c>
      <c r="I1" s="1523" t="n">
        <v>44659</v>
      </c>
      <c r="J1" s="1523" t="n">
        <v>44662</v>
      </c>
      <c r="K1" s="1523" t="n">
        <v>44663</v>
      </c>
      <c r="L1" s="1523" t="n">
        <v>44664</v>
      </c>
      <c r="M1" s="1523" t="n">
        <v>44665</v>
      </c>
      <c r="N1" s="1523">
        <f>+M1+1</f>
        <v/>
      </c>
      <c r="O1" s="1523">
        <f>+N1+3</f>
        <v/>
      </c>
      <c r="P1" s="1523">
        <f>+O1+1</f>
        <v/>
      </c>
      <c r="Q1" s="1523">
        <f>+P1+1</f>
        <v/>
      </c>
      <c r="R1" s="1523">
        <f>+Q1+1</f>
        <v/>
      </c>
      <c r="S1" s="1523">
        <f>+R1+1</f>
        <v/>
      </c>
      <c r="T1" s="1523">
        <f>+S1+3</f>
        <v/>
      </c>
      <c r="U1" s="1523">
        <f>+T1+1</f>
        <v/>
      </c>
      <c r="V1" s="1523">
        <f>+U1+1</f>
        <v/>
      </c>
      <c r="W1" s="1523">
        <f>+V1+1</f>
        <v/>
      </c>
      <c r="X1" s="1523">
        <f>+W1+1</f>
        <v/>
      </c>
      <c r="Y1" s="1523">
        <f>+X1+5</f>
        <v/>
      </c>
      <c r="Z1" s="1523">
        <f>+Y1+1</f>
        <v/>
      </c>
      <c r="AA1" s="1523">
        <f>+Z1+1</f>
        <v/>
      </c>
      <c r="AB1" s="1523">
        <f>+AA1+5</f>
        <v/>
      </c>
      <c r="AC1" s="1523">
        <f>+AB1+1</f>
        <v/>
      </c>
      <c r="AD1" s="1523">
        <f>+AC1+1</f>
        <v/>
      </c>
      <c r="AE1" s="1523">
        <f>+AD1+3</f>
        <v/>
      </c>
      <c r="AF1" s="1523">
        <f>+AE1+1</f>
        <v/>
      </c>
      <c r="AG1" s="1523">
        <f>+AF1+1</f>
        <v/>
      </c>
      <c r="AH1" s="1523">
        <f>+AG1+1</f>
        <v/>
      </c>
      <c r="AI1" s="1523">
        <f>+AH1+1</f>
        <v/>
      </c>
      <c r="AJ1" s="1523">
        <f>+AI1+3</f>
        <v/>
      </c>
      <c r="AK1" s="1523">
        <f>+AJ1+1</f>
        <v/>
      </c>
      <c r="AL1" s="1523">
        <f>+AK1+1</f>
        <v/>
      </c>
      <c r="AM1" s="1523">
        <f>+AL1+1</f>
        <v/>
      </c>
      <c r="AN1" s="1523">
        <f>+AM1+1</f>
        <v/>
      </c>
      <c r="AO1" s="1523">
        <f>+AN1+3</f>
        <v/>
      </c>
      <c r="AP1" s="1523">
        <f>+AO1+1</f>
        <v/>
      </c>
      <c r="AQ1" s="1523">
        <f>+AP1+1</f>
        <v/>
      </c>
      <c r="AR1" s="1523">
        <f>+AQ1+1</f>
        <v/>
      </c>
      <c r="AS1" s="1523">
        <f>+AR1+1</f>
        <v/>
      </c>
      <c r="AT1" s="1523">
        <f>+AS1+3</f>
        <v/>
      </c>
      <c r="AU1" s="1523">
        <f>+AT1+1</f>
        <v/>
      </c>
      <c r="AV1" s="1523">
        <f>+AU1+1</f>
        <v/>
      </c>
      <c r="AW1" s="1523">
        <f>+AV1+1</f>
        <v/>
      </c>
      <c r="AX1" s="1523">
        <f>+AW1+1</f>
        <v/>
      </c>
      <c r="AY1" s="1523">
        <f>+AX1+4</f>
        <v/>
      </c>
      <c r="AZ1" s="1523">
        <f>+AY1+1</f>
        <v/>
      </c>
      <c r="BA1" s="1523">
        <f>+AZ1+1</f>
        <v/>
      </c>
      <c r="BB1" s="1523">
        <f>+BA1+1</f>
        <v/>
      </c>
      <c r="BC1" s="1523">
        <f>+BB1+3</f>
        <v/>
      </c>
      <c r="BD1" s="1523">
        <f>+BC1+1</f>
        <v/>
      </c>
      <c r="BE1" s="1523">
        <f>+BD1+1</f>
        <v/>
      </c>
      <c r="BF1" s="1523">
        <f>+BE1+1</f>
        <v/>
      </c>
      <c r="BG1" s="1523">
        <f>+BF1+1</f>
        <v/>
      </c>
      <c r="BH1" s="1523">
        <f>+BG1+3</f>
        <v/>
      </c>
      <c r="BI1" s="1523">
        <f>+BH1+1</f>
        <v/>
      </c>
      <c r="BJ1" s="1523">
        <f>+BI1+1</f>
        <v/>
      </c>
      <c r="BK1" s="1523">
        <f>+BJ1+1</f>
        <v/>
      </c>
      <c r="BL1" s="1523">
        <f>+BK1+1</f>
        <v/>
      </c>
      <c r="BM1" s="1523">
        <f>+BL1+3</f>
        <v/>
      </c>
      <c r="BN1" s="1523">
        <f>+BM1+1</f>
        <v/>
      </c>
      <c r="BO1" s="1523">
        <f>+BN1+1</f>
        <v/>
      </c>
      <c r="BP1" s="1523">
        <f>+BO1+1</f>
        <v/>
      </c>
      <c r="BQ1" s="1523">
        <f>+BP1+1</f>
        <v/>
      </c>
      <c r="BR1" s="1523">
        <f>+BQ1+3</f>
        <v/>
      </c>
      <c r="BS1" s="1523">
        <f>+BR1+1</f>
        <v/>
      </c>
      <c r="BT1" s="1523">
        <f>+BS1+1</f>
        <v/>
      </c>
      <c r="BU1" s="1523">
        <f>+BT1+1</f>
        <v/>
      </c>
      <c r="BV1" s="1523">
        <f>+BU1+1</f>
        <v/>
      </c>
      <c r="BW1" s="1523">
        <f>+BV1+3</f>
        <v/>
      </c>
      <c r="BX1" s="1523">
        <f>+BW1+1</f>
        <v/>
      </c>
      <c r="BY1" s="1523">
        <f>+BX1+1</f>
        <v/>
      </c>
      <c r="BZ1" s="1523">
        <f>+BY1+1</f>
        <v/>
      </c>
      <c r="CA1" s="1523">
        <f>+BZ1+1</f>
        <v/>
      </c>
      <c r="CB1" s="1523">
        <f>+BZ1+4</f>
        <v/>
      </c>
      <c r="CC1" s="1523">
        <f>CB1+1</f>
        <v/>
      </c>
      <c r="CD1" s="1523">
        <f>CC1+1</f>
        <v/>
      </c>
      <c r="CE1" s="1523">
        <f>CD1+1</f>
        <v/>
      </c>
      <c r="CF1" s="1523">
        <f>CE1+1</f>
        <v/>
      </c>
      <c r="CG1" s="1523">
        <f>CF1+3</f>
        <v/>
      </c>
      <c r="CH1" s="1523">
        <f>CG1+1</f>
        <v/>
      </c>
      <c r="CI1" s="1523">
        <f>CH1+1</f>
        <v/>
      </c>
      <c r="CJ1" s="1523">
        <f>CI1+1</f>
        <v/>
      </c>
      <c r="CK1" s="1523">
        <f>CJ1+1</f>
        <v/>
      </c>
      <c r="CL1" s="1523">
        <f>CK1+3</f>
        <v/>
      </c>
      <c r="CM1" s="1523">
        <f>CL1+1</f>
        <v/>
      </c>
      <c r="CN1" s="1523">
        <f>CM1+1</f>
        <v/>
      </c>
      <c r="CO1" s="1523">
        <f>CN1+1</f>
        <v/>
      </c>
      <c r="CP1" s="1523">
        <f>CO1+1</f>
        <v/>
      </c>
      <c r="CQ1" s="1523">
        <f>CP1+3</f>
        <v/>
      </c>
      <c r="CR1" s="1523">
        <f>CQ1+1</f>
        <v/>
      </c>
      <c r="CS1" s="1523">
        <f>CR1+1</f>
        <v/>
      </c>
      <c r="CT1" s="1523">
        <f>CS1+1</f>
        <v/>
      </c>
      <c r="CU1" s="1523">
        <f>CT1+1</f>
        <v/>
      </c>
      <c r="CV1" s="1523">
        <f>CU1+3</f>
        <v/>
      </c>
      <c r="CW1" s="1523">
        <f>CV1+1</f>
        <v/>
      </c>
      <c r="CX1" s="1523">
        <f>CW1+1</f>
        <v/>
      </c>
      <c r="CY1" s="1523">
        <f>CX1+1</f>
        <v/>
      </c>
      <c r="CZ1" s="1523">
        <f>CY1+1</f>
        <v/>
      </c>
      <c r="DA1" s="1523">
        <f>CZ1+3</f>
        <v/>
      </c>
      <c r="DB1" s="1523">
        <f>DA1+1</f>
        <v/>
      </c>
      <c r="DC1" s="1523">
        <f>DB1+1</f>
        <v/>
      </c>
      <c r="DD1" s="1523">
        <f>DC1+1</f>
        <v/>
      </c>
      <c r="DE1" s="1523">
        <f>DD1+1</f>
        <v/>
      </c>
      <c r="DF1" s="1523">
        <f>DE1+3</f>
        <v/>
      </c>
      <c r="DG1" s="1523">
        <f>DF1+1</f>
        <v/>
      </c>
      <c r="DH1" s="1523">
        <f>DG1+1</f>
        <v/>
      </c>
      <c r="DI1" s="1523">
        <f>DH1+1</f>
        <v/>
      </c>
      <c r="DJ1" s="1523">
        <f>DI1+1</f>
        <v/>
      </c>
      <c r="DK1" s="1523">
        <f>DJ1+3</f>
        <v/>
      </c>
      <c r="DL1" s="1523">
        <f>DK1+1</f>
        <v/>
      </c>
      <c r="DM1" s="1523">
        <f>DL1+1</f>
        <v/>
      </c>
      <c r="DN1" s="1523">
        <f>DM1+1</f>
        <v/>
      </c>
      <c r="DO1" s="1523">
        <f>DN1+1</f>
        <v/>
      </c>
      <c r="DP1" s="1523">
        <f>DO1+3</f>
        <v/>
      </c>
      <c r="DQ1" s="1523">
        <f>DP1+1</f>
        <v/>
      </c>
      <c r="DR1" s="1523">
        <f>DQ1+1</f>
        <v/>
      </c>
      <c r="DS1" s="1523">
        <f>DR1+1</f>
        <v/>
      </c>
      <c r="DT1" s="1523">
        <f>DS1+1</f>
        <v/>
      </c>
      <c r="DU1" s="1523">
        <f>DT1+3</f>
        <v/>
      </c>
      <c r="DV1" s="1523">
        <f>DU1+1</f>
        <v/>
      </c>
      <c r="DW1" s="1523">
        <f>DV1+1</f>
        <v/>
      </c>
      <c r="DX1" s="1523">
        <f>DW1+1</f>
        <v/>
      </c>
      <c r="DY1" s="1523">
        <f>DX1+1</f>
        <v/>
      </c>
      <c r="DZ1" s="1523">
        <f>DY1+3</f>
        <v/>
      </c>
      <c r="EA1" s="1523">
        <f>DZ1+1</f>
        <v/>
      </c>
      <c r="EB1" s="1523">
        <f>EA1+1</f>
        <v/>
      </c>
      <c r="EC1" s="1523">
        <f>EB1+1</f>
        <v/>
      </c>
      <c r="ED1" s="1523">
        <f>EC1+1</f>
        <v/>
      </c>
      <c r="EE1" s="1523">
        <f>ED1+3</f>
        <v/>
      </c>
      <c r="EF1" s="1523">
        <f>EE1+1</f>
        <v/>
      </c>
      <c r="EG1" s="1523">
        <f>EF1+1</f>
        <v/>
      </c>
      <c r="EH1" s="1523">
        <f>EG1+1</f>
        <v/>
      </c>
      <c r="EI1" s="1523">
        <f>EH1+1</f>
        <v/>
      </c>
      <c r="EJ1" s="1523">
        <f>EI1+3</f>
        <v/>
      </c>
      <c r="EK1" s="1523">
        <f>EJ1+1</f>
        <v/>
      </c>
      <c r="EL1" s="1523">
        <f>EK1+1</f>
        <v/>
      </c>
      <c r="EM1" s="1523">
        <f>EL1+1</f>
        <v/>
      </c>
      <c r="EN1" s="1523">
        <f>EM1+1</f>
        <v/>
      </c>
      <c r="EO1" s="1523">
        <f>EN1+3</f>
        <v/>
      </c>
      <c r="EP1" s="1523">
        <f>EO1+1</f>
        <v/>
      </c>
      <c r="EQ1" s="1523">
        <f>EP1+1</f>
        <v/>
      </c>
      <c r="ER1" s="1523">
        <f>EQ1+1</f>
        <v/>
      </c>
      <c r="ES1" s="1523">
        <f>ER1+1</f>
        <v/>
      </c>
      <c r="ET1" s="1523">
        <f>ES1+3</f>
        <v/>
      </c>
      <c r="EU1" s="1523">
        <f>ET1+1</f>
        <v/>
      </c>
      <c r="EV1" s="1523">
        <f>EU1+1</f>
        <v/>
      </c>
      <c r="EW1" s="1523">
        <f>EV1+1</f>
        <v/>
      </c>
      <c r="EX1" s="1523">
        <f>EW1+4</f>
        <v/>
      </c>
      <c r="EY1" s="1523">
        <f>EX1+1</f>
        <v/>
      </c>
      <c r="EZ1" s="1523">
        <f>EY1+1</f>
        <v/>
      </c>
      <c r="FA1" s="1523">
        <f>EZ1+1</f>
        <v/>
      </c>
      <c r="FB1" s="1523">
        <f>FA1+1</f>
        <v/>
      </c>
      <c r="FC1" s="1523">
        <f>FB1+3</f>
        <v/>
      </c>
      <c r="FD1" s="1523">
        <f>FC1+1</f>
        <v/>
      </c>
      <c r="FE1" s="1523">
        <f>FD1+1</f>
        <v/>
      </c>
      <c r="FF1" s="1523">
        <f>FE1+1</f>
        <v/>
      </c>
      <c r="FG1" s="1523">
        <f>FF1+1</f>
        <v/>
      </c>
      <c r="FH1" s="1523">
        <f>FG1+3</f>
        <v/>
      </c>
      <c r="FI1" s="1523">
        <f>FH1+1</f>
        <v/>
      </c>
      <c r="FJ1" s="1523">
        <f>FI1+1</f>
        <v/>
      </c>
      <c r="FK1" s="1523">
        <f>FJ1+1</f>
        <v/>
      </c>
      <c r="FL1" s="1523">
        <f>FK1+1</f>
        <v/>
      </c>
      <c r="FM1" s="1523">
        <f>FL1+3</f>
        <v/>
      </c>
      <c r="FN1" s="1523">
        <f>FM1+1</f>
        <v/>
      </c>
      <c r="FO1" s="1523">
        <f>FN1+1</f>
        <v/>
      </c>
      <c r="FP1" s="1523">
        <f>FO1+1</f>
        <v/>
      </c>
      <c r="FQ1" s="1523">
        <f>FP1+1</f>
        <v/>
      </c>
      <c r="FR1" s="1523">
        <f>FQ1+3</f>
        <v/>
      </c>
      <c r="FS1" s="1523">
        <f>FR1+1</f>
        <v/>
      </c>
      <c r="FT1" s="1523">
        <f>FS1+1</f>
        <v/>
      </c>
      <c r="FU1" s="1523">
        <f>FT1+1</f>
        <v/>
      </c>
      <c r="FV1" s="1523">
        <f>FU1+1</f>
        <v/>
      </c>
      <c r="FW1" s="1523">
        <f>FV1+3</f>
        <v/>
      </c>
      <c r="FX1" s="1523">
        <f>FW1+1</f>
        <v/>
      </c>
      <c r="FY1" s="1523">
        <f>FX1+1</f>
        <v/>
      </c>
      <c r="FZ1" s="1523">
        <f>FY1+1</f>
        <v/>
      </c>
      <c r="GA1" s="1523">
        <f>FZ1+1</f>
        <v/>
      </c>
      <c r="GB1" s="1523">
        <f>GA1+3</f>
        <v/>
      </c>
      <c r="GC1" s="1523">
        <f>GB1+1</f>
        <v/>
      </c>
      <c r="GD1" s="1523">
        <f>GC1+1</f>
        <v/>
      </c>
      <c r="GE1" s="1523">
        <f>GD1+1</f>
        <v/>
      </c>
      <c r="GF1" s="1523">
        <f>GE1+1</f>
        <v/>
      </c>
      <c r="GG1" s="1523">
        <f>GF1+3</f>
        <v/>
      </c>
      <c r="GH1" s="1523">
        <f>GG1+1</f>
        <v/>
      </c>
      <c r="GI1" s="1523" t="n">
        <v>44937</v>
      </c>
      <c r="GJ1" s="1523" t="n">
        <v>44938</v>
      </c>
      <c r="GK1" s="1523" t="n">
        <v>44943</v>
      </c>
      <c r="GL1" s="1523" t="n">
        <v>44944</v>
      </c>
      <c r="GM1" s="1523" t="n">
        <v>44945</v>
      </c>
      <c r="GN1" s="1523" t="n">
        <v>44949</v>
      </c>
      <c r="GO1" s="1523" t="n">
        <v>44950</v>
      </c>
      <c r="GP1" s="1523" t="n">
        <v>44951</v>
      </c>
      <c r="GQ1" s="1523" t="n">
        <v>44952</v>
      </c>
      <c r="GR1" s="1523" t="n">
        <v>44953</v>
      </c>
      <c r="GS1" s="1523" t="n">
        <v>44956</v>
      </c>
      <c r="GT1" s="1523" t="n">
        <v>44958</v>
      </c>
      <c r="GU1" s="1523" t="n">
        <v>44960</v>
      </c>
      <c r="GV1" s="1523" t="n">
        <v>44963</v>
      </c>
      <c r="GW1" s="1523" t="n">
        <v>44964</v>
      </c>
      <c r="GX1" s="1523" t="n">
        <v>44966</v>
      </c>
      <c r="GY1" s="1523" t="n">
        <v>44970</v>
      </c>
      <c r="GZ1" s="1523" t="n">
        <v>44972</v>
      </c>
      <c r="HA1" s="1523" t="n">
        <v>44973</v>
      </c>
      <c r="HB1" s="1523" t="n">
        <v>44977</v>
      </c>
      <c r="HC1" s="1523" t="n">
        <v>44979</v>
      </c>
      <c r="HD1" s="1523" t="n">
        <v>44984</v>
      </c>
      <c r="HE1" s="1523" t="n">
        <v>44985</v>
      </c>
      <c r="HF1" s="1523" t="n">
        <v>44986</v>
      </c>
      <c r="HG1" s="1523" t="n">
        <v>44988</v>
      </c>
      <c r="HH1" s="1523" t="n">
        <v>44991</v>
      </c>
      <c r="HI1" s="1523" t="n">
        <v>44992</v>
      </c>
      <c r="HJ1" s="1523" t="n">
        <v>44995</v>
      </c>
      <c r="HK1" s="1523" t="n">
        <v>44998</v>
      </c>
      <c r="HL1" s="1523" t="n">
        <v>45000</v>
      </c>
      <c r="HM1" s="1523" t="n">
        <v>45001</v>
      </c>
      <c r="HN1" s="1523" t="n">
        <v>45002</v>
      </c>
      <c r="HO1" s="1523" t="n">
        <v>45006</v>
      </c>
      <c r="HP1" s="1523" t="n">
        <v>45007</v>
      </c>
      <c r="HQ1" s="1523" t="n">
        <v>45009</v>
      </c>
      <c r="HR1" s="1523" t="n">
        <v>45013</v>
      </c>
      <c r="HS1" s="1523" t="n">
        <v>45014</v>
      </c>
      <c r="HT1" s="1523" t="n">
        <v>45015</v>
      </c>
      <c r="HU1" s="1523" t="n">
        <v>45016</v>
      </c>
      <c r="HV1" s="1523" t="n">
        <v>45019</v>
      </c>
      <c r="HW1" s="1523" t="n">
        <v>45020</v>
      </c>
      <c r="HX1" s="1523" t="n">
        <v>45021</v>
      </c>
      <c r="HY1" s="1523" t="n">
        <v>45022</v>
      </c>
      <c r="HZ1" s="1523" t="n">
        <v>45023</v>
      </c>
      <c r="IA1" s="1523" t="n">
        <v>45026</v>
      </c>
      <c r="IB1" s="1523" t="n">
        <v>45027</v>
      </c>
      <c r="IC1" s="1523" t="n">
        <v>45028</v>
      </c>
      <c r="ID1" s="1523" t="n">
        <v>45029</v>
      </c>
      <c r="IE1" s="1523" t="n">
        <v>45030</v>
      </c>
      <c r="IF1" s="1523" t="n">
        <v>45033</v>
      </c>
      <c r="IG1" s="1523" t="n">
        <v>45034</v>
      </c>
      <c r="IH1" s="1523" t="n">
        <v>45035</v>
      </c>
      <c r="II1" s="1523" t="n">
        <v>45036</v>
      </c>
      <c r="IJ1" s="1523" t="n">
        <v>45037</v>
      </c>
      <c r="IK1" s="1523" t="n">
        <v>45040</v>
      </c>
      <c r="IL1" s="1523" t="n">
        <v>45041</v>
      </c>
      <c r="IM1" s="1523" t="n">
        <v>45042</v>
      </c>
      <c r="IN1" s="1523" t="n">
        <v>45043</v>
      </c>
      <c r="IO1" s="1523" t="n">
        <v>45044</v>
      </c>
      <c r="IP1" s="1523" t="n">
        <v>45048</v>
      </c>
      <c r="IQ1" s="1523" t="n">
        <v>45049</v>
      </c>
      <c r="IR1" s="1523" t="n">
        <v>45050</v>
      </c>
      <c r="IS1" s="1523" t="n">
        <v>45051</v>
      </c>
      <c r="IT1" s="1523" t="n">
        <v>45056</v>
      </c>
      <c r="IU1" s="1523" t="n">
        <v>45057</v>
      </c>
      <c r="IV1" s="1523" t="n">
        <v>45058</v>
      </c>
      <c r="IW1" s="1523" t="n">
        <v>45061</v>
      </c>
      <c r="IX1" s="1523" t="n">
        <v>45062</v>
      </c>
      <c r="IY1" s="1523" t="n">
        <v>45063</v>
      </c>
      <c r="IZ1" s="1523" t="n">
        <v>45065</v>
      </c>
      <c r="JA1" s="1523" t="n">
        <v>45068</v>
      </c>
      <c r="JB1" s="1523" t="n">
        <v>45069</v>
      </c>
      <c r="JC1" s="1523" t="n">
        <v>45070</v>
      </c>
      <c r="JD1" s="1523" t="n">
        <v>45071</v>
      </c>
      <c r="JE1" s="1523" t="n">
        <v>45072</v>
      </c>
      <c r="JF1" s="1523" t="n">
        <v>45075</v>
      </c>
      <c r="JG1" s="1523" t="n">
        <v>45076</v>
      </c>
      <c r="JH1" s="1523" t="n">
        <v>45077</v>
      </c>
      <c r="JI1" s="1523" t="n">
        <v>45078</v>
      </c>
      <c r="JJ1" s="1523" t="n">
        <v>45079</v>
      </c>
      <c r="JK1" s="1523" t="n">
        <v>45082</v>
      </c>
      <c r="JL1" s="1523" t="n">
        <v>45083</v>
      </c>
      <c r="JM1" s="1523" t="n">
        <v>45084</v>
      </c>
      <c r="JN1" s="1523" t="n">
        <v>45085</v>
      </c>
      <c r="JO1" s="1523" t="n">
        <v>45086</v>
      </c>
      <c r="JP1" s="1523" t="n">
        <v>45090</v>
      </c>
      <c r="JQ1" s="1523" t="n">
        <v>45091</v>
      </c>
      <c r="JR1" s="1523" t="n">
        <v>45092</v>
      </c>
      <c r="JS1" s="1523" t="n">
        <v>45093</v>
      </c>
      <c r="JT1" s="1523" t="n">
        <v>45096</v>
      </c>
      <c r="JU1" s="1523" t="n">
        <v>45097</v>
      </c>
      <c r="JV1" s="1523" t="n">
        <v>45098</v>
      </c>
      <c r="JW1" s="1523" t="n">
        <v>45099</v>
      </c>
      <c r="JX1" s="1523" t="n">
        <v>45100</v>
      </c>
      <c r="JY1" s="1523" t="n">
        <v>45103</v>
      </c>
      <c r="JZ1" s="1523" t="n">
        <v>45104</v>
      </c>
      <c r="KA1" s="1523" t="n">
        <v>45105</v>
      </c>
      <c r="KB1" s="1523" t="n">
        <v>45106</v>
      </c>
      <c r="KC1" s="1523" t="n">
        <v>45107</v>
      </c>
      <c r="KD1" s="1523" t="n">
        <v>45110</v>
      </c>
      <c r="KE1" s="1523" t="n">
        <v>45111</v>
      </c>
      <c r="KF1" s="1523" t="n">
        <v>45112</v>
      </c>
      <c r="KG1" s="1523" t="n">
        <v>45113</v>
      </c>
      <c r="KH1" s="1523" t="n">
        <v>45114</v>
      </c>
      <c r="KI1" s="1523" t="n">
        <v>45117</v>
      </c>
      <c r="KJ1" s="1523" t="n">
        <v>45118</v>
      </c>
      <c r="KK1" s="1523" t="n">
        <v>45119</v>
      </c>
      <c r="KL1" s="1523" t="n">
        <v>45120</v>
      </c>
      <c r="KM1" s="1523" t="n">
        <v>45121</v>
      </c>
      <c r="KN1" s="1523" t="n">
        <v>45124</v>
      </c>
      <c r="KO1" s="1523" t="n">
        <v>45125</v>
      </c>
      <c r="KP1" s="1523" t="n">
        <v>45126</v>
      </c>
      <c r="KQ1" s="1523" t="n">
        <v>45127</v>
      </c>
      <c r="KR1" s="1523" t="n">
        <v>45128</v>
      </c>
      <c r="KS1" s="1523" t="n">
        <v>45131</v>
      </c>
      <c r="KT1" s="1523" t="n">
        <v>45132</v>
      </c>
      <c r="KU1" s="1523" t="n">
        <v>45133</v>
      </c>
      <c r="KV1" s="1523" t="n">
        <v>45138</v>
      </c>
      <c r="KW1" s="1523" t="n">
        <v>45141</v>
      </c>
      <c r="KX1" s="1523" t="n">
        <v>45142</v>
      </c>
      <c r="KY1" s="1523" t="n">
        <v>45145</v>
      </c>
      <c r="KZ1" s="1523" t="n">
        <v>45146</v>
      </c>
      <c r="LA1" s="1523" t="n">
        <v>45147</v>
      </c>
      <c r="LB1" s="1523" t="n">
        <v>45148</v>
      </c>
      <c r="LC1" s="1523" t="n">
        <v>45149</v>
      </c>
      <c r="LD1" s="1523" t="n">
        <v>45152</v>
      </c>
      <c r="LE1" s="1523" t="n">
        <v>45153</v>
      </c>
      <c r="LF1" s="1524" t="n">
        <v>45154</v>
      </c>
      <c r="LG1" s="1524" t="n">
        <v>45155</v>
      </c>
      <c r="LH1" s="1524" t="n">
        <v>45156</v>
      </c>
      <c r="LI1" s="1524" t="n">
        <v>45159</v>
      </c>
      <c r="LJ1" s="1524" t="n">
        <v>45160</v>
      </c>
      <c r="LK1" s="1524" t="n">
        <v>45161</v>
      </c>
      <c r="LL1" s="1524" t="n">
        <v>45162</v>
      </c>
      <c r="LM1" s="1524" t="n">
        <v>45163</v>
      </c>
      <c r="LN1" s="1524" t="n">
        <v>45166</v>
      </c>
      <c r="LO1" s="1524" t="n">
        <v>45167</v>
      </c>
      <c r="LP1" s="1524" t="n">
        <v>45168</v>
      </c>
      <c r="LQ1" s="1524" t="n">
        <v>45169</v>
      </c>
      <c r="LR1" s="1524" t="n">
        <v>45170</v>
      </c>
      <c r="LS1" s="1524" t="n">
        <v>45173</v>
      </c>
      <c r="LT1" s="1524" t="n">
        <v>45174</v>
      </c>
      <c r="LU1" s="1524" t="n">
        <v>45175</v>
      </c>
      <c r="LV1" s="1524" t="n">
        <v>45176</v>
      </c>
      <c r="LW1" s="1524" t="n">
        <v>45177</v>
      </c>
      <c r="LX1" s="1524" t="n">
        <v>45180</v>
      </c>
      <c r="LY1" s="1524" t="n">
        <v>45181</v>
      </c>
      <c r="LZ1" s="1524" t="n">
        <v>45182</v>
      </c>
      <c r="MA1" s="1524" t="n">
        <v>45183</v>
      </c>
      <c r="MB1" s="1524" t="n">
        <v>45184</v>
      </c>
      <c r="MC1" s="1524" t="n">
        <v>45187</v>
      </c>
      <c r="MD1" s="1524" t="n">
        <v>45188</v>
      </c>
      <c r="ME1" s="1524" t="n">
        <v>45189</v>
      </c>
      <c r="MF1" s="1524" t="n">
        <v>45190</v>
      </c>
      <c r="MG1" s="1524" t="n">
        <v>45191</v>
      </c>
      <c r="MH1" s="1524" t="n">
        <v>45194</v>
      </c>
      <c r="MI1" s="1524" t="n">
        <v>45195</v>
      </c>
      <c r="MJ1" s="1524" t="n">
        <v>45196</v>
      </c>
      <c r="MK1" s="1524" t="n">
        <v>45197</v>
      </c>
      <c r="ML1" s="1524" t="n">
        <v>45198</v>
      </c>
      <c r="MM1" s="1524" t="n">
        <v>45201</v>
      </c>
      <c r="MN1" s="1524" t="n">
        <v>45202</v>
      </c>
      <c r="MO1" s="1524" t="n">
        <v>45203</v>
      </c>
      <c r="MP1" s="1524" t="n">
        <v>45204</v>
      </c>
      <c r="MQ1" s="1524" t="n">
        <v>45205</v>
      </c>
      <c r="MR1" s="1524" t="n">
        <v>45208</v>
      </c>
      <c r="MS1" s="1524" t="n">
        <v>45209</v>
      </c>
      <c r="MT1" s="1524" t="n">
        <v>45210</v>
      </c>
      <c r="MU1" s="1524" t="n">
        <v>45211</v>
      </c>
      <c r="MV1" s="1524" t="n">
        <v>45212</v>
      </c>
      <c r="MW1" s="1524" t="n">
        <v>45215</v>
      </c>
      <c r="MX1" s="1524" t="n">
        <v>45216</v>
      </c>
      <c r="MY1" s="1524" t="n">
        <v>45217</v>
      </c>
      <c r="MZ1" s="1524" t="n">
        <v>45218</v>
      </c>
      <c r="NA1" s="1524" t="n">
        <v>45219</v>
      </c>
      <c r="NB1" s="1524" t="n">
        <v>45222</v>
      </c>
      <c r="NC1" s="1524" t="n">
        <v>45223</v>
      </c>
      <c r="ND1" s="1524" t="n">
        <v>45224</v>
      </c>
      <c r="NE1" s="1524" t="n">
        <v>45225</v>
      </c>
      <c r="NF1" s="1524" t="n">
        <v>45226</v>
      </c>
      <c r="NG1" s="1524" t="n">
        <v>45229</v>
      </c>
      <c r="NH1" s="1524" t="n">
        <v>45230</v>
      </c>
      <c r="NI1" s="1524" t="n">
        <v>45231</v>
      </c>
      <c r="NJ1" s="1524" t="n">
        <v>45232</v>
      </c>
      <c r="NK1" s="1524" t="n">
        <v>45233</v>
      </c>
      <c r="NL1" s="1524" t="n">
        <v>45237</v>
      </c>
      <c r="NM1" s="1524" t="n">
        <v>45238</v>
      </c>
      <c r="NN1" s="1524" t="n">
        <v>45239</v>
      </c>
      <c r="NO1" s="1524" t="n">
        <v>45240</v>
      </c>
      <c r="NP1" s="1524" t="n">
        <v>45243</v>
      </c>
      <c r="NQ1" s="1524" t="n">
        <v>45244</v>
      </c>
      <c r="NR1" s="1524" t="n">
        <v>45245</v>
      </c>
      <c r="NS1" s="1524" t="n">
        <v>45246</v>
      </c>
      <c r="NT1" s="1524" t="n">
        <v>45247</v>
      </c>
      <c r="NU1" s="1524" t="n">
        <v>45250</v>
      </c>
      <c r="NV1" s="1524" t="n">
        <v>45251</v>
      </c>
      <c r="NW1" s="1524" t="n">
        <v>45252</v>
      </c>
      <c r="NX1" s="1524" t="n">
        <v>45253</v>
      </c>
      <c r="NY1" s="1524" t="n">
        <v>45254</v>
      </c>
      <c r="NZ1" s="1524" t="n">
        <v>45257</v>
      </c>
      <c r="OA1" s="1524" t="n">
        <v>45258</v>
      </c>
      <c r="OB1" s="1524" t="n">
        <v>45259</v>
      </c>
      <c r="OC1" s="1524" t="n">
        <v>45260</v>
      </c>
      <c r="OD1" s="1524" t="n">
        <v>45261</v>
      </c>
      <c r="OE1" s="1524" t="n">
        <v>45264</v>
      </c>
      <c r="OF1" s="1524" t="n">
        <v>45265</v>
      </c>
      <c r="OG1" s="1524" t="n">
        <v>45266</v>
      </c>
      <c r="OH1" s="1524" t="n">
        <v>45267</v>
      </c>
      <c r="OI1" s="1524" t="n">
        <v>45268</v>
      </c>
      <c r="OJ1" s="1524" t="n">
        <v>45271</v>
      </c>
      <c r="OK1" s="1524" t="n">
        <v>45272</v>
      </c>
      <c r="OL1" s="1524" t="n">
        <v>45273</v>
      </c>
      <c r="OM1" s="1524" t="n">
        <v>45274</v>
      </c>
      <c r="ON1" s="1524" t="n">
        <v>45275</v>
      </c>
      <c r="OO1" s="1524" t="n">
        <v>45278</v>
      </c>
      <c r="OP1" s="1524" t="n">
        <v>45279</v>
      </c>
      <c r="OQ1" s="1524" t="n">
        <v>45280</v>
      </c>
      <c r="OR1" s="1524" t="n">
        <v>45281</v>
      </c>
      <c r="OS1" s="1524" t="n">
        <v>45282</v>
      </c>
      <c r="OT1" s="1524" t="n">
        <v>45285</v>
      </c>
      <c r="OU1" s="1524" t="n">
        <v>45286</v>
      </c>
      <c r="OV1" s="1524" t="n">
        <v>45287</v>
      </c>
      <c r="OW1" s="1524" t="n">
        <v>45288</v>
      </c>
      <c r="OX1" s="1524" t="n">
        <v>45289</v>
      </c>
      <c r="OY1" s="1524" t="n">
        <v>45300</v>
      </c>
      <c r="OZ1" s="1524" t="n">
        <v>45301</v>
      </c>
      <c r="PA1" s="1524" t="n">
        <v>45302</v>
      </c>
      <c r="PB1" s="1524" t="n">
        <v>45303</v>
      </c>
      <c r="PC1" s="1524" t="n">
        <v>45306</v>
      </c>
      <c r="PD1" s="1524" t="n">
        <v>45307</v>
      </c>
      <c r="PE1" s="1524" t="n">
        <v>45308</v>
      </c>
      <c r="PF1" s="1524" t="n">
        <v>45309</v>
      </c>
      <c r="PG1" s="1524" t="n">
        <v>45310</v>
      </c>
      <c r="PH1" s="1524" t="n">
        <v>45313</v>
      </c>
      <c r="PI1" s="1524" t="n">
        <v>45314</v>
      </c>
      <c r="PJ1" s="1524" t="n">
        <v>45315</v>
      </c>
      <c r="PK1" s="1524" t="n">
        <v>45316</v>
      </c>
      <c r="PL1" s="1524" t="n">
        <v>45317</v>
      </c>
      <c r="PM1" s="1524" t="n">
        <v>45320</v>
      </c>
      <c r="PN1" s="1524" t="n">
        <v>45321</v>
      </c>
      <c r="PO1" s="1524" t="n">
        <v>45322</v>
      </c>
      <c r="PP1" s="1524" t="n">
        <v>45323</v>
      </c>
      <c r="PQ1" s="1524" t="n">
        <v>45324</v>
      </c>
      <c r="PR1" s="1524" t="n">
        <v>45327</v>
      </c>
      <c r="PS1" s="1524" t="n">
        <v>45328</v>
      </c>
      <c r="PT1" s="1524" t="n">
        <v>45329</v>
      </c>
      <c r="PU1" s="1524" t="n">
        <v>45330</v>
      </c>
      <c r="PV1" s="1524" t="n">
        <v>45331</v>
      </c>
      <c r="PW1" s="1524" t="n">
        <v>45334</v>
      </c>
      <c r="PX1" s="1524" t="n">
        <v>45335</v>
      </c>
      <c r="PY1" s="1524" t="n">
        <v>45336</v>
      </c>
      <c r="PZ1" s="1524" t="n">
        <v>45337</v>
      </c>
      <c r="QA1" s="1524" t="n">
        <v>45338</v>
      </c>
      <c r="QB1" s="1524" t="n">
        <v>45341</v>
      </c>
      <c r="QC1" s="1524" t="n">
        <v>45342</v>
      </c>
      <c r="QD1" s="1524" t="n">
        <v>45343</v>
      </c>
      <c r="QE1" s="1524" t="n">
        <v>45344</v>
      </c>
      <c r="QF1" s="1524" t="n">
        <v>45348</v>
      </c>
      <c r="QG1" s="1524" t="n">
        <v>45349</v>
      </c>
      <c r="QH1" s="1524" t="n">
        <v>45350</v>
      </c>
      <c r="QI1" s="1524" t="n">
        <v>45351</v>
      </c>
      <c r="QJ1" s="1524" t="n">
        <v>45352</v>
      </c>
      <c r="QK1" s="1524" t="n">
        <v>45355</v>
      </c>
      <c r="QL1" s="1524" t="n">
        <v>45356</v>
      </c>
      <c r="QM1" s="1524" t="n">
        <v>45357</v>
      </c>
      <c r="QN1" s="1524" t="n">
        <v>45358</v>
      </c>
      <c r="QO1" s="1524" t="n">
        <v>45362</v>
      </c>
      <c r="QP1" s="1524" t="n">
        <v>45363</v>
      </c>
      <c r="QQ1" s="1524" t="n">
        <v>45364</v>
      </c>
      <c r="QR1" s="1524" t="n">
        <v>45365</v>
      </c>
      <c r="QS1" s="1524" t="n">
        <v>45366</v>
      </c>
      <c r="QT1" s="1524" t="n">
        <v>45369</v>
      </c>
      <c r="QU1" s="1524" t="n">
        <v>45370</v>
      </c>
      <c r="QV1" s="1524" t="n">
        <v>45371</v>
      </c>
      <c r="QW1" s="1524" t="n">
        <v>45372</v>
      </c>
      <c r="QX1" s="1524" t="n">
        <v>45373</v>
      </c>
      <c r="QY1" s="1524" t="n">
        <v>45376</v>
      </c>
      <c r="QZ1" s="1524" t="n">
        <v>45377</v>
      </c>
      <c r="RA1" s="1524" t="n">
        <v>45378</v>
      </c>
      <c r="RB1" s="1524" t="n">
        <v>45379</v>
      </c>
      <c r="RC1" s="1524" t="n">
        <v>45380</v>
      </c>
      <c r="RD1" s="1524" t="n">
        <v>45383</v>
      </c>
      <c r="RE1" s="1524" t="n">
        <v>45384</v>
      </c>
      <c r="RF1" s="1524" t="n">
        <v>45385</v>
      </c>
      <c r="RG1" s="1524" t="n">
        <v>45386</v>
      </c>
      <c r="RH1" s="1524" t="n">
        <v>45387</v>
      </c>
      <c r="RI1" s="1524" t="n">
        <v>45390</v>
      </c>
      <c r="RJ1" s="1524" t="n">
        <v>45391</v>
      </c>
      <c r="RK1" s="1524" t="n">
        <v>45392</v>
      </c>
      <c r="RL1" s="1524" t="n">
        <v>45393</v>
      </c>
      <c r="RM1" s="1524" t="n">
        <v>45394</v>
      </c>
      <c r="RN1" s="1524" t="n">
        <v>45397</v>
      </c>
      <c r="RO1" s="1524" t="n">
        <v>45398</v>
      </c>
      <c r="RP1" s="1524" t="n">
        <v>45399</v>
      </c>
      <c r="RQ1" s="1524" t="n">
        <v>45400</v>
      </c>
      <c r="RR1" s="1524" t="n">
        <v>45401</v>
      </c>
      <c r="RS1" s="1524" t="n">
        <v>45404</v>
      </c>
      <c r="RT1" s="1524" t="n">
        <v>45405</v>
      </c>
      <c r="RU1" s="1524" t="n">
        <v>45406</v>
      </c>
      <c r="RV1" s="1524" t="n">
        <v>45407</v>
      </c>
      <c r="RW1" s="1524" t="n">
        <v>45408</v>
      </c>
      <c r="RX1" s="1524" t="n">
        <v>45409</v>
      </c>
      <c r="RY1" s="1524" t="n">
        <v>45414</v>
      </c>
      <c r="RZ1" s="1524" t="n">
        <v>45415</v>
      </c>
      <c r="SA1" s="1524" t="n">
        <v>45418</v>
      </c>
      <c r="SB1" s="1524" t="n">
        <v>45419</v>
      </c>
      <c r="SC1" s="1524" t="n">
        <v>45420</v>
      </c>
      <c r="SD1" s="1524" t="n">
        <v>45425</v>
      </c>
      <c r="SE1" s="1524" t="n">
        <v>45426</v>
      </c>
      <c r="SF1" s="1524" t="n">
        <v>45427</v>
      </c>
      <c r="SG1" s="1524" t="n">
        <v>45428</v>
      </c>
      <c r="SH1" s="1524" t="n">
        <v>45429</v>
      </c>
      <c r="SI1" s="1524" t="n">
        <v>45432</v>
      </c>
      <c r="SJ1" s="1524" t="n">
        <v>45433</v>
      </c>
      <c r="SK1" s="1524" t="n">
        <v>45434</v>
      </c>
      <c r="SL1" s="1524" t="n">
        <v>45435</v>
      </c>
      <c r="SM1" s="1524" t="n">
        <v>45436</v>
      </c>
      <c r="SN1" s="1524" t="n">
        <v>45439</v>
      </c>
      <c r="SO1" s="1524" t="n">
        <v>45440</v>
      </c>
      <c r="SP1" s="1524" t="n">
        <v>45441</v>
      </c>
      <c r="SQ1" s="1524" t="n">
        <v>45442</v>
      </c>
      <c r="SR1" s="1524" t="n">
        <v>45443</v>
      </c>
      <c r="SS1" s="1524" t="n">
        <v>45446</v>
      </c>
      <c r="ST1" s="1524" t="n">
        <v>45447</v>
      </c>
      <c r="SU1" s="1524" t="n">
        <v>45448</v>
      </c>
      <c r="SV1" s="1524" t="n">
        <v>45449</v>
      </c>
      <c r="SW1" s="1524" t="n">
        <v>45450</v>
      </c>
      <c r="SX1" s="1524" t="n">
        <v>45453</v>
      </c>
      <c r="SY1" s="1524" t="n">
        <v>45454</v>
      </c>
      <c r="SZ1" s="1524" t="n">
        <v>45456</v>
      </c>
      <c r="TA1" s="1524" t="n">
        <v>45457</v>
      </c>
      <c r="TB1" s="1524" t="n">
        <v>45460</v>
      </c>
      <c r="TC1" s="1524" t="n">
        <v>45461</v>
      </c>
      <c r="TD1" s="1524" t="n">
        <v>45462</v>
      </c>
      <c r="TE1" s="1524" t="n">
        <v>45463</v>
      </c>
      <c r="TF1" s="1524" t="n">
        <v>45469</v>
      </c>
      <c r="TG1" s="1524" t="n">
        <v>45475</v>
      </c>
      <c r="TH1" s="1524" t="n">
        <v>45482</v>
      </c>
      <c r="TI1" s="1524" t="n">
        <v>45488</v>
      </c>
      <c r="TJ1" s="1524" t="n">
        <v>45489</v>
      </c>
      <c r="TK1" s="1524" t="n">
        <v>45491</v>
      </c>
      <c r="TL1" s="1524" t="n">
        <v>45496</v>
      </c>
      <c r="TM1" s="1524" t="n">
        <v>45502</v>
      </c>
      <c r="TN1" s="1524" t="n">
        <v>45504</v>
      </c>
      <c r="TO1" s="1524" t="n">
        <v>45509</v>
      </c>
      <c r="TP1" s="1524" t="n">
        <v>45513</v>
      </c>
      <c r="TQ1" s="1524" t="n">
        <v>45517</v>
      </c>
      <c r="TR1" s="1524" t="n">
        <v>45525</v>
      </c>
      <c r="TS1" s="1524" t="n">
        <v>45526</v>
      </c>
      <c r="TT1" s="1524" t="n">
        <v>45527</v>
      </c>
      <c r="TU1" s="1524" t="n">
        <v>45531</v>
      </c>
      <c r="TV1" s="1524" t="n">
        <v>45532</v>
      </c>
      <c r="TW1" s="1524" t="n">
        <v>45537</v>
      </c>
      <c r="TX1" s="1524" t="n">
        <v>45539</v>
      </c>
      <c r="TY1" s="1524" t="n">
        <v>45540</v>
      </c>
      <c r="TZ1" s="1524" t="n">
        <v>45546</v>
      </c>
      <c r="UA1" s="1524" t="n">
        <v>45548</v>
      </c>
      <c r="UB1" s="1524" t="n">
        <v>45552</v>
      </c>
      <c r="UC1" s="1524" t="n">
        <v>45553</v>
      </c>
      <c r="UD1" s="1524" t="n">
        <v>45555</v>
      </c>
      <c r="UE1" s="1524" t="n">
        <v>45559</v>
      </c>
      <c r="UF1" s="1524" t="n">
        <v>45561</v>
      </c>
      <c r="UG1" s="1524" t="n">
        <v>45565</v>
      </c>
      <c r="UH1" s="1524" t="n">
        <v>45566</v>
      </c>
      <c r="UI1" s="1524" t="n">
        <v>45567</v>
      </c>
      <c r="UJ1" s="1524" t="n">
        <v>45576</v>
      </c>
      <c r="UK1" s="1524" t="n">
        <v>45579</v>
      </c>
      <c r="UL1" s="1524" t="n">
        <v>45580</v>
      </c>
      <c r="UM1" s="1524" t="n">
        <v>45583</v>
      </c>
      <c r="UN1" s="1524" t="n">
        <v>45588</v>
      </c>
      <c r="UO1" s="1524" t="n">
        <v>45589</v>
      </c>
      <c r="UP1" s="1524" t="n">
        <v>45590</v>
      </c>
      <c r="UQ1" s="1524" t="n">
        <v>45595</v>
      </c>
      <c r="UR1" s="1524" t="n">
        <v>45597</v>
      </c>
      <c r="US1" s="1524" t="n">
        <v>45598</v>
      </c>
      <c r="UT1" s="1524" t="n">
        <v>45601</v>
      </c>
      <c r="UU1" s="1524" t="n">
        <v>45604</v>
      </c>
      <c r="UV1" s="1524" t="n">
        <v>45608</v>
      </c>
      <c r="UW1" s="1524" t="n">
        <v>45609</v>
      </c>
      <c r="UX1" s="1524" t="n">
        <v>45610</v>
      </c>
      <c r="UY1" s="1524" t="n">
        <v>45614</v>
      </c>
      <c r="UZ1" s="1524" t="n">
        <v>45616</v>
      </c>
      <c r="VA1" s="1524" t="n">
        <v>45617</v>
      </c>
      <c r="VB1" s="1524" t="n">
        <v>45622</v>
      </c>
      <c r="VC1" s="1524" t="n">
        <v>45625</v>
      </c>
      <c r="VD1" s="1524" t="n">
        <v>45628</v>
      </c>
      <c r="VE1" s="1524" t="n">
        <v>45629</v>
      </c>
      <c r="VF1" s="1524" t="n">
        <v>45632</v>
      </c>
      <c r="VG1" s="1524" t="n">
        <v>45638</v>
      </c>
      <c r="VH1" s="1524" t="n">
        <v>45642</v>
      </c>
      <c r="VI1" s="1524" t="n">
        <v>45645</v>
      </c>
      <c r="VJ1" s="1524" t="n">
        <v>45649</v>
      </c>
      <c r="VK1" s="1524" t="n">
        <v>45652</v>
      </c>
      <c r="VL1" s="1524" t="n">
        <v>45666</v>
      </c>
      <c r="VM1" s="1524" t="n">
        <v>45670</v>
      </c>
      <c r="VN1" s="1524" t="n">
        <v>45671</v>
      </c>
      <c r="VO1" s="1524" t="n">
        <v>45674</v>
      </c>
      <c r="VP1" s="1524" t="n">
        <v>45677</v>
      </c>
      <c r="VQ1" s="1524" t="n">
        <v>45679</v>
      </c>
      <c r="VR1" s="1524" t="n">
        <v>45684</v>
      </c>
      <c r="VS1" s="1524" t="n">
        <v>45687</v>
      </c>
      <c r="VT1" s="1524" t="n">
        <v>45692</v>
      </c>
      <c r="VU1" s="1524" t="n">
        <v>45693</v>
      </c>
      <c r="VV1" s="1524" t="n">
        <v>45695</v>
      </c>
      <c r="VW1" s="1524" t="n">
        <v>45698</v>
      </c>
      <c r="VX1" s="1524" t="n">
        <v>45702</v>
      </c>
      <c r="VY1" s="1524" t="n">
        <v>45706</v>
      </c>
      <c r="VZ1" s="1524" t="n">
        <v>45708</v>
      </c>
      <c r="WA1" s="1524" t="n">
        <v>45712</v>
      </c>
      <c r="WB1" s="1524" t="n">
        <v>45714</v>
      </c>
      <c r="WC1" s="1524" t="n">
        <v>45716</v>
      </c>
      <c r="WD1" s="1524" t="n">
        <v>45721</v>
      </c>
      <c r="WE1" s="1524" t="n">
        <v>45727</v>
      </c>
      <c r="WF1" s="1524" t="n">
        <v>45728</v>
      </c>
      <c r="WG1" s="1524" t="n">
        <v>45733</v>
      </c>
      <c r="WH1" s="1524" t="n">
        <v>45735</v>
      </c>
      <c r="WI1" s="1524" t="n">
        <v>45736</v>
      </c>
      <c r="WJ1" s="1524" t="n">
        <v>45740</v>
      </c>
      <c r="WK1" s="1524" t="n">
        <v>45742</v>
      </c>
      <c r="WL1" s="1524" t="n">
        <v>45743</v>
      </c>
      <c r="WM1" s="1524" t="n">
        <v>45744</v>
      </c>
      <c r="WN1" s="1524" t="n">
        <v>45748</v>
      </c>
      <c r="WO1" s="1524" t="n">
        <v>45750</v>
      </c>
      <c r="WP1" s="1524" t="n">
        <v>45754</v>
      </c>
      <c r="WQ1" s="1524" t="n">
        <v>45756</v>
      </c>
      <c r="WR1" s="1524" t="n">
        <v>45761</v>
      </c>
      <c r="WS1" s="1524" t="n">
        <v>45769</v>
      </c>
      <c r="WT1" s="1524" t="n">
        <v>45770</v>
      </c>
      <c r="WU1" s="1524" t="n">
        <v>45771</v>
      </c>
      <c r="WV1" s="1524" t="n">
        <v>45772</v>
      </c>
      <c r="WW1" s="1524" t="n">
        <v>45775</v>
      </c>
      <c r="WX1" s="1524" t="n">
        <v>45777</v>
      </c>
      <c r="WY1" s="1524" t="n">
        <v>45782</v>
      </c>
      <c r="WZ1" s="1524" t="n">
        <v>45783</v>
      </c>
      <c r="XA1" s="1524" t="n">
        <v>45784</v>
      </c>
      <c r="XB1" s="1524" t="n">
        <v>45789</v>
      </c>
      <c r="XC1" s="1524" t="n">
        <v>45790</v>
      </c>
      <c r="XD1" s="1524" t="n">
        <v>45792</v>
      </c>
      <c r="XE1" s="1524" t="n">
        <v>45797</v>
      </c>
      <c r="XF1" s="1524" t="n">
        <v>45799</v>
      </c>
      <c r="XG1" s="1524" t="n">
        <v>45803</v>
      </c>
      <c r="XH1" s="1524" t="n">
        <v>45804</v>
      </c>
      <c r="XI1" s="1524" t="n">
        <v>45811</v>
      </c>
      <c r="XJ1" s="1524" t="n">
        <v>45812</v>
      </c>
      <c r="XK1" s="1524" t="n">
        <v>45814</v>
      </c>
      <c r="XL1" s="1524" t="n">
        <v>45817</v>
      </c>
      <c r="XM1" s="1524" t="n">
        <v>45824</v>
      </c>
      <c r="XN1" s="1524" t="n">
        <v>45825</v>
      </c>
      <c r="XO1" s="1524" t="n">
        <v>45826</v>
      </c>
      <c r="XP1" s="1524" t="n">
        <v>45832</v>
      </c>
      <c r="XQ1" s="1524" t="n">
        <v>45838</v>
      </c>
      <c r="XR1" s="1524" t="n">
        <v>45840</v>
      </c>
      <c r="XS1" s="1524" t="n">
        <v>45842</v>
      </c>
      <c r="XT1" s="1524" t="n">
        <v>45845</v>
      </c>
      <c r="XU1" s="1524" t="n">
        <v>45846</v>
      </c>
      <c r="XV1" s="1524" t="n">
        <v>45847</v>
      </c>
      <c r="XW1" s="1524" t="n">
        <v>45848</v>
      </c>
      <c r="XX1" s="1524" t="n">
        <v>45849</v>
      </c>
      <c r="XY1" s="1524" t="n">
        <v>45853</v>
      </c>
      <c r="XZ1" s="1524" t="n">
        <v>45856</v>
      </c>
      <c r="YA1" s="1524" t="n">
        <v>45859</v>
      </c>
      <c r="YB1" s="1524" t="n">
        <v>45861</v>
      </c>
      <c r="YC1" s="1524" t="n">
        <v>45863</v>
      </c>
      <c r="YD1" s="1524" t="n">
        <v>45868</v>
      </c>
      <c r="YE1" s="1524" t="n">
        <v>45870</v>
      </c>
      <c r="YF1" s="1524" t="n">
        <v>45875</v>
      </c>
      <c r="YG1" s="1524" t="n">
        <v>45876</v>
      </c>
      <c r="YH1" s="1524" t="n">
        <v>45880</v>
      </c>
      <c r="YI1" s="1524" t="n">
        <v>45882</v>
      </c>
      <c r="YJ1" s="1524" t="n">
        <v>45884</v>
      </c>
    </row>
    <row r="2" customFormat="1" s="942">
      <c r="B2" s="914" t="inlineStr">
        <is>
          <t>RUB/USD</t>
        </is>
      </c>
      <c r="C2" s="914">
        <f>SUMIF(Daily!3:3,Table!C1,Daily!7:8)</f>
        <v/>
      </c>
      <c r="D2" s="127">
        <f>SUMIF(Daily!3:3,Table!D1,Daily!7:8)</f>
        <v/>
      </c>
      <c r="E2" s="127">
        <f>SUMIF(Daily!3:3,Table!E1,Daily!7:8)</f>
        <v/>
      </c>
      <c r="F2" s="127">
        <f>SUMIF(Daily!3:3,Table!F1,Daily!7:8)</f>
        <v/>
      </c>
      <c r="G2" s="127">
        <f>SUMIF(Daily!3:3,Table!G1,Daily!7:8)</f>
        <v/>
      </c>
      <c r="H2" s="127">
        <f>SUMIF(Daily!3:3,Table!H1,Daily!7:8)</f>
        <v/>
      </c>
      <c r="I2" s="127">
        <f>SUMIF(Daily!3:3,Table!I1,Daily!7:8)</f>
        <v/>
      </c>
      <c r="J2" s="127">
        <f>SUMIF(Daily!3:3,Table!J1,Daily!7:8)</f>
        <v/>
      </c>
      <c r="K2" s="127">
        <f>SUMIF(Daily!3:3,Table!K1,Daily!7:8)</f>
        <v/>
      </c>
      <c r="L2" s="127">
        <f>SUMIF(Daily!3:3,Table!L1,Daily!7:8)</f>
        <v/>
      </c>
      <c r="M2" s="127">
        <f>SUMIF(Daily!3:3,Table!M1,Daily!7:8)</f>
        <v/>
      </c>
      <c r="N2" s="127">
        <f>SUMIF(Daily!3:3,Table!N1,Daily!7:8)</f>
        <v/>
      </c>
      <c r="O2" s="127">
        <f>SUMIF(Daily!3:3,Table!O1,Daily!7:8)</f>
        <v/>
      </c>
      <c r="P2" s="127">
        <f>SUMIF(Daily!3:3,Table!P1,Daily!7:8)</f>
        <v/>
      </c>
      <c r="Q2" s="127">
        <f>SUMIF(Daily!3:3,Table!Q1,Daily!7:8)</f>
        <v/>
      </c>
      <c r="R2" s="127">
        <f>SUMIF(Daily!3:3,Table!R1,Daily!7:8)</f>
        <v/>
      </c>
      <c r="S2" s="127">
        <f>SUMIF(Daily!3:3,Table!S1,Daily!7:8)</f>
        <v/>
      </c>
      <c r="T2" s="127">
        <f>SUMIF(Daily!3:3,Table!T1,Daily!7:8)</f>
        <v/>
      </c>
      <c r="U2" s="127" t="n">
        <v>73.36109999999999</v>
      </c>
      <c r="V2" s="127">
        <f>SUMIF(Daily!3:3,Table!V1,Daily!7:8)</f>
        <v/>
      </c>
      <c r="W2" s="127">
        <f>SUMIF(Daily!3:3,Table!W1,Daily!7:8)</f>
        <v/>
      </c>
      <c r="X2" s="127">
        <f>SUMIF(Daily!3:3,Table!X1,Daily!7:8)</f>
        <v/>
      </c>
      <c r="Y2" s="127">
        <f>SUMIF(Daily!3:3,Table!Y1,Daily!7:8)</f>
        <v/>
      </c>
      <c r="Z2" s="127">
        <f>SUMIF(Daily!3:3,Table!Z1,Daily!7:8)</f>
        <v/>
      </c>
      <c r="AA2" s="127">
        <f>SUMIF(Daily!3:3,Table!AA1,Daily!7:8)</f>
        <v/>
      </c>
      <c r="AB2" s="127">
        <f>SUMIF(Daily!3:3,Table!AB1,Daily!7:8)</f>
        <v/>
      </c>
      <c r="AC2" s="127">
        <f>SUMIF(Daily!3:3,Table!AC1,Daily!7:8)</f>
        <v/>
      </c>
      <c r="AD2" s="127">
        <f>SUMIF(Daily!3:3,Table!AD1,Daily!7:8)</f>
        <v/>
      </c>
      <c r="AE2" s="127">
        <f>SUMIF(Daily!3:3,Table!AE1,Daily!7:8)</f>
        <v/>
      </c>
      <c r="AF2" s="127">
        <f>SUMIF(Daily!3:3,Table!AF1,Daily!7:8)</f>
        <v/>
      </c>
      <c r="AG2" s="127">
        <f>SUMIF(Daily!3:3,Table!AG1,Daily!7:8)</f>
        <v/>
      </c>
      <c r="AH2" s="127">
        <f>SUMIF(Daily!3:3,Table!AH1,Daily!7:8)</f>
        <v/>
      </c>
      <c r="AI2" s="127">
        <f>SUMIF(Daily!3:3,Table!AI1,Daily!7:8)</f>
        <v/>
      </c>
      <c r="AJ2" s="127">
        <f>SUMIF(Daily!3:3,Table!AJ1,Daily!7:8)</f>
        <v/>
      </c>
      <c r="AK2" s="127">
        <f>SUMIF(Daily!3:3,Table!AK1,Daily!7:8)</f>
        <v/>
      </c>
      <c r="AL2" s="127">
        <f>SUMIF(Daily!3:3,Table!AL1,Daily!7:8)</f>
        <v/>
      </c>
      <c r="AM2" s="127">
        <f>SUMIF(Daily!3:3,Table!AM1,Daily!7:8)</f>
        <v/>
      </c>
      <c r="AN2" s="127">
        <f>SUMIF(Daily!3:3,Table!AN1,Daily!7:8)</f>
        <v/>
      </c>
      <c r="AO2" s="127">
        <f>SUMIF(Daily!3:3,Table!AO1,Daily!7:8)</f>
        <v/>
      </c>
      <c r="AP2" s="127">
        <f>SUMIF(Daily!3:3,Table!AP1,Daily!7:8)</f>
        <v/>
      </c>
      <c r="AQ2" s="127">
        <f>SUMIF(Daily!3:3,Table!AQ1,Daily!7:8)</f>
        <v/>
      </c>
      <c r="AR2" s="127">
        <f>SUMIF(Daily!3:3,Table!AR1,Daily!7:8)</f>
        <v/>
      </c>
      <c r="AS2" s="127">
        <f>SUMIF(Daily!3:3,Table!AS1,Daily!7:8)</f>
        <v/>
      </c>
      <c r="AT2" s="127">
        <f>SUMIF(Daily!3:3,Table!AT1,Daily!7:8)</f>
        <v/>
      </c>
      <c r="AU2" s="127">
        <f>SUMIF(Daily!3:3,Table!AU1,Daily!7:8)</f>
        <v/>
      </c>
      <c r="AV2" s="127">
        <f>SUMIF(Daily!3:3,Table!AV1,Daily!7:8)</f>
        <v/>
      </c>
      <c r="AW2" s="127">
        <f>SUMIF(Daily!3:3,Table!AW1,Daily!7:8)</f>
        <v/>
      </c>
      <c r="AX2" s="127">
        <f>SUMIF(Daily!3:3,Table!AX1,Daily!7:8)</f>
        <v/>
      </c>
      <c r="AY2" s="127">
        <f>SUMIF(Daily!3:3,Table!AY1,Daily!7:8)</f>
        <v/>
      </c>
      <c r="AZ2" s="127">
        <f>SUMIF(Daily!3:3,Table!AZ1,Daily!7:8)</f>
        <v/>
      </c>
      <c r="BA2" s="127">
        <f>SUMIF(Daily!3:3,Table!BA1,Daily!7:8)</f>
        <v/>
      </c>
      <c r="BB2" s="127">
        <f>SUMIF(Daily!3:3,Table!BB1,Daily!7:8)</f>
        <v/>
      </c>
      <c r="BC2" s="127">
        <f>SUMIF(Daily!3:3,Table!BC1,Daily!7:8)</f>
        <v/>
      </c>
      <c r="BD2" s="127">
        <f>SUMIF(Daily!3:3,Table!BD1,Daily!7:8)</f>
        <v/>
      </c>
      <c r="BE2" s="127">
        <f>SUMIF(Daily!3:3,Table!BE1,Daily!7:8)</f>
        <v/>
      </c>
      <c r="BF2" s="127">
        <f>SUMIF(Daily!3:3,Table!BF1,Daily!7:8)</f>
        <v/>
      </c>
      <c r="BG2" s="127">
        <f>SUMIF(Daily!3:3,Table!BG1,Daily!7:8)</f>
        <v/>
      </c>
      <c r="BH2" s="127">
        <f>SUMIF(Daily!3:3,Table!BH1,Daily!7:8)</f>
        <v/>
      </c>
      <c r="BI2" s="127">
        <f>SUMIF(Daily!3:3,Table!BI1,Daily!7:8)</f>
        <v/>
      </c>
      <c r="BJ2" s="127">
        <f>SUMIF(Daily!3:3,Table!BJ1,Daily!7:8)</f>
        <v/>
      </c>
      <c r="BK2" s="127" t="n">
        <v>51.158</v>
      </c>
      <c r="BL2" s="127">
        <f>SUMIF(Daily!3:3,Table!BL1,Daily!7:8)</f>
        <v/>
      </c>
      <c r="BM2" s="127">
        <f>SUMIF(Daily!3:3,Table!BM1,Daily!7:8)</f>
        <v/>
      </c>
      <c r="BN2" s="127">
        <f>SUMIF(Daily!3:3,Table!BN1,Daily!7:8)</f>
        <v/>
      </c>
      <c r="BO2" s="127">
        <f>SUMIF(Daily!3:3,Table!BO1,Daily!7:8)</f>
        <v/>
      </c>
      <c r="BP2" s="127">
        <f>SUMIF(Daily!3:3,Table!BP1,Daily!7:8)</f>
        <v/>
      </c>
      <c r="BQ2" s="127">
        <f>SUMIF(Daily!3:3,Table!BQ1,Daily!7:8)</f>
        <v/>
      </c>
      <c r="BR2" s="127">
        <f>SUMIF(Daily!3:3,Table!BR1,Daily!7:8)</f>
        <v/>
      </c>
      <c r="BS2" s="127">
        <f>SUMIF(Daily!3:3,Table!BS1,Daily!7:8)</f>
        <v/>
      </c>
      <c r="BT2" s="127">
        <f>SUMIF(Daily!3:3,Table!BT1,Daily!7:8)</f>
        <v/>
      </c>
      <c r="BU2" s="127">
        <f>SUMIF(Daily!3:3,Table!BU1,Daily!7:8)</f>
        <v/>
      </c>
      <c r="BV2" s="127">
        <f>SUMIF(Daily!3:3,Table!BV1,Daily!7:8)</f>
        <v/>
      </c>
      <c r="BW2" s="127">
        <f>SUMIF(Daily!3:3,Table!BW1,Daily!7:8)</f>
        <v/>
      </c>
      <c r="BX2" s="127">
        <f>SUMIF(Daily!3:3,Table!BX1,Daily!7:8)</f>
        <v/>
      </c>
      <c r="BY2" s="127">
        <f>SUMIF(Daily!3:3,Table!BY1,Daily!7:8)</f>
        <v/>
      </c>
      <c r="BZ2" s="127">
        <f>SUMIF(Daily!3:3,Table!BZ1,Daily!7:8)</f>
        <v/>
      </c>
      <c r="CA2" s="127">
        <f>SUMIF(Daily!3:3,Table!CA1,Daily!7:8)</f>
        <v/>
      </c>
      <c r="CB2" s="127">
        <f>SUMIF(Daily!3:3,Table!CB1,Daily!7:8)</f>
        <v/>
      </c>
      <c r="CC2" s="127">
        <f>SUMIF(Daily!3:3,Table!CC1,Daily!7:8)</f>
        <v/>
      </c>
      <c r="CD2" s="127">
        <f>SUMIF(Daily!3:3,Table!CD1,Daily!7:8)</f>
        <v/>
      </c>
      <c r="CE2" s="127">
        <f>SUMIF(Daily!3:3,Table!CE1,Daily!7:8)</f>
        <v/>
      </c>
      <c r="CF2" s="127">
        <f>SUMIF(Daily!3:3,Table!CF1,Daily!7:8)</f>
        <v/>
      </c>
      <c r="CG2" s="127">
        <f>SUMIF(Daily!3:3,Table!CG1,Daily!7:8)</f>
        <v/>
      </c>
      <c r="CH2" s="127">
        <f>SUMIF(Daily!3:3,Table!CH1,Daily!7:8)</f>
        <v/>
      </c>
      <c r="CI2" s="127">
        <f>SUMIF(Daily!3:3,Table!CI1,Daily!7:8)</f>
        <v/>
      </c>
      <c r="CJ2" s="127">
        <f>SUMIF(Daily!3:3,Table!CJ1,Daily!7:8)</f>
        <v/>
      </c>
      <c r="CK2" s="127">
        <f>SUMIF(Daily!3:3,Table!CK1,Daily!7:8)</f>
        <v/>
      </c>
      <c r="CL2" s="127">
        <f>SUMIF(Daily!3:3,Table!CL1,Daily!7:8)</f>
        <v/>
      </c>
      <c r="CM2" s="127">
        <f>SUMIF(Daily!3:3,Table!CM1,Daily!7:8)</f>
        <v/>
      </c>
      <c r="CN2" s="127">
        <f>SUMIF(Daily!3:3,Table!CN1,Daily!7:8)</f>
        <v/>
      </c>
      <c r="CO2" s="127">
        <f>SUMIF(Daily!3:3,Table!CO1,Daily!7:8)</f>
        <v/>
      </c>
      <c r="CP2" s="127">
        <f>SUMIF(Daily!3:3,Table!CP1,Daily!7:8)</f>
        <v/>
      </c>
      <c r="CQ2" s="127">
        <f>SUMIF(Daily!3:3,Table!CQ1,Daily!7:8)</f>
        <v/>
      </c>
      <c r="CR2" s="127">
        <f>SUMIF(Daily!3:3,Table!CR1,Daily!7:8)</f>
        <v/>
      </c>
      <c r="CS2" s="127">
        <f>SUMIF(Daily!3:3,Table!CS1,Daily!7:8)</f>
        <v/>
      </c>
      <c r="CT2" s="127">
        <f>SUMIF(Daily!3:3,Table!CT1,Daily!7:8)</f>
        <v/>
      </c>
      <c r="CU2" s="127">
        <f>SUMIF(Daily!3:3,Table!CU1,Daily!7:8)</f>
        <v/>
      </c>
      <c r="CV2" s="127">
        <f>SUMIF(Daily!3:3,Table!CV1,Daily!7:8)</f>
        <v/>
      </c>
      <c r="CW2" s="127">
        <f>SUMIF(Daily!3:3,Table!CW1,Daily!7:8)</f>
        <v/>
      </c>
      <c r="CX2" s="127">
        <f>SUMIF(Daily!3:3,Table!CX1,Daily!7:8)</f>
        <v/>
      </c>
      <c r="CY2" s="127">
        <f>SUMIF(Daily!3:3,Table!CY1,Daily!7:8)</f>
        <v/>
      </c>
      <c r="CZ2" s="127">
        <f>SUMIF(Daily!3:3,Table!CZ1,Daily!7:8)</f>
        <v/>
      </c>
      <c r="DA2" s="127">
        <f>SUMIF(Daily!3:3,Table!DA1,Daily!7:8)</f>
        <v/>
      </c>
      <c r="DB2" s="127">
        <f>SUMIF(Daily!3:3,Table!DB1,Daily!7:8)</f>
        <v/>
      </c>
      <c r="DC2" s="127">
        <f>SUMIF(Daily!3:3,Table!DC1,Daily!7:8)</f>
        <v/>
      </c>
      <c r="DD2" s="127">
        <f>SUMIF(Daily!3:3,Table!DD1,Daily!7:8)</f>
        <v/>
      </c>
      <c r="DE2" s="127">
        <f>SUMIF(Daily!3:3,Table!DE1,Daily!7:8)</f>
        <v/>
      </c>
      <c r="DF2" s="127">
        <f>SUMIF(Daily!3:3,Table!DF1,Daily!7:8)</f>
        <v/>
      </c>
      <c r="DG2" s="127">
        <f>SUMIF(Daily!3:3,Table!DG1,Daily!7:8)</f>
        <v/>
      </c>
      <c r="DH2" s="127">
        <f>SUMIF(Daily!3:3,Table!DH1,Daily!7:8)</f>
        <v/>
      </c>
      <c r="DI2" s="127">
        <f>SUMIF(Daily!3:3,Table!DI1,Daily!7:8)</f>
        <v/>
      </c>
      <c r="DJ2" s="127">
        <f>SUMIF(Daily!3:3,Table!DJ1,Daily!7:8)</f>
        <v/>
      </c>
      <c r="DK2" s="127">
        <f>SUMIF(Daily!3:3,Table!DK1,Daily!7:8)</f>
        <v/>
      </c>
      <c r="DL2" s="127">
        <f>SUMIF(Daily!3:3,Table!DL1,Daily!7:8)</f>
        <v/>
      </c>
      <c r="DM2" s="127">
        <f>SUMIF(Daily!3:3,Table!DM1,Daily!7:8)</f>
        <v/>
      </c>
      <c r="DN2" s="127">
        <f>SUMIF(Daily!3:3,Table!DN1,Daily!7:8)</f>
        <v/>
      </c>
      <c r="DO2" s="127">
        <f>SUMIF(Daily!3:3,Table!DO1,Daily!7:8)</f>
        <v/>
      </c>
      <c r="DP2" s="127">
        <f>SUMIF(Daily!3:3,Table!DP1,Daily!7:8)</f>
        <v/>
      </c>
      <c r="DQ2" s="127">
        <f>SUMIF(Daily!3:3,Table!DQ1,Daily!7:8)</f>
        <v/>
      </c>
      <c r="DR2" s="127">
        <f>SUMIF(Daily!3:3,Table!DR1,Daily!7:8)</f>
        <v/>
      </c>
      <c r="DS2" s="127">
        <f>SUMIF(Daily!3:3,Table!DS1,Daily!7:8)</f>
        <v/>
      </c>
      <c r="DT2" s="127">
        <f>SUMIF(Daily!3:3,Table!DT1,Daily!7:8)</f>
        <v/>
      </c>
      <c r="DU2" s="127">
        <f>SUMIF(Daily!3:3,Table!DU1,Daily!7:8)</f>
        <v/>
      </c>
      <c r="DV2" s="127">
        <f>SUMIF(Daily!3:3,Table!DV1,Daily!7:8)</f>
        <v/>
      </c>
      <c r="DW2" s="127">
        <f>SUMIF(Daily!3:3,Table!DW1,Daily!7:8)</f>
        <v/>
      </c>
      <c r="DX2" s="127">
        <f>SUMIF(Daily!3:3,Table!DX1,Daily!7:8)</f>
        <v/>
      </c>
      <c r="DY2" s="127">
        <f>SUMIF(Daily!3:3,Table!DY1,Daily!7:8)</f>
        <v/>
      </c>
      <c r="DZ2" s="127">
        <f>SUMIF(Daily!3:3,Table!DZ1,Daily!7:8)</f>
        <v/>
      </c>
      <c r="EA2" s="127">
        <f>SUMIF(Daily!3:3,Table!EA1,Daily!7:8)</f>
        <v/>
      </c>
      <c r="EB2" s="127">
        <f>SUMIF(Daily!3:3,Table!EB1,Daily!7:8)</f>
        <v/>
      </c>
      <c r="EC2" s="127">
        <f>SUMIF(Daily!3:3,Table!EC1,Daily!7:8)</f>
        <v/>
      </c>
      <c r="ED2" s="127">
        <f>SUMIF(Daily!3:3,Table!ED1,Daily!7:8)</f>
        <v/>
      </c>
      <c r="EE2" s="127">
        <f>SUMIF(Daily!3:3,Table!EE1,Daily!7:8)</f>
        <v/>
      </c>
      <c r="EF2" s="127">
        <f>SUMIF(Daily!3:3,Table!EF1,Daily!7:8)</f>
        <v/>
      </c>
      <c r="EG2" s="127">
        <f>SUMIF(Daily!3:3,Table!EG1,Daily!7:8)</f>
        <v/>
      </c>
      <c r="EH2" s="127">
        <f>SUMIF(Daily!3:3,Table!EH1,Daily!7:8)</f>
        <v/>
      </c>
      <c r="EI2" s="127">
        <f>SUMIF(Daily!3:3,Table!EI1,Daily!7:8)</f>
        <v/>
      </c>
      <c r="EJ2" s="127">
        <f>SUMIF(Daily!3:3,Table!EJ1,Daily!7:8)</f>
        <v/>
      </c>
      <c r="EK2" s="127">
        <f>SUMIF(Daily!3:3,Table!EK1,Daily!7:8)</f>
        <v/>
      </c>
      <c r="EL2" s="127">
        <f>SUMIF(Daily!3:3,Table!EL1,Daily!7:8)</f>
        <v/>
      </c>
      <c r="EM2" s="127">
        <f>SUMIF(Daily!3:3,Table!EM1,Daily!7:8)</f>
        <v/>
      </c>
      <c r="EN2" s="127">
        <f>SUMIF(Daily!3:3,Table!EN1,Daily!7:8)</f>
        <v/>
      </c>
      <c r="EO2" s="127">
        <f>SUMIF(Daily!3:3,Table!EO1,Daily!7:8)</f>
        <v/>
      </c>
      <c r="EP2" s="127">
        <f>SUMIF(Daily!3:3,Table!EP1,Daily!7:8)</f>
        <v/>
      </c>
      <c r="EQ2" s="127">
        <f>SUMIF(Daily!3:3,Table!EQ1,Daily!7:8)</f>
        <v/>
      </c>
      <c r="ER2" s="127">
        <f>SUMIF(Daily!3:3,Table!ER1,Daily!7:8)</f>
        <v/>
      </c>
      <c r="ES2" s="127">
        <f>SUMIF(Daily!3:3,Table!ES1,Daily!7:8)</f>
        <v/>
      </c>
      <c r="ET2" s="127">
        <f>SUMIF(Daily!3:3,Table!ET1,Daily!7:8)</f>
        <v/>
      </c>
      <c r="EU2" s="127">
        <f>SUMIF(Daily!3:3,Table!EU1,Daily!7:8)</f>
        <v/>
      </c>
      <c r="EV2" s="127">
        <f>SUMIF(Daily!3:3,Table!EV1,Daily!7:8)</f>
        <v/>
      </c>
      <c r="EW2" s="127">
        <f>SUMIF(Daily!3:3,Table!EW1,Daily!7:8)</f>
        <v/>
      </c>
      <c r="EX2" s="127">
        <f>SUMIF(Daily!3:3,Table!EX1,Daily!7:8)</f>
        <v/>
      </c>
      <c r="EY2" s="127">
        <f>SUMIF(Daily!3:3,Table!EY1,Daily!7:8)</f>
        <v/>
      </c>
      <c r="EZ2" s="127">
        <f>SUMIF(Daily!3:3,Table!EZ1,Daily!7:8)</f>
        <v/>
      </c>
      <c r="FA2" s="127">
        <f>SUMIF(Daily!3:3,Table!FA1,Daily!7:8)</f>
        <v/>
      </c>
      <c r="FB2" s="127">
        <f>SUMIF(Daily!3:3,Table!FB1,Daily!7:8)</f>
        <v/>
      </c>
      <c r="FC2" s="127">
        <f>SUMIF(Daily!3:3,Table!FC1,Daily!7:8)</f>
        <v/>
      </c>
      <c r="FD2" s="127">
        <f>SUMIF(Daily!3:3,Table!FD1,Daily!7:8)</f>
        <v/>
      </c>
      <c r="FE2" s="127">
        <f>SUMIF(Daily!3:3,Table!FE1,Daily!7:8)</f>
        <v/>
      </c>
      <c r="FF2" s="127">
        <f>SUMIF(Daily!3:3,Table!FF1,Daily!7:8)</f>
        <v/>
      </c>
      <c r="FG2" s="127">
        <f>SUMIF(Daily!3:3,Table!FG1,Daily!7:8)</f>
        <v/>
      </c>
      <c r="FH2" s="127">
        <f>SUMIF(Daily!3:3,Table!FH1,Daily!7:8)</f>
        <v/>
      </c>
      <c r="FI2" s="127">
        <f>SUMIF(Daily!3:3,Table!FI1,Daily!7:8)</f>
        <v/>
      </c>
      <c r="FJ2" s="127">
        <f>SUMIF(Daily!3:3,Table!FJ1,Daily!7:8)</f>
        <v/>
      </c>
      <c r="FK2" s="127">
        <f>SUMIF(Daily!3:3,Table!FK1,Daily!7:8)</f>
        <v/>
      </c>
      <c r="FL2" s="127">
        <f>SUMIF(Daily!3:3,Table!FL1,Daily!7:8)</f>
        <v/>
      </c>
      <c r="FM2" s="127">
        <f>SUMIF(Daily!3:3,Table!FM1,Daily!7:8)</f>
        <v/>
      </c>
      <c r="FN2" s="127">
        <f>SUMIF(Daily!3:3,Table!FN1,Daily!7:8)</f>
        <v/>
      </c>
      <c r="FO2" s="127">
        <f>SUMIF(Daily!3:3,Table!FO1,Daily!7:8)</f>
        <v/>
      </c>
      <c r="FP2" s="127">
        <f>SUMIF(Daily!3:3,Table!FP1,Daily!7:8)</f>
        <v/>
      </c>
      <c r="FQ2" s="127">
        <f>SUMIF(Daily!3:3,Table!FQ1,Daily!7:8)</f>
        <v/>
      </c>
      <c r="FR2" s="127">
        <f>SUMIF(Daily!3:3,Table!FR1,Daily!7:8)</f>
        <v/>
      </c>
      <c r="FS2" s="127">
        <f>SUMIF(Daily!3:3,Table!FS1,Daily!7:8)</f>
        <v/>
      </c>
      <c r="FT2" s="127">
        <f>SUMIF(Daily!3:3,Table!FT1,Daily!7:8)</f>
        <v/>
      </c>
      <c r="FU2" s="127">
        <f>SUMIF(Daily!3:3,Table!FU1,Daily!7:8)</f>
        <v/>
      </c>
      <c r="FV2" s="127">
        <f>SUMIF(Daily!3:3,Table!FV1,Daily!7:8)</f>
        <v/>
      </c>
      <c r="FW2" s="127">
        <f>SUMIF(Daily!3:3,Table!FW1,Daily!7:8)</f>
        <v/>
      </c>
      <c r="FX2" s="127">
        <f>SUMIF(Daily!3:3,Table!FX1,Daily!7:8)</f>
        <v/>
      </c>
      <c r="FY2" s="127">
        <f>SUMIF(Daily!3:3,Table!FY1,Daily!7:8)</f>
        <v/>
      </c>
      <c r="FZ2" s="127">
        <f>SUMIF(Daily!3:3,Table!FZ1,Daily!7:8)</f>
        <v/>
      </c>
      <c r="GA2" s="127">
        <f>SUMIF(Daily!3:3,Table!GA1,Daily!7:8)</f>
        <v/>
      </c>
      <c r="GB2" s="127">
        <f>SUMIF(Daily!3:3,Table!GB1,Daily!7:8)</f>
        <v/>
      </c>
      <c r="GC2" s="127">
        <f>SUMIF(Daily!3:3,Table!GC1,Daily!7:8)</f>
        <v/>
      </c>
      <c r="GD2" s="127">
        <f>SUMIF(Daily!3:3,Table!GD1,Daily!7:8)</f>
        <v/>
      </c>
      <c r="GE2" s="127">
        <f>SUMIF(Daily!3:3,Table!GE1,Daily!7:8)</f>
        <v/>
      </c>
      <c r="GF2" s="127">
        <f>SUMIF(Daily!3:3,Table!GF1,Daily!7:8)</f>
        <v/>
      </c>
      <c r="GG2" s="127">
        <f>SUMIF(Daily!3:3,Table!GG1,Daily!7:8)</f>
        <v/>
      </c>
      <c r="GH2" s="127">
        <f>SUMIF(Daily!3:3,Table!GH1,Daily!7:8)</f>
        <v/>
      </c>
      <c r="GI2" s="127">
        <f>SUMIF(Daily!3:3,Table!GI1,Daily!7:8)</f>
        <v/>
      </c>
      <c r="GJ2" s="127">
        <f>SUMIF(Daily!3:3,Table!GJ1,Daily!7:8)</f>
        <v/>
      </c>
      <c r="GK2" s="127">
        <f>SUMIF(Daily!3:3,Table!GK1,Daily!7:8)</f>
        <v/>
      </c>
      <c r="GL2" s="127">
        <f>SUMIF(Daily!3:3,Table!GL1,Daily!7:8)</f>
        <v/>
      </c>
      <c r="GM2" s="127">
        <f>SUMIF(Daily!3:3,Table!GM1,Daily!7:8)</f>
        <v/>
      </c>
      <c r="GN2" s="127">
        <f>SUMIF(Daily!3:3,Table!GN1,Daily!7:8)</f>
        <v/>
      </c>
      <c r="GO2" s="127">
        <f>SUMIF(Daily!3:3,Table!GO1,Daily!7:8)</f>
        <v/>
      </c>
      <c r="GP2" s="127">
        <f>SUMIF(Daily!3:3,Table!GP1,Daily!7:8)</f>
        <v/>
      </c>
      <c r="GQ2" s="127">
        <f>SUMIF(Daily!3:3,Table!GQ1,Daily!7:8)</f>
        <v/>
      </c>
      <c r="GR2" s="127">
        <f>SUMIF(Daily!3:3,Table!GR1,Daily!7:8)</f>
        <v/>
      </c>
      <c r="GS2" s="127">
        <f>SUMIF(Daily!3:3,Table!GS1,Daily!7:8)</f>
        <v/>
      </c>
      <c r="GT2" s="127">
        <f>SUMIF(Daily!3:3,Table!GT1,Daily!7:8)</f>
        <v/>
      </c>
      <c r="GU2" s="127">
        <f>SUMIF(Daily!3:3,Table!GU1,Daily!7:8)</f>
        <v/>
      </c>
      <c r="GV2" s="127">
        <f>SUMIF(Daily!3:3,Table!GV1,Daily!7:8)</f>
        <v/>
      </c>
      <c r="GW2" s="127">
        <f>SUMIF(Daily!3:3,Table!GW1,Daily!7:8)</f>
        <v/>
      </c>
      <c r="GX2" s="127">
        <f>SUMIF(Daily!3:3,Table!GX1,Daily!7:8)</f>
        <v/>
      </c>
      <c r="GY2" s="127">
        <f>SUMIF(Daily!3:3,Table!GY1,Daily!7:8)</f>
        <v/>
      </c>
      <c r="GZ2" s="127">
        <f>SUMIF(Daily!3:3,Table!GZ1,Daily!7:8)</f>
        <v/>
      </c>
      <c r="HA2" s="127">
        <f>SUMIF(Daily!3:3,Table!HA1,Daily!7:8)</f>
        <v/>
      </c>
      <c r="HB2" s="127">
        <f>SUMIF(Daily!3:3,Table!HB1,Daily!7:8)</f>
        <v/>
      </c>
      <c r="HC2" s="127">
        <f>SUMIF(Daily!3:3,Table!HC1,Daily!7:8)</f>
        <v/>
      </c>
      <c r="HD2" s="127">
        <f>SUMIF(Daily!3:3,Table!HD1,Daily!7:8)</f>
        <v/>
      </c>
      <c r="HE2" s="127">
        <f>SUMIF(Daily!3:3,Table!HE1,Daily!7:8)</f>
        <v/>
      </c>
      <c r="HF2" s="127">
        <f>SUMIF(Daily!3:3,Table!HF1,Daily!7:8)</f>
        <v/>
      </c>
      <c r="HG2" s="127">
        <f>SUMIF(Daily!3:3,Table!HG1,Daily!7:8)</f>
        <v/>
      </c>
      <c r="HH2" s="127">
        <f>SUMIF(Daily!3:3,Table!HH1,Daily!7:8)</f>
        <v/>
      </c>
      <c r="HI2" s="127">
        <f>SUMIF(Daily!3:3,Table!HI1,Daily!7:8)</f>
        <v/>
      </c>
      <c r="HJ2" s="127">
        <f>SUMIF(Daily!3:3,Table!HJ1,Daily!7:8)</f>
        <v/>
      </c>
      <c r="HK2" s="127">
        <f>SUMIF(Daily!3:3,Table!HK1,Daily!7:8)</f>
        <v/>
      </c>
      <c r="HL2" s="127">
        <f>SUMIF(Daily!3:3,Table!HL1,Daily!7:8)</f>
        <v/>
      </c>
      <c r="HM2" s="127">
        <f>SUMIF(Daily!3:3,Table!HM1,Daily!7:8)</f>
        <v/>
      </c>
      <c r="HN2" s="127" t="n">
        <v>76.40949999999999</v>
      </c>
      <c r="HO2" s="127" t="n">
        <v>77.2422</v>
      </c>
      <c r="HP2" s="127" t="n">
        <v>76.8373</v>
      </c>
      <c r="HQ2" s="127" t="n">
        <v>76.30719999999999</v>
      </c>
      <c r="HR2" s="127">
        <f>SUMIF(Daily!3:3,Table!HR1,Daily!7:8)</f>
        <v/>
      </c>
      <c r="HS2" s="127">
        <f>SUMIF(Daily!3:3,Table!HS1,Daily!7:8)</f>
        <v/>
      </c>
      <c r="HT2" s="127">
        <f>SUMIF(Daily!3:3,Table!HT1,Daily!7:8)</f>
        <v/>
      </c>
      <c r="HU2" s="127">
        <f>SUMIF(Daily!3:3,Table!HU1,Daily!7:8)</f>
        <v/>
      </c>
      <c r="HV2" s="127" t="n">
        <v>77.3233</v>
      </c>
      <c r="HW2" s="127" t="n">
        <v>77.95099999999999</v>
      </c>
      <c r="HX2" s="127" t="n">
        <v>79.3563</v>
      </c>
      <c r="HY2" s="127" t="n">
        <v>79.4961</v>
      </c>
      <c r="HZ2" s="127" t="n">
        <v>80.6713</v>
      </c>
      <c r="IA2" s="127" t="n">
        <v>82.39879999999999</v>
      </c>
      <c r="IB2" s="127" t="n">
        <v>81.7441</v>
      </c>
      <c r="IC2" s="127" t="n">
        <v>82.1799</v>
      </c>
      <c r="ID2" s="127" t="n">
        <v>82.0934</v>
      </c>
      <c r="IE2" s="127" t="n">
        <v>81.6758</v>
      </c>
      <c r="IF2" s="127" t="n">
        <v>81.50449999999999</v>
      </c>
      <c r="IG2" s="127" t="n">
        <v>81.6279</v>
      </c>
      <c r="IH2" s="127" t="n">
        <v>81.6028</v>
      </c>
      <c r="II2" s="127" t="n">
        <v>81.6549</v>
      </c>
      <c r="IJ2" s="127" t="n">
        <v>81.61879999999999</v>
      </c>
      <c r="IK2" s="127" t="n">
        <v>81.4863</v>
      </c>
      <c r="IL2" s="127" t="n">
        <v>81.2745</v>
      </c>
      <c r="IM2" s="127" t="n">
        <v>81.54989999999999</v>
      </c>
      <c r="IN2" s="127" t="n">
        <v>81.62739999999999</v>
      </c>
      <c r="IO2" s="127" t="n">
        <v>81.56010000000001</v>
      </c>
      <c r="IP2" s="127" t="n">
        <v>80.5093</v>
      </c>
      <c r="IQ2" s="127" t="n">
        <v>79.9609</v>
      </c>
      <c r="IR2" s="127" t="n">
        <v>79.30710000000001</v>
      </c>
      <c r="IS2" s="127" t="n">
        <v>78.6139</v>
      </c>
      <c r="IT2" s="127" t="n">
        <v>76.8207</v>
      </c>
      <c r="IU2" s="127" t="n">
        <v>76.69289999999999</v>
      </c>
      <c r="IV2" s="127" t="n">
        <v>75.88460000000001</v>
      </c>
      <c r="IW2" s="127" t="n">
        <v>77.2041</v>
      </c>
      <c r="IX2" s="127" t="n">
        <v>79.10039999999999</v>
      </c>
      <c r="IY2" s="127">
        <f>SUMIF(Daily!3:3,Table!IY1,Daily!7:8)</f>
        <v/>
      </c>
      <c r="IZ2" s="127" t="n">
        <v>80.03660000000001</v>
      </c>
      <c r="JA2" s="127" t="n">
        <v>79.9093</v>
      </c>
      <c r="JB2" s="127" t="n">
        <v>79.9379</v>
      </c>
      <c r="JC2" s="127" t="n">
        <v>80.1665</v>
      </c>
      <c r="JD2" s="127" t="n">
        <v>79.9669</v>
      </c>
      <c r="JE2" s="127" t="n">
        <v>79.9841</v>
      </c>
      <c r="JF2" s="127" t="n">
        <v>79.9667</v>
      </c>
      <c r="JG2" s="127" t="n">
        <v>80.05549999999999</v>
      </c>
      <c r="JH2" s="127" t="n">
        <v>80.6872</v>
      </c>
      <c r="JI2" s="127" t="n">
        <v>80.99420000000001</v>
      </c>
      <c r="JJ2" s="127" t="n">
        <v>80.9657</v>
      </c>
      <c r="JK2" s="127" t="n">
        <v>80.87560000000001</v>
      </c>
      <c r="JL2" s="127" t="n">
        <v>81.32940000000001</v>
      </c>
      <c r="JM2" s="127" t="n">
        <v>81.25020000000001</v>
      </c>
      <c r="JN2" s="127" t="n">
        <v>81.4581</v>
      </c>
      <c r="JO2" s="127" t="n">
        <v>82.093</v>
      </c>
      <c r="JP2" s="127" t="n">
        <v>82.6417</v>
      </c>
      <c r="JQ2" s="127" t="n">
        <v>83.6405</v>
      </c>
      <c r="JR2" s="127" t="n">
        <v>84.3249</v>
      </c>
      <c r="JS2" s="127">
        <f>SUMIF(Daily!3:3,Table!JS1,Daily!7:8)</f>
        <v/>
      </c>
      <c r="JT2" s="127" t="n">
        <v>83.6498</v>
      </c>
      <c r="JU2" s="127" t="n">
        <v>83.9866</v>
      </c>
      <c r="JV2" s="127" t="n">
        <v>84.2336</v>
      </c>
      <c r="JW2" s="127" t="n">
        <v>84.2467</v>
      </c>
      <c r="JX2" s="127" t="n">
        <v>83.60769999999999</v>
      </c>
      <c r="JY2" s="127" t="n">
        <v>84.0793</v>
      </c>
      <c r="JZ2" s="127" t="n">
        <v>84.66</v>
      </c>
      <c r="KA2" s="127" t="n">
        <v>85.0504</v>
      </c>
      <c r="KB2" s="127" t="n">
        <v>85.61920000000001</v>
      </c>
      <c r="KC2" s="127" t="n">
        <v>87.0341</v>
      </c>
      <c r="KD2" s="127" t="n">
        <v>88.3844</v>
      </c>
      <c r="KE2" s="127" t="n">
        <v>89.32550000000001</v>
      </c>
      <c r="KF2" s="127" t="n">
        <v>89.545</v>
      </c>
      <c r="KG2" s="127" t="n">
        <v>90.33799999999999</v>
      </c>
      <c r="KH2" s="127" t="n">
        <v>92.56950000000001</v>
      </c>
      <c r="KI2" s="127" t="n">
        <v>91.6879</v>
      </c>
      <c r="KJ2" s="127">
        <f>SUMIF(Daily!3:3,Table!KJ1,Daily!7:8)</f>
        <v/>
      </c>
      <c r="KK2" s="127" t="n">
        <v>90.50449999999999</v>
      </c>
      <c r="KL2" s="127" t="n">
        <v>90.6253</v>
      </c>
      <c r="KM2" s="127" t="n">
        <v>90.17570000000001</v>
      </c>
      <c r="KN2" s="127" t="n">
        <v>90.119</v>
      </c>
      <c r="KO2" s="127" t="n">
        <v>90.4217</v>
      </c>
      <c r="KP2" s="127" t="n">
        <v>90.6906</v>
      </c>
      <c r="KQ2" s="127" t="n">
        <v>91.2046</v>
      </c>
      <c r="KR2" s="127" t="n">
        <v>90.8545</v>
      </c>
      <c r="KS2" s="127">
        <f>SUMIF(Daily!3:3,Table!KS1,Daily!7:8)</f>
        <v/>
      </c>
      <c r="KT2" s="127" t="n">
        <v>90.489</v>
      </c>
      <c r="KU2" s="127">
        <f>SUMIF(Daily!3:3,Table!KU1,Daily!7:8)</f>
        <v/>
      </c>
      <c r="KV2" s="127">
        <f>SUMIF(Daily!3:3,Table!KV1,Daily!7:8)</f>
        <v/>
      </c>
      <c r="KW2" s="127">
        <f>SUMIF(Daily!3:3,Table!KW1,Daily!7:8)</f>
        <v/>
      </c>
      <c r="KX2" s="127" t="n">
        <v>93.7792</v>
      </c>
      <c r="KY2" s="127" t="n">
        <v>94.80759999999999</v>
      </c>
      <c r="KZ2" s="127" t="n">
        <v>96.5668</v>
      </c>
      <c r="LA2" s="127" t="n">
        <v>96.07550000000001</v>
      </c>
      <c r="LB2" s="127" t="n">
        <v>97.3999</v>
      </c>
      <c r="LC2" s="127" t="n">
        <v>97.2794</v>
      </c>
      <c r="LD2" s="127" t="n">
        <v>98.20659999999999</v>
      </c>
      <c r="LE2" s="127">
        <f>SUMIF(Daily!3:3,Table!LE1,Daily!7:8)</f>
        <v/>
      </c>
      <c r="LF2" s="966" t="n">
        <v>97.4217</v>
      </c>
      <c r="LG2" s="966" t="n">
        <v>96.7045</v>
      </c>
      <c r="LH2" s="966" t="n">
        <v>93.746</v>
      </c>
      <c r="LI2" s="966" t="n">
        <v>93.40470000000001</v>
      </c>
      <c r="LJ2" s="966" t="n">
        <v>94.14239999999999</v>
      </c>
      <c r="LK2" s="966" t="n">
        <v>94.1185</v>
      </c>
      <c r="LL2" s="966" t="n">
        <v>94.4421</v>
      </c>
      <c r="LM2" s="966" t="n">
        <v>94.4007</v>
      </c>
      <c r="LN2" s="966" t="n">
        <v>94.71169999999999</v>
      </c>
      <c r="LO2" s="966" t="n">
        <v>95.4717</v>
      </c>
      <c r="LP2" s="966" t="n">
        <v>95.70699999999999</v>
      </c>
      <c r="LQ2" s="966" t="n">
        <v>95.92829999999999</v>
      </c>
      <c r="LR2" s="966" t="n">
        <v>96.3344</v>
      </c>
      <c r="LS2" s="966" t="n">
        <v>96.3411</v>
      </c>
      <c r="LT2" s="966" t="n">
        <v>96.6199</v>
      </c>
      <c r="LU2" s="966" t="n">
        <v>97.53830000000001</v>
      </c>
      <c r="LV2" s="966" t="n">
        <v>97.8439</v>
      </c>
      <c r="LW2" s="966" t="n">
        <v>98.1961</v>
      </c>
      <c r="LX2" s="966" t="n">
        <v>97.9241</v>
      </c>
      <c r="LY2" s="966" t="n">
        <v>96.50830000000001</v>
      </c>
      <c r="LZ2" s="966" t="n">
        <v>94.70350000000001</v>
      </c>
      <c r="MA2" s="966" t="n">
        <v>95.9794</v>
      </c>
      <c r="MB2" s="966" t="n">
        <v>96.1609</v>
      </c>
      <c r="MC2" s="966" t="n">
        <v>96.63379999999999</v>
      </c>
      <c r="MD2" s="966" t="n">
        <v>96.6472</v>
      </c>
      <c r="ME2" s="966" t="n">
        <v>96.2236</v>
      </c>
      <c r="MF2" s="966" t="n">
        <v>96.6172</v>
      </c>
      <c r="MG2" s="966" t="n">
        <v>96.0762</v>
      </c>
      <c r="MH2" s="966" t="n">
        <v>96.0419</v>
      </c>
      <c r="MI2" s="966" t="n">
        <v>96.1456</v>
      </c>
      <c r="MJ2" s="966" t="n">
        <v>96.23779999999999</v>
      </c>
      <c r="MK2" s="966" t="n">
        <v>96.5</v>
      </c>
      <c r="ML2" s="966" t="n">
        <v>97.0018</v>
      </c>
      <c r="MM2" s="966" t="n">
        <v>97.4147</v>
      </c>
      <c r="MN2" s="966" t="n">
        <v>98.4785</v>
      </c>
      <c r="MO2" s="966" t="n">
        <v>99.2677</v>
      </c>
      <c r="MP2" s="966" t="n">
        <v>99.4555</v>
      </c>
      <c r="MQ2" s="966" t="n">
        <v>99.67619999999999</v>
      </c>
      <c r="MR2" s="966" t="n">
        <v>100.4911</v>
      </c>
      <c r="MS2" s="966" t="n">
        <v>101.3598</v>
      </c>
      <c r="MT2" s="966" t="n">
        <v>99.9349</v>
      </c>
      <c r="MU2" s="966" t="n">
        <v>99.9808</v>
      </c>
      <c r="MV2" s="966" t="n">
        <v>96.9948</v>
      </c>
      <c r="MW2" s="966" t="n">
        <v>97.3075</v>
      </c>
      <c r="MX2" s="966" t="n">
        <v>97.2865</v>
      </c>
      <c r="MY2" s="966" t="n">
        <v>97.3458</v>
      </c>
      <c r="MZ2" s="966" t="n">
        <v>97.3724</v>
      </c>
      <c r="NA2" s="966" t="n">
        <v>97.3074</v>
      </c>
      <c r="NB2" s="966" t="n">
        <v>95.9053</v>
      </c>
      <c r="NC2" s="966" t="n">
        <v>94.7081</v>
      </c>
      <c r="ND2" s="966" t="n">
        <v>93.5224</v>
      </c>
      <c r="NE2" s="966" t="n">
        <v>93.1507</v>
      </c>
      <c r="NF2" s="966" t="n">
        <v>93.5616</v>
      </c>
      <c r="NG2" s="966" t="n">
        <v>93.2174</v>
      </c>
      <c r="NH2" s="966" t="n">
        <v>93.2435</v>
      </c>
      <c r="NI2" s="966" t="n">
        <v>92.0226</v>
      </c>
      <c r="NJ2" s="966" t="n">
        <v>93.2801</v>
      </c>
      <c r="NK2" s="966" t="n">
        <v>93.173</v>
      </c>
      <c r="NL2" s="966" t="n">
        <v>93.0351</v>
      </c>
      <c r="NM2" s="966" t="n">
        <v>92.4151</v>
      </c>
      <c r="NN2" s="966" t="n">
        <v>92.1973</v>
      </c>
      <c r="NO2" s="966" t="n">
        <v>91.92659999999999</v>
      </c>
      <c r="NP2" s="966" t="n">
        <v>92.0535</v>
      </c>
      <c r="NQ2" s="966" t="n">
        <v>92.1185</v>
      </c>
      <c r="NR2" s="966" t="n">
        <v>91.25700000000001</v>
      </c>
      <c r="NS2" s="966" t="n">
        <v>89.45650000000001</v>
      </c>
      <c r="NT2" s="966" t="n">
        <v>88.9466</v>
      </c>
      <c r="NU2" s="966">
        <f>SUMIF(Daily!3:3,Table!NU1,Daily!7:8)</f>
        <v/>
      </c>
      <c r="NV2" s="966" t="n">
        <v>88.4954</v>
      </c>
      <c r="NW2" s="966" t="n">
        <v>87.87009999999999</v>
      </c>
      <c r="NX2" s="966" t="n">
        <v>88.1648</v>
      </c>
      <c r="NY2" s="966" t="n">
        <v>88.1206</v>
      </c>
      <c r="NZ2" s="966" t="n">
        <v>88.8133</v>
      </c>
      <c r="OA2" s="966" t="n">
        <v>88.7045</v>
      </c>
      <c r="OB2" s="966" t="n">
        <v>88.61020000000001</v>
      </c>
      <c r="OC2" s="966" t="n">
        <v>88.8841</v>
      </c>
      <c r="OD2" s="966" t="n">
        <v>88.5819</v>
      </c>
      <c r="OE2" s="966" t="n">
        <v>89.7619</v>
      </c>
      <c r="OF2" s="966" t="n">
        <v>90.6728</v>
      </c>
      <c r="OG2" s="966" t="n">
        <v>91.5823</v>
      </c>
      <c r="OH2" s="966" t="n">
        <v>92.7826</v>
      </c>
      <c r="OI2" s="966" t="n">
        <v>92.5654</v>
      </c>
      <c r="OJ2" s="966" t="n">
        <v>91.64019999999999</v>
      </c>
      <c r="OK2" s="966" t="n">
        <v>90.9846</v>
      </c>
      <c r="OL2" s="966" t="n">
        <v>90.2158</v>
      </c>
      <c r="OM2" s="966" t="n">
        <v>89.8926</v>
      </c>
      <c r="ON2" s="966" t="n">
        <v>89.6741</v>
      </c>
      <c r="OO2" s="966" t="n">
        <v>89.6966</v>
      </c>
      <c r="OP2" s="966" t="n">
        <v>90.4162</v>
      </c>
      <c r="OQ2" s="966" t="n">
        <v>90.087</v>
      </c>
      <c r="OR2" s="966" t="n">
        <v>90.40560000000001</v>
      </c>
      <c r="OS2" s="966" t="n">
        <v>91.7062</v>
      </c>
      <c r="OT2" s="966" t="n">
        <v>91.9389</v>
      </c>
      <c r="OU2" s="966" t="n">
        <v>91.96899999999999</v>
      </c>
      <c r="OV2" s="966" t="n">
        <v>91.7069</v>
      </c>
      <c r="OW2" s="966" t="n">
        <v>91.7051</v>
      </c>
      <c r="OX2" s="966" t="n">
        <v>90.30410000000001</v>
      </c>
      <c r="OY2" s="966" t="n">
        <v>89.6883</v>
      </c>
      <c r="OZ2" s="966" t="n">
        <v>90.404</v>
      </c>
      <c r="PA2" s="966" t="n">
        <v>89.3939</v>
      </c>
      <c r="PB2" s="966" t="n">
        <v>88.7818</v>
      </c>
      <c r="PC2" s="966" t="n">
        <v>88.1324</v>
      </c>
      <c r="PD2" s="966" t="n">
        <v>87.6772</v>
      </c>
      <c r="PE2" s="966" t="n">
        <v>87.64570000000001</v>
      </c>
      <c r="PF2" s="966" t="n">
        <v>88.354</v>
      </c>
      <c r="PG2" s="966" t="n">
        <v>88.661</v>
      </c>
      <c r="PH2" s="966" t="n">
        <v>88.5896</v>
      </c>
      <c r="PI2" s="966" t="n">
        <v>87.97239999999999</v>
      </c>
      <c r="PJ2" s="966" t="n">
        <v>87.9199</v>
      </c>
      <c r="PK2" s="966" t="n">
        <v>88.2829</v>
      </c>
      <c r="PL2" s="966" t="n">
        <v>88.6562</v>
      </c>
      <c r="PM2" s="966" t="n">
        <v>89.5159</v>
      </c>
      <c r="PN2" s="966" t="n">
        <v>89.60899999999999</v>
      </c>
      <c r="PO2" s="966" t="n">
        <v>89.28870000000001</v>
      </c>
      <c r="PP2" s="966" t="n">
        <v>89.6678</v>
      </c>
      <c r="PQ2" s="966" t="n">
        <v>90.2299</v>
      </c>
      <c r="PR2" s="966" t="n">
        <v>90.6626</v>
      </c>
      <c r="PS2" s="966" t="n">
        <v>91.24339999999999</v>
      </c>
      <c r="PT2" s="966" t="n">
        <v>90.6842</v>
      </c>
      <c r="PU2" s="966" t="n">
        <v>91.1514</v>
      </c>
      <c r="PV2" s="966" t="n">
        <v>91.2561</v>
      </c>
      <c r="PW2" s="966" t="n">
        <v>90.8901</v>
      </c>
      <c r="PX2" s="966" t="n">
        <v>91.0758</v>
      </c>
      <c r="PY2" s="966" t="n">
        <v>91.20569999999999</v>
      </c>
      <c r="PZ2" s="966" t="n">
        <v>91.4316</v>
      </c>
      <c r="QA2" s="966" t="n">
        <v>91.8237</v>
      </c>
      <c r="QB2" s="966" t="n">
        <v>92.5492</v>
      </c>
      <c r="QC2" s="966" t="n">
        <v>92.4102</v>
      </c>
      <c r="QD2" s="966" t="n">
        <v>92.349</v>
      </c>
      <c r="QE2" s="966" t="n">
        <v>92.4387</v>
      </c>
      <c r="QF2" s="966" t="n">
        <v>92.75190000000001</v>
      </c>
      <c r="QG2" s="966" t="n">
        <v>92.63209999999999</v>
      </c>
      <c r="QH2" s="966">
        <f>SUMIF(Daily!3:3,Table!QH1,Daily!7:8)</f>
        <v/>
      </c>
      <c r="QI2" s="966" t="n">
        <v>91.86920000000001</v>
      </c>
      <c r="QJ2" s="966" t="n">
        <v>90.84229999999999</v>
      </c>
      <c r="QK2" s="966" t="n">
        <v>91.3336</v>
      </c>
      <c r="QL2" s="966" t="n">
        <v>91.35339999999999</v>
      </c>
      <c r="QM2" s="966" t="n">
        <v>91.1604</v>
      </c>
      <c r="QN2" s="966" t="n">
        <v>90.3412</v>
      </c>
      <c r="QO2" s="966" t="n">
        <v>90.74930000000001</v>
      </c>
      <c r="QP2" s="966" t="n">
        <v>90.62520000000001</v>
      </c>
      <c r="QQ2" s="966">
        <f>SUMIF(Daily!3:3,Table!QQ1,Daily!7:8)</f>
        <v/>
      </c>
      <c r="QR2" s="966">
        <f>SUMIF(Daily!3:3,Table!QR1,Daily!7:8)</f>
        <v/>
      </c>
      <c r="QS2" s="966" t="n">
        <v>91.63590000000001</v>
      </c>
      <c r="QT2" s="966" t="n">
        <v>91.87</v>
      </c>
      <c r="QU2" s="966" t="n">
        <v>91.9829</v>
      </c>
      <c r="QV2" s="966" t="n">
        <v>92.2243</v>
      </c>
      <c r="QW2" s="966" t="n">
        <v>92.6861</v>
      </c>
      <c r="QX2" s="966" t="n">
        <v>91.9499</v>
      </c>
      <c r="QY2" s="966" t="n">
        <v>92.6118</v>
      </c>
      <c r="QZ2" s="966" t="n">
        <v>92.7761</v>
      </c>
      <c r="RA2" s="966" t="n">
        <v>92.5745</v>
      </c>
      <c r="RB2" s="966" t="n">
        <v>92.5919</v>
      </c>
      <c r="RC2" s="966" t="n">
        <v>92.2628</v>
      </c>
      <c r="RD2" s="966" t="n">
        <v>92.366</v>
      </c>
      <c r="RE2" s="966" t="n">
        <v>92.2914</v>
      </c>
      <c r="RF2" s="966" t="n">
        <v>92.5254</v>
      </c>
      <c r="RG2" s="966">
        <f>SUMIF(Daily!3:3,Table!RG1,Daily!7:8)</f>
        <v/>
      </c>
      <c r="RH2" s="966" t="n">
        <v>92.3058</v>
      </c>
      <c r="RI2" s="966" t="n">
        <v>92.41549999999999</v>
      </c>
      <c r="RJ2" s="966" t="n">
        <v>92.581</v>
      </c>
      <c r="RK2" s="966" t="n">
        <v>92.74630000000001</v>
      </c>
      <c r="RL2" s="966" t="n">
        <v>93.21980000000001</v>
      </c>
      <c r="RM2" s="966" t="n">
        <v>93.7196</v>
      </c>
      <c r="RN2" s="966" t="n">
        <v>93.4419</v>
      </c>
      <c r="RO2" s="966" t="n">
        <v>93.5891</v>
      </c>
      <c r="RP2" s="966" t="n">
        <v>94.0742</v>
      </c>
      <c r="RQ2" s="966" t="n">
        <v>94.3242</v>
      </c>
      <c r="RR2" s="966" t="n">
        <v>94.09220000000001</v>
      </c>
      <c r="RS2" s="966" t="n">
        <v>93.4409</v>
      </c>
      <c r="RT2" s="966" t="n">
        <v>93.25190000000001</v>
      </c>
      <c r="RU2" s="966" t="n">
        <v>93.29179999999999</v>
      </c>
      <c r="RV2" s="966" t="n">
        <v>92.50579999999999</v>
      </c>
      <c r="RW2" s="966" t="n">
        <v>92.1314</v>
      </c>
      <c r="RX2" s="966" t="n">
        <v>92.0134</v>
      </c>
      <c r="RY2" s="966" t="n">
        <v>91.7791</v>
      </c>
      <c r="RZ2" s="966" t="n">
        <v>92.0538</v>
      </c>
      <c r="SA2" s="966" t="n">
        <v>91.6918</v>
      </c>
      <c r="SB2" s="966" t="n">
        <v>91.3124</v>
      </c>
      <c r="SC2" s="966" t="n">
        <v>91.12309999999999</v>
      </c>
      <c r="SD2" s="966" t="n">
        <v>91.82389999999999</v>
      </c>
      <c r="SE2" s="966" t="n">
        <v>91.633</v>
      </c>
      <c r="SF2" s="966" t="n">
        <v>91.3591</v>
      </c>
      <c r="SG2" s="966" t="n">
        <v>91.2573</v>
      </c>
      <c r="SH2" s="966" t="n">
        <v>90.9239</v>
      </c>
      <c r="SI2" s="966" t="n">
        <v>90.9873</v>
      </c>
      <c r="SJ2" s="966" t="n">
        <v>90.6537</v>
      </c>
      <c r="SK2" s="966" t="n">
        <v>90.40819999999999</v>
      </c>
      <c r="SL2" s="966" t="n">
        <v>90.1887</v>
      </c>
      <c r="SM2" s="966" t="n">
        <v>90.2486</v>
      </c>
      <c r="SN2" s="966" t="n">
        <v>89.7026</v>
      </c>
      <c r="SO2" s="966" t="n">
        <v>88.68519999999999</v>
      </c>
      <c r="SP2" s="966" t="n">
        <v>88.4375</v>
      </c>
      <c r="SQ2" s="966" t="n">
        <v>89.2589</v>
      </c>
      <c r="SR2" s="966" t="n">
        <v>89.7869</v>
      </c>
      <c r="SS2" s="966" t="n">
        <v>90.1915</v>
      </c>
      <c r="ST2" s="966" t="n">
        <v>89.3755</v>
      </c>
      <c r="SU2" s="966" t="n">
        <v>88.7574</v>
      </c>
      <c r="SV2" s="966" t="n">
        <v>88.7436</v>
      </c>
      <c r="SW2" s="966" t="n">
        <v>88.7604</v>
      </c>
      <c r="SX2" s="966" t="n">
        <v>88.7606</v>
      </c>
      <c r="SY2" s="966" t="n">
        <v>88.9944</v>
      </c>
      <c r="SZ2" s="966" t="n">
        <v>89.0214</v>
      </c>
      <c r="TA2" s="966" t="n">
        <v>88.208</v>
      </c>
      <c r="TB2" s="966" t="n">
        <v>89.0658</v>
      </c>
      <c r="TC2" s="966" t="n">
        <v>89.04989999999999</v>
      </c>
      <c r="TD2" s="966" t="n">
        <v>87.0354</v>
      </c>
      <c r="TE2" s="966">
        <f>SUMIF(Daily!3:3,Table!TE1,Daily!7:8)</f>
        <v/>
      </c>
      <c r="TF2" s="966">
        <f>SUMIF(Daily!3:3,Table!TF1,Daily!7:8)</f>
        <v/>
      </c>
      <c r="TG2" s="966" t="n">
        <v>87.2972</v>
      </c>
      <c r="TH2" s="966" t="n">
        <v>88.1688</v>
      </c>
      <c r="TI2" s="966" t="n">
        <v>87.7427</v>
      </c>
      <c r="TJ2" s="966" t="n">
        <v>87.8077</v>
      </c>
      <c r="TK2" s="966" t="n">
        <v>87.7805</v>
      </c>
      <c r="TL2" s="966" t="n">
        <v>88.0872</v>
      </c>
      <c r="TM2" s="966" t="n">
        <v>85.565</v>
      </c>
      <c r="TN2" s="966" t="n">
        <v>86.33</v>
      </c>
      <c r="TO2" s="966" t="n">
        <v>85.7024</v>
      </c>
      <c r="TP2" s="966" t="n">
        <v>86.5621</v>
      </c>
      <c r="TQ2" s="966" t="n">
        <v>89.94750000000001</v>
      </c>
      <c r="TR2" s="966" t="n">
        <v>90.6944</v>
      </c>
      <c r="TS2" s="966" t="n">
        <v>91.6862</v>
      </c>
      <c r="TT2" s="966" t="n">
        <v>91.2881</v>
      </c>
      <c r="TU2" s="966" t="n">
        <v>91.7745</v>
      </c>
      <c r="TV2" s="966" t="n">
        <v>91.4807</v>
      </c>
      <c r="TW2" s="966" t="n">
        <v>91.18680000000001</v>
      </c>
      <c r="TX2" s="966" t="n">
        <v>88.6118</v>
      </c>
      <c r="TY2" s="966" t="n">
        <v>88.9288</v>
      </c>
      <c r="TZ2" s="966">
        <f>SUMIF(Daily!3:3,Table!TZ1,Daily!7:8)</f>
        <v/>
      </c>
      <c r="UA2" s="966">
        <f>SUMIF(Daily!3:3,Table!UA1,Daily!7:8)</f>
        <v/>
      </c>
      <c r="UB2" s="966">
        <f>SUMIF(Daily!3:3,Table!UB1,Daily!7:8)</f>
        <v/>
      </c>
      <c r="UC2" s="966">
        <f>SUMIF(Daily!3:3,Table!UC1,Daily!7:8)</f>
        <v/>
      </c>
      <c r="UD2" s="966">
        <f>SUMIF(Daily!3:3,Table!UD1,Daily!7:8)</f>
        <v/>
      </c>
      <c r="UE2" s="966">
        <f>SUMIF(Daily!3:3,Table!UE1,Daily!7:8)</f>
        <v/>
      </c>
      <c r="UF2" s="966" t="n">
        <v>92.38800000000001</v>
      </c>
      <c r="UG2" s="966" t="n">
        <v>92.71259999999999</v>
      </c>
      <c r="UH2" s="966" t="n">
        <v>93.2221</v>
      </c>
      <c r="UI2" s="966" t="n">
        <v>93.35809999999999</v>
      </c>
      <c r="UJ2" s="966" t="n">
        <v>97.2394</v>
      </c>
      <c r="UK2" s="966" t="n">
        <v>96.0686</v>
      </c>
      <c r="UL2" s="966" t="n">
        <v>96.10209999999999</v>
      </c>
      <c r="UM2" s="966" t="n">
        <v>97.149</v>
      </c>
      <c r="UN2" s="966" t="n">
        <v>96.59180000000001</v>
      </c>
      <c r="UO2" s="966" t="n">
        <v>96.6379</v>
      </c>
      <c r="UP2" s="966" t="n">
        <v>96.7402</v>
      </c>
      <c r="UQ2" s="966" t="n">
        <v>97.3261</v>
      </c>
      <c r="UR2" s="966" t="n">
        <v>97.0226</v>
      </c>
      <c r="US2" s="966" t="n">
        <v>97.4402</v>
      </c>
      <c r="UT2" s="966" t="n">
        <v>97.54989999999999</v>
      </c>
      <c r="UU2" s="966" t="n">
        <v>98.07259999999999</v>
      </c>
      <c r="UV2" s="966" t="n">
        <v>97.955</v>
      </c>
      <c r="UW2" s="966" t="n">
        <v>97.9559</v>
      </c>
      <c r="UX2" s="966" t="n">
        <v>98.3657</v>
      </c>
      <c r="UY2" s="966" t="n">
        <v>99.997</v>
      </c>
      <c r="UZ2" s="966" t="n">
        <v>100.0348</v>
      </c>
      <c r="VA2" s="966" t="n">
        <v>100.2192</v>
      </c>
      <c r="VB2" s="966" t="n">
        <v>103.7908</v>
      </c>
      <c r="VC2" s="966" t="n">
        <v>109.5782</v>
      </c>
      <c r="VD2" s="966" t="n">
        <v>107.7409</v>
      </c>
      <c r="VE2" s="966" t="n">
        <v>107.1758</v>
      </c>
      <c r="VF2" s="966" t="n">
        <v>103.3837</v>
      </c>
      <c r="VG2" s="966" t="n">
        <v>103.2707</v>
      </c>
      <c r="VH2" s="966" t="n">
        <v>103.4305</v>
      </c>
      <c r="VI2" s="966" t="n">
        <v>102.7763</v>
      </c>
      <c r="VJ2" s="966" t="n">
        <v>102.3438</v>
      </c>
      <c r="VK2" s="966" t="n">
        <v>99.6125</v>
      </c>
      <c r="VL2" s="966" t="n">
        <v>101.6797</v>
      </c>
      <c r="VM2" s="966" t="n">
        <v>101.9146</v>
      </c>
      <c r="VN2" s="966" t="n">
        <v>102.7081</v>
      </c>
      <c r="VO2" s="966" t="n">
        <v>102.3762</v>
      </c>
      <c r="VP2" s="966" t="n">
        <v>102.4137</v>
      </c>
      <c r="VQ2" s="966" t="n">
        <v>99.9282</v>
      </c>
      <c r="VR2" s="966" t="n">
        <v>98.2636</v>
      </c>
      <c r="VS2" s="966" t="n">
        <v>98.01260000000001</v>
      </c>
      <c r="VT2" s="966" t="n">
        <v>99.94329999999999</v>
      </c>
      <c r="VU2" s="966" t="n">
        <v>98.53360000000001</v>
      </c>
      <c r="VV2" s="966" t="n">
        <v>96.9104</v>
      </c>
      <c r="VW2" s="966" t="n">
        <v>97.2762</v>
      </c>
      <c r="VX2" s="966" t="n">
        <v>91.0313</v>
      </c>
      <c r="VY2" s="966" t="n">
        <v>91.43470000000001</v>
      </c>
      <c r="VZ2" s="966" t="n">
        <v>90.4268</v>
      </c>
      <c r="WA2" s="966" t="n">
        <v>88.16759999999999</v>
      </c>
      <c r="WB2" s="966" t="n">
        <v>86.6318</v>
      </c>
      <c r="WC2" s="966" t="n">
        <v>87.69670000000001</v>
      </c>
      <c r="WD2" s="966" t="n">
        <v>89.2448</v>
      </c>
      <c r="WE2" s="966" t="n">
        <v>88.38720000000001</v>
      </c>
      <c r="WF2" s="966" t="n">
        <v>86.5669</v>
      </c>
      <c r="WG2" s="966" t="n">
        <v>85.5694</v>
      </c>
      <c r="WH2" s="966" t="n">
        <v>81.5018</v>
      </c>
      <c r="WI2" s="966" t="n">
        <v>82.84869999999999</v>
      </c>
      <c r="WJ2" s="966" t="n">
        <v>84.64</v>
      </c>
      <c r="WK2" s="966" t="n">
        <v>84.193</v>
      </c>
      <c r="WL2" s="966" t="n">
        <v>84.20650000000001</v>
      </c>
      <c r="WM2" s="966" t="n">
        <v>83.8347</v>
      </c>
      <c r="WN2" s="966" t="n">
        <v>85.49630000000001</v>
      </c>
      <c r="WO2" s="966" t="n">
        <v>84.5522</v>
      </c>
      <c r="WP2" s="966" t="n">
        <v>84.2774</v>
      </c>
      <c r="WQ2" s="966" t="n">
        <v>85.4641</v>
      </c>
      <c r="WR2" s="966">
        <f>SUMIF(Daily!3:3,Table!WR1,Daily!7:8)</f>
        <v/>
      </c>
      <c r="WS2" s="966">
        <f>SUMIF(Daily!3:3,Table!WS1,Daily!7:8)</f>
        <v/>
      </c>
      <c r="WT2" s="966">
        <f>SUMIF(Daily!3:3,Table!WT1,Daily!7:8)</f>
        <v/>
      </c>
      <c r="WU2" s="966">
        <f>SUMIF(Daily!3:3,Table!WU1,Daily!7:8)</f>
        <v/>
      </c>
      <c r="WV2" s="966">
        <f>SUMIF(Daily!3:3,Table!WV1,Daily!7:8)</f>
        <v/>
      </c>
      <c r="WW2" s="966" t="n">
        <v>82.6549</v>
      </c>
      <c r="WX2" s="966" t="n">
        <v>81.5616</v>
      </c>
      <c r="WY2" s="966" t="n">
        <v>81.4933</v>
      </c>
      <c r="WZ2" s="966" t="n">
        <v>81.91370000000001</v>
      </c>
      <c r="XA2" s="966" t="n">
        <v>80.9644</v>
      </c>
      <c r="XB2" s="966" t="n">
        <v>80.8612</v>
      </c>
      <c r="XC2" s="966" t="n">
        <v>80.8883</v>
      </c>
      <c r="XD2" s="966" t="n">
        <v>80.22369999999999</v>
      </c>
      <c r="XE2" s="966" t="n">
        <v>80.41370000000001</v>
      </c>
      <c r="XF2" s="966" t="n">
        <v>79.753</v>
      </c>
      <c r="XG2" s="966" t="n">
        <v>79.71080000000001</v>
      </c>
      <c r="XH2" s="966" t="n">
        <v>79.6588</v>
      </c>
      <c r="XI2" s="966" t="n">
        <v>79.1285</v>
      </c>
      <c r="XJ2" s="966" t="n">
        <v>78.8549</v>
      </c>
      <c r="XK2" s="966" t="n">
        <v>79.1272</v>
      </c>
      <c r="XL2" s="966" t="n">
        <v>79.1703</v>
      </c>
      <c r="XM2" s="966" t="n">
        <v>79.00279999999999</v>
      </c>
      <c r="XN2" s="966" t="n">
        <v>78.5067</v>
      </c>
      <c r="XO2" s="966" t="n">
        <v>78.7135</v>
      </c>
      <c r="XP2" s="966" t="n">
        <v>78.2923</v>
      </c>
      <c r="XQ2" s="966" t="n">
        <v>78.46850000000001</v>
      </c>
      <c r="XR2" s="966" t="n">
        <v>78.4181</v>
      </c>
      <c r="XS2" s="966" t="n">
        <v>78.7831</v>
      </c>
      <c r="XT2" s="966" t="n">
        <v>78.83540000000001</v>
      </c>
      <c r="XU2" s="966" t="n">
        <v>78.71850000000001</v>
      </c>
      <c r="XV2" s="966" t="n">
        <v>78.1682</v>
      </c>
      <c r="XW2" s="966" t="n">
        <v>78.17270000000001</v>
      </c>
      <c r="XX2" s="966" t="n">
        <v>77.9029</v>
      </c>
      <c r="XY2" s="966" t="n">
        <v>78.37220000000001</v>
      </c>
      <c r="XZ2" s="966" t="n">
        <v>78.18559999999999</v>
      </c>
      <c r="YA2" s="966" t="n">
        <v>78.3129</v>
      </c>
      <c r="YB2" s="966" t="n">
        <v>78.0882</v>
      </c>
      <c r="YC2" s="966" t="n">
        <v>78.8623</v>
      </c>
      <c r="YD2" s="966" t="n">
        <v>82.2197</v>
      </c>
      <c r="YE2" s="966" t="n">
        <v>80.3163</v>
      </c>
      <c r="YF2" s="966" t="n">
        <v>80.04900000000001</v>
      </c>
      <c r="YG2" s="966" t="n">
        <v>80.1914</v>
      </c>
      <c r="YH2" s="966" t="n">
        <v>79.7796</v>
      </c>
      <c r="YI2" s="966" t="n">
        <v>79.87139999999999</v>
      </c>
      <c r="YJ2" s="1525">
        <f>SUMIF(Daily!3:3,Table!YJ1,Daily!7:8)</f>
        <v/>
      </c>
    </row>
    <row r="3" customFormat="1" s="943">
      <c r="B3" s="915" t="inlineStr">
        <is>
          <t xml:space="preserve">  Total RUSSIA          (M.RUB)</t>
        </is>
      </c>
      <c r="C3" s="1526">
        <f>C11+C25+C43+C49</f>
        <v/>
      </c>
      <c r="D3" s="1526">
        <f>D11+D25+D43+D49</f>
        <v/>
      </c>
      <c r="E3" s="1526">
        <f>E11+E25+E43+E49</f>
        <v/>
      </c>
      <c r="F3" s="1526">
        <f>F11+F25+F43+F49</f>
        <v/>
      </c>
      <c r="G3" s="1526">
        <f>G11+G25+G43+G49</f>
        <v/>
      </c>
      <c r="H3" s="1526">
        <f>H11+H25+H43+H49</f>
        <v/>
      </c>
      <c r="I3" s="1526">
        <f>I11+I25+I43+I49</f>
        <v/>
      </c>
      <c r="J3" s="1526">
        <f>J11+J25+J43+J49</f>
        <v/>
      </c>
      <c r="K3" s="1526">
        <f>K11+K25+K43+K49</f>
        <v/>
      </c>
      <c r="L3" s="1526">
        <f>L11+L25+L43+L49</f>
        <v/>
      </c>
      <c r="M3" s="1526">
        <f>M11+M25+M43+M49</f>
        <v/>
      </c>
      <c r="N3" s="1526">
        <f>N11+N25+N43+N49</f>
        <v/>
      </c>
      <c r="O3" s="1526">
        <f>O11+O25+O43+O49</f>
        <v/>
      </c>
      <c r="P3" s="1526">
        <f>P11+P25+P43+P49</f>
        <v/>
      </c>
      <c r="Q3" s="1526">
        <f>Q11+Q25+Q43+Q49</f>
        <v/>
      </c>
      <c r="R3" s="1526">
        <f>R11+R25+R43+R49</f>
        <v/>
      </c>
      <c r="S3" s="1526">
        <f>S11+S25+S43+S49</f>
        <v/>
      </c>
      <c r="T3" s="1526">
        <f>T11+T25+T43+T49</f>
        <v/>
      </c>
      <c r="U3" s="1526">
        <f>U11+U25+U43+U49</f>
        <v/>
      </c>
      <c r="V3" s="1526">
        <f>V11+V25+V43+V49</f>
        <v/>
      </c>
      <c r="W3" s="1526">
        <f>W11+W25+W43+W49</f>
        <v/>
      </c>
      <c r="X3" s="1526">
        <f>X11+X25+X43+X49</f>
        <v/>
      </c>
      <c r="Y3" s="1526">
        <f>Y11+Y25+Y43+Y49</f>
        <v/>
      </c>
      <c r="Z3" s="1526">
        <f>Z11+Z25+Z43+Z49</f>
        <v/>
      </c>
      <c r="AA3" s="1526">
        <f>AA11+AA25+AA43+AA49</f>
        <v/>
      </c>
      <c r="AB3" s="1526">
        <f>AB11+AB25+AB43+AB49</f>
        <v/>
      </c>
      <c r="AC3" s="1526">
        <f>AC11+AC25+AC43+AC49</f>
        <v/>
      </c>
      <c r="AD3" s="1526">
        <f>AD11+AD25+AD43+AD49</f>
        <v/>
      </c>
      <c r="AE3" s="1526">
        <f>AE11+AE25+AE43+AE49</f>
        <v/>
      </c>
      <c r="AF3" s="1526">
        <f>AF11+AF25+AF43+AF49</f>
        <v/>
      </c>
      <c r="AG3" s="1526">
        <f>AG11+AG25+AG43+AG49</f>
        <v/>
      </c>
      <c r="AH3" s="1526">
        <f>AH11+AH25+AH43+AH49</f>
        <v/>
      </c>
      <c r="AI3" s="1526">
        <f>AI11+AI25+AI43+AI49</f>
        <v/>
      </c>
      <c r="AJ3" s="1526">
        <f>AJ11+AJ25+AJ43+AJ49</f>
        <v/>
      </c>
      <c r="AK3" s="1526">
        <f>AK11+AK25+AK43+AK49</f>
        <v/>
      </c>
      <c r="AL3" s="1526">
        <f>AL11+AL25+AL43+AL49</f>
        <v/>
      </c>
      <c r="AM3" s="1526">
        <f>AM11+AM25+AM43+AM49</f>
        <v/>
      </c>
      <c r="AN3" s="1526">
        <f>AN11+AN25+AN43+AN49</f>
        <v/>
      </c>
      <c r="AO3" s="1526">
        <f>AO11+AO25+AO43+AO49</f>
        <v/>
      </c>
      <c r="AP3" s="1526">
        <f>AP11+AP25+AP43+AP49</f>
        <v/>
      </c>
      <c r="AQ3" s="1526">
        <f>AQ11+AQ25+AQ43+AQ49</f>
        <v/>
      </c>
      <c r="AR3" s="1526">
        <f>AR11+AR25+AR43+AR49</f>
        <v/>
      </c>
      <c r="AS3" s="1526">
        <f>AS11+AS25+AS43+AS49</f>
        <v/>
      </c>
      <c r="AT3" s="1526">
        <f>AT11+AT25+AT43+AT49</f>
        <v/>
      </c>
      <c r="AU3" s="1526">
        <f>AU11+AU25+AU43+AU49</f>
        <v/>
      </c>
      <c r="AV3" s="1526">
        <f>AV11+AV25+AV43+AV49</f>
        <v/>
      </c>
      <c r="AW3" s="1526">
        <f>AW11+AW25+AW43+AW49</f>
        <v/>
      </c>
      <c r="AX3" s="1526">
        <f>AX11+AX25+AX43+AX49</f>
        <v/>
      </c>
      <c r="AY3" s="1526">
        <f>AY11+AY25+AY43+AY49</f>
        <v/>
      </c>
      <c r="AZ3" s="1526">
        <f>AZ11+AZ25+AZ43+AZ49</f>
        <v/>
      </c>
      <c r="BA3" s="1526">
        <f>BA11+BA25+BA43+BA49</f>
        <v/>
      </c>
      <c r="BB3" s="1526">
        <f>BB11+BB25+BB43+BB49</f>
        <v/>
      </c>
      <c r="BC3" s="1526">
        <f>BC11+BC25+BC43+BC49</f>
        <v/>
      </c>
      <c r="BD3" s="1526">
        <f>BD11+BD25+BD43+BD49</f>
        <v/>
      </c>
      <c r="BE3" s="1526">
        <f>BE11+BE25+BE43+BE49</f>
        <v/>
      </c>
      <c r="BF3" s="1526">
        <f>BF11+BF25+BF43+BF49</f>
        <v/>
      </c>
      <c r="BG3" s="1526">
        <f>BG11+BG25+BG43+BG49</f>
        <v/>
      </c>
      <c r="BH3" s="1526">
        <f>BH11+BH25+BH43+BH49</f>
        <v/>
      </c>
      <c r="BI3" s="1526">
        <f>BI11+BI25+BI43+BI49</f>
        <v/>
      </c>
      <c r="BJ3" s="1526">
        <f>BJ11+BJ25+BJ43+BJ49</f>
        <v/>
      </c>
      <c r="BK3" s="1526">
        <f>BK11+BK25+BK43+BK49</f>
        <v/>
      </c>
      <c r="BL3" s="1526">
        <f>BL11+BL25+BL43+BL49</f>
        <v/>
      </c>
      <c r="BM3" s="1526">
        <f>BM11+BM25+BM43+BM49</f>
        <v/>
      </c>
      <c r="BN3" s="1526">
        <f>BN11+BN25+BN43+BN49</f>
        <v/>
      </c>
      <c r="BO3" s="1526">
        <f>BO11+BO25+BO43+BO49</f>
        <v/>
      </c>
      <c r="BP3" s="1526">
        <f>BP11+BP25+BP43+BP49</f>
        <v/>
      </c>
      <c r="BQ3" s="1526">
        <f>BQ11+BQ25+BQ43+BQ49</f>
        <v/>
      </c>
      <c r="BR3" s="1526">
        <f>BR11+BR25+BR43+BR49</f>
        <v/>
      </c>
      <c r="BS3" s="1526">
        <f>BS11+BS25+BS43+BS49</f>
        <v/>
      </c>
      <c r="BT3" s="1526">
        <f>BT11+BT25+BT43+BT49</f>
        <v/>
      </c>
      <c r="BU3" s="1526">
        <f>BU11+BU25+BU43+BU49</f>
        <v/>
      </c>
      <c r="BV3" s="1526">
        <f>BV11+BV25+BV43+BV49</f>
        <v/>
      </c>
      <c r="BW3" s="1526">
        <f>BW11+BW25+BW43+BW49</f>
        <v/>
      </c>
      <c r="BX3" s="1526">
        <f>BX11+BX25+BX43+BX49</f>
        <v/>
      </c>
      <c r="BY3" s="1526">
        <f>BY11+BY25+BY43+BY49</f>
        <v/>
      </c>
      <c r="BZ3" s="1526">
        <f>BZ11+BZ25+BZ43+BZ49</f>
        <v/>
      </c>
      <c r="CA3" s="1526">
        <f>CA11+CA25+CA43+CA49</f>
        <v/>
      </c>
      <c r="CB3" s="1526">
        <f>CB11+CB25+CB43+CB49</f>
        <v/>
      </c>
      <c r="CC3" s="1526">
        <f>CC11+CC25+CC43+CC49</f>
        <v/>
      </c>
      <c r="CD3" s="1526">
        <f>CD11+CD25+CD43+CD49</f>
        <v/>
      </c>
      <c r="CE3" s="1526">
        <f>CE11+CE25+CE43+CE49</f>
        <v/>
      </c>
      <c r="CF3" s="1526">
        <f>CF11+CF25+CF43+CF49</f>
        <v/>
      </c>
      <c r="CG3" s="1526">
        <f>CG11+CG25+CG43+CG49</f>
        <v/>
      </c>
      <c r="CH3" s="1526">
        <f>CH11+CH25+CH43+CH49</f>
        <v/>
      </c>
      <c r="CI3" s="1526">
        <f>CI11+CI25+CI43+CI49</f>
        <v/>
      </c>
      <c r="CJ3" s="1526">
        <f>CJ11+CJ25+CJ43+CJ49</f>
        <v/>
      </c>
      <c r="CK3" s="1526">
        <f>CK11+CK25+CK43+CK49</f>
        <v/>
      </c>
      <c r="CL3" s="1526">
        <f>CL11+CL25+CL43+CL49</f>
        <v/>
      </c>
      <c r="CM3" s="1526">
        <f>CM11+CM25+CM43+CM49</f>
        <v/>
      </c>
      <c r="CN3" s="1526">
        <f>CN11+CN25+CN43+CN49</f>
        <v/>
      </c>
      <c r="CO3" s="1526">
        <f>CO11+CO25+CO43+CO49</f>
        <v/>
      </c>
      <c r="CP3" s="1526">
        <f>CP11+CP25+CP43+CP49</f>
        <v/>
      </c>
      <c r="CQ3" s="1526">
        <f>CQ11+CQ25+CQ43+CQ49</f>
        <v/>
      </c>
      <c r="CR3" s="1526">
        <f>CR11+CR25+CR43+CR49</f>
        <v/>
      </c>
      <c r="CS3" s="1526">
        <f>CS11+CS25+CS43+CS49</f>
        <v/>
      </c>
      <c r="CT3" s="1526">
        <f>CT11+CT25+CT43+CT49</f>
        <v/>
      </c>
      <c r="CU3" s="1526">
        <f>CU11+CU25+CU43+CU49</f>
        <v/>
      </c>
      <c r="CV3" s="1526">
        <f>CV11+CV25+CV43+CV49</f>
        <v/>
      </c>
      <c r="CW3" s="1526">
        <f>CW11+CW25+CW43+CW49</f>
        <v/>
      </c>
      <c r="CX3" s="1526">
        <f>CX11+CX25+CX43+CX49</f>
        <v/>
      </c>
      <c r="CY3" s="1526">
        <f>CY11+CY25+CY43+CY49</f>
        <v/>
      </c>
      <c r="CZ3" s="1526">
        <f>CZ11+CZ25+CZ43+CZ49</f>
        <v/>
      </c>
      <c r="DA3" s="1526">
        <f>DA11+DA25+DA43+DA49</f>
        <v/>
      </c>
      <c r="DB3" s="1526">
        <f>DB11+DB25+DB43+DB49</f>
        <v/>
      </c>
      <c r="DC3" s="1526">
        <f>DC11+DC25+DC43+DC49</f>
        <v/>
      </c>
      <c r="DD3" s="1526">
        <f>DD11+DD25+DD43+DD49</f>
        <v/>
      </c>
      <c r="DE3" s="1526">
        <f>DE11+DE25+DE43+DE49</f>
        <v/>
      </c>
      <c r="DF3" s="1526">
        <f>DF11+DF25+DF43+DF49</f>
        <v/>
      </c>
      <c r="DG3" s="1526">
        <f>DG11+DG25+DG43+DG49</f>
        <v/>
      </c>
      <c r="DH3" s="1526">
        <f>DH11+DH25+DH43+DH49</f>
        <v/>
      </c>
      <c r="DI3" s="1526">
        <f>DI11+DI25+DI43+DI49</f>
        <v/>
      </c>
      <c r="DJ3" s="1526">
        <f>DJ11+DJ25+DJ43+DJ49</f>
        <v/>
      </c>
      <c r="DK3" s="1526">
        <f>DK11+DK25+DK43+DK49</f>
        <v/>
      </c>
      <c r="DL3" s="1526">
        <f>DL11+DL25+DL43+DL49</f>
        <v/>
      </c>
      <c r="DM3" s="1526">
        <f>DM11+DM25+DM43+DM49</f>
        <v/>
      </c>
      <c r="DN3" s="1526">
        <f>DN11+DN25+DN43+DN49</f>
        <v/>
      </c>
      <c r="DO3" s="1526">
        <f>DO11+DO25+DO43+DO49</f>
        <v/>
      </c>
      <c r="DP3" s="1526">
        <f>DP11+DP25+DP43+DP49</f>
        <v/>
      </c>
      <c r="DQ3" s="1526">
        <f>DQ11+DQ25+DQ43+DQ49</f>
        <v/>
      </c>
      <c r="DR3" s="1526">
        <f>DR11+DR25+DR43+DR49</f>
        <v/>
      </c>
      <c r="DS3" s="1526">
        <f>DS11+DS25+DS43+DS49</f>
        <v/>
      </c>
      <c r="DT3" s="1526">
        <f>DT11+DT25+DT43+DT49</f>
        <v/>
      </c>
      <c r="DU3" s="1526">
        <f>DU11+DU25+DU43+DU49</f>
        <v/>
      </c>
      <c r="DV3" s="1526">
        <f>DV11+DV25+DV43+DV49</f>
        <v/>
      </c>
      <c r="DW3" s="1526">
        <f>DW11+DW25+DW43+DW49</f>
        <v/>
      </c>
      <c r="DX3" s="1526">
        <f>DX11+DX25+DX43+DX49</f>
        <v/>
      </c>
      <c r="DY3" s="1526">
        <f>DY11+DY25+DY43+DY49</f>
        <v/>
      </c>
      <c r="DZ3" s="1526">
        <f>DZ11+DZ25+DZ43+DZ49</f>
        <v/>
      </c>
      <c r="EA3" s="1526">
        <f>EA11+EA25+EA43+EA49</f>
        <v/>
      </c>
      <c r="EB3" s="1526">
        <f>EB11+EB25+EB43+EB49</f>
        <v/>
      </c>
      <c r="EC3" s="1526">
        <f>EC11+EC25+EC43+EC49</f>
        <v/>
      </c>
      <c r="ED3" s="1526">
        <f>ED11+ED25+ED43+ED49</f>
        <v/>
      </c>
      <c r="EE3" s="1526">
        <f>EE11+EE25+EE43+EE49</f>
        <v/>
      </c>
      <c r="EF3" s="1526">
        <f>EF11+EF25+EF43+EF49</f>
        <v/>
      </c>
      <c r="EG3" s="1526">
        <f>EG11+EG25+EG43+EG49</f>
        <v/>
      </c>
      <c r="EH3" s="1526">
        <f>EH11+EH25+EH43+EH49</f>
        <v/>
      </c>
      <c r="EI3" s="1526">
        <f>EI11+EI25+EI43+EI49</f>
        <v/>
      </c>
      <c r="EJ3" s="1526">
        <f>EJ11+EJ25+EJ43+EJ49</f>
        <v/>
      </c>
      <c r="EK3" s="1526">
        <f>EK11+EK25+EK43+EK49</f>
        <v/>
      </c>
      <c r="EL3" s="1526">
        <f>EL11+EL25+EL43+EL49</f>
        <v/>
      </c>
      <c r="EM3" s="1526">
        <f>EM11+EM25+EM43+EM49</f>
        <v/>
      </c>
      <c r="EN3" s="1526">
        <f>EN11+EN25+EN43+EN49</f>
        <v/>
      </c>
      <c r="EO3" s="1526">
        <f>EO11+EO25+EO43+EO49</f>
        <v/>
      </c>
      <c r="EP3" s="1526">
        <f>EP11+EP25+EP43+EP49</f>
        <v/>
      </c>
      <c r="EQ3" s="1526">
        <f>EQ11+EQ25+EQ43+EQ49</f>
        <v/>
      </c>
      <c r="ER3" s="1526">
        <f>ER11+ER25+ER43+ER49</f>
        <v/>
      </c>
      <c r="ES3" s="1526">
        <f>ES11+ES25+ES43+ES49</f>
        <v/>
      </c>
      <c r="ET3" s="1526">
        <f>ET11+ET25+ET43+ET49</f>
        <v/>
      </c>
      <c r="EU3" s="1526">
        <f>EU11+EU25+EU43+EU49</f>
        <v/>
      </c>
      <c r="EV3" s="1526">
        <f>EV11+EV25+EV43+EV49</f>
        <v/>
      </c>
      <c r="EW3" s="1526">
        <f>EW11+EW25+EW43+EW49</f>
        <v/>
      </c>
      <c r="EX3" s="1526">
        <f>EX11+EX25+EX43+EX49</f>
        <v/>
      </c>
      <c r="EY3" s="1526">
        <f>EY11+EY25+EY43+EY49</f>
        <v/>
      </c>
      <c r="EZ3" s="1526">
        <f>EZ11+EZ25+EZ43+EZ49</f>
        <v/>
      </c>
      <c r="FA3" s="1526">
        <f>FA11+FA25+FA43+FA49</f>
        <v/>
      </c>
      <c r="FB3" s="1526">
        <f>FB11+FB25+FB43+FB49</f>
        <v/>
      </c>
      <c r="FC3" s="1526">
        <f>FC11+FC25+FC43+FC49</f>
        <v/>
      </c>
      <c r="FD3" s="1526">
        <f>FD11+FD25+FD43+FD49</f>
        <v/>
      </c>
      <c r="FE3" s="1526">
        <f>FE11+FE25+FE43+FE49</f>
        <v/>
      </c>
      <c r="FF3" s="1526">
        <f>FF11+FF25+FF43+FF49</f>
        <v/>
      </c>
      <c r="FG3" s="1526">
        <f>FG11+FG25+FG43+FG49</f>
        <v/>
      </c>
      <c r="FH3" s="1526">
        <f>FH11+FH25+FH43+FH49</f>
        <v/>
      </c>
      <c r="FI3" s="1526">
        <f>FI11+FI25+FI43+FI49</f>
        <v/>
      </c>
      <c r="FJ3" s="1526">
        <f>FJ11+FJ25+FJ43+FJ49</f>
        <v/>
      </c>
      <c r="FK3" s="1526">
        <f>FK11+FK25+FK43+FK49</f>
        <v/>
      </c>
      <c r="FL3" s="1526">
        <f>FL11+FL25+FL43+FL49</f>
        <v/>
      </c>
      <c r="FM3" s="1526">
        <f>FM11+FM25+FM43+FM49</f>
        <v/>
      </c>
      <c r="FN3" s="1526">
        <f>FN11+FN25+FN43+FN49</f>
        <v/>
      </c>
      <c r="FO3" s="1526">
        <f>FO11+FO25+FO43+FO49</f>
        <v/>
      </c>
      <c r="FP3" s="1526">
        <f>FP11+FP25+FP43+FP49</f>
        <v/>
      </c>
      <c r="FQ3" s="1526">
        <f>FQ11+FQ25+FQ43+FQ49</f>
        <v/>
      </c>
      <c r="FR3" s="1526">
        <f>FR11+FR25+FR43+FR49</f>
        <v/>
      </c>
      <c r="FS3" s="1526">
        <f>FS11+FS25+FS43+FS49</f>
        <v/>
      </c>
      <c r="FT3" s="1526">
        <f>FT11+FT25+FT43+FT49</f>
        <v/>
      </c>
      <c r="FU3" s="1526">
        <f>FU11+FU25+FU43+FU49</f>
        <v/>
      </c>
      <c r="FV3" s="1526">
        <f>FV11+FV25+FV43+FV49</f>
        <v/>
      </c>
      <c r="FW3" s="1526">
        <f>FW11+FW25+FW43+FW49</f>
        <v/>
      </c>
      <c r="FX3" s="1526">
        <f>FX11+FX25+FX43+FX49</f>
        <v/>
      </c>
      <c r="FY3" s="1526">
        <f>FY11+FY25+FY43+FY49</f>
        <v/>
      </c>
      <c r="FZ3" s="1526">
        <f>FZ11+FZ25+FZ43+FZ49</f>
        <v/>
      </c>
      <c r="GA3" s="1526">
        <f>GA11+GA25+GA43+GA49</f>
        <v/>
      </c>
      <c r="GB3" s="1526">
        <f>GB11+GB25+GB43+GB49</f>
        <v/>
      </c>
      <c r="GC3" s="1526">
        <f>GC11+GC25+GC43+GC49</f>
        <v/>
      </c>
      <c r="GD3" s="1526">
        <f>GD11+GD25+GD43+GD49</f>
        <v/>
      </c>
      <c r="GE3" s="1526">
        <f>GE11+GE25+GE43+GE49</f>
        <v/>
      </c>
      <c r="GF3" s="1526">
        <f>GF11+GF25+GF43+GF49</f>
        <v/>
      </c>
      <c r="GG3" s="1526">
        <f>GG11+GG25+GG43+GG49</f>
        <v/>
      </c>
      <c r="GH3" s="1526">
        <f>GH11+GH25+GH43+GH49</f>
        <v/>
      </c>
      <c r="GI3" s="1526">
        <f>GI11+GI25+GI43+GI49</f>
        <v/>
      </c>
      <c r="GJ3" s="1526">
        <f>GJ11+GJ25+GJ43+GJ49</f>
        <v/>
      </c>
      <c r="GK3" s="1526">
        <f>GK11+GK25+GK43+GK49</f>
        <v/>
      </c>
      <c r="GL3" s="1526">
        <f>GL11+GL25+GL43+GL49</f>
        <v/>
      </c>
      <c r="GM3" s="1526">
        <f>GM11+GM25+GM43+GM49</f>
        <v/>
      </c>
      <c r="GN3" s="1526">
        <f>GN11+GN25+GN43+GN49</f>
        <v/>
      </c>
      <c r="GO3" s="1526">
        <f>GO11+GO25+GO43+GO49</f>
        <v/>
      </c>
      <c r="GP3" s="1526">
        <f>GP11+GP25+GP43+GP49</f>
        <v/>
      </c>
      <c r="GQ3" s="1526">
        <f>GQ11+GQ25+GQ43+GQ49</f>
        <v/>
      </c>
      <c r="GR3" s="1526">
        <f>GR11+GR25+GR43+GR49</f>
        <v/>
      </c>
      <c r="GS3" s="1526">
        <f>GS11+GS25+GS43+GS49</f>
        <v/>
      </c>
      <c r="GT3" s="1526">
        <f>GT11+GT25+GT43+GT49</f>
        <v/>
      </c>
      <c r="GU3" s="1526">
        <f>GU11+GU25+GU43+GU49</f>
        <v/>
      </c>
      <c r="GV3" s="1526">
        <f>GV11+GV25+GV43+GV49</f>
        <v/>
      </c>
      <c r="GW3" s="1526">
        <f>GW11+GW25+GW43+GW49</f>
        <v/>
      </c>
      <c r="GX3" s="1526">
        <f>GX11+GX25+GX43+GX49</f>
        <v/>
      </c>
      <c r="GY3" s="1526">
        <f>GY11+GY25+GY43+GY49</f>
        <v/>
      </c>
      <c r="GZ3" s="1526">
        <f>GZ11+GZ25+GZ43+GZ49</f>
        <v/>
      </c>
      <c r="HA3" s="1526">
        <f>HA11+HA25+HA43+HA49</f>
        <v/>
      </c>
      <c r="HB3" s="1526">
        <f>HB11+HB25+HB43+HB49</f>
        <v/>
      </c>
      <c r="HC3" s="1526">
        <f>HC11+HC25+HC43+HC49</f>
        <v/>
      </c>
      <c r="HD3" s="1526">
        <f>HD11+HD25+HD43+HD49</f>
        <v/>
      </c>
      <c r="HE3" s="1526">
        <f>HE11+HE25+HE43+HE49</f>
        <v/>
      </c>
      <c r="HF3" s="1526">
        <f>HF11+HF25+HF43+HF49</f>
        <v/>
      </c>
      <c r="HG3" s="1526">
        <f>HG11+HG25+HG43+HG49</f>
        <v/>
      </c>
      <c r="HH3" s="1526">
        <f>HH11+HH25+HH43+HH49</f>
        <v/>
      </c>
      <c r="HI3" s="1526">
        <f>HI11+HI25+HI43+HI49</f>
        <v/>
      </c>
      <c r="HJ3" s="1526">
        <f>HJ11+HJ25+HJ43+HJ49</f>
        <v/>
      </c>
      <c r="HK3" s="1526">
        <f>HK11+HK25+HK43+HK49</f>
        <v/>
      </c>
      <c r="HL3" s="1526">
        <f>HL11+HL25+HL43+HL49</f>
        <v/>
      </c>
      <c r="HM3" s="1526">
        <f>HM11+HM25+HM43+HM49</f>
        <v/>
      </c>
      <c r="HN3" s="1526" t="n">
        <v>3012.93851979</v>
      </c>
      <c r="HO3" s="1526" t="n">
        <v>4015.780294937808</v>
      </c>
      <c r="HP3" s="1526" t="n">
        <v>3775.848272937807</v>
      </c>
      <c r="HQ3" s="1526" t="n">
        <v>2938.598230207808</v>
      </c>
      <c r="HR3" s="1526">
        <f>HR11+HR25+HR43+HR49</f>
        <v/>
      </c>
      <c r="HS3" s="1526">
        <f>HS11+HS25+HS43+HS49</f>
        <v/>
      </c>
      <c r="HT3" s="1526">
        <f>HT11+HT25+HT43+HT49</f>
        <v/>
      </c>
      <c r="HU3" s="1526">
        <f>HU11+HU25+HU43+HU49</f>
        <v/>
      </c>
      <c r="HV3" s="1526" t="n">
        <v>2695.495166277807</v>
      </c>
      <c r="HW3" s="1526" t="n">
        <v>2654.161348267807</v>
      </c>
      <c r="HX3" s="1526" t="n">
        <v>3056.511330477807</v>
      </c>
      <c r="HY3" s="1526" t="n">
        <v>2825.143100397807</v>
      </c>
      <c r="HZ3" s="1526" t="n">
        <v>2525.379723127807</v>
      </c>
      <c r="IA3" s="1526" t="n">
        <v>2638.390610537807</v>
      </c>
      <c r="IB3" s="1526" t="n">
        <v>2641.746725707807</v>
      </c>
      <c r="IC3" s="1526" t="n">
        <v>2532.357360571461</v>
      </c>
      <c r="ID3" s="1526" t="n">
        <v>2543.009363427808</v>
      </c>
      <c r="IE3" s="1526" t="n">
        <v>2610.212410337807</v>
      </c>
      <c r="IF3" s="1526" t="n">
        <v>2522.716577137807</v>
      </c>
      <c r="IG3" s="1526" t="n">
        <v>2775.142584927808</v>
      </c>
      <c r="IH3" s="1526" t="n">
        <v>2761.028789707807</v>
      </c>
      <c r="II3" s="1526" t="n">
        <v>2729.345928287807</v>
      </c>
      <c r="IJ3" s="1526" t="n">
        <v>2791.644293077807</v>
      </c>
      <c r="IK3" s="1526" t="n">
        <v>3372.100791857808</v>
      </c>
      <c r="IL3" s="1526" t="n">
        <v>2911.074177947808</v>
      </c>
      <c r="IM3" s="1526" t="n">
        <v>3103.249506407808</v>
      </c>
      <c r="IN3" s="1526" t="n">
        <v>2829.552110797807</v>
      </c>
      <c r="IO3" s="1526" t="n">
        <v>2602.261255427807</v>
      </c>
      <c r="IP3" s="1526" t="n">
        <v>2846.017058157807</v>
      </c>
      <c r="IQ3" s="1526" t="n">
        <v>2701.553611177807</v>
      </c>
      <c r="IR3" s="1526" t="n">
        <v>2733.663263677807</v>
      </c>
      <c r="IS3" s="1526" t="n">
        <v>2870.547328997807</v>
      </c>
      <c r="IT3" s="1526" t="n">
        <v>2973.161146717808</v>
      </c>
      <c r="IU3" s="1526" t="n">
        <v>3143.976221267807</v>
      </c>
      <c r="IV3" s="1526" t="n">
        <v>3163.632211797807</v>
      </c>
      <c r="IW3" s="1526" t="n">
        <v>3172.159540847807</v>
      </c>
      <c r="IX3" s="1526" t="n">
        <v>2994.224488837807</v>
      </c>
      <c r="IY3" s="1526">
        <f>IY11+IY25+IY43+IY49</f>
        <v/>
      </c>
      <c r="IZ3" s="1526" t="n">
        <v>2886.646607887807</v>
      </c>
      <c r="JA3" s="1526" t="n">
        <v>3482.492782157808</v>
      </c>
      <c r="JB3" s="1526" t="n">
        <v>3357.400765447807</v>
      </c>
      <c r="JC3" s="1526" t="n">
        <v>4617.395753057808</v>
      </c>
      <c r="JD3" s="1526" t="n">
        <v>3502.498746937808</v>
      </c>
      <c r="JE3" s="1526" t="n">
        <v>3332.435430587808</v>
      </c>
      <c r="JF3" s="1526" t="n">
        <v>3507.361614767808</v>
      </c>
      <c r="JG3" s="1526" t="n">
        <v>3377.514410477807</v>
      </c>
      <c r="JH3" s="1526" t="n">
        <v>3276.854244887807</v>
      </c>
      <c r="JI3" s="1526" t="n">
        <v>3093.945832987807</v>
      </c>
      <c r="JJ3" s="1526" t="n">
        <v>3158.418943007807</v>
      </c>
      <c r="JK3" s="1526" t="n">
        <v>3353.425442617808</v>
      </c>
      <c r="JL3" s="1526" t="n">
        <v>3453.313647227807</v>
      </c>
      <c r="JM3" s="1526" t="n">
        <v>3675.497099687807</v>
      </c>
      <c r="JN3" s="1526" t="n">
        <v>4769.203900037808</v>
      </c>
      <c r="JO3" s="1526" t="n">
        <v>4775.059687037808</v>
      </c>
      <c r="JP3" s="1526" t="n">
        <v>5043.389916027808</v>
      </c>
      <c r="JQ3" s="1526" t="n">
        <v>4134.009339477808</v>
      </c>
      <c r="JR3" s="1526" t="n">
        <v>4144.998492517807</v>
      </c>
      <c r="JS3" s="1526">
        <f>JS11+JS25+JS43+JS49</f>
        <v/>
      </c>
      <c r="JT3" s="1526" t="n">
        <v>4608.463560997808</v>
      </c>
      <c r="JU3" s="1526" t="n">
        <v>4612.643797187807</v>
      </c>
      <c r="JV3" s="1526" t="n">
        <v>4860.189755697807</v>
      </c>
      <c r="JW3" s="1526" t="n">
        <v>6098.549534367807</v>
      </c>
      <c r="JX3" s="1526" t="n">
        <v>4800.525605757807</v>
      </c>
      <c r="JY3" s="1526" t="n">
        <v>4532.774401227807</v>
      </c>
      <c r="JZ3" s="1526" t="n">
        <v>4861.483085437809</v>
      </c>
      <c r="KA3" s="1526" t="n">
        <v>5266.69275046</v>
      </c>
      <c r="KB3" s="1526" t="n">
        <v>4971.967887</v>
      </c>
      <c r="KC3" s="1526" t="n">
        <v>4682.55777813</v>
      </c>
      <c r="KD3" s="1526" t="n">
        <v>4646.405144150001</v>
      </c>
      <c r="KE3" s="1526" t="n">
        <v>4694.60934928</v>
      </c>
      <c r="KF3" s="1526" t="n">
        <v>3545.467956947808</v>
      </c>
      <c r="KG3" s="1526" t="n">
        <v>4848.36914951</v>
      </c>
      <c r="KH3" s="1526" t="n">
        <v>5026.988730070001</v>
      </c>
      <c r="KI3" s="1526" t="n">
        <v>4375.10242008</v>
      </c>
      <c r="KJ3" s="1526">
        <f>KJ11+KJ25+KJ43+KJ49</f>
        <v/>
      </c>
      <c r="KK3" s="1526" t="n">
        <v>4622.35950068</v>
      </c>
      <c r="KL3" s="1526" t="n">
        <v>4705.976053379999</v>
      </c>
      <c r="KM3" s="1526" t="n">
        <v>4582.70559462</v>
      </c>
      <c r="KN3" s="1526" t="n">
        <v>4604.30611758</v>
      </c>
      <c r="KO3" s="1526" t="n">
        <v>4717.44378561</v>
      </c>
      <c r="KP3" s="1526" t="n">
        <v>5528.50824817</v>
      </c>
      <c r="KQ3" s="1526" t="n">
        <v>4857.396734299999</v>
      </c>
      <c r="KR3" s="1526" t="n">
        <v>4817.35219841</v>
      </c>
      <c r="KS3" s="1526">
        <f>KS11+KS25+KS43+KS49</f>
        <v/>
      </c>
      <c r="KT3" s="1526" t="n">
        <v>4340.70572247</v>
      </c>
      <c r="KU3" s="1526">
        <f>KU11+KU25+KU43+KU49</f>
        <v/>
      </c>
      <c r="KV3" s="1526">
        <f>KV11+KV25+KV43+KV49</f>
        <v/>
      </c>
      <c r="KW3" s="1526">
        <f>KW11+KW25+KW43+KW49</f>
        <v/>
      </c>
      <c r="KX3" s="1526" t="n">
        <v>3652.99305501</v>
      </c>
      <c r="KY3" s="1526" t="n">
        <v>4565.17022765</v>
      </c>
      <c r="KZ3" s="1526" t="n">
        <v>4691.418897920001</v>
      </c>
      <c r="LA3" s="1526" t="n">
        <v>3974.70624321</v>
      </c>
      <c r="LB3" s="1526" t="n">
        <v>4491.93030864</v>
      </c>
      <c r="LC3" s="1526" t="n">
        <v>4634.43148688</v>
      </c>
      <c r="LD3" s="1526" t="n">
        <v>5894.98636832</v>
      </c>
      <c r="LE3" s="1526">
        <f>LE11+LE25+LE43+LE49</f>
        <v/>
      </c>
      <c r="LF3" s="1527" t="n">
        <v>4965.30076105</v>
      </c>
      <c r="LG3" s="1527" t="n">
        <v>4424.80877413</v>
      </c>
      <c r="LH3" s="1527" t="n">
        <v>4753.310002769999</v>
      </c>
      <c r="LI3" s="1527" t="n">
        <v>4915.85856943</v>
      </c>
      <c r="LJ3" s="1527" t="n">
        <v>4391.9211772</v>
      </c>
      <c r="LK3" s="1527" t="n">
        <v>5262.86126522</v>
      </c>
      <c r="LL3" s="1527" t="n">
        <v>4564.054050919999</v>
      </c>
      <c r="LM3" s="1527" t="n">
        <v>4620.71124702</v>
      </c>
      <c r="LN3" s="1527" t="n">
        <v>4322.34012092</v>
      </c>
      <c r="LO3" s="1527" t="n">
        <v>4086.4435789</v>
      </c>
      <c r="LP3" s="1527" t="n">
        <v>3927.30199383</v>
      </c>
      <c r="LQ3" s="1527" t="n">
        <v>4158.41196997</v>
      </c>
      <c r="LR3" s="1527" t="n">
        <v>4561.7598407</v>
      </c>
      <c r="LS3" s="1527" t="n">
        <v>4782.28540874</v>
      </c>
      <c r="LT3" s="1527" t="n">
        <v>5038.74316068</v>
      </c>
      <c r="LU3" s="1527" t="n">
        <v>4710.473841589999</v>
      </c>
      <c r="LV3" s="1527" t="n">
        <v>4037.38796754</v>
      </c>
      <c r="LW3" s="1527" t="n">
        <v>3557.65796709</v>
      </c>
      <c r="LX3" s="1527" t="n">
        <v>3346.90381801</v>
      </c>
      <c r="LY3" s="1527" t="n">
        <v>3877.6669939</v>
      </c>
      <c r="LZ3" s="1527" t="n">
        <v>3644.95091455</v>
      </c>
      <c r="MA3" s="1527" t="n">
        <v>4075.97946828</v>
      </c>
      <c r="MB3" s="1527" t="n">
        <v>3566.9980158</v>
      </c>
      <c r="MC3" s="1527" t="n">
        <v>3969.2870914</v>
      </c>
      <c r="MD3" s="1527" t="n">
        <v>3321.74482444</v>
      </c>
      <c r="ME3" s="1527" t="n">
        <v>3503.43424207</v>
      </c>
      <c r="MF3" s="1527" t="n">
        <v>3449.61120352</v>
      </c>
      <c r="MG3" s="1527" t="n">
        <v>3504.537504780001</v>
      </c>
      <c r="MH3" s="1527" t="n">
        <v>4177.145203190001</v>
      </c>
      <c r="MI3" s="1527" t="n">
        <v>4154.69980354</v>
      </c>
      <c r="MJ3" s="1527" t="n">
        <v>3659.482243030001</v>
      </c>
      <c r="MK3" s="1527" t="n">
        <v>3300.10820729</v>
      </c>
      <c r="ML3" s="1527" t="n">
        <v>3579.6717557</v>
      </c>
      <c r="MM3" s="1527" t="n">
        <v>3582.6528407</v>
      </c>
      <c r="MN3" s="1527" t="n">
        <v>3417.05722569</v>
      </c>
      <c r="MO3" s="1527" t="n">
        <v>3087.062006</v>
      </c>
      <c r="MP3" s="1527" t="n">
        <v>3075.27291339</v>
      </c>
      <c r="MQ3" s="1527" t="n">
        <v>2646.94845227</v>
      </c>
      <c r="MR3" s="1527" t="n">
        <v>2645.50520057</v>
      </c>
      <c r="MS3" s="1527" t="n">
        <v>2830.02421185</v>
      </c>
      <c r="MT3" s="1527" t="n">
        <v>3160.1143589</v>
      </c>
      <c r="MU3" s="1527" t="n">
        <v>2959.51207059</v>
      </c>
      <c r="MV3" s="1527" t="n">
        <v>2935.8060911</v>
      </c>
      <c r="MW3" s="1527" t="n">
        <v>3194.31356274</v>
      </c>
      <c r="MX3" s="1527" t="n">
        <v>3349.06213526</v>
      </c>
      <c r="MY3" s="1527" t="n">
        <v>3414.681600639999</v>
      </c>
      <c r="MZ3" s="1527" t="n">
        <v>3286.86484643</v>
      </c>
      <c r="NA3" s="1527" t="n">
        <v>3239.09602019</v>
      </c>
      <c r="NB3" s="1527" t="n">
        <v>3633.55824137</v>
      </c>
      <c r="NC3" s="1527" t="n">
        <v>3294.23717551</v>
      </c>
      <c r="ND3" s="1527" t="n">
        <v>3299.04115455</v>
      </c>
      <c r="NE3" s="1527" t="n">
        <v>3779.66195326</v>
      </c>
      <c r="NF3" s="1527" t="n">
        <v>3461.53012428</v>
      </c>
      <c r="NG3" s="1527" t="n">
        <v>3251.36866549</v>
      </c>
      <c r="NH3" s="1527" t="n">
        <v>3482.504403249</v>
      </c>
      <c r="NI3" s="1527" t="n">
        <v>3506.88088807</v>
      </c>
      <c r="NJ3" s="1527" t="n">
        <v>3739.06864352</v>
      </c>
      <c r="NK3" s="1527" t="n">
        <v>3659.30167857</v>
      </c>
      <c r="NL3" s="1527" t="n">
        <v>3507.15398056</v>
      </c>
      <c r="NM3" s="1527" t="n">
        <v>4196.860790760001</v>
      </c>
      <c r="NN3" s="1527" t="n">
        <v>3842.791163380001</v>
      </c>
      <c r="NO3" s="1527" t="n">
        <v>3824.355856770001</v>
      </c>
      <c r="NP3" s="1527" t="n">
        <v>3837.981130390001</v>
      </c>
      <c r="NQ3" s="1527" t="n">
        <v>3636.656450389999</v>
      </c>
      <c r="NR3" s="1527" t="n">
        <v>4049.21494101</v>
      </c>
      <c r="NS3" s="1527" t="n">
        <v>4204.508420210001</v>
      </c>
      <c r="NT3" s="1527" t="n">
        <v>4396.70685321</v>
      </c>
      <c r="NU3" s="1527">
        <f>NU11+NU25+NU43+NU49</f>
        <v/>
      </c>
      <c r="NV3" s="1527" t="n">
        <v>4401.63721787</v>
      </c>
      <c r="NW3" s="1527" t="n">
        <v>4818.90467046</v>
      </c>
      <c r="NX3" s="1527" t="n">
        <v>4382.993073930001</v>
      </c>
      <c r="NY3" s="1527" t="n">
        <v>4498.252599660001</v>
      </c>
      <c r="NZ3" s="1527" t="n">
        <v>4865.365077750001</v>
      </c>
      <c r="OA3" s="1527" t="n">
        <v>4696.81845665</v>
      </c>
      <c r="OB3" s="1527" t="n">
        <v>5195.89122716</v>
      </c>
      <c r="OC3" s="1527" t="n">
        <v>4802.709673300001</v>
      </c>
      <c r="OD3" s="1527" t="n">
        <v>5065.327877560001</v>
      </c>
      <c r="OE3" s="1527" t="n">
        <v>5245.83965691</v>
      </c>
      <c r="OF3" s="1527" t="n">
        <v>5265.90647812</v>
      </c>
      <c r="OG3" s="1527" t="n">
        <v>5010.30022522</v>
      </c>
      <c r="OH3" s="1527" t="n">
        <v>4388.6131177</v>
      </c>
      <c r="OI3" s="1527" t="n">
        <v>4528.54211182</v>
      </c>
      <c r="OJ3" s="1527" t="n">
        <v>4912.09553696</v>
      </c>
      <c r="OK3" s="1527" t="n">
        <v>5091.24394</v>
      </c>
      <c r="OL3" s="1527" t="n">
        <v>4975.00051803</v>
      </c>
      <c r="OM3" s="1527" t="n">
        <v>5027.98384478</v>
      </c>
      <c r="ON3" s="1527" t="n">
        <v>5271.7496452</v>
      </c>
      <c r="OO3" s="1527" t="n">
        <v>4864.52741389</v>
      </c>
      <c r="OP3" s="1527" t="n">
        <v>4535.398570890001</v>
      </c>
      <c r="OQ3" s="1527" t="n">
        <v>4521.421447650001</v>
      </c>
      <c r="OR3" s="1527" t="n">
        <v>4937.59434752</v>
      </c>
      <c r="OS3" s="1527" t="n">
        <v>4303.01699324</v>
      </c>
      <c r="OT3" s="1527" t="n">
        <v>5966.36932523</v>
      </c>
      <c r="OU3" s="1527" t="n">
        <v>5024.16507712</v>
      </c>
      <c r="OV3" s="1527" t="n">
        <v>5567.10179727</v>
      </c>
      <c r="OW3" s="1527" t="n">
        <v>5774.032911359999</v>
      </c>
      <c r="OX3" s="1527" t="n">
        <v>5211.43336484</v>
      </c>
      <c r="OY3" s="1527" t="n">
        <v>3719.08359558</v>
      </c>
      <c r="OZ3" s="1527" t="n">
        <v>3800.76986888</v>
      </c>
      <c r="PA3" s="1527" t="n">
        <v>3501.172413159999</v>
      </c>
      <c r="PB3" s="1527" t="n">
        <v>2805.6926662</v>
      </c>
      <c r="PC3" s="1527" t="n">
        <v>2845.19428461</v>
      </c>
      <c r="PD3" s="1527" t="n">
        <v>3286.21090759</v>
      </c>
      <c r="PE3" s="1527" t="n">
        <v>3791.25258021</v>
      </c>
      <c r="PF3" s="1527" t="n">
        <v>3821.416519690001</v>
      </c>
      <c r="PG3" s="1527" t="n">
        <v>3339.2839515</v>
      </c>
      <c r="PH3" s="1527" t="n">
        <v>4046.36293105</v>
      </c>
      <c r="PI3" s="1527" t="n">
        <v>4432.603206039999</v>
      </c>
      <c r="PJ3" s="1527" t="n">
        <v>4965.30203551</v>
      </c>
      <c r="PK3" s="1527" t="n">
        <v>4330.59953232</v>
      </c>
      <c r="PL3" s="1527" t="n">
        <v>3762.5672005</v>
      </c>
      <c r="PM3" s="1527" t="n">
        <v>3703.574386929999</v>
      </c>
      <c r="PN3" s="1527" t="n">
        <v>4121.40057746</v>
      </c>
      <c r="PO3" s="1527" t="n">
        <v>4412.93759107</v>
      </c>
      <c r="PP3" s="1527" t="n">
        <v>4526.81855057</v>
      </c>
      <c r="PQ3" s="1527" t="n">
        <v>3699.17801511</v>
      </c>
      <c r="PR3" s="1527" t="n">
        <v>3753.06053735</v>
      </c>
      <c r="PS3" s="1527" t="n">
        <v>4297.04572858</v>
      </c>
      <c r="PT3" s="1527" t="n">
        <v>4296.699864990001</v>
      </c>
      <c r="PU3" s="1527" t="n">
        <v>3813.28776702</v>
      </c>
      <c r="PV3" s="1527" t="n">
        <v>3471.0118198</v>
      </c>
      <c r="PW3" s="1527" t="n">
        <v>3545.36182701</v>
      </c>
      <c r="PX3" s="1527" t="n">
        <v>4229.68210344</v>
      </c>
      <c r="PY3" s="1527" t="n">
        <v>4352.25650342</v>
      </c>
      <c r="PZ3" s="1527" t="n">
        <v>4314.25149667</v>
      </c>
      <c r="QA3" s="1527" t="n">
        <v>4334.69846618</v>
      </c>
      <c r="QB3" s="1527" t="n">
        <v>3401.59145444</v>
      </c>
      <c r="QC3" s="1527" t="n">
        <v>3475.879247960001</v>
      </c>
      <c r="QD3" s="1527" t="n">
        <v>3214.881856450001</v>
      </c>
      <c r="QE3" s="1527" t="n">
        <v>3111.231538080001</v>
      </c>
      <c r="QF3" s="1527" t="n">
        <v>3495.633481360001</v>
      </c>
      <c r="QG3" s="1527" t="n">
        <v>3358.157095550001</v>
      </c>
      <c r="QH3" s="1527">
        <f>QH11+QH25+QH43+QH49</f>
        <v/>
      </c>
      <c r="QI3" s="1527" t="n">
        <v>4184.50639106</v>
      </c>
      <c r="QJ3" s="1527" t="n">
        <v>3897.16025606</v>
      </c>
      <c r="QK3" s="1527" t="n">
        <v>3833.673059520001</v>
      </c>
      <c r="QL3" s="1527" t="n">
        <v>2992.81859391</v>
      </c>
      <c r="QM3" s="1527" t="n">
        <v>2925.01815601</v>
      </c>
      <c r="QN3" s="1527" t="n">
        <v>3020.52927063</v>
      </c>
      <c r="QO3" s="1527" t="n">
        <v>3816.61845681</v>
      </c>
      <c r="QP3" s="1527" t="n">
        <v>3268.17844614</v>
      </c>
      <c r="QQ3" s="1527" t="n">
        <v>3492.338622340001</v>
      </c>
      <c r="QR3" s="1527" t="n">
        <v>3654.18224187</v>
      </c>
      <c r="QS3" s="1527" t="n">
        <v>3597.85273497</v>
      </c>
      <c r="QT3" s="1527" t="n">
        <v>3697.22895363</v>
      </c>
      <c r="QU3" s="1527" t="n">
        <v>3526.61342256</v>
      </c>
      <c r="QV3" s="1527" t="n">
        <v>3957.382355494576</v>
      </c>
      <c r="QW3" s="1527" t="n">
        <v>3576.70030975</v>
      </c>
      <c r="QX3" s="1527" t="n">
        <v>3611.05375428</v>
      </c>
      <c r="QY3" s="1527" t="n">
        <v>3518.67006215</v>
      </c>
      <c r="QZ3" s="1527" t="n">
        <v>3628.64084261</v>
      </c>
      <c r="RA3" s="1527" t="n">
        <v>2992.837060250001</v>
      </c>
      <c r="RB3" s="1527" t="n">
        <v>2912.60805157</v>
      </c>
      <c r="RC3" s="1527" t="n">
        <v>2845.61913049</v>
      </c>
      <c r="RD3" s="1527" t="n">
        <v>3077.626829610001</v>
      </c>
      <c r="RE3" s="1527" t="n">
        <v>2610.42251427</v>
      </c>
      <c r="RF3" s="1527" t="n">
        <v>2464.72257073</v>
      </c>
      <c r="RG3" s="1527">
        <f>RG11+RG25+RG43+RG49</f>
        <v/>
      </c>
      <c r="RH3" s="1527" t="n">
        <v>2357.697068489999</v>
      </c>
      <c r="RI3" s="1527" t="n">
        <v>2364.82253882</v>
      </c>
      <c r="RJ3" s="1527" t="n">
        <v>2143.17357617</v>
      </c>
      <c r="RK3" s="1527" t="n">
        <v>2458.44845158</v>
      </c>
      <c r="RL3" s="1527" t="n">
        <v>2438.102573199999</v>
      </c>
      <c r="RM3" s="1527" t="n">
        <v>2335.60078703</v>
      </c>
      <c r="RN3" s="1527" t="n">
        <v>2339.45995756</v>
      </c>
      <c r="RO3" s="1527" t="n">
        <v>2245.52365791</v>
      </c>
      <c r="RP3" s="1527" t="n">
        <v>2366.05088017</v>
      </c>
      <c r="RQ3" s="1527" t="n">
        <v>2138.95356503</v>
      </c>
      <c r="RR3" s="1527" t="n">
        <v>2193.52694223</v>
      </c>
      <c r="RS3" s="1527" t="n">
        <v>4516.43534073</v>
      </c>
      <c r="RT3" s="1527" t="n">
        <v>4942.6686004</v>
      </c>
      <c r="RU3" s="1527" t="n">
        <v>4009.56724259</v>
      </c>
      <c r="RV3" s="1527" t="n">
        <v>4040.69350951</v>
      </c>
      <c r="RW3" s="1527" t="n">
        <v>3096.53063395</v>
      </c>
      <c r="RX3" s="1527" t="n">
        <v>2743.36647875</v>
      </c>
      <c r="RY3" s="1527" t="n">
        <v>3884.1749941108</v>
      </c>
      <c r="RZ3" s="1527" t="n">
        <v>3501.3254381908</v>
      </c>
      <c r="SA3" s="1527" t="n">
        <v>3728.21789367</v>
      </c>
      <c r="SB3" s="1527" t="n">
        <v>3169.296144864</v>
      </c>
      <c r="SC3" s="1527" t="n">
        <v>3341.307652384</v>
      </c>
      <c r="SD3" s="1527" t="n">
        <v>3551.114544434</v>
      </c>
      <c r="SE3" s="1527" t="n">
        <v>3737.49901856</v>
      </c>
      <c r="SF3" s="1527" t="n">
        <v>4426.43014242</v>
      </c>
      <c r="SG3" s="1527" t="n">
        <v>4234.879399830001</v>
      </c>
      <c r="SH3" s="1527" t="n">
        <v>3753.35417784</v>
      </c>
      <c r="SI3" s="1527" t="n">
        <v>4198.326911280001</v>
      </c>
      <c r="SJ3" s="1527" t="n">
        <v>4268.366544800001</v>
      </c>
      <c r="SK3" s="1527" t="n">
        <v>4741.789992890001</v>
      </c>
      <c r="SL3" s="1527" t="n">
        <v>4687.3676884</v>
      </c>
      <c r="SM3" s="1527" t="n">
        <v>4158.01315753</v>
      </c>
      <c r="SN3" s="1527" t="n">
        <v>4127.0303862</v>
      </c>
      <c r="SO3" s="1527" t="n">
        <v>4484.30968948</v>
      </c>
      <c r="SP3" s="1527" t="n">
        <v>4500.15726731</v>
      </c>
      <c r="SQ3" s="1527" t="n">
        <v>4228.545459299999</v>
      </c>
      <c r="SR3" s="1527" t="n">
        <v>4316.207054539999</v>
      </c>
      <c r="SS3" s="1527" t="n">
        <v>4310.658007556</v>
      </c>
      <c r="ST3" s="1527" t="n">
        <v>4345.654391796</v>
      </c>
      <c r="SU3" s="1527" t="n">
        <v>4625.950202140001</v>
      </c>
      <c r="SV3" s="1527" t="n">
        <v>4357.83302371</v>
      </c>
      <c r="SW3" s="1527" t="n">
        <v>4391.238685530001</v>
      </c>
      <c r="SX3" s="1527" t="n">
        <v>4465.76376187</v>
      </c>
      <c r="SY3" s="1527" t="n">
        <v>4288.48010489</v>
      </c>
      <c r="SZ3" s="1527" t="n">
        <v>4490.85398752943</v>
      </c>
      <c r="TA3" s="1527" t="n">
        <v>4738.170160559999</v>
      </c>
      <c r="TB3" s="1527" t="n">
        <v>4743.911894159999</v>
      </c>
      <c r="TC3" s="1527" t="n">
        <v>5033.49589519</v>
      </c>
      <c r="TD3" s="1527" t="n">
        <v>5291.86606856</v>
      </c>
      <c r="TE3" s="1527">
        <f>TE11+TE25+TE43+TE49</f>
        <v/>
      </c>
      <c r="TF3" s="1527">
        <f>TF11+TF25+TF43+TF49</f>
        <v/>
      </c>
      <c r="TG3" s="1527" t="n">
        <v>3410.731028932</v>
      </c>
      <c r="TH3" s="1527" t="n">
        <v>3153.96949502</v>
      </c>
      <c r="TI3" s="1527" t="n">
        <v>3321.88522819</v>
      </c>
      <c r="TJ3" s="1527" t="n">
        <v>3364.96669428</v>
      </c>
      <c r="TK3" s="1527" t="n">
        <v>3500.490533130001</v>
      </c>
      <c r="TL3" s="1527" t="n">
        <v>3645.626690409999</v>
      </c>
      <c r="TM3" s="1527" t="n">
        <v>3552.74229502</v>
      </c>
      <c r="TN3" s="1527" t="n">
        <v>2755.34282109</v>
      </c>
      <c r="TO3" s="1527" t="n">
        <v>3406.10682846</v>
      </c>
      <c r="TP3" s="1527" t="n">
        <v>3829.79097136</v>
      </c>
      <c r="TQ3" s="1527" t="n">
        <v>3493.03880191</v>
      </c>
      <c r="TR3" s="1527" t="n">
        <v>3510.82665972</v>
      </c>
      <c r="TS3" s="1527" t="n">
        <v>3430.45440495</v>
      </c>
      <c r="TT3" s="1527" t="n">
        <v>3721.67670051</v>
      </c>
      <c r="TU3" s="1527" t="n">
        <v>3674.16102138</v>
      </c>
      <c r="TV3" s="1527" t="n">
        <v>3822.34620416</v>
      </c>
      <c r="TW3" s="1527" t="n">
        <v>3491.43191265</v>
      </c>
      <c r="TX3" s="1527" t="n">
        <v>3489.812003290001</v>
      </c>
      <c r="TY3" s="1527" t="n">
        <v>3400.51523075</v>
      </c>
      <c r="TZ3" s="1527">
        <f>TZ11+TZ25+TZ43+TZ49</f>
        <v/>
      </c>
      <c r="UA3" s="1527">
        <f>UA11+UA25+UA43+UA49</f>
        <v/>
      </c>
      <c r="UB3" s="1527">
        <f>UB11+UB25+UB43+UB49</f>
        <v/>
      </c>
      <c r="UC3" s="1527">
        <f>UC11+UC25+UC43+UC49</f>
        <v/>
      </c>
      <c r="UD3" s="1527">
        <f>UD11+UD25+UD43+UD49</f>
        <v/>
      </c>
      <c r="UE3" s="1527">
        <f>UE11+UE25+UE43+UE49</f>
        <v/>
      </c>
      <c r="UF3" s="1527" t="n">
        <v>3567.00790007</v>
      </c>
      <c r="UG3" s="1527" t="n">
        <v>4243.01091241</v>
      </c>
      <c r="UH3" s="1527" t="n">
        <v>3593.96360646</v>
      </c>
      <c r="UI3" s="1527" t="n">
        <v>2966.85360191</v>
      </c>
      <c r="UJ3" s="1527" t="n">
        <v>2963.466909360001</v>
      </c>
      <c r="UK3" s="1527" t="n">
        <v>3058.71753022</v>
      </c>
      <c r="UL3" s="1527" t="n">
        <v>2952.20968421</v>
      </c>
      <c r="UM3" s="1527" t="n">
        <v>3031.4510662441</v>
      </c>
      <c r="UN3" s="1527" t="n">
        <v>3157.7650129709</v>
      </c>
      <c r="UO3" s="1527" t="n">
        <v>3018.0476657709</v>
      </c>
      <c r="UP3" s="1527" t="n">
        <v>3080.4915675264</v>
      </c>
      <c r="UQ3" s="1527" t="n">
        <v>2818.6358995022</v>
      </c>
      <c r="UR3" s="1527" t="n">
        <v>2388.2688953864</v>
      </c>
      <c r="US3" s="1527" t="n">
        <v>2307.1434611262</v>
      </c>
      <c r="UT3" s="1527" t="n">
        <v>2533.6191254004</v>
      </c>
      <c r="UU3" s="1527" t="n">
        <v>2786.71691409</v>
      </c>
      <c r="UV3" s="1527" t="n">
        <v>2591.97677839</v>
      </c>
      <c r="UW3" s="1527" t="n">
        <v>2659.46729847</v>
      </c>
      <c r="UX3" s="1527" t="n">
        <v>2510.98808926</v>
      </c>
      <c r="UY3" s="1527" t="n">
        <v>2681.13884106</v>
      </c>
      <c r="UZ3" s="1527" t="n">
        <v>2422.92014126</v>
      </c>
      <c r="VA3" s="1527" t="n">
        <v>2496.42960025</v>
      </c>
      <c r="VB3" s="1527" t="n">
        <v>2871.08024988</v>
      </c>
      <c r="VC3" s="1527" t="n">
        <v>2685.11358862</v>
      </c>
      <c r="VD3" s="1527">
        <f>VD11+VD25+VD43+VD49</f>
        <v/>
      </c>
      <c r="VE3" s="1527" t="n">
        <v>2783.82653706</v>
      </c>
      <c r="VF3" s="1527" t="n">
        <v>2673.220377992</v>
      </c>
      <c r="VG3" s="1527" t="n">
        <v>3214.7197143768</v>
      </c>
      <c r="VH3" s="1527" t="n">
        <v>3345.35319666</v>
      </c>
      <c r="VI3" s="1527" t="n">
        <v>3872.616172049999</v>
      </c>
      <c r="VJ3" s="1527" t="n">
        <v>4187.36616322</v>
      </c>
      <c r="VK3" s="1527" t="n">
        <v>3513.57792561</v>
      </c>
      <c r="VL3" s="1527" t="n">
        <v>2495.61175268</v>
      </c>
      <c r="VM3" s="1527" t="n">
        <v>3240.7720731</v>
      </c>
      <c r="VN3" s="1527" t="n">
        <v>3409.785850570001</v>
      </c>
      <c r="VO3" s="1527" t="n">
        <v>2659.281248360001</v>
      </c>
      <c r="VP3" s="1527" t="n">
        <v>2932.32748951</v>
      </c>
      <c r="VQ3" s="1527" t="n">
        <v>3033.05619158</v>
      </c>
      <c r="VR3" s="1527" t="n">
        <v>2814.14594258</v>
      </c>
      <c r="VS3" s="1527" t="n">
        <v>2339.11802723</v>
      </c>
      <c r="VT3" s="1527" t="n">
        <v>2644.59388901</v>
      </c>
      <c r="VU3" s="1527" t="n">
        <v>2524.37182067</v>
      </c>
      <c r="VV3" s="1527">
        <f>VV11+VV25+VV43+VV49</f>
        <v/>
      </c>
      <c r="VW3" s="1527" t="n">
        <v>2415.92736356</v>
      </c>
      <c r="VX3" s="1527" t="n">
        <v>3103.49641647</v>
      </c>
      <c r="VY3" s="1527" t="n">
        <v>3262.08687577</v>
      </c>
      <c r="VZ3" s="1527" t="n">
        <v>3053.258580308072</v>
      </c>
      <c r="WA3" s="1527" t="n">
        <v>3445.82051649987</v>
      </c>
      <c r="WB3" s="1527" t="n">
        <v>2988.457090869871</v>
      </c>
      <c r="WC3" s="1527" t="n">
        <v>2921.231202572667</v>
      </c>
      <c r="WD3" s="1527" t="n">
        <v>2583.635321236354</v>
      </c>
      <c r="WE3" s="1527" t="n">
        <v>2790.085356697933</v>
      </c>
      <c r="WF3" s="1527" t="n">
        <v>2988.454326664883</v>
      </c>
      <c r="WG3" s="1527" t="n">
        <v>1987.507439552903</v>
      </c>
      <c r="WH3" s="1527" t="n">
        <v>2059.252384282903</v>
      </c>
      <c r="WI3" s="1527" t="n">
        <v>2233.390323072903</v>
      </c>
      <c r="WJ3" s="1527" t="n">
        <v>2797.861227918811</v>
      </c>
      <c r="WK3" s="1527" t="n">
        <v>2164.951741479811</v>
      </c>
      <c r="WL3" s="1527" t="n">
        <v>2135.669628599811</v>
      </c>
      <c r="WM3" s="1527" t="n">
        <v>2021.805742969811</v>
      </c>
      <c r="WN3" s="1527" t="n">
        <v>2392.332134679811</v>
      </c>
      <c r="WO3" s="1527" t="n">
        <v>1893.897700419424</v>
      </c>
      <c r="WP3" s="1527" t="n">
        <v>1792.401392019424</v>
      </c>
      <c r="WQ3" s="1527" t="n">
        <v>2333.82879551704</v>
      </c>
      <c r="WR3" s="1527">
        <f>WR11+WR25+WR43+WR49</f>
        <v/>
      </c>
      <c r="WS3" s="1527">
        <f>WS11+WS25+WS43+WS49</f>
        <v/>
      </c>
      <c r="WT3" s="1527">
        <f>WT11+WT25+WT43+WT49</f>
        <v/>
      </c>
      <c r="WU3" s="1527">
        <f>WU11+WU25+WU43+WU49</f>
        <v/>
      </c>
      <c r="WV3" s="1527">
        <f>WV11+WV25+WV43+WV49</f>
        <v/>
      </c>
      <c r="WW3" s="1527" t="n">
        <v>1898.04865376</v>
      </c>
      <c r="WX3" s="1527" t="n">
        <v>1915.06731660152</v>
      </c>
      <c r="WY3" s="1527" t="n">
        <v>2039.67117314</v>
      </c>
      <c r="WZ3" s="1527" t="n">
        <v>2056.49859593</v>
      </c>
      <c r="XA3" s="1527" t="n">
        <v>2014.95334965</v>
      </c>
      <c r="XB3" s="1527" t="n">
        <v>2234.31850616</v>
      </c>
      <c r="XC3" s="1527" t="n">
        <v>1737.40178315</v>
      </c>
      <c r="XD3" s="1527" t="n">
        <v>1976.21456594</v>
      </c>
      <c r="XE3" s="1527" t="n">
        <v>2081.46341584</v>
      </c>
      <c r="XF3" s="1527" t="n">
        <v>2268.24359494</v>
      </c>
      <c r="XG3" s="1527" t="n">
        <v>2034.45007276</v>
      </c>
      <c r="XH3" s="1527" t="n">
        <v>2219.26345818</v>
      </c>
      <c r="XI3" s="1527" t="n">
        <v>1974.28950177</v>
      </c>
      <c r="XJ3" s="1527" t="n">
        <v>2797.37870148</v>
      </c>
      <c r="XK3" s="1527" t="n">
        <v>1746.03046013</v>
      </c>
      <c r="XL3" s="1527" t="n">
        <v>1852.14000205</v>
      </c>
      <c r="XM3" s="1527" t="n">
        <v>2467.60218838</v>
      </c>
      <c r="XN3" s="1527" t="n">
        <v>2108.97870488</v>
      </c>
      <c r="XO3" s="1527" t="n">
        <v>2347.84671684</v>
      </c>
      <c r="XP3" s="1527" t="n">
        <v>3076.9616955</v>
      </c>
      <c r="XQ3" s="1527" t="n">
        <v>3217.605075997</v>
      </c>
      <c r="XR3" s="1527" t="n">
        <v>3672.75958067</v>
      </c>
      <c r="XS3" s="1527" t="n">
        <v>3804.88936054</v>
      </c>
      <c r="XT3" s="1527" t="n">
        <v>2020.396076311553</v>
      </c>
      <c r="XU3" s="1527" t="n">
        <v>2296.2242332</v>
      </c>
      <c r="XV3" s="1527" t="n">
        <v>2250.87027571</v>
      </c>
      <c r="XW3" s="1527" t="n">
        <v>2454.41399117</v>
      </c>
      <c r="XX3" s="1527" t="n">
        <v>1875.55099298</v>
      </c>
      <c r="XY3" s="1527" t="n">
        <v>2061.589377</v>
      </c>
      <c r="XZ3" s="1527" t="n">
        <v>1944.7310876</v>
      </c>
      <c r="YA3" s="1527" t="n">
        <v>2034.88462457</v>
      </c>
      <c r="YB3" s="1527" t="n">
        <v>2198.70121523</v>
      </c>
      <c r="YC3" s="1527" t="n">
        <v>1684.63859226</v>
      </c>
      <c r="YD3" s="1527" t="n">
        <v>3847.54326027</v>
      </c>
      <c r="YE3" s="1527" t="n">
        <v>1676.21663017</v>
      </c>
      <c r="YF3" s="1527" t="n">
        <v>2653.00256155</v>
      </c>
      <c r="YG3" s="1527" t="n">
        <v>2237.66336713</v>
      </c>
      <c r="YH3" s="1527" t="n">
        <v>2549.29605376787</v>
      </c>
      <c r="YI3" s="1527" t="n">
        <v>2441.79038690787</v>
      </c>
      <c r="YJ3" s="1528">
        <f>YJ11+YJ25+YJ43+YJ49</f>
        <v/>
      </c>
    </row>
    <row r="4" ht="15" customFormat="1" customHeight="1" s="943" thickBot="1">
      <c r="B4" s="916" t="inlineStr">
        <is>
          <t xml:space="preserve">                                     (M.USD)</t>
        </is>
      </c>
      <c r="C4" s="1529">
        <f>C3/C2</f>
        <v/>
      </c>
      <c r="D4" s="1529">
        <f>D3/D2</f>
        <v/>
      </c>
      <c r="E4" s="1529">
        <f>E3/E2</f>
        <v/>
      </c>
      <c r="F4" s="1529">
        <f>F3/F2</f>
        <v/>
      </c>
      <c r="G4" s="1529">
        <f>G3/G2</f>
        <v/>
      </c>
      <c r="H4" s="1529">
        <f>H3/H2</f>
        <v/>
      </c>
      <c r="I4" s="1529">
        <f>I3/I2</f>
        <v/>
      </c>
      <c r="J4" s="1529">
        <f>J3/J2</f>
        <v/>
      </c>
      <c r="K4" s="1529">
        <f>K3/K2</f>
        <v/>
      </c>
      <c r="L4" s="1529">
        <f>L3/L2</f>
        <v/>
      </c>
      <c r="M4" s="1529">
        <f>M3/M2</f>
        <v/>
      </c>
      <c r="N4" s="1529">
        <f>N3/N2</f>
        <v/>
      </c>
      <c r="O4" s="1529">
        <f>O3/O2</f>
        <v/>
      </c>
      <c r="P4" s="1529">
        <f>P3/P2</f>
        <v/>
      </c>
      <c r="Q4" s="1529">
        <f>Q3/Q2</f>
        <v/>
      </c>
      <c r="R4" s="1529">
        <f>R3/R2</f>
        <v/>
      </c>
      <c r="S4" s="1529">
        <f>S3/S2</f>
        <v/>
      </c>
      <c r="T4" s="1529">
        <f>T3/T2</f>
        <v/>
      </c>
      <c r="U4" s="1529">
        <f>U3/U2</f>
        <v/>
      </c>
      <c r="V4" s="1529">
        <f>V3/V2</f>
        <v/>
      </c>
      <c r="W4" s="1529">
        <f>W3/W2</f>
        <v/>
      </c>
      <c r="X4" s="1529">
        <f>X3/X2</f>
        <v/>
      </c>
      <c r="Y4" s="1529">
        <f>Y3/Y2</f>
        <v/>
      </c>
      <c r="Z4" s="1529">
        <f>Z3/Z2</f>
        <v/>
      </c>
      <c r="AA4" s="1529">
        <f>AA3/AA2</f>
        <v/>
      </c>
      <c r="AB4" s="1529">
        <f>AB3/AB2</f>
        <v/>
      </c>
      <c r="AC4" s="1529">
        <f>AC3/AC2</f>
        <v/>
      </c>
      <c r="AD4" s="1529">
        <f>AD3/AD2</f>
        <v/>
      </c>
      <c r="AE4" s="1529">
        <f>AE3/AE2</f>
        <v/>
      </c>
      <c r="AF4" s="1529">
        <f>AF3/AF2</f>
        <v/>
      </c>
      <c r="AG4" s="1529">
        <f>AG3/AG2</f>
        <v/>
      </c>
      <c r="AH4" s="1529">
        <f>AH3/AH2</f>
        <v/>
      </c>
      <c r="AI4" s="1529">
        <f>AI3/AI2</f>
        <v/>
      </c>
      <c r="AJ4" s="1529">
        <f>AJ3/AJ2</f>
        <v/>
      </c>
      <c r="AK4" s="1529">
        <f>AK3/AK2</f>
        <v/>
      </c>
      <c r="AL4" s="1529">
        <f>AL3/AL2</f>
        <v/>
      </c>
      <c r="AM4" s="1529">
        <f>AM3/AM2</f>
        <v/>
      </c>
      <c r="AN4" s="1529">
        <f>AN3/AN2</f>
        <v/>
      </c>
      <c r="AO4" s="1529">
        <f>AO3/AO2</f>
        <v/>
      </c>
      <c r="AP4" s="1529">
        <f>AP3/AP2</f>
        <v/>
      </c>
      <c r="AQ4" s="1529">
        <f>AQ3/AQ2</f>
        <v/>
      </c>
      <c r="AR4" s="1529">
        <f>AR3/AR2</f>
        <v/>
      </c>
      <c r="AS4" s="1529">
        <f>AS3/AS2</f>
        <v/>
      </c>
      <c r="AT4" s="1529">
        <f>AT3/AT2</f>
        <v/>
      </c>
      <c r="AU4" s="1529">
        <f>AU3/AU2</f>
        <v/>
      </c>
      <c r="AV4" s="1529">
        <f>AV3/AV2</f>
        <v/>
      </c>
      <c r="AW4" s="1529">
        <f>AW3/AW2</f>
        <v/>
      </c>
      <c r="AX4" s="1529">
        <f>AX3/AX2</f>
        <v/>
      </c>
      <c r="AY4" s="1529">
        <f>AY3/AY2</f>
        <v/>
      </c>
      <c r="AZ4" s="1529">
        <f>AZ3/AZ2</f>
        <v/>
      </c>
      <c r="BA4" s="1529">
        <f>BA3/BA2</f>
        <v/>
      </c>
      <c r="BB4" s="1529">
        <f>BB3/BB2</f>
        <v/>
      </c>
      <c r="BC4" s="1529">
        <f>BC3/BC2</f>
        <v/>
      </c>
      <c r="BD4" s="1529">
        <f>BD3/BD2</f>
        <v/>
      </c>
      <c r="BE4" s="1529">
        <f>BE3/BE2</f>
        <v/>
      </c>
      <c r="BF4" s="1529">
        <f>BF3/BF2</f>
        <v/>
      </c>
      <c r="BG4" s="1529">
        <f>BG3/BG2</f>
        <v/>
      </c>
      <c r="BH4" s="1529">
        <f>BH3/BH2</f>
        <v/>
      </c>
      <c r="BI4" s="1529">
        <f>BI3/BI2</f>
        <v/>
      </c>
      <c r="BJ4" s="1529">
        <f>BJ3/BJ2</f>
        <v/>
      </c>
      <c r="BK4" s="1529">
        <f>BK3/BK2</f>
        <v/>
      </c>
      <c r="BL4" s="1529">
        <f>BL3/BL2</f>
        <v/>
      </c>
      <c r="BM4" s="1529">
        <f>BM3/BM2</f>
        <v/>
      </c>
      <c r="BN4" s="1529">
        <f>BN3/BN2</f>
        <v/>
      </c>
      <c r="BO4" s="1529">
        <f>BO3/BO2</f>
        <v/>
      </c>
      <c r="BP4" s="1529">
        <f>BP3/BP2</f>
        <v/>
      </c>
      <c r="BQ4" s="1529">
        <f>BQ3/BQ2</f>
        <v/>
      </c>
      <c r="BR4" s="1529">
        <f>BR3/BR2</f>
        <v/>
      </c>
      <c r="BS4" s="1529">
        <f>BS3/BS2</f>
        <v/>
      </c>
      <c r="BT4" s="1529">
        <f>BT3/BT2</f>
        <v/>
      </c>
      <c r="BU4" s="1529">
        <f>BU3/BU2</f>
        <v/>
      </c>
      <c r="BV4" s="1529">
        <f>BV3/BV2</f>
        <v/>
      </c>
      <c r="BW4" s="1529">
        <f>BW3/BW2</f>
        <v/>
      </c>
      <c r="BX4" s="1529">
        <f>BX3/BX2</f>
        <v/>
      </c>
      <c r="BY4" s="1529">
        <f>BY3/BY2</f>
        <v/>
      </c>
      <c r="BZ4" s="1529">
        <f>BZ3/BZ2</f>
        <v/>
      </c>
      <c r="CA4" s="1529">
        <f>CA3/CA2</f>
        <v/>
      </c>
      <c r="CB4" s="1529">
        <f>CB3/CB2</f>
        <v/>
      </c>
      <c r="CC4" s="1529">
        <f>CC3/CC2</f>
        <v/>
      </c>
      <c r="CD4" s="1529">
        <f>CD3/CD2</f>
        <v/>
      </c>
      <c r="CE4" s="1529">
        <f>CE3/CE2</f>
        <v/>
      </c>
      <c r="CF4" s="1529">
        <f>CF3/CF2</f>
        <v/>
      </c>
      <c r="CG4" s="1529">
        <f>CG3/CG2</f>
        <v/>
      </c>
      <c r="CH4" s="1529">
        <f>CH3/CH2</f>
        <v/>
      </c>
      <c r="CI4" s="1529">
        <f>CI3/CI2</f>
        <v/>
      </c>
      <c r="CJ4" s="1529">
        <f>CJ3/CJ2</f>
        <v/>
      </c>
      <c r="CK4" s="1529">
        <f>CK3/CK2</f>
        <v/>
      </c>
      <c r="CL4" s="1529">
        <f>CL3/CL2</f>
        <v/>
      </c>
      <c r="CM4" s="1529">
        <f>CM3/CM2</f>
        <v/>
      </c>
      <c r="CN4" s="1529">
        <f>CN3/CN2</f>
        <v/>
      </c>
      <c r="CO4" s="1529">
        <f>CO3/CO2</f>
        <v/>
      </c>
      <c r="CP4" s="1529">
        <f>CP3/CP2</f>
        <v/>
      </c>
      <c r="CQ4" s="1529">
        <f>CQ3/CQ2</f>
        <v/>
      </c>
      <c r="CR4" s="1529">
        <f>CR3/CR2</f>
        <v/>
      </c>
      <c r="CS4" s="1529">
        <f>CS3/CS2</f>
        <v/>
      </c>
      <c r="CT4" s="1529">
        <f>CT3/CT2</f>
        <v/>
      </c>
      <c r="CU4" s="1529">
        <f>CU3/CU2</f>
        <v/>
      </c>
      <c r="CV4" s="1529">
        <f>CV3/CV2</f>
        <v/>
      </c>
      <c r="CW4" s="1529">
        <f>CW3/CW2</f>
        <v/>
      </c>
      <c r="CX4" s="1529">
        <f>CX3/CX2</f>
        <v/>
      </c>
      <c r="CY4" s="1529">
        <f>CY3/CY2</f>
        <v/>
      </c>
      <c r="CZ4" s="1529">
        <f>CZ3/CZ2</f>
        <v/>
      </c>
      <c r="DA4" s="1529">
        <f>DA3/DA2</f>
        <v/>
      </c>
      <c r="DB4" s="1529">
        <f>DB3/DB2</f>
        <v/>
      </c>
      <c r="DC4" s="1529">
        <f>DC3/DC2</f>
        <v/>
      </c>
      <c r="DD4" s="1529">
        <f>DD3/DD2</f>
        <v/>
      </c>
      <c r="DE4" s="1529">
        <f>DE3/DE2</f>
        <v/>
      </c>
      <c r="DF4" s="1529">
        <f>DF3/DF2</f>
        <v/>
      </c>
      <c r="DG4" s="1529">
        <f>DG3/DG2</f>
        <v/>
      </c>
      <c r="DH4" s="1529">
        <f>DH3/DH2</f>
        <v/>
      </c>
      <c r="DI4" s="1529">
        <f>DI3/DI2</f>
        <v/>
      </c>
      <c r="DJ4" s="1529">
        <f>DJ3/DJ2</f>
        <v/>
      </c>
      <c r="DK4" s="1529">
        <f>DK3/DK2</f>
        <v/>
      </c>
      <c r="DL4" s="1529">
        <f>DL3/DL2</f>
        <v/>
      </c>
      <c r="DM4" s="1529">
        <f>DM3/DM2</f>
        <v/>
      </c>
      <c r="DN4" s="1529">
        <f>DN3/DN2</f>
        <v/>
      </c>
      <c r="DO4" s="1529">
        <f>DO3/DO2</f>
        <v/>
      </c>
      <c r="DP4" s="1529">
        <f>DP3/DP2</f>
        <v/>
      </c>
      <c r="DQ4" s="1529">
        <f>DQ3/DQ2</f>
        <v/>
      </c>
      <c r="DR4" s="1529">
        <f>DR3/DR2</f>
        <v/>
      </c>
      <c r="DS4" s="1529">
        <f>DS3/DS2</f>
        <v/>
      </c>
      <c r="DT4" s="1529">
        <f>DT3/DT2</f>
        <v/>
      </c>
      <c r="DU4" s="1529">
        <f>DU3/DU2</f>
        <v/>
      </c>
      <c r="DV4" s="1529">
        <f>DV3/DV2</f>
        <v/>
      </c>
      <c r="DW4" s="1529">
        <f>DW3/DW2</f>
        <v/>
      </c>
      <c r="DX4" s="1529">
        <f>DX3/DX2</f>
        <v/>
      </c>
      <c r="DY4" s="1529">
        <f>DY3/DY2</f>
        <v/>
      </c>
      <c r="DZ4" s="1529">
        <f>DZ3/DZ2</f>
        <v/>
      </c>
      <c r="EA4" s="1529">
        <f>EA3/EA2</f>
        <v/>
      </c>
      <c r="EB4" s="1529">
        <f>EB3/EB2</f>
        <v/>
      </c>
      <c r="EC4" s="1529">
        <f>EC3/EC2</f>
        <v/>
      </c>
      <c r="ED4" s="1529">
        <f>ED3/ED2</f>
        <v/>
      </c>
      <c r="EE4" s="1529">
        <f>EE3/EE2</f>
        <v/>
      </c>
      <c r="EF4" s="1529">
        <f>EF3/EF2</f>
        <v/>
      </c>
      <c r="EG4" s="1529">
        <f>EG3/EG2</f>
        <v/>
      </c>
      <c r="EH4" s="1529">
        <f>EH3/EH2</f>
        <v/>
      </c>
      <c r="EI4" s="1529">
        <f>EI3/EI2</f>
        <v/>
      </c>
      <c r="EJ4" s="1529">
        <f>EJ3/EJ2</f>
        <v/>
      </c>
      <c r="EK4" s="1529">
        <f>EK3/EK2</f>
        <v/>
      </c>
      <c r="EL4" s="1529">
        <f>EL3/EL2</f>
        <v/>
      </c>
      <c r="EM4" s="1529">
        <f>EM3/EM2</f>
        <v/>
      </c>
      <c r="EN4" s="1529">
        <f>EN3/EN2</f>
        <v/>
      </c>
      <c r="EO4" s="1529">
        <f>EO3/EO2</f>
        <v/>
      </c>
      <c r="EP4" s="1529">
        <f>EP3/EP2</f>
        <v/>
      </c>
      <c r="EQ4" s="1529">
        <f>EQ3/EQ2</f>
        <v/>
      </c>
      <c r="ER4" s="1529">
        <f>ER3/ER2</f>
        <v/>
      </c>
      <c r="ES4" s="1529">
        <f>ES3/ES2</f>
        <v/>
      </c>
      <c r="ET4" s="1529">
        <f>ET3/ET2</f>
        <v/>
      </c>
      <c r="EU4" s="1529">
        <f>EU3/EU2</f>
        <v/>
      </c>
      <c r="EV4" s="1529">
        <f>EV3/EV2</f>
        <v/>
      </c>
      <c r="EW4" s="1529">
        <f>EW3/EW2</f>
        <v/>
      </c>
      <c r="EX4" s="1529">
        <f>EX3/EX2</f>
        <v/>
      </c>
      <c r="EY4" s="1529">
        <f>EY3/EY2</f>
        <v/>
      </c>
      <c r="EZ4" s="1529">
        <f>EZ3/EZ2</f>
        <v/>
      </c>
      <c r="FA4" s="1529">
        <f>FA3/FA2</f>
        <v/>
      </c>
      <c r="FB4" s="1529">
        <f>FB3/FB2</f>
        <v/>
      </c>
      <c r="FC4" s="1529">
        <f>FC3/FC2</f>
        <v/>
      </c>
      <c r="FD4" s="1529">
        <f>FD3/FD2</f>
        <v/>
      </c>
      <c r="FE4" s="1529">
        <f>FE3/FE2</f>
        <v/>
      </c>
      <c r="FF4" s="1529">
        <f>FF3/FF2</f>
        <v/>
      </c>
      <c r="FG4" s="1529">
        <f>FG3/FG2</f>
        <v/>
      </c>
      <c r="FH4" s="1529">
        <f>FH3/FH2</f>
        <v/>
      </c>
      <c r="FI4" s="1529">
        <f>FI3/FI2</f>
        <v/>
      </c>
      <c r="FJ4" s="1529">
        <f>FJ3/FJ2</f>
        <v/>
      </c>
      <c r="FK4" s="1529">
        <f>FK3/FK2</f>
        <v/>
      </c>
      <c r="FL4" s="1529">
        <f>FL3/FL2</f>
        <v/>
      </c>
      <c r="FM4" s="1529">
        <f>FM3/FM2</f>
        <v/>
      </c>
      <c r="FN4" s="1529">
        <f>FN3/FN2</f>
        <v/>
      </c>
      <c r="FO4" s="1529">
        <f>FO3/FO2</f>
        <v/>
      </c>
      <c r="FP4" s="1529">
        <f>FP3/FP2</f>
        <v/>
      </c>
      <c r="FQ4" s="1529">
        <f>FQ3/FQ2</f>
        <v/>
      </c>
      <c r="FR4" s="1529">
        <f>FR3/FR2</f>
        <v/>
      </c>
      <c r="FS4" s="1529">
        <f>FS3/FS2</f>
        <v/>
      </c>
      <c r="FT4" s="1529">
        <f>FT3/FT2</f>
        <v/>
      </c>
      <c r="FU4" s="1529">
        <f>FU3/FU2</f>
        <v/>
      </c>
      <c r="FV4" s="1529">
        <f>FV3/FV2</f>
        <v/>
      </c>
      <c r="FW4" s="1529">
        <f>FW3/FW2</f>
        <v/>
      </c>
      <c r="FX4" s="1529">
        <f>FX3/FX2</f>
        <v/>
      </c>
      <c r="FY4" s="1529">
        <f>FY3/FY2</f>
        <v/>
      </c>
      <c r="FZ4" s="1529">
        <f>FZ3/FZ2</f>
        <v/>
      </c>
      <c r="GA4" s="1529">
        <f>GA3/GA2</f>
        <v/>
      </c>
      <c r="GB4" s="1529">
        <f>GB3/GB2</f>
        <v/>
      </c>
      <c r="GC4" s="1529">
        <f>GC3/GC2</f>
        <v/>
      </c>
      <c r="GD4" s="1529">
        <f>GD3/GD2</f>
        <v/>
      </c>
      <c r="GE4" s="1529">
        <f>GE3/GE2</f>
        <v/>
      </c>
      <c r="GF4" s="1529">
        <f>GF3/GF2</f>
        <v/>
      </c>
      <c r="GG4" s="1529">
        <f>GG3/GG2</f>
        <v/>
      </c>
      <c r="GH4" s="1529">
        <f>GH3/GH2</f>
        <v/>
      </c>
      <c r="GI4" s="1529">
        <f>GI3/GI2</f>
        <v/>
      </c>
      <c r="GJ4" s="1529">
        <f>GJ3/GJ2</f>
        <v/>
      </c>
      <c r="GK4" s="1529">
        <f>GK3/GK2</f>
        <v/>
      </c>
      <c r="GL4" s="1529">
        <f>GL3/GL2</f>
        <v/>
      </c>
      <c r="GM4" s="1529">
        <f>GM3/GM2</f>
        <v/>
      </c>
      <c r="GN4" s="1529">
        <f>GN3/GN2</f>
        <v/>
      </c>
      <c r="GO4" s="1529">
        <f>GO3/GO2</f>
        <v/>
      </c>
      <c r="GP4" s="1529">
        <f>GP3/GP2</f>
        <v/>
      </c>
      <c r="GQ4" s="1529">
        <f>GQ3/GQ2</f>
        <v/>
      </c>
      <c r="GR4" s="1529">
        <f>GR3/GR2</f>
        <v/>
      </c>
      <c r="GS4" s="1529">
        <f>GS3/GS2</f>
        <v/>
      </c>
      <c r="GT4" s="1529">
        <f>GT3/GT2</f>
        <v/>
      </c>
      <c r="GU4" s="1529">
        <f>GU3/GU2</f>
        <v/>
      </c>
      <c r="GV4" s="1529">
        <f>GV3/GV2</f>
        <v/>
      </c>
      <c r="GW4" s="1529">
        <f>GW3/GW2</f>
        <v/>
      </c>
      <c r="GX4" s="1529">
        <f>GX3/GX2</f>
        <v/>
      </c>
      <c r="GY4" s="1529">
        <f>GY3/GY2</f>
        <v/>
      </c>
      <c r="GZ4" s="1529">
        <f>GZ3/GZ2</f>
        <v/>
      </c>
      <c r="HA4" s="1529">
        <f>HA3/HA2</f>
        <v/>
      </c>
      <c r="HB4" s="1529">
        <f>HB3/HB2</f>
        <v/>
      </c>
      <c r="HC4" s="1529">
        <f>HC3/HC2</f>
        <v/>
      </c>
      <c r="HD4" s="1529">
        <f>HD3/HD2</f>
        <v/>
      </c>
      <c r="HE4" s="1529">
        <f>HE3/HE2</f>
        <v/>
      </c>
      <c r="HF4" s="1529">
        <f>HF3/HF2</f>
        <v/>
      </c>
      <c r="HG4" s="1529">
        <f>HG3/HG2</f>
        <v/>
      </c>
      <c r="HH4" s="1529">
        <f>HH3/HH2</f>
        <v/>
      </c>
      <c r="HI4" s="1529">
        <f>HI3/HI2</f>
        <v/>
      </c>
      <c r="HJ4" s="1529">
        <f>HJ3/HJ2</f>
        <v/>
      </c>
      <c r="HK4" s="1529">
        <f>HK3/HK2</f>
        <v/>
      </c>
      <c r="HL4" s="1529">
        <f>HL3/HL2</f>
        <v/>
      </c>
      <c r="HM4" s="1529">
        <f>HM3/HM2</f>
        <v/>
      </c>
      <c r="HN4" s="1529">
        <f>HN3/HN2</f>
        <v/>
      </c>
      <c r="HO4" s="1529" t="n">
        <v>51.98946035894638</v>
      </c>
      <c r="HP4" s="1529" t="n">
        <v>49.1408244815709</v>
      </c>
      <c r="HQ4" s="1529" t="n">
        <v>38.51010429170259</v>
      </c>
      <c r="HR4" s="1529">
        <f>HR3/HR2</f>
        <v/>
      </c>
      <c r="HS4" s="1529">
        <f>HS3/HS2</f>
        <v/>
      </c>
      <c r="HT4" s="1529">
        <f>HT3/HT2</f>
        <v/>
      </c>
      <c r="HU4" s="1529">
        <f>HU3/HU2</f>
        <v/>
      </c>
      <c r="HV4" s="1529" t="n">
        <v>34.86006373599946</v>
      </c>
      <c r="HW4" s="1529" t="n">
        <v>34.04909941203843</v>
      </c>
      <c r="HX4" s="1529" t="n">
        <v>38.51630343750663</v>
      </c>
      <c r="HY4" s="1529" t="n">
        <v>35.53813458015937</v>
      </c>
      <c r="HZ4" s="1529" t="n">
        <v>31.30456213210655</v>
      </c>
      <c r="IA4" s="1529" t="n">
        <v>32.01976983327194</v>
      </c>
      <c r="IB4" s="1529" t="n">
        <v>32.31727703538002</v>
      </c>
      <c r="IC4" s="1529" t="n">
        <v>30.81480216660596</v>
      </c>
      <c r="ID4" s="1529" t="n">
        <v>30.97702572226035</v>
      </c>
      <c r="IE4" s="1529" t="n">
        <v>31.95821051447072</v>
      </c>
      <c r="IF4" s="1529" t="n">
        <v>30.95186863471106</v>
      </c>
      <c r="IG4" s="1529" t="n">
        <v>33.99747616841555</v>
      </c>
      <c r="IH4" s="1529" t="n">
        <v>33.83497612468944</v>
      </c>
      <c r="II4" s="1529" t="n">
        <v>33.42537837028527</v>
      </c>
      <c r="IJ4" s="1529" t="n">
        <v>34.20344691514464</v>
      </c>
      <c r="IK4" s="1529" t="n">
        <v>41.38242614841769</v>
      </c>
      <c r="IL4" s="1529" t="n">
        <v>35.81780482128845</v>
      </c>
      <c r="IM4" s="1529" t="n">
        <v>38.0533821182835</v>
      </c>
      <c r="IN4" s="1529" t="n">
        <v>34.66424400137463</v>
      </c>
      <c r="IO4" s="1529" t="n">
        <v>31.90605768540998</v>
      </c>
      <c r="IP4" s="1529" t="n">
        <v>35.35016523752918</v>
      </c>
      <c r="IQ4" s="1529" t="n">
        <v>33.78593301448343</v>
      </c>
      <c r="IR4" s="1529" t="n">
        <v>34.46933835278061</v>
      </c>
      <c r="IS4" s="1529" t="n">
        <v>36.51450098516683</v>
      </c>
      <c r="IT4" s="1529" t="n">
        <v>38.70260420326562</v>
      </c>
      <c r="IU4" s="1529" t="n">
        <v>40.99435829480705</v>
      </c>
      <c r="IV4" s="1529" t="n">
        <v>41.69004266738979</v>
      </c>
      <c r="IW4" s="1529" t="n">
        <v>41.0879673598657</v>
      </c>
      <c r="IX4" s="1529" t="n">
        <v>37.8534683622056</v>
      </c>
      <c r="IY4" s="1529">
        <f>IY3/IY2</f>
        <v/>
      </c>
      <c r="IZ4" s="1529" t="n">
        <v>36.06658213726979</v>
      </c>
      <c r="JA4" s="1529" t="n">
        <v>43.58056924735678</v>
      </c>
      <c r="JB4" s="1529" t="n">
        <v>42.00011215515804</v>
      </c>
      <c r="JC4" s="1529" t="n">
        <v>57.59757196656719</v>
      </c>
      <c r="JD4" s="1529" t="n">
        <v>43.79935632040016</v>
      </c>
      <c r="JE4" s="1529" t="n">
        <v>41.66372354740265</v>
      </c>
      <c r="JF4" s="1529" t="n">
        <v>43.86027702490921</v>
      </c>
      <c r="JG4" s="1529" t="n">
        <v>42.18966105361665</v>
      </c>
      <c r="JH4" s="1529" t="n">
        <v>40.611822505773</v>
      </c>
      <c r="JI4" s="1529" t="n">
        <v>38.19959741546687</v>
      </c>
      <c r="JJ4" s="1529" t="n">
        <v>39.009345229002</v>
      </c>
      <c r="JK4" s="1529" t="n">
        <v>41.46399461169757</v>
      </c>
      <c r="JL4" s="1529" t="n">
        <v>42.46082778463639</v>
      </c>
      <c r="JM4" s="1529" t="n">
        <v>45.23677602870894</v>
      </c>
      <c r="JN4" s="1529" t="n">
        <v>58.54793937052064</v>
      </c>
      <c r="JO4" s="1529" t="n">
        <v>58.16646592325542</v>
      </c>
      <c r="JP4" s="1529" t="n">
        <v>61.02718017693014</v>
      </c>
      <c r="JQ4" s="1529" t="n">
        <v>49.42592810274697</v>
      </c>
      <c r="JR4" s="1529" t="n">
        <v>49.15509526270185</v>
      </c>
      <c r="JS4" s="1529">
        <f>JS3/JS2</f>
        <v/>
      </c>
      <c r="JT4" s="1529" t="n">
        <v>55.09234404622375</v>
      </c>
      <c r="JU4" s="1529" t="n">
        <v>54.92118739403437</v>
      </c>
      <c r="JV4" s="1529" t="n">
        <v>57.69894383829977</v>
      </c>
      <c r="JW4" s="1529" t="n">
        <v>72.38918004346527</v>
      </c>
      <c r="JX4" s="1529" t="n">
        <v>57.41726666034118</v>
      </c>
      <c r="JY4" s="1529" t="n">
        <v>53.91070574122057</v>
      </c>
      <c r="JZ4" s="1529" t="n">
        <v>57.42361310462803</v>
      </c>
      <c r="KA4" s="1529" t="n">
        <v>61.92437367090572</v>
      </c>
      <c r="KB4" s="1529" t="n">
        <v>58.07071179128045</v>
      </c>
      <c r="KC4" s="1529" t="n">
        <v>53.80141551564272</v>
      </c>
      <c r="KD4" s="1529" t="n">
        <v>52.57042129776296</v>
      </c>
      <c r="KE4" s="1529" t="n">
        <v>52.55620566669092</v>
      </c>
      <c r="KF4" s="1529" t="n">
        <v>39.59425938855109</v>
      </c>
      <c r="KG4" s="1529" t="n">
        <v>53.66921062576104</v>
      </c>
      <c r="KH4" s="1529" t="n">
        <v>54.30502195723214</v>
      </c>
      <c r="KI4" s="1529" t="n">
        <v>47.71733696681896</v>
      </c>
      <c r="KJ4" s="1529">
        <f>KJ3/KJ2</f>
        <v/>
      </c>
      <c r="KK4" s="1529" t="n">
        <v>51.0732560334569</v>
      </c>
      <c r="KL4" s="1529" t="n">
        <v>51.9278397244478</v>
      </c>
      <c r="KM4" s="1529" t="n">
        <v>50.8197396263073</v>
      </c>
      <c r="KN4" s="1529" t="n">
        <v>51.09140267401991</v>
      </c>
      <c r="KO4" s="1529" t="n">
        <v>52.17158918279573</v>
      </c>
      <c r="KP4" s="1529" t="n">
        <v>60.96010223959264</v>
      </c>
      <c r="KQ4" s="1529" t="n">
        <v>53.25824283314657</v>
      </c>
      <c r="KR4" s="1529" t="n">
        <v>53.02271432246064</v>
      </c>
      <c r="KS4" s="1529">
        <f>KS3/KS2</f>
        <v/>
      </c>
      <c r="KT4" s="1529" t="n">
        <v>47.96942968172927</v>
      </c>
      <c r="KU4" s="1529">
        <f>KU3/KU2</f>
        <v/>
      </c>
      <c r="KV4" s="1529">
        <f>KV3/KV2</f>
        <v/>
      </c>
      <c r="KW4" s="1529">
        <f>KW3/KW2</f>
        <v/>
      </c>
      <c r="KX4" s="1529" t="n">
        <v>38.95312665292516</v>
      </c>
      <c r="KY4" s="1529" t="n">
        <v>48.15194380672014</v>
      </c>
      <c r="KZ4" s="1529" t="n">
        <v>48.582109978999</v>
      </c>
      <c r="LA4" s="1529" t="n">
        <v>41.37065373804976</v>
      </c>
      <c r="LB4" s="1529" t="n">
        <v>46.11842834171288</v>
      </c>
      <c r="LC4" s="1529" t="n">
        <v>47.64042013910448</v>
      </c>
      <c r="LD4" s="1529" t="n">
        <v>60.02637672335668</v>
      </c>
      <c r="LE4" s="1529">
        <f>LE3/LE2</f>
        <v/>
      </c>
      <c r="LF4" s="1530" t="n">
        <v>50.96709214733473</v>
      </c>
      <c r="LG4" s="1530" t="n">
        <v>45.75597592800749</v>
      </c>
      <c r="LH4" s="1530" t="n">
        <v>50.70413673938088</v>
      </c>
      <c r="LI4" s="1530" t="n">
        <v>52.62967034239176</v>
      </c>
      <c r="LJ4" s="1530" t="n">
        <v>46.65189305987526</v>
      </c>
      <c r="LK4" s="1530" t="n">
        <v>55.91739419157764</v>
      </c>
      <c r="LL4" s="1530" t="n">
        <v>48.32647781995529</v>
      </c>
      <c r="LM4" s="1530" t="n">
        <v>48.94784940175231</v>
      </c>
      <c r="LN4" s="1530" t="n">
        <v>45.63681277941374</v>
      </c>
      <c r="LO4" s="1530" t="n">
        <v>42.80266905166662</v>
      </c>
      <c r="LP4" s="1530" t="n">
        <v>41.03463690043571</v>
      </c>
      <c r="LQ4" s="1530" t="n">
        <v>43.34916776352755</v>
      </c>
      <c r="LR4" s="1530" t="n">
        <v>47.35338405284094</v>
      </c>
      <c r="LS4" s="1530" t="n">
        <v>49.63909908377629</v>
      </c>
      <c r="LT4" s="1530" t="n">
        <v>52.1501591357474</v>
      </c>
      <c r="LU4" s="1530" t="n">
        <v>48.29358151198041</v>
      </c>
      <c r="LV4" s="1530" t="n">
        <v>41.26356336511525</v>
      </c>
      <c r="LW4" s="1530" t="n">
        <v>36.23013507756418</v>
      </c>
      <c r="LX4" s="1530" t="n">
        <v>34.17855071437981</v>
      </c>
      <c r="LY4" s="1530" t="n">
        <v>40.17962179315147</v>
      </c>
      <c r="LZ4" s="1530" t="n">
        <v>38.48802752326999</v>
      </c>
      <c r="MA4" s="1530" t="n">
        <v>42.46723222149753</v>
      </c>
      <c r="MB4" s="1530" t="n">
        <v>37.09405814421454</v>
      </c>
      <c r="MC4" s="1530" t="n">
        <v>41.0755562898282</v>
      </c>
      <c r="MD4" s="1530" t="n">
        <v>34.36979886059814</v>
      </c>
      <c r="ME4" s="1530" t="n">
        <v>36.40930335250395</v>
      </c>
      <c r="MF4" s="1530" t="n">
        <v>35.7039036891982</v>
      </c>
      <c r="MG4" s="1530" t="n">
        <v>36.47664567062395</v>
      </c>
      <c r="MH4" s="1530" t="n">
        <v>43.49294634102408</v>
      </c>
      <c r="MI4" s="1530" t="n">
        <v>43.21258386800852</v>
      </c>
      <c r="MJ4" s="1530" t="n">
        <v>38.02541457753607</v>
      </c>
      <c r="MK4" s="1530" t="n">
        <v>34.1980125107772</v>
      </c>
      <c r="ML4" s="1530" t="n">
        <v>36.90314773231012</v>
      </c>
      <c r="MM4" s="1530" t="n">
        <v>36.77733279166286</v>
      </c>
      <c r="MN4" s="1530" t="n">
        <v>34.69851008788721</v>
      </c>
      <c r="MO4" s="1530" t="n">
        <v>31.09835330122486</v>
      </c>
      <c r="MP4" s="1530" t="n">
        <v>30.92109449341665</v>
      </c>
      <c r="MQ4" s="1530" t="n">
        <v>26.55547113824564</v>
      </c>
      <c r="MR4" s="1530" t="n">
        <v>26.32576616804871</v>
      </c>
      <c r="MS4" s="1530" t="n">
        <v>27.92057809752979</v>
      </c>
      <c r="MT4" s="1530" t="n">
        <v>31.62172933479696</v>
      </c>
      <c r="MU4" s="1530" t="n">
        <v>29.60080406027957</v>
      </c>
      <c r="MV4" s="1530" t="n">
        <v>30.2676647727507</v>
      </c>
      <c r="MW4" s="1530" t="n">
        <v>32.82700267440844</v>
      </c>
      <c r="MX4" s="1530" t="n">
        <v>34.42473657968988</v>
      </c>
      <c r="MY4" s="1530" t="n">
        <v>35.07785236384107</v>
      </c>
      <c r="MZ4" s="1530" t="n">
        <v>33.75561089620878</v>
      </c>
      <c r="NA4" s="1530" t="n">
        <v>33.2872527699846</v>
      </c>
      <c r="NB4" s="1530" t="n">
        <v>37.8869389008741</v>
      </c>
      <c r="NC4" s="1530" t="n">
        <v>34.78305631207891</v>
      </c>
      <c r="ND4" s="1530" t="n">
        <v>35.27541160780733</v>
      </c>
      <c r="NE4" s="1530" t="n">
        <v>40.57577616979797</v>
      </c>
      <c r="NF4" s="1530" t="n">
        <v>36.99733784244818</v>
      </c>
      <c r="NG4" s="1530" t="n">
        <v>34.87941806454589</v>
      </c>
      <c r="NH4" s="1530" t="n">
        <v>37.34849510420565</v>
      </c>
      <c r="NI4" s="1530" t="n">
        <v>38.1089089861621</v>
      </c>
      <c r="NJ4" s="1530" t="n">
        <v>40.08431212573743</v>
      </c>
      <c r="NK4" s="1530" t="n">
        <v>39.27427128642418</v>
      </c>
      <c r="NL4" s="1530" t="n">
        <v>37.69710550706132</v>
      </c>
      <c r="NM4" s="1530" t="n">
        <v>45.41314991554412</v>
      </c>
      <c r="NN4" s="1530" t="n">
        <v>41.6800835098208</v>
      </c>
      <c r="NO4" s="1530" t="n">
        <v>41.60227678136688</v>
      </c>
      <c r="NP4" s="1530" t="n">
        <v>41.69294084841967</v>
      </c>
      <c r="NQ4" s="1530" t="n">
        <v>39.47802504806309</v>
      </c>
      <c r="NR4" s="1530" t="n">
        <v>44.37155441237385</v>
      </c>
      <c r="NS4" s="1530" t="n">
        <v>47.00059157478775</v>
      </c>
      <c r="NT4" s="1530" t="n">
        <v>49.43085911333317</v>
      </c>
      <c r="NU4" s="1530">
        <f>NU3/NU2</f>
        <v/>
      </c>
      <c r="NV4" s="1530" t="n">
        <v>49.73859904435711</v>
      </c>
      <c r="NW4" s="1530" t="n">
        <v>54.84123348511041</v>
      </c>
      <c r="NX4" s="1530" t="n">
        <v>49.71363938816853</v>
      </c>
      <c r="NY4" s="1530" t="n">
        <v>51.04654983806284</v>
      </c>
      <c r="NZ4" s="1530" t="n">
        <v>54.78194231888693</v>
      </c>
      <c r="OA4" s="1530" t="n">
        <v>52.94904381006602</v>
      </c>
      <c r="OB4" s="1530" t="n">
        <v>58.63761990335198</v>
      </c>
      <c r="OC4" s="1530" t="n">
        <v>54.03339487377383</v>
      </c>
      <c r="OD4" s="1530" t="n">
        <v>57.18242527604399</v>
      </c>
      <c r="OE4" s="1530" t="n">
        <v>58.44171811102484</v>
      </c>
      <c r="OF4" s="1530" t="n">
        <v>58.07592219629261</v>
      </c>
      <c r="OG4" s="1530" t="n">
        <v>54.70817205093124</v>
      </c>
      <c r="OH4" s="1530" t="n">
        <v>47.29995837258279</v>
      </c>
      <c r="OI4" s="1530" t="n">
        <v>48.92262240340344</v>
      </c>
      <c r="OJ4" s="1530" t="n">
        <v>53.60197311834762</v>
      </c>
      <c r="OK4" s="1530" t="n">
        <v>55.95720528529004</v>
      </c>
      <c r="OL4" s="1530" t="n">
        <v>55.14555674316473</v>
      </c>
      <c r="OM4" s="1530" t="n">
        <v>55.93323415698289</v>
      </c>
      <c r="ON4" s="1530" t="n">
        <v>58.78787347963347</v>
      </c>
      <c r="OO4" s="1530" t="n">
        <v>54.23313050762236</v>
      </c>
      <c r="OP4" s="1530" t="n">
        <v>50.16134908224412</v>
      </c>
      <c r="OQ4" s="1530" t="n">
        <v>50.18949956875021</v>
      </c>
      <c r="OR4" s="1530" t="n">
        <v>54.61602320564213</v>
      </c>
      <c r="OS4" s="1530" t="n">
        <v>46.92176748398691</v>
      </c>
      <c r="OT4" s="1530" t="n">
        <v>64.89493919581373</v>
      </c>
      <c r="OU4" s="1530" t="n">
        <v>54.62889753199448</v>
      </c>
      <c r="OV4" s="1530" t="n">
        <v>60.705375465423</v>
      </c>
      <c r="OW4" s="1530" t="n">
        <v>62.96305125189329</v>
      </c>
      <c r="OX4" s="1530" t="n">
        <v>57.70982009499014</v>
      </c>
      <c r="OY4" s="1530" t="n">
        <v>41.46676428898753</v>
      </c>
      <c r="OZ4" s="1530" t="n">
        <v>42.04205421087563</v>
      </c>
      <c r="PA4" s="1530" t="n">
        <v>39.16567476259565</v>
      </c>
      <c r="PB4" s="1530" t="n">
        <v>31.60211514296849</v>
      </c>
      <c r="PC4" s="1530" t="n">
        <v>32.28318171988961</v>
      </c>
      <c r="PD4" s="1530" t="n">
        <v>37.48079212828421</v>
      </c>
      <c r="PE4" s="1530" t="n">
        <v>43.25657254388977</v>
      </c>
      <c r="PF4" s="1530" t="n">
        <v>43.25119994216448</v>
      </c>
      <c r="PG4" s="1530" t="n">
        <v>37.66350426343037</v>
      </c>
      <c r="PH4" s="1530" t="n">
        <v>45.67537195167378</v>
      </c>
      <c r="PI4" s="1530" t="n">
        <v>50.3862939517394</v>
      </c>
      <c r="PJ4" s="1530" t="n">
        <v>56.47529211828039</v>
      </c>
      <c r="PK4" s="1530" t="n">
        <v>49.05366194721741</v>
      </c>
      <c r="PL4" s="1530" t="n">
        <v>42.43997825871174</v>
      </c>
      <c r="PM4" s="1530" t="n">
        <v>41.37336927774842</v>
      </c>
      <c r="PN4" s="1530" t="n">
        <v>45.9931544539053</v>
      </c>
      <c r="PO4" s="1530" t="n">
        <v>49.42324830656062</v>
      </c>
      <c r="PP4" s="1530" t="n">
        <v>50.48432715612517</v>
      </c>
      <c r="PQ4" s="1530" t="n">
        <v>40.99725274116452</v>
      </c>
      <c r="PR4" s="1530" t="n">
        <v>41.39590677247288</v>
      </c>
      <c r="PS4" s="1530" t="n">
        <v>47.09431836801348</v>
      </c>
      <c r="PT4" s="1530" t="n">
        <v>47.38090940858496</v>
      </c>
      <c r="PU4" s="1530" t="n">
        <v>41.83465933622523</v>
      </c>
      <c r="PV4" s="1530" t="n">
        <v>38.0359430196995</v>
      </c>
      <c r="PW4" s="1530" t="n">
        <v>39.00712868629256</v>
      </c>
      <c r="PX4" s="1530" t="n">
        <v>46.4413390103628</v>
      </c>
      <c r="PY4" s="1530" t="n">
        <v>47.71912833759293</v>
      </c>
      <c r="PZ4" s="1530" t="n">
        <v>47.18556272306292</v>
      </c>
      <c r="QA4" s="1530" t="n">
        <v>47.20675017647949</v>
      </c>
      <c r="QB4" s="1530" t="n">
        <v>36.75441229573028</v>
      </c>
      <c r="QC4" s="1530" t="n">
        <v>37.61358862939373</v>
      </c>
      <c r="QD4" s="1530" t="n">
        <v>34.8123082702574</v>
      </c>
      <c r="QE4" s="1530" t="n">
        <v>33.65724029091712</v>
      </c>
      <c r="QF4" s="1530" t="n">
        <v>37.6879986432623</v>
      </c>
      <c r="QG4" s="1530" t="n">
        <v>36.25262836047117</v>
      </c>
      <c r="QH4" s="1530">
        <f>QH3/QH2</f>
        <v/>
      </c>
      <c r="QI4" s="1530" t="n">
        <v>45.54852323803843</v>
      </c>
      <c r="QJ4" s="1530" t="n">
        <v>42.9002816535909</v>
      </c>
      <c r="QK4" s="1530" t="n">
        <v>41.97439999649637</v>
      </c>
      <c r="QL4" s="1530" t="n">
        <v>32.76088896428595</v>
      </c>
      <c r="QM4" s="1530" t="n">
        <v>32.08649979607374</v>
      </c>
      <c r="QN4" s="1530" t="n">
        <v>33.43468174686632</v>
      </c>
      <c r="QO4" s="1530" t="n">
        <v>42.05672613243297</v>
      </c>
      <c r="QP4" s="1530" t="n">
        <v>36.06257912964606</v>
      </c>
      <c r="QQ4" s="1530" t="n">
        <v>38.42726070940497</v>
      </c>
      <c r="QR4" s="1530" t="n">
        <v>39.91683034084913</v>
      </c>
      <c r="QS4" s="1530" t="n">
        <v>39.26248047948457</v>
      </c>
      <c r="QT4" s="1530" t="n">
        <v>40.24413795177969</v>
      </c>
      <c r="QU4" s="1530" t="n">
        <v>38.33988081002013</v>
      </c>
      <c r="QV4" s="1530" t="n">
        <v>42.91040816243198</v>
      </c>
      <c r="QW4" s="1530" t="n">
        <v>38.58939268941082</v>
      </c>
      <c r="QX4" s="1530" t="n">
        <v>39.27197043476937</v>
      </c>
      <c r="QY4" s="1530" t="n">
        <v>37.99375524663164</v>
      </c>
      <c r="QZ4" s="1530" t="n">
        <v>39.11180619372877</v>
      </c>
      <c r="RA4" s="1530" t="n">
        <v>32.32895732896209</v>
      </c>
      <c r="RB4" s="1530" t="n">
        <v>31.45640225084484</v>
      </c>
      <c r="RC4" s="1530" t="n">
        <v>30.84254033575829</v>
      </c>
      <c r="RD4" s="1530" t="n">
        <v>33.31991024413746</v>
      </c>
      <c r="RE4" s="1530" t="n">
        <v>28.28456946443547</v>
      </c>
      <c r="RF4" s="1530" t="n">
        <v>26.63833467058775</v>
      </c>
      <c r="RG4" s="1530">
        <f>RG3/RG2</f>
        <v/>
      </c>
      <c r="RH4" s="1530" t="n">
        <v>25.54224185793308</v>
      </c>
      <c r="RI4" s="1530" t="n">
        <v>25.58902498844891</v>
      </c>
      <c r="RJ4" s="1530" t="n">
        <v>23.14917289908297</v>
      </c>
      <c r="RK4" s="1530" t="n">
        <v>26.50724019804563</v>
      </c>
      <c r="RL4" s="1530" t="n">
        <v>26.15434245943457</v>
      </c>
      <c r="RM4" s="1530" t="n">
        <v>24.92115616189143</v>
      </c>
      <c r="RN4" s="1530" t="n">
        <v>25.03651956520576</v>
      </c>
      <c r="RO4" s="1530" t="n">
        <v>23.99343147770414</v>
      </c>
      <c r="RP4" s="1530" t="n">
        <v>25.15090088642794</v>
      </c>
      <c r="RQ4" s="1530" t="n">
        <v>22.67661496233204</v>
      </c>
      <c r="RR4" s="1530" t="n">
        <v>23.31252688565045</v>
      </c>
      <c r="RS4" s="1530" t="n">
        <v>48.33467294011508</v>
      </c>
      <c r="RT4" s="1530" t="n">
        <v>53.00340905011051</v>
      </c>
      <c r="RU4" s="1530" t="n">
        <v>42.97877458243919</v>
      </c>
      <c r="RV4" s="1530" t="n">
        <v>43.68043419450456</v>
      </c>
      <c r="RW4" s="1530" t="n">
        <v>33.60993791421817</v>
      </c>
      <c r="RX4" s="1530" t="n">
        <v>29.81485825705821</v>
      </c>
      <c r="RY4" s="1530" t="n">
        <v>42.32090959827237</v>
      </c>
      <c r="RZ4" s="1530" t="n">
        <v>38.03564261541403</v>
      </c>
      <c r="SA4" s="1530" t="n">
        <v>40.66031961058678</v>
      </c>
      <c r="SB4" s="1530" t="n">
        <v>34.70827778991681</v>
      </c>
      <c r="SC4" s="1530" t="n">
        <v>36.66806388702756</v>
      </c>
      <c r="SD4" s="1530" t="n">
        <v>38.67309648614359</v>
      </c>
      <c r="SE4" s="1530" t="n">
        <v>40.78769677474273</v>
      </c>
      <c r="SF4" s="1530" t="n">
        <v>48.4508947923086</v>
      </c>
      <c r="SG4" s="1530" t="n">
        <v>46.40592478442821</v>
      </c>
      <c r="SH4" s="1530" t="n">
        <v>41.28017141631629</v>
      </c>
      <c r="SI4" s="1530" t="n">
        <v>46.14190014738321</v>
      </c>
      <c r="SJ4" s="1530" t="n">
        <v>47.08430593345888</v>
      </c>
      <c r="SK4" s="1530" t="n">
        <v>52.44867161264134</v>
      </c>
      <c r="SL4" s="1530" t="n">
        <v>51.97289337134253</v>
      </c>
      <c r="SM4" s="1530" t="n">
        <v>46.07288265446778</v>
      </c>
      <c r="SN4" s="1530" t="n">
        <v>46.00792380822853</v>
      </c>
      <c r="SO4" s="1530" t="n">
        <v>50.56435221976159</v>
      </c>
      <c r="SP4" s="1530" t="n">
        <v>50.88517051375265</v>
      </c>
      <c r="SQ4" s="1530" t="n">
        <v>47.3739364847651</v>
      </c>
      <c r="SR4" s="1530" t="n">
        <v>48.07167921534209</v>
      </c>
      <c r="SS4" s="1530" t="n">
        <v>47.7945040004435</v>
      </c>
      <c r="ST4" s="1530" t="n">
        <v>48.62243446801416</v>
      </c>
      <c r="SU4" s="1530" t="n">
        <v>52.1190368593492</v>
      </c>
      <c r="SV4" s="1530" t="n">
        <v>49.10588508591042</v>
      </c>
      <c r="SW4" s="1530" t="n">
        <v>49.47294835906554</v>
      </c>
      <c r="SX4" s="1530" t="n">
        <v>50.31245577283164</v>
      </c>
      <c r="SY4" s="1530" t="n">
        <v>48.1882017844943</v>
      </c>
      <c r="SZ4" s="1530" t="n">
        <v>50.44690363810758</v>
      </c>
      <c r="TA4" s="1530" t="n">
        <v>53.7158779312534</v>
      </c>
      <c r="TB4" s="1530" t="n">
        <v>53.26300211933199</v>
      </c>
      <c r="TC4" s="1530" t="n">
        <v>56.52444186001332</v>
      </c>
      <c r="TD4" s="1530" t="n">
        <v>60.80130692293021</v>
      </c>
      <c r="TE4" s="1530">
        <f>TE3/TE2</f>
        <v/>
      </c>
      <c r="TF4" s="1530">
        <f>TF3/TF2</f>
        <v/>
      </c>
      <c r="TG4" s="1530" t="n">
        <v>39.0703370661602</v>
      </c>
      <c r="TH4" s="1530" t="n">
        <v>35.7719453482411</v>
      </c>
      <c r="TI4" s="1530" t="n">
        <v>37.85939147290886</v>
      </c>
      <c r="TJ4" s="1530" t="n">
        <v>38.32200016946123</v>
      </c>
      <c r="TK4" s="1530" t="n">
        <v>39.87776935800093</v>
      </c>
      <c r="TL4" s="1530" t="n">
        <v>41.38656570318956</v>
      </c>
      <c r="TM4" s="1530" t="n">
        <v>41.5209758080991</v>
      </c>
      <c r="TN4" s="1530" t="n">
        <v>31.91640010529364</v>
      </c>
      <c r="TO4" s="1530" t="n">
        <v>39.74342408684004</v>
      </c>
      <c r="TP4" s="1530" t="n">
        <v>44.24327703879642</v>
      </c>
      <c r="TQ4" s="1530" t="n">
        <v>38.83419552416687</v>
      </c>
      <c r="TR4" s="1530" t="n">
        <v>38.71051200206407</v>
      </c>
      <c r="TS4" s="1530" t="n">
        <v>37.4151661313262</v>
      </c>
      <c r="TT4" s="1530" t="n">
        <v>40.76847585293154</v>
      </c>
      <c r="TU4" s="1530" t="n">
        <v>40.03466127715215</v>
      </c>
      <c r="TV4" s="1530" t="n">
        <v>41.78308871882265</v>
      </c>
      <c r="TW4" s="1530" t="n">
        <v>38.28878645428944</v>
      </c>
      <c r="TX4" s="1530" t="n">
        <v>39.38315216810854</v>
      </c>
      <c r="TY4" s="1530" t="n">
        <v>38.23862720232366</v>
      </c>
      <c r="TZ4" s="1530">
        <f>TZ3/TZ2</f>
        <v/>
      </c>
      <c r="UA4" s="1530">
        <f>UA3/UA2</f>
        <v/>
      </c>
      <c r="UB4" s="1530">
        <f>UB3/UB2</f>
        <v/>
      </c>
      <c r="UC4" s="1530">
        <f>UC3/UC2</f>
        <v/>
      </c>
      <c r="UD4" s="1530">
        <f>UD3/UD2</f>
        <v/>
      </c>
      <c r="UE4" s="1530">
        <f>UE3/UE2</f>
        <v/>
      </c>
      <c r="UF4" s="1530" t="n">
        <v>38.60899575778239</v>
      </c>
      <c r="UG4" s="1530" t="n">
        <v>45.76520249038426</v>
      </c>
      <c r="UH4" s="1530" t="n">
        <v>38.55269948284795</v>
      </c>
      <c r="UI4" s="1530" t="n">
        <v>31.77928430323668</v>
      </c>
      <c r="UJ4" s="1530" t="n">
        <v>30.47598925291601</v>
      </c>
      <c r="UK4" s="1530" t="n">
        <v>31.83888940007453</v>
      </c>
      <c r="UL4" s="1530" t="n">
        <v>30.7195127287541</v>
      </c>
      <c r="UM4" s="1530" t="n">
        <v>31.20414071420293</v>
      </c>
      <c r="UN4" s="1530" t="n">
        <v>32.69185389412869</v>
      </c>
      <c r="UO4" s="1530" t="n">
        <v>31.23047650839784</v>
      </c>
      <c r="UP4" s="1530" t="n">
        <v>31.84293155819814</v>
      </c>
      <c r="UQ4" s="1530" t="n">
        <v>28.9607402279779</v>
      </c>
      <c r="UR4" s="1530" t="n">
        <v>24.61559363886764</v>
      </c>
      <c r="US4" s="1530" t="n">
        <v>23.67753207737874</v>
      </c>
      <c r="UT4" s="1530" t="n">
        <v>25.97254456847624</v>
      </c>
      <c r="UU4" s="1530" t="n">
        <v>28.41483670352372</v>
      </c>
      <c r="UV4" s="1530" t="n">
        <v>26.46089304670512</v>
      </c>
      <c r="UW4" s="1530" t="n">
        <v>27.14963875039686</v>
      </c>
      <c r="UX4" s="1530" t="n">
        <v>25.52706979424738</v>
      </c>
      <c r="UY4" s="1530" t="n">
        <v>26.8121927763833</v>
      </c>
      <c r="UZ4" s="1530" t="n">
        <v>24.22077258374086</v>
      </c>
      <c r="VA4" s="1530" t="n">
        <v>24.90969395335425</v>
      </c>
      <c r="VB4" s="1530" t="n">
        <v>27.66218441210589</v>
      </c>
      <c r="VC4" s="1530" t="n">
        <v>24.5040855628218</v>
      </c>
      <c r="VD4" s="1530">
        <f>VD3/VD2</f>
        <v/>
      </c>
      <c r="VE4" s="1530" t="n">
        <v>25.97439475198692</v>
      </c>
      <c r="VF4" s="1530" t="n">
        <v>25.85727129123837</v>
      </c>
      <c r="VG4" s="1530" t="n">
        <v>31.12905901070487</v>
      </c>
      <c r="VH4" s="1530" t="n">
        <v>32.34397200690319</v>
      </c>
      <c r="VI4" s="1530" t="n">
        <v>37.68005047905012</v>
      </c>
      <c r="VJ4" s="1530" t="n">
        <v>40.91470282733297</v>
      </c>
      <c r="VK4" s="1530" t="n">
        <v>35.27246003875016</v>
      </c>
      <c r="VL4" s="1530" t="n">
        <v>24.5438544043698</v>
      </c>
      <c r="VM4" s="1530" t="n">
        <v>31.79889901054412</v>
      </c>
      <c r="VN4" s="1530" t="n">
        <v>33.19880175536302</v>
      </c>
      <c r="VO4" s="1530" t="n">
        <v>25.97558073419409</v>
      </c>
      <c r="VP4" s="1530" t="n">
        <v>28.63217996723094</v>
      </c>
      <c r="VQ4" s="1530" t="n">
        <v>30.35235490662295</v>
      </c>
      <c r="VR4" s="1530" t="n">
        <v>28.63874255146362</v>
      </c>
      <c r="VS4" s="1530" t="n">
        <v>23.865482879038</v>
      </c>
      <c r="VT4" s="1530" t="n">
        <v>26.46094224435255</v>
      </c>
      <c r="VU4" s="1530" t="n">
        <v>25.61940110449633</v>
      </c>
      <c r="VV4" s="1530">
        <f>VV3/VV2</f>
        <v/>
      </c>
      <c r="VW4" s="1530" t="n">
        <v>24.83574978833466</v>
      </c>
      <c r="VX4" s="1530" t="n">
        <v>34.09262985885075</v>
      </c>
      <c r="VY4" s="1530" t="n">
        <v>35.67668375102669</v>
      </c>
      <c r="VZ4" s="1530" t="n">
        <v>33.76497432517873</v>
      </c>
      <c r="WA4" s="1530" t="n">
        <v>39.08261670386707</v>
      </c>
      <c r="WB4" s="1530" t="n">
        <v>34.49607523876765</v>
      </c>
      <c r="WC4" s="1530" t="n">
        <v>33.31061719052902</v>
      </c>
      <c r="WD4" s="1530" t="n">
        <v>28.94998163743271</v>
      </c>
      <c r="WE4" s="1530" t="n">
        <v>31.56662227899438</v>
      </c>
      <c r="WF4" s="1530" t="n">
        <v>34.52190533177095</v>
      </c>
      <c r="WG4" s="1530" t="n">
        <v>23.22684791003446</v>
      </c>
      <c r="WH4" s="1530" t="n">
        <v>25.26634239100122</v>
      </c>
      <c r="WI4" s="1530" t="n">
        <v>26.95745766768704</v>
      </c>
      <c r="WJ4" s="1530" t="n">
        <v>33.05601639790655</v>
      </c>
      <c r="WK4" s="1530" t="n">
        <v>25.71415368830914</v>
      </c>
      <c r="WL4" s="1530" t="n">
        <v>25.36228947408824</v>
      </c>
      <c r="WM4" s="1530" t="n">
        <v>24.1165739600644</v>
      </c>
      <c r="WN4" s="1530" t="n">
        <v>27.98170370740969</v>
      </c>
      <c r="WO4" s="1530" t="n">
        <v>22.39915342734339</v>
      </c>
      <c r="WP4" s="1530" t="n">
        <v>21.26787717726727</v>
      </c>
      <c r="WQ4" s="1530" t="n">
        <v>27.3077092664293</v>
      </c>
      <c r="WR4" s="1530">
        <f>WR3/WR2</f>
        <v/>
      </c>
      <c r="WS4" s="1530">
        <f>WS3/WS2</f>
        <v/>
      </c>
      <c r="WT4" s="1530">
        <f>WT3/WT2</f>
        <v/>
      </c>
      <c r="WU4" s="1530">
        <f>WU3/WU2</f>
        <v/>
      </c>
      <c r="WV4" s="1530">
        <f>WV3/WV2</f>
        <v/>
      </c>
      <c r="WW4" s="1530" t="n">
        <v>22.96353457278395</v>
      </c>
      <c r="WX4" s="1530" t="n">
        <v>23.4800116304918</v>
      </c>
      <c r="WY4" s="1530" t="n">
        <v>25.02869773515123</v>
      </c>
      <c r="WZ4" s="1530" t="n">
        <v>25.10567336025598</v>
      </c>
      <c r="XA4" s="1530" t="n">
        <v>24.88690522810026</v>
      </c>
      <c r="XB4" s="1530" t="n">
        <v>27.63152792884597</v>
      </c>
      <c r="XC4" s="1530" t="n">
        <v>21.4790245703025</v>
      </c>
      <c r="XD4" s="1530" t="n">
        <v>24.63379981152702</v>
      </c>
      <c r="XE4" s="1530" t="n">
        <v>25.88443779903175</v>
      </c>
      <c r="XF4" s="1530" t="n">
        <v>28.44085607989668</v>
      </c>
      <c r="XG4" s="1530" t="n">
        <v>25.52289116104719</v>
      </c>
      <c r="XH4" s="1530" t="n">
        <v>27.85961448302008</v>
      </c>
      <c r="XI4" s="1530" t="n">
        <v>24.95042243654309</v>
      </c>
      <c r="XJ4" s="1530" t="n">
        <v>35.47501425377497</v>
      </c>
      <c r="XK4" s="1530" t="n">
        <v>22.06612214421842</v>
      </c>
      <c r="XL4" s="1530" t="n">
        <v>23.39437897860688</v>
      </c>
      <c r="XM4" s="1530" t="n">
        <v>31.23436369824867</v>
      </c>
      <c r="XN4" s="1530" t="n">
        <v>26.86367793933512</v>
      </c>
      <c r="XO4" s="1530" t="n">
        <v>29.82775148913465</v>
      </c>
      <c r="XP4" s="1530" t="n">
        <v>39.3009490780064</v>
      </c>
      <c r="XQ4" s="1530" t="n">
        <v>41.00505395154743</v>
      </c>
      <c r="XR4" s="1530" t="n">
        <v>46.83561040971409</v>
      </c>
      <c r="XS4" s="1530" t="n">
        <v>48.29575582250508</v>
      </c>
      <c r="XT4" s="1530" t="n">
        <v>25.62803101540111</v>
      </c>
      <c r="XU4" s="1530" t="n">
        <v>29.17007098966571</v>
      </c>
      <c r="XV4" s="1530" t="n">
        <v>28.79521692593664</v>
      </c>
      <c r="XW4" s="1530" t="n">
        <v>31.39732913370013</v>
      </c>
      <c r="XX4" s="1530" t="n">
        <v>24.07549645751314</v>
      </c>
      <c r="XY4" s="1530" t="n">
        <v>26.30511044732699</v>
      </c>
      <c r="XZ4" s="1530" t="n">
        <v>24.87326422768387</v>
      </c>
      <c r="YA4" s="1530" t="n">
        <v>25.98402848789918</v>
      </c>
      <c r="YB4" s="1530" t="n">
        <v>28.15663845792322</v>
      </c>
      <c r="YC4" s="1530" t="n">
        <v>21.36177352499229</v>
      </c>
      <c r="YD4" s="1530" t="n">
        <v>46.79588055259262</v>
      </c>
      <c r="YE4" s="1530" t="n">
        <v>20.87019235410496</v>
      </c>
      <c r="YF4" s="1530" t="n">
        <v>33.14223240202875</v>
      </c>
      <c r="YG4" s="1530" t="n">
        <v>27.90403169329878</v>
      </c>
      <c r="YH4" s="1530" t="n">
        <v>31.95423458838939</v>
      </c>
      <c r="YI4" s="1530" t="n">
        <v>30.57152356047184</v>
      </c>
      <c r="YJ4" s="1531">
        <f>YJ3/YJ2</f>
        <v/>
      </c>
    </row>
    <row r="5" ht="15" customHeight="1" thickTop="1">
      <c r="B5" s="917" t="inlineStr">
        <is>
          <t>CPFO</t>
        </is>
      </c>
      <c r="C5" s="1532" t="n">
        <v>37.90060526</v>
      </c>
      <c r="D5" s="1533" t="n">
        <v>29.10438934</v>
      </c>
      <c r="E5" s="1533" t="n">
        <v>33.77215219</v>
      </c>
      <c r="F5" s="1533" t="n">
        <v>24.41728134</v>
      </c>
      <c r="G5" s="1533" t="n">
        <v>29.61962721</v>
      </c>
      <c r="H5" s="1533" t="n">
        <v>20.47447224</v>
      </c>
      <c r="I5" s="1533" t="n">
        <v>7.81938351</v>
      </c>
      <c r="J5" s="1533" t="n">
        <v>9.92935546</v>
      </c>
      <c r="K5" s="1533" t="n">
        <v>6.32472035</v>
      </c>
      <c r="L5" s="1533">
        <f>569.06341787</f>
        <v/>
      </c>
      <c r="M5" s="1533">
        <f>331.74619966</f>
        <v/>
      </c>
      <c r="N5" s="1533" t="n">
        <v>160.65442007</v>
      </c>
      <c r="O5" s="1533" t="n">
        <v>149.44653874</v>
      </c>
      <c r="P5" s="1533" t="n">
        <v>102.23528118</v>
      </c>
      <c r="Q5" s="1533" t="n">
        <v>102.97291463</v>
      </c>
      <c r="R5" s="1533" t="n">
        <v>85.76117297</v>
      </c>
      <c r="S5" s="1533" t="n">
        <v>85.44892634</v>
      </c>
      <c r="T5" s="1533" t="n">
        <v>81.58251531000001</v>
      </c>
      <c r="U5" s="1533" t="n">
        <v>83.60198726</v>
      </c>
      <c r="V5" s="1533" t="n">
        <v>88.846327</v>
      </c>
      <c r="W5" s="1533" t="n">
        <v>81.40328388</v>
      </c>
      <c r="X5" s="1533" t="n">
        <v>33.1591476</v>
      </c>
      <c r="Y5" s="1533" t="n">
        <v>15.40967469</v>
      </c>
      <c r="Z5" s="1533" t="n">
        <v>25.11634999</v>
      </c>
      <c r="AA5" s="1533" t="n">
        <v>30.51168739</v>
      </c>
      <c r="AB5" s="1533" t="n">
        <v>3.21030207</v>
      </c>
      <c r="AC5" s="1533" t="n">
        <v>0.28037927</v>
      </c>
      <c r="AD5" s="1533" t="n">
        <v>1.57336401</v>
      </c>
      <c r="AE5" s="1533" t="n">
        <v>12.2018275</v>
      </c>
      <c r="AF5" s="1533" t="n">
        <v>2.19255419</v>
      </c>
      <c r="AG5" s="1533" t="n">
        <v>1.2427329</v>
      </c>
      <c r="AH5" s="1533" t="n">
        <v>152.80590016</v>
      </c>
      <c r="AI5" s="1533" t="n">
        <v>135.44197383</v>
      </c>
      <c r="AJ5" s="1533" t="n">
        <v>139.17903764</v>
      </c>
      <c r="AK5" s="1533" t="n">
        <v>146.4552823</v>
      </c>
      <c r="AL5" s="1533" t="n">
        <v>97.31679106999999</v>
      </c>
      <c r="AM5" s="1533" t="n">
        <v>72.28647913</v>
      </c>
      <c r="AN5" s="1533" t="n">
        <v>74.36712978</v>
      </c>
      <c r="AO5" s="1533" t="n">
        <v>84.90438983</v>
      </c>
      <c r="AP5" s="1533" t="n">
        <v>45.70364212</v>
      </c>
      <c r="AQ5" s="1533" t="n">
        <v>25.24895849</v>
      </c>
      <c r="AR5" s="1533" t="n">
        <v>19.95174495</v>
      </c>
      <c r="AS5" s="1533" t="n">
        <v>9.8352214</v>
      </c>
      <c r="AT5" s="1533" t="n">
        <v>16.53436935</v>
      </c>
      <c r="AU5" s="1533" t="n">
        <v>66.30542364999999</v>
      </c>
      <c r="AV5" s="1533" t="n">
        <v>9.834264300000001</v>
      </c>
      <c r="AW5" s="1533" t="n">
        <v>13.96640098</v>
      </c>
      <c r="AX5" s="1533" t="n">
        <v>6.18394983</v>
      </c>
      <c r="AY5" s="1533" t="n">
        <v>17.70374203</v>
      </c>
      <c r="AZ5" s="1533" t="n">
        <v>8.596132669999999</v>
      </c>
      <c r="BA5" s="1533" t="n">
        <v>25.78519585</v>
      </c>
      <c r="BB5" s="1533" t="n">
        <v>5.98532037</v>
      </c>
      <c r="BC5" s="1533" t="n">
        <v>10.32502528</v>
      </c>
      <c r="BD5" s="1533" t="n">
        <v>8.28740865</v>
      </c>
      <c r="BE5" s="1533" t="n">
        <v>6.3063554</v>
      </c>
      <c r="BF5" s="1533" t="n">
        <v>220.48975796</v>
      </c>
      <c r="BG5" s="1533" t="n">
        <v>209.87992478</v>
      </c>
      <c r="BH5" s="1533" t="n">
        <v>118.10391767</v>
      </c>
      <c r="BI5" s="1533" t="n">
        <v>84.69097540999999</v>
      </c>
      <c r="BJ5" s="1533" t="n">
        <v>74.42845744</v>
      </c>
      <c r="BK5" s="1533" t="n">
        <v>71.95706623000001</v>
      </c>
      <c r="BL5" s="1533" t="n">
        <v>77.60096765</v>
      </c>
      <c r="BM5" s="1533" t="n">
        <v>82.25770379000001</v>
      </c>
      <c r="BN5" s="1533" t="n">
        <v>65.61487228</v>
      </c>
      <c r="BO5" s="1533" t="n">
        <v>69.06016533</v>
      </c>
      <c r="BP5" s="1533" t="n">
        <v>68.09712485</v>
      </c>
      <c r="BQ5" s="1533" t="n">
        <v>52.74497312</v>
      </c>
      <c r="BR5" s="1533" t="n">
        <v>64.54179817000001</v>
      </c>
      <c r="BS5" s="1533" t="n">
        <v>53.03736441</v>
      </c>
      <c r="BT5" s="1533" t="n">
        <v>51.53652628</v>
      </c>
      <c r="BU5" s="1533" t="n">
        <v>130.22541717</v>
      </c>
      <c r="BV5" s="1533" t="n">
        <v>3.89485312</v>
      </c>
      <c r="BW5" s="1533" t="n">
        <v>8.672886929999999</v>
      </c>
      <c r="BX5" s="1533" t="n">
        <v>16.05527727</v>
      </c>
      <c r="BY5" s="1533" t="n">
        <v>3.85337783</v>
      </c>
      <c r="BZ5" s="1533" t="n">
        <v>141.6905769</v>
      </c>
      <c r="CA5" s="1533" t="n">
        <v>138.13739051</v>
      </c>
      <c r="CB5" s="1533" t="n">
        <v>132.86570213</v>
      </c>
      <c r="CC5" s="1533" t="n">
        <v>104.88939152</v>
      </c>
      <c r="CD5" s="1533" t="n">
        <v>92.72611685</v>
      </c>
      <c r="CE5" s="1533" t="n">
        <v>210.42878645</v>
      </c>
      <c r="CF5" s="1533" t="n">
        <v>304.65081586</v>
      </c>
      <c r="CG5" s="1533" t="n">
        <v>314.18151129</v>
      </c>
      <c r="CH5" s="1533" t="n">
        <v>308.280771</v>
      </c>
      <c r="CI5" s="1533" t="n">
        <v>297.50314074</v>
      </c>
      <c r="CJ5" s="1533" t="n">
        <v>294.97997912</v>
      </c>
      <c r="CK5" s="1533" t="n">
        <v>301.77845884</v>
      </c>
      <c r="CL5" s="1533" t="n">
        <v>311.07392236</v>
      </c>
      <c r="CM5" s="1533" t="n">
        <v>284.14745298</v>
      </c>
      <c r="CN5" s="1533" t="n">
        <v>269.4933436600001</v>
      </c>
      <c r="CO5" s="1533" t="n">
        <v>271.29721158</v>
      </c>
      <c r="CP5" s="1533" t="n">
        <v>282.89473464</v>
      </c>
      <c r="CQ5" s="1533" t="n">
        <v>274.51600106</v>
      </c>
      <c r="CR5" s="1533" t="n">
        <v>278.41886848</v>
      </c>
      <c r="CS5" s="1533" t="n">
        <v>294.52138496</v>
      </c>
      <c r="CT5" s="1533" t="n">
        <v>295.32511152</v>
      </c>
      <c r="CU5" s="1533" t="n">
        <v>299.70196937</v>
      </c>
      <c r="CV5" s="1533" t="n">
        <v>306.37731217</v>
      </c>
      <c r="CW5" s="1533" t="n">
        <v>308.6167604</v>
      </c>
      <c r="CX5" s="1533" t="n">
        <v>277.12130504</v>
      </c>
      <c r="CY5" s="1533" t="n">
        <v>261.62907326</v>
      </c>
      <c r="CZ5" s="1533" t="n">
        <v>257.09413829</v>
      </c>
      <c r="DA5" s="1533" t="n">
        <v>268.97686269</v>
      </c>
      <c r="DB5" s="1533" t="n">
        <v>256.0532673</v>
      </c>
      <c r="DC5" s="1533" t="n">
        <v>265.51597529</v>
      </c>
      <c r="DD5" s="1533" t="n">
        <v>253.90702365</v>
      </c>
      <c r="DE5" s="1533" t="n">
        <v>177.43272851</v>
      </c>
      <c r="DF5" s="1533" t="n">
        <v>190.81729015</v>
      </c>
      <c r="DG5" s="1533" t="n">
        <v>146.00633761</v>
      </c>
      <c r="DH5" s="1533" t="n">
        <v>146.22450419</v>
      </c>
      <c r="DI5" s="1533" t="n">
        <v>154.56047728</v>
      </c>
      <c r="DJ5" s="1533" t="n">
        <v>90.67889314</v>
      </c>
      <c r="DK5" s="1533" t="n">
        <v>139.02501988</v>
      </c>
      <c r="DL5" s="1533" t="n">
        <v>94.58462243000001</v>
      </c>
      <c r="DM5" s="1533" t="n">
        <v>100.45424983</v>
      </c>
      <c r="DN5" s="1533" t="n">
        <v>106.10333034</v>
      </c>
      <c r="DO5" s="1533" t="n">
        <v>103.41842722</v>
      </c>
      <c r="DP5" s="1533" t="n">
        <v>100.60956804</v>
      </c>
      <c r="DQ5" s="1533" t="n">
        <v>52.58825803</v>
      </c>
      <c r="DR5" s="1533" t="n">
        <v>57.56847304999999</v>
      </c>
      <c r="DS5" s="1533" t="n">
        <v>68.62651340000001</v>
      </c>
      <c r="DT5" s="1533" t="n">
        <v>56.10056561</v>
      </c>
      <c r="DU5" s="1533" t="n">
        <v>62.57835333</v>
      </c>
      <c r="DV5" s="1533" t="n">
        <v>69.41191311</v>
      </c>
      <c r="DW5" s="1533" t="n">
        <v>51.84376019</v>
      </c>
      <c r="DX5" s="944" t="n">
        <v>54.58585321</v>
      </c>
      <c r="DY5" s="1533" t="n">
        <v>128.65809659</v>
      </c>
      <c r="DZ5" s="1533" t="n">
        <v>122.50765658</v>
      </c>
      <c r="EA5" s="1533" t="n">
        <v>160.96390424</v>
      </c>
      <c r="EB5" s="1533" t="n">
        <v>150.10541619</v>
      </c>
      <c r="EC5" s="1533" t="n">
        <v>155.79587318</v>
      </c>
      <c r="ED5" s="1533" t="n">
        <v>156.72370912</v>
      </c>
      <c r="EE5" s="1533" t="n">
        <v>136.1184787</v>
      </c>
      <c r="EF5" s="1533" t="n">
        <v>116.9617895</v>
      </c>
      <c r="EG5" s="1533" t="n">
        <v>84.71753283</v>
      </c>
      <c r="EH5" s="1533" t="n">
        <v>84.71753283</v>
      </c>
      <c r="EI5" s="1533" t="n">
        <v>195.04335924</v>
      </c>
      <c r="EJ5" s="1533" t="n">
        <v>250.16854479</v>
      </c>
      <c r="EK5" s="1533" t="n">
        <v>177.87285703</v>
      </c>
      <c r="EL5" s="1533" t="n">
        <v>209.53898894</v>
      </c>
      <c r="EM5" s="1533" t="n">
        <v>212.94170621</v>
      </c>
      <c r="EN5" s="1533" t="n">
        <v>212.2162748</v>
      </c>
      <c r="EO5" s="1533" t="n">
        <v>220.0859786</v>
      </c>
      <c r="EP5" s="1533" t="n">
        <v>214.31567655</v>
      </c>
      <c r="EQ5" s="1533" t="n">
        <v>190.76822306</v>
      </c>
      <c r="ER5" s="1533" t="n">
        <v>190.17177517</v>
      </c>
      <c r="ES5" s="1533" t="n">
        <v>190.77342595</v>
      </c>
      <c r="ET5" s="1533" t="n">
        <v>187.53281148</v>
      </c>
      <c r="EU5" s="1533" t="n">
        <v>183.93931495</v>
      </c>
      <c r="EV5" s="944" t="n">
        <v>106.36131785</v>
      </c>
      <c r="EW5" s="1533" t="n">
        <v>117.76211764</v>
      </c>
      <c r="EX5" s="1533" t="n">
        <v>126.661617</v>
      </c>
      <c r="EY5" s="1533" t="n">
        <v>102.82620154</v>
      </c>
      <c r="EZ5" s="1533" t="n">
        <v>85.43881583</v>
      </c>
      <c r="FA5" s="1533" t="n">
        <v>81.81954943000001</v>
      </c>
      <c r="FB5" s="1533" t="n">
        <v>80.3221861</v>
      </c>
      <c r="FC5" s="1533" t="n">
        <v>89.97027754</v>
      </c>
      <c r="FD5" s="1533" t="n">
        <v>87.41727995000001</v>
      </c>
      <c r="FE5" s="1533" t="n">
        <v>22.23730828</v>
      </c>
      <c r="FF5" s="1533" t="n">
        <v>21.68182102</v>
      </c>
      <c r="FG5" s="1533" t="n">
        <v>26.01178007</v>
      </c>
      <c r="FH5" s="1533" t="n">
        <v>33.52861307</v>
      </c>
      <c r="FI5" s="1533" t="n">
        <v>28.49380334</v>
      </c>
      <c r="FJ5" s="1533" t="n">
        <v>43.15810312</v>
      </c>
      <c r="FK5" s="1533" t="n">
        <v>51.61658618</v>
      </c>
      <c r="FL5" s="1533" t="n">
        <v>24.57633662</v>
      </c>
      <c r="FM5" s="1533" t="n">
        <v>27.08980243</v>
      </c>
      <c r="FN5" s="944" t="n">
        <v>7.73259489</v>
      </c>
      <c r="FO5" s="1533" t="n">
        <v>3.78099412</v>
      </c>
      <c r="FP5" s="1533" t="n">
        <v>0.59128143</v>
      </c>
      <c r="FQ5" s="1533" t="n">
        <v>1.95912984</v>
      </c>
      <c r="FR5" s="1533" t="n">
        <v>3.52671841</v>
      </c>
      <c r="FS5" s="1533" t="n">
        <v>56.55745613000001</v>
      </c>
      <c r="FT5" s="1533" t="n">
        <v>12.69310474</v>
      </c>
      <c r="FU5" s="1533" t="n">
        <v>22.03503136</v>
      </c>
      <c r="FV5" s="1533" t="n">
        <v>6.84606088</v>
      </c>
      <c r="FW5" s="1533" t="n">
        <v>57.01100363</v>
      </c>
      <c r="FX5" s="1533" t="n">
        <v>6.70134018</v>
      </c>
      <c r="FY5" s="1533" t="n">
        <v>14.41692479</v>
      </c>
      <c r="FZ5" s="1533" t="n">
        <v>79.45662101000001</v>
      </c>
      <c r="GA5" s="1533" t="n">
        <v>75.40867554</v>
      </c>
      <c r="GB5" s="1533" t="n">
        <v>74.46465704000001</v>
      </c>
      <c r="GC5" s="1533" t="n">
        <v>32.46105307</v>
      </c>
      <c r="GD5" s="1533" t="n">
        <v>34.01805588000001</v>
      </c>
      <c r="GE5" s="1533" t="n">
        <v>37.79144415</v>
      </c>
      <c r="GF5" s="1533" t="n">
        <v>38.55584897999999</v>
      </c>
      <c r="GG5" s="1533" t="n">
        <v>174.91966882</v>
      </c>
      <c r="GH5" s="1533" t="n">
        <v>6.05354975</v>
      </c>
      <c r="GI5" s="1533" t="n">
        <v>101.64421605</v>
      </c>
      <c r="GJ5" s="1533" t="n">
        <v>122.89629562</v>
      </c>
      <c r="GK5" s="1533" t="n">
        <v>149.84545315</v>
      </c>
      <c r="GL5" s="1533" t="n">
        <v>121.41615791</v>
      </c>
      <c r="GM5" s="1533" t="n">
        <v>122.84829881</v>
      </c>
      <c r="GN5" s="1533" t="n">
        <v>138.59166375</v>
      </c>
      <c r="GO5" s="1533" t="n">
        <v>143.50873172</v>
      </c>
      <c r="GP5" s="1533" t="n">
        <v>9.95246581</v>
      </c>
      <c r="GQ5" s="1533" t="n">
        <v>62.94497922</v>
      </c>
      <c r="GR5" s="1533" t="n">
        <v>62.75942282</v>
      </c>
      <c r="GS5" s="1533" t="n">
        <v>71.84001292000001</v>
      </c>
      <c r="GT5" s="1533" t="n">
        <v>6.24893714</v>
      </c>
      <c r="GU5" s="1534" t="n">
        <v>6.24893714</v>
      </c>
      <c r="GV5" s="1533" t="n">
        <v>21.13551425</v>
      </c>
      <c r="GW5" s="1533" t="n">
        <v>75.71088094</v>
      </c>
      <c r="GX5" s="1533" t="n">
        <v>12.00662713</v>
      </c>
      <c r="GY5" s="1533" t="n">
        <v>16.66786652</v>
      </c>
      <c r="GZ5" s="1533" t="n">
        <v>4.40144971</v>
      </c>
      <c r="HA5" s="1533" t="n">
        <v>9.952108920000001</v>
      </c>
      <c r="HB5" s="1533" t="n">
        <v>30.8780939</v>
      </c>
      <c r="HC5" s="1533" t="n">
        <v>10.01174225</v>
      </c>
      <c r="HD5" s="1533" t="n">
        <v>50.85277229</v>
      </c>
      <c r="HE5" s="1533" t="n">
        <v>9.571961659999999</v>
      </c>
      <c r="HF5" s="1533" t="n">
        <v>13.81649693</v>
      </c>
      <c r="HG5" s="1533" t="n">
        <v>46.19871213</v>
      </c>
      <c r="HH5" s="1533" t="n">
        <v>56.39101007</v>
      </c>
      <c r="HI5" s="1533" t="n">
        <v>2.13404958</v>
      </c>
      <c r="HJ5" s="1533" t="n">
        <v>7.343075929999999</v>
      </c>
      <c r="HK5" s="1533" t="n">
        <v>16.82622302</v>
      </c>
      <c r="HL5" s="1533" t="n">
        <v>11.83845629</v>
      </c>
      <c r="HM5" s="1533" t="n">
        <v>9.43482133</v>
      </c>
      <c r="HN5" s="1533" t="n">
        <v>12.16599367</v>
      </c>
      <c r="HO5" s="1533" t="n">
        <v>323.81938164</v>
      </c>
      <c r="HP5" s="1533" t="n">
        <v>293.76697605</v>
      </c>
      <c r="HQ5" s="1533" t="n">
        <v>280.40042809</v>
      </c>
      <c r="HR5" s="944" t="n">
        <v>287.69919818</v>
      </c>
      <c r="HS5" s="945" t="n">
        <v>233.8366675</v>
      </c>
      <c r="HT5" s="1535" t="n">
        <v>167.01312908</v>
      </c>
      <c r="HU5" s="1535" t="n">
        <v>475.99844267</v>
      </c>
      <c r="HV5" s="1535" t="n">
        <v>492.75783393</v>
      </c>
      <c r="HW5" s="1535" t="n">
        <v>499.16628837</v>
      </c>
      <c r="HX5" s="1535" t="n">
        <v>454.96896128</v>
      </c>
      <c r="HY5" s="1535" t="n">
        <v>439.13578369</v>
      </c>
      <c r="HZ5" s="1535" t="n">
        <v>444.34177812</v>
      </c>
      <c r="IA5" s="1535" t="n">
        <v>447.6067026</v>
      </c>
      <c r="IB5" s="1535" t="n">
        <v>409.25789161</v>
      </c>
      <c r="IC5" s="1535" t="n">
        <v>317.27637423</v>
      </c>
      <c r="ID5" s="1535" t="n">
        <v>320.40369382</v>
      </c>
      <c r="IE5" s="1535" t="n">
        <v>312.20329725</v>
      </c>
      <c r="IF5" s="1535" t="n">
        <v>330.54458184</v>
      </c>
      <c r="IG5" s="1535" t="n">
        <v>314.12309387</v>
      </c>
      <c r="IH5" s="1535" t="n">
        <v>314.13236063</v>
      </c>
      <c r="II5" s="1535" t="n">
        <v>321.3699291</v>
      </c>
      <c r="IJ5" s="1535" t="n">
        <v>321.06631186</v>
      </c>
      <c r="IK5" s="1535" t="n">
        <v>334.53880421</v>
      </c>
      <c r="IL5" s="1535" t="n">
        <v>503.54117403</v>
      </c>
      <c r="IM5" s="1535" t="n">
        <v>505.40907667</v>
      </c>
      <c r="IN5" s="1535" t="n">
        <v>496.07171822</v>
      </c>
      <c r="IO5" s="1535" t="n">
        <v>515.1955983500001</v>
      </c>
      <c r="IP5" s="1535" t="n">
        <v>520.7893260899999</v>
      </c>
      <c r="IQ5" s="1535" t="n">
        <v>476.73332835</v>
      </c>
      <c r="IR5" s="1535" t="n">
        <v>479.02710307</v>
      </c>
      <c r="IS5" s="1535" t="n">
        <v>493.98990638</v>
      </c>
      <c r="IT5" s="1535" t="n">
        <v>496.48455873</v>
      </c>
      <c r="IU5" s="1535" t="n">
        <v>453.53742977</v>
      </c>
      <c r="IV5" s="1535" t="n">
        <v>456.53316592</v>
      </c>
      <c r="IW5" s="1535" t="n">
        <v>469.61428844</v>
      </c>
      <c r="IX5" s="1535" t="n">
        <v>469.63007535</v>
      </c>
      <c r="IY5" s="1536" t="n">
        <v>455.1416486</v>
      </c>
      <c r="IZ5" s="1535" t="n">
        <v>446.98301782</v>
      </c>
      <c r="JA5" s="1535" t="n">
        <v>463.53193029</v>
      </c>
      <c r="JB5" s="1535" t="n">
        <v>427.42184052</v>
      </c>
      <c r="JC5" s="1535" t="n">
        <v>418.39938625</v>
      </c>
      <c r="JD5" s="1535" t="n">
        <v>412.73664793</v>
      </c>
      <c r="JE5" s="1535" t="n">
        <v>413.70158605</v>
      </c>
      <c r="JF5" s="1535" t="n">
        <v>410.26742629</v>
      </c>
      <c r="JG5" s="1535" t="n">
        <v>428.14901617</v>
      </c>
      <c r="JH5" s="1535" t="n">
        <v>399.34876375</v>
      </c>
      <c r="JI5" s="1535" t="n">
        <v>381.13472243</v>
      </c>
      <c r="JJ5" s="1535" t="n">
        <v>381.13472243</v>
      </c>
      <c r="JK5" s="1535" t="n">
        <v>403.50390809</v>
      </c>
      <c r="JL5" s="1535" t="n">
        <v>385.28356173</v>
      </c>
      <c r="JM5" s="1535" t="n">
        <v>382.99479043</v>
      </c>
      <c r="JN5" s="1535" t="n">
        <v>381.31726523</v>
      </c>
      <c r="JO5" s="1535" t="n">
        <v>381.31726523</v>
      </c>
      <c r="JP5" s="1535" t="n">
        <v>381.31726523</v>
      </c>
      <c r="JQ5" s="1535" t="n">
        <v>367.53464104</v>
      </c>
      <c r="JR5" s="1535" t="n">
        <v>342.8171022</v>
      </c>
      <c r="JS5" s="1535" t="n">
        <v>342.8171022</v>
      </c>
      <c r="JT5" s="1535" t="n">
        <v>357.7520145</v>
      </c>
      <c r="JU5" s="1535" t="n">
        <v>325.82841157</v>
      </c>
      <c r="JV5" s="1535" t="n">
        <v>330.22872908</v>
      </c>
      <c r="JW5" s="1535" t="n">
        <v>343.92127971</v>
      </c>
      <c r="JX5" s="1535" t="n">
        <v>339.50568149</v>
      </c>
      <c r="JY5" s="1535" t="n">
        <v>339.50568149</v>
      </c>
      <c r="JZ5" s="1535" t="n">
        <v>331.512519</v>
      </c>
      <c r="KA5" s="1535" t="n">
        <v>334.42688693</v>
      </c>
      <c r="KB5" s="1535" t="n">
        <v>340.28000386</v>
      </c>
      <c r="KC5" s="1535" t="n">
        <v>338.31711968</v>
      </c>
      <c r="KD5" s="1535" t="n">
        <v>356.01301355</v>
      </c>
      <c r="KE5" s="1535" t="n">
        <v>366.58831831</v>
      </c>
      <c r="KF5" s="1535" t="n">
        <v>321.79031069</v>
      </c>
      <c r="KG5" s="1535" t="n">
        <v>333.05742727</v>
      </c>
      <c r="KH5" s="1535" t="n">
        <v>339.84755797</v>
      </c>
      <c r="KI5" s="1535" t="n">
        <v>349.72337053</v>
      </c>
      <c r="KJ5" s="1535" t="n">
        <v>349.72337053</v>
      </c>
      <c r="KK5" s="1535" t="n">
        <v>349.72337053</v>
      </c>
      <c r="KL5" s="1535" t="n">
        <v>349.72337053</v>
      </c>
      <c r="KM5" s="1535" t="n">
        <v>349.72337053</v>
      </c>
      <c r="KN5" s="1535" t="n">
        <v>349.72337053</v>
      </c>
      <c r="KO5" s="1535" t="n">
        <v>349.72337053</v>
      </c>
      <c r="KP5" s="1535" t="n">
        <v>349.72337053</v>
      </c>
      <c r="KQ5" s="1535" t="n">
        <v>349.72337053</v>
      </c>
      <c r="KR5" s="1535" t="n">
        <v>340.47795718</v>
      </c>
      <c r="KS5" s="1536" t="n">
        <v>255.83431732</v>
      </c>
      <c r="KT5" s="1536" t="n">
        <v>231.05654899</v>
      </c>
      <c r="KU5" s="1536" t="n">
        <v>213.20306851</v>
      </c>
      <c r="KV5" s="1536" t="n">
        <v>225.78456298</v>
      </c>
      <c r="KW5" s="1536" t="n">
        <v>214.17674257</v>
      </c>
      <c r="KX5" s="1536" t="n">
        <v>217.50421805</v>
      </c>
      <c r="KY5" s="1536" t="n">
        <v>227.42531269</v>
      </c>
      <c r="KZ5" s="1536" t="n">
        <v>222.90741651</v>
      </c>
      <c r="LA5" s="1536" t="n">
        <v>225.68475516</v>
      </c>
      <c r="LB5" s="1536" t="n">
        <v>228.07669915</v>
      </c>
      <c r="LC5" s="1536" t="n">
        <v>239.82345979</v>
      </c>
      <c r="LD5" s="1536" t="n">
        <v>434.44162269</v>
      </c>
      <c r="LE5" s="1536" t="n">
        <v>396.25649305</v>
      </c>
      <c r="LF5" s="1536" t="n">
        <v>398.58427066</v>
      </c>
      <c r="LG5" s="1536" t="n">
        <v>407.28253537</v>
      </c>
      <c r="LH5" s="1536" t="n">
        <v>420.33571769</v>
      </c>
      <c r="LI5" s="1536" t="n">
        <v>431.618678</v>
      </c>
      <c r="LJ5" s="1536" t="n">
        <v>382.0636268</v>
      </c>
      <c r="LK5" s="1536" t="n">
        <v>377.03552171</v>
      </c>
      <c r="LL5" s="1536" t="n">
        <v>382.0636268</v>
      </c>
      <c r="LM5" s="1536" t="n">
        <v>372.93094399</v>
      </c>
      <c r="LN5" s="1536" t="n">
        <v>374.94460034</v>
      </c>
      <c r="LO5" s="1536" t="n">
        <v>382.49372045</v>
      </c>
      <c r="LP5" s="1536" t="n">
        <v>337.16785724</v>
      </c>
      <c r="LQ5" s="1536" t="n">
        <v>337.16785724</v>
      </c>
      <c r="LR5" s="1536" t="n">
        <v>392.49850455</v>
      </c>
      <c r="LS5" s="1536" t="n">
        <v>409.61776301</v>
      </c>
      <c r="LT5" s="1536" t="n">
        <v>386.49605657</v>
      </c>
      <c r="LU5" s="1536" t="n">
        <v>341.91943723</v>
      </c>
      <c r="LV5" s="1536" t="n">
        <v>347.84769535</v>
      </c>
      <c r="LW5" s="1536" t="n">
        <v>347.9068883</v>
      </c>
      <c r="LX5" s="1536" t="n">
        <v>357.82457294</v>
      </c>
      <c r="LY5" s="1536" t="n">
        <v>342.03111805</v>
      </c>
      <c r="LZ5" s="1536" t="n">
        <v>301.76753061</v>
      </c>
      <c r="MA5" s="1536" t="n">
        <v>309.17230245</v>
      </c>
      <c r="MB5" s="1536" t="n">
        <v>319.63263056</v>
      </c>
      <c r="MC5" s="1536" t="n">
        <v>320.99161494</v>
      </c>
      <c r="MD5" s="1536" t="n">
        <v>329.6431413</v>
      </c>
      <c r="ME5" s="1536" t="n">
        <v>237.9583968</v>
      </c>
      <c r="MF5" s="1536" t="n">
        <v>252.75369768</v>
      </c>
      <c r="MG5" s="1536" t="n">
        <v>264.65594056</v>
      </c>
      <c r="MH5" s="1536" t="n">
        <v>266.86403582</v>
      </c>
      <c r="MI5" s="1536" t="n">
        <v>234.13537306</v>
      </c>
      <c r="MJ5" s="1536" t="n">
        <v>216.28102186</v>
      </c>
      <c r="MK5" s="1536" t="n">
        <v>216.28102186</v>
      </c>
      <c r="ML5" s="1536" t="n">
        <v>216.28102186</v>
      </c>
      <c r="MM5" s="1536" t="n">
        <v>216.28102186</v>
      </c>
      <c r="MN5" s="1536" t="n">
        <v>243.08366369</v>
      </c>
      <c r="MO5" s="1536" t="n">
        <v>156.72630677</v>
      </c>
      <c r="MP5" s="1536" t="n">
        <v>181.07563049</v>
      </c>
      <c r="MQ5" s="1536" t="n">
        <v>187.3215455</v>
      </c>
      <c r="MR5" s="1536" t="n">
        <v>70.97304218000001</v>
      </c>
      <c r="MS5" s="1536" t="n">
        <v>34.80080513</v>
      </c>
      <c r="MT5" s="1536" t="n">
        <v>17.3693273</v>
      </c>
      <c r="MU5" s="1536" t="n">
        <v>20.0998218</v>
      </c>
      <c r="MV5" s="1536" t="n">
        <v>6.66442901</v>
      </c>
      <c r="MW5" s="1536" t="n">
        <v>21.54503265</v>
      </c>
      <c r="MX5" s="1536" t="n">
        <v>21.54503265</v>
      </c>
      <c r="MY5" s="1536" t="n">
        <v>53.16234593</v>
      </c>
      <c r="MZ5" s="1536" t="n">
        <v>59.87709513</v>
      </c>
      <c r="NA5" s="1536" t="n">
        <v>74.24115341</v>
      </c>
      <c r="NB5" s="1536" t="n">
        <v>89.13831854999999</v>
      </c>
      <c r="NC5" s="1536" t="n">
        <v>81.85766298</v>
      </c>
      <c r="ND5" s="1536" t="n">
        <v>73.96026445</v>
      </c>
      <c r="NE5" s="1536" t="n">
        <v>74.98469918000001</v>
      </c>
      <c r="NF5" s="1536" t="n">
        <v>89.46401133000001</v>
      </c>
      <c r="NG5" s="1536" t="n">
        <v>82.18140356000001</v>
      </c>
      <c r="NH5" s="1536" t="n">
        <v>73.38982851</v>
      </c>
      <c r="NI5" s="1536" t="n">
        <v>68.64848096000001</v>
      </c>
      <c r="NJ5" s="1536" t="n">
        <v>86.24534109999999</v>
      </c>
      <c r="NK5" s="1536" t="n">
        <v>120.96029032</v>
      </c>
      <c r="NL5" s="1536" t="n">
        <v>142.86901151</v>
      </c>
      <c r="NM5" s="1536" t="n">
        <v>101.64529899</v>
      </c>
      <c r="NN5" s="1536" t="n">
        <v>64.76177122</v>
      </c>
      <c r="NO5" s="1536" t="n">
        <v>55.7538614</v>
      </c>
      <c r="NP5" s="1536" t="n">
        <v>65.2553115</v>
      </c>
      <c r="NQ5" s="1536" t="n">
        <v>63.90900315</v>
      </c>
      <c r="NR5" s="1536" t="n">
        <v>123.47418478</v>
      </c>
      <c r="NS5" s="1536" t="n">
        <v>137.3945647</v>
      </c>
      <c r="NT5" s="1536" t="n">
        <v>137.3945647</v>
      </c>
      <c r="NU5" s="1536" t="n">
        <v>170.19553718</v>
      </c>
      <c r="NV5" s="1536" t="n">
        <v>166.79201195</v>
      </c>
      <c r="NW5" s="1536" t="n">
        <v>340.4293173</v>
      </c>
      <c r="NX5" s="1536" t="n">
        <v>347.96136468</v>
      </c>
      <c r="NY5" s="1536" t="n">
        <v>347.30391921</v>
      </c>
      <c r="NZ5" s="1536" t="n">
        <v>367.6571529</v>
      </c>
      <c r="OA5" s="1536" t="n">
        <v>367.6571529</v>
      </c>
      <c r="OB5" s="1536" t="n">
        <v>455.33984892</v>
      </c>
      <c r="OC5" s="1536" t="n">
        <v>467.7811013</v>
      </c>
      <c r="OD5" s="1536" t="n">
        <v>475.2091157</v>
      </c>
      <c r="OE5" s="1536" t="n">
        <v>488.15614137</v>
      </c>
      <c r="OF5" s="1536" t="n">
        <v>487.51772925</v>
      </c>
      <c r="OG5" s="1536" t="n">
        <v>454.21138923</v>
      </c>
      <c r="OH5" s="1536" t="n">
        <v>423.1609505</v>
      </c>
      <c r="OI5" s="1536" t="n">
        <v>414.77754248</v>
      </c>
      <c r="OJ5" s="1536" t="n">
        <v>423.42992158</v>
      </c>
      <c r="OK5" s="1536" t="n">
        <v>435.37277938</v>
      </c>
      <c r="OL5" s="1536" t="n">
        <v>358.5143135</v>
      </c>
      <c r="OM5" s="1536" t="n">
        <v>380.9851083</v>
      </c>
      <c r="ON5" s="1536" t="n">
        <v>380.73147082</v>
      </c>
      <c r="OO5" s="1536" t="n">
        <v>397.60937256</v>
      </c>
      <c r="OP5" s="1536" t="n">
        <v>372.6128695899999</v>
      </c>
      <c r="OQ5" s="1536" t="n">
        <v>372.6128695899999</v>
      </c>
      <c r="OR5" s="1536" t="n">
        <v>346.20149915</v>
      </c>
      <c r="OS5" s="1536" t="n">
        <v>346.20149915</v>
      </c>
      <c r="OT5" s="1536" t="n">
        <v>396.68439528</v>
      </c>
      <c r="OU5" s="1536" t="n">
        <v>345.23851021</v>
      </c>
      <c r="OV5" s="1536" t="n">
        <v>345.23851021</v>
      </c>
      <c r="OW5" s="1536" t="n">
        <v>339.08926851</v>
      </c>
      <c r="OX5" s="1536" t="n">
        <v>344.84153118</v>
      </c>
      <c r="OY5" s="1536" t="n">
        <v>447.8769626</v>
      </c>
      <c r="OZ5" s="1536" t="n">
        <v>314.00987072</v>
      </c>
      <c r="PA5" s="1536" t="n">
        <v>342.80289677</v>
      </c>
      <c r="PB5" s="1536" t="n">
        <v>351.96223059</v>
      </c>
      <c r="PC5" s="1536" t="n">
        <v>351.96223059</v>
      </c>
      <c r="PD5" s="1536" t="n">
        <v>331.85660749</v>
      </c>
      <c r="PE5" s="1536" t="n">
        <v>482.06550281</v>
      </c>
      <c r="PF5" s="1536" t="n">
        <v>488.24777611</v>
      </c>
      <c r="PG5" s="1536" t="n">
        <v>496.12506932</v>
      </c>
      <c r="PH5" s="1536" t="n">
        <v>510.85244632</v>
      </c>
      <c r="PI5" s="1536" t="n">
        <v>515.1723972</v>
      </c>
      <c r="PJ5" s="1536" t="n">
        <v>486.91787724</v>
      </c>
      <c r="PK5" s="1536" t="n">
        <v>454.55578774</v>
      </c>
      <c r="PL5" s="1536" t="n">
        <v>455.32300529</v>
      </c>
      <c r="PM5" s="1536" t="n">
        <v>481.30301731</v>
      </c>
      <c r="PN5" s="1536" t="n">
        <v>483.74843206</v>
      </c>
      <c r="PO5" s="1536" t="n">
        <v>431.47224301</v>
      </c>
      <c r="PP5" s="1536" t="n">
        <v>443.20245207</v>
      </c>
      <c r="PQ5" s="1536" t="n">
        <v>453.15032758</v>
      </c>
      <c r="PR5" s="1536" t="n">
        <v>456.14526117</v>
      </c>
      <c r="PS5" s="1536" t="n">
        <v>426.40256393</v>
      </c>
      <c r="PT5" s="1536" t="n">
        <v>381.3824792</v>
      </c>
      <c r="PU5" s="1536" t="n">
        <v>381.3824792</v>
      </c>
      <c r="PV5" s="1536" t="n">
        <v>396.6009061</v>
      </c>
      <c r="PW5" s="1536" t="n">
        <v>405.05805871</v>
      </c>
      <c r="PX5" s="1536" t="n">
        <v>411.76257372</v>
      </c>
      <c r="PY5" s="1536" t="n">
        <v>393.66760311</v>
      </c>
      <c r="PZ5" s="1536" t="n">
        <v>370.99392657</v>
      </c>
      <c r="QA5" s="1536" t="n">
        <v>370.99392657</v>
      </c>
      <c r="QB5" s="1536" t="n">
        <v>440.42753562</v>
      </c>
      <c r="QC5" s="1536" t="n">
        <v>440.42753562</v>
      </c>
      <c r="QD5" s="1536" t="n">
        <v>434.23501803</v>
      </c>
      <c r="QE5" s="1536" t="n">
        <v>437.16436922</v>
      </c>
      <c r="QF5" s="1536" t="n">
        <v>455.16681469</v>
      </c>
      <c r="QG5" s="1536" t="n">
        <v>440.07373364</v>
      </c>
      <c r="QH5" s="1536" t="n">
        <v>440.07373364</v>
      </c>
      <c r="QI5" s="1536" t="n">
        <v>440.07373364</v>
      </c>
      <c r="QJ5" s="1536" t="n">
        <v>429.19445536</v>
      </c>
      <c r="QK5" s="1536" t="n">
        <v>429.19445536</v>
      </c>
      <c r="QL5" s="1536" t="n">
        <v>431.30163517</v>
      </c>
      <c r="QM5" s="1536" t="n">
        <v>431.30163517</v>
      </c>
      <c r="QN5" s="1536" t="n">
        <v>431.30163517</v>
      </c>
      <c r="QO5" s="1536" t="n">
        <v>395.10857026</v>
      </c>
      <c r="QP5" s="1536" t="n">
        <v>353.09137436</v>
      </c>
      <c r="QQ5" s="1536" t="n">
        <v>334.5128485</v>
      </c>
      <c r="QR5" s="1536" t="n">
        <v>353.12321213</v>
      </c>
      <c r="QS5" s="1536" t="n">
        <v>360.3204095</v>
      </c>
      <c r="QT5" s="1536" t="n">
        <v>365.1037491</v>
      </c>
      <c r="QU5" s="1536" t="n">
        <v>363.5728123</v>
      </c>
      <c r="QV5" s="1536" t="n">
        <v>306.71638341</v>
      </c>
      <c r="QW5" s="1536" t="n">
        <v>332.37669192</v>
      </c>
      <c r="QX5" s="1536" t="n">
        <v>334.99060116</v>
      </c>
      <c r="QY5" s="1536" t="n">
        <v>335.0497115</v>
      </c>
      <c r="QZ5" s="1536" t="n">
        <v>340.98440738</v>
      </c>
      <c r="RA5" s="1536" t="n">
        <v>306.85326643</v>
      </c>
      <c r="RB5" s="1536" t="n">
        <v>290.10971935</v>
      </c>
      <c r="RC5" s="1536" t="n">
        <v>265.28611807</v>
      </c>
      <c r="RD5" s="1536" t="n">
        <v>272.11121807</v>
      </c>
      <c r="RE5" s="1536" t="n">
        <v>219.44619075</v>
      </c>
      <c r="RF5" s="1536" t="n">
        <v>266.25197063</v>
      </c>
      <c r="RG5" s="1536" t="n">
        <v>305.45913477</v>
      </c>
      <c r="RH5" s="1536" t="n">
        <v>337.58355519</v>
      </c>
      <c r="RI5" s="1536" t="n">
        <v>346.08011961</v>
      </c>
      <c r="RJ5" s="1536" t="n">
        <v>210.47572135</v>
      </c>
      <c r="RK5" s="1536" t="n">
        <v>201.18552544</v>
      </c>
      <c r="RL5" s="1536" t="n">
        <v>183.49195755</v>
      </c>
      <c r="RM5" s="1536" t="n">
        <v>182.39075532</v>
      </c>
      <c r="RN5" s="1536" t="n">
        <v>191.69255407</v>
      </c>
      <c r="RO5" s="1536" t="n">
        <v>141.63255465</v>
      </c>
      <c r="RP5" s="1536" t="n">
        <v>179.52282648</v>
      </c>
      <c r="RQ5" s="1536" t="n">
        <v>199.34734177</v>
      </c>
      <c r="RR5" s="1536" t="n">
        <v>268.27874165</v>
      </c>
      <c r="RS5" s="1536" t="n">
        <v>258.76105746</v>
      </c>
      <c r="RT5" s="1536" t="n">
        <v>193.2209773</v>
      </c>
      <c r="RU5" s="1536" t="n">
        <v>227.24534399</v>
      </c>
      <c r="RV5" s="1536" t="n">
        <v>223.71815832</v>
      </c>
      <c r="RW5" s="1536" t="n">
        <v>208.69901532</v>
      </c>
      <c r="RX5" s="1536" t="n">
        <v>218.50256821</v>
      </c>
      <c r="RY5" s="1536" t="n">
        <v>309.85677067</v>
      </c>
      <c r="RZ5" s="1536" t="n">
        <v>290.79068181</v>
      </c>
      <c r="SA5" s="1536" t="n">
        <v>299.91412509</v>
      </c>
      <c r="SB5" s="1536" t="n">
        <v>262.22281588</v>
      </c>
      <c r="SC5" s="1536" t="n">
        <v>301.72573388</v>
      </c>
      <c r="SD5" s="1536" t="n">
        <v>322.685951</v>
      </c>
      <c r="SE5" s="1536" t="n">
        <v>293.85639763</v>
      </c>
      <c r="SF5" s="1536" t="n">
        <v>289.31134483</v>
      </c>
      <c r="SG5" s="1536" t="n">
        <v>309.93130825</v>
      </c>
      <c r="SH5" s="1536" t="n">
        <v>308.94747754</v>
      </c>
      <c r="SI5" s="1536" t="n">
        <v>326.5306538</v>
      </c>
      <c r="SJ5" s="1536" t="n">
        <v>309.96627746</v>
      </c>
      <c r="SK5" s="1536" t="n">
        <v>304.87228773</v>
      </c>
      <c r="SL5" s="1536" t="n">
        <v>280.47015944</v>
      </c>
      <c r="SM5" s="1536" t="n">
        <v>283.64052649</v>
      </c>
      <c r="SN5" s="1536" t="n">
        <v>293.17458213</v>
      </c>
      <c r="SO5" s="1536" t="n">
        <v>239.0535767</v>
      </c>
      <c r="SP5" s="1536" t="n">
        <v>240.92135032</v>
      </c>
      <c r="SQ5" s="1536" t="n">
        <v>298.254498</v>
      </c>
      <c r="SR5" s="1536" t="n">
        <v>302.42087812</v>
      </c>
      <c r="SS5" s="1536" t="n">
        <v>315.82704918</v>
      </c>
      <c r="ST5" s="1536" t="n">
        <v>328.70115608</v>
      </c>
      <c r="SU5" s="1536" t="n">
        <v>222.44972579</v>
      </c>
      <c r="SV5" s="1536" t="n">
        <v>245.56590023</v>
      </c>
      <c r="SW5" s="1536" t="n">
        <v>266.42100467</v>
      </c>
      <c r="SX5" s="1536" t="n">
        <v>261.97201613</v>
      </c>
      <c r="SY5" s="1536" t="n">
        <v>211.94993045</v>
      </c>
      <c r="SZ5" s="1536" t="n">
        <v>234.20223743</v>
      </c>
      <c r="TA5" s="1536" t="n">
        <v>247.2031063</v>
      </c>
      <c r="TB5" s="1536" t="n">
        <v>247.2031063</v>
      </c>
      <c r="TC5" s="1536" t="n">
        <v>653.63504726</v>
      </c>
      <c r="TD5" s="1536" t="n">
        <v>653.20306872</v>
      </c>
      <c r="TE5" s="1536" t="n">
        <v>653.20306872</v>
      </c>
      <c r="TF5" s="1536" t="n">
        <v>585.8103096500001</v>
      </c>
      <c r="TG5" s="1536" t="n">
        <v>594.09540765</v>
      </c>
      <c r="TH5" s="1536" t="n">
        <v>445.51439482</v>
      </c>
      <c r="TI5" s="1536" t="n">
        <v>453.94464541</v>
      </c>
      <c r="TJ5" s="1536" t="n">
        <v>711.4736254400001</v>
      </c>
      <c r="TK5" s="1536" t="n">
        <v>711.4736254400001</v>
      </c>
      <c r="TL5" s="1536" t="n">
        <v>709.19761686</v>
      </c>
      <c r="TM5" s="1536" t="n">
        <v>699.6245932900001</v>
      </c>
      <c r="TN5" s="1536" t="n">
        <v>643.2742485900001</v>
      </c>
      <c r="TO5" s="1536" t="n">
        <v>695.7438877999999</v>
      </c>
      <c r="TP5" s="1536" t="n">
        <v>596.92436142</v>
      </c>
      <c r="TQ5" s="1536" t="n">
        <v>581.9786263999999</v>
      </c>
      <c r="TR5" s="1536" t="n">
        <v>432.49486131</v>
      </c>
      <c r="TS5" s="1536" t="n">
        <v>494.76040377</v>
      </c>
      <c r="TT5" s="1536" t="n">
        <v>508.79521463</v>
      </c>
      <c r="TU5" s="1536" t="n">
        <v>535.3441691099999</v>
      </c>
      <c r="TV5" s="1536" t="n">
        <v>495.0226714199999</v>
      </c>
      <c r="TW5" s="1536" t="n">
        <v>533.71764707</v>
      </c>
      <c r="TX5" s="1536" t="n">
        <v>509.3301429</v>
      </c>
      <c r="TY5" s="1536" t="n">
        <v>523.2069757199999</v>
      </c>
      <c r="TZ5" s="1536" t="n">
        <v>464.02735646</v>
      </c>
      <c r="UA5" s="1536" t="n">
        <v>454.35266848</v>
      </c>
      <c r="UB5" s="1536" t="n">
        <v>466.98222013</v>
      </c>
      <c r="UC5" s="1536" t="n">
        <v>486.33556682</v>
      </c>
      <c r="UD5" s="1536" t="n">
        <v>429.54180762</v>
      </c>
      <c r="UE5" s="1536" t="n">
        <v>425.7106332</v>
      </c>
      <c r="UF5" s="1536" t="n">
        <v>336.20121382</v>
      </c>
      <c r="UG5" s="1536" t="n">
        <v>339.36777189</v>
      </c>
      <c r="UH5" s="1536" t="n">
        <v>385.58597201</v>
      </c>
      <c r="UI5" s="1536" t="n">
        <v>321.12560299</v>
      </c>
      <c r="UJ5" s="1536" t="n">
        <v>323.34549793</v>
      </c>
      <c r="UK5" s="1536" t="n">
        <v>328.43854472</v>
      </c>
      <c r="UL5" s="1536" t="n">
        <v>328.6294776</v>
      </c>
      <c r="UM5" s="1536" t="n">
        <v>308.86834416</v>
      </c>
      <c r="UN5" s="1536" t="n">
        <v>313.08201031</v>
      </c>
      <c r="UO5" s="1536" t="n">
        <v>318.50501803</v>
      </c>
      <c r="UP5" s="1536" t="n">
        <v>321.38606096</v>
      </c>
      <c r="UQ5" s="1536" t="n">
        <v>317.08110701</v>
      </c>
      <c r="UR5" s="1536" t="n">
        <v>326.5862457</v>
      </c>
      <c r="US5" s="1536" t="n">
        <v>326.5862457</v>
      </c>
      <c r="UT5" s="1536" t="n">
        <v>334.16408816</v>
      </c>
      <c r="UU5" s="1536" t="n">
        <v>333.05967328</v>
      </c>
      <c r="UV5" s="1536" t="n">
        <v>236.51819389</v>
      </c>
      <c r="UW5" s="1536" t="n">
        <v>236.51819389</v>
      </c>
      <c r="UX5" s="1536" t="n">
        <v>227.1929042</v>
      </c>
      <c r="UY5" s="1536" t="n">
        <v>227.1929042</v>
      </c>
      <c r="UZ5" s="1536" t="n">
        <v>209.08290507</v>
      </c>
      <c r="VA5" s="1536" t="n">
        <v>252.92421009</v>
      </c>
      <c r="VB5" s="1536" t="n">
        <v>279.82344665</v>
      </c>
      <c r="VC5" s="1536" t="n">
        <v>219.9048192</v>
      </c>
      <c r="VD5" s="1536" t="n">
        <v>224.27164475</v>
      </c>
      <c r="VE5" s="1536" t="n">
        <v>277.65564071</v>
      </c>
      <c r="VF5" s="1536" t="n">
        <v>229.55009996</v>
      </c>
      <c r="VG5" s="1536" t="n">
        <v>241.38666753</v>
      </c>
      <c r="VH5" s="1536" t="n">
        <v>260.89755868</v>
      </c>
      <c r="VI5" s="1536" t="n">
        <v>219.78959686</v>
      </c>
      <c r="VJ5" s="1536" t="n">
        <v>256.81199111</v>
      </c>
      <c r="VK5" s="1536" t="n">
        <v>567.6479191699999</v>
      </c>
      <c r="VL5" s="1536" t="n">
        <v>469.80454966</v>
      </c>
      <c r="VM5" s="1536" t="n">
        <v>531.08386375</v>
      </c>
      <c r="VN5" s="1536" t="n">
        <v>484.64519184</v>
      </c>
      <c r="VO5" s="1536" t="n">
        <v>717.32578868</v>
      </c>
      <c r="VP5" s="1536" t="n">
        <v>724.34454683</v>
      </c>
      <c r="VQ5" s="1536" t="n">
        <v>656.5444401799999</v>
      </c>
      <c r="VR5" s="1536" t="n">
        <v>667.73601552</v>
      </c>
      <c r="VS5" s="1536" t="n">
        <v>628.9933303400001</v>
      </c>
      <c r="VT5" s="1536" t="n">
        <v>624.9552997100001</v>
      </c>
      <c r="VU5" s="1536" t="n">
        <v>531.41932645</v>
      </c>
      <c r="VV5" s="1536" t="n">
        <v>532.8864743399999</v>
      </c>
      <c r="VW5" s="1536" t="n">
        <v>532.34198786</v>
      </c>
      <c r="VX5" s="1536" t="n">
        <v>514.5844006</v>
      </c>
      <c r="VY5" s="1536" t="n">
        <v>531.99143786</v>
      </c>
      <c r="VZ5" s="1536" t="n">
        <v>481.38531535</v>
      </c>
      <c r="WA5" s="1536" t="n">
        <v>492.56100799</v>
      </c>
      <c r="WB5" s="1536" t="n">
        <v>493.44595575</v>
      </c>
      <c r="WC5" s="1536" t="n">
        <v>391.71386842</v>
      </c>
      <c r="WD5" s="1536" t="n">
        <v>387.68301114</v>
      </c>
      <c r="WE5" s="1536" t="n">
        <v>347.55720547</v>
      </c>
      <c r="WF5" s="1536" t="n">
        <v>379.35623561</v>
      </c>
      <c r="WG5" s="1536" t="n">
        <v>395.80376164</v>
      </c>
      <c r="WH5" s="1536" t="n">
        <v>590.98277431</v>
      </c>
      <c r="WI5" s="1536" t="n">
        <v>283.40123006</v>
      </c>
      <c r="WJ5" s="1536" t="n">
        <v>245.65430579</v>
      </c>
      <c r="WK5" s="1536" t="n">
        <v>320.65669249</v>
      </c>
      <c r="WL5" s="1536" t="n">
        <v>320.65669249</v>
      </c>
      <c r="WM5" s="1536" t="n">
        <v>300.98047947</v>
      </c>
      <c r="WN5" s="1536" t="n">
        <v>176.69963108</v>
      </c>
      <c r="WO5" s="1536" t="n">
        <v>127.11094277</v>
      </c>
      <c r="WP5" s="1536" t="n">
        <v>138.41219867</v>
      </c>
      <c r="WQ5" s="1536" t="n">
        <v>67.44046220999999</v>
      </c>
      <c r="WR5" s="1536" t="n">
        <v>137.61236318</v>
      </c>
      <c r="WS5" s="1536" t="n">
        <v>227.58717932</v>
      </c>
      <c r="WT5" s="1536" t="n">
        <v>223.39360381</v>
      </c>
      <c r="WU5" s="1536" t="n">
        <v>223.39360381</v>
      </c>
      <c r="WV5" s="1536" t="n">
        <v>235.11704481</v>
      </c>
      <c r="WW5" s="1536" t="n">
        <v>239.21714906</v>
      </c>
      <c r="WX5" s="1536" t="n">
        <v>238.50080342</v>
      </c>
      <c r="WY5" s="1536" t="n">
        <v>243.370745</v>
      </c>
      <c r="WZ5" s="1536" t="n">
        <v>208.66167941</v>
      </c>
      <c r="XA5" s="1536" t="n">
        <v>200.20568908</v>
      </c>
      <c r="XB5" s="1536" t="n">
        <v>213.0406043</v>
      </c>
      <c r="XC5" s="1536" t="n">
        <v>147.1360478</v>
      </c>
      <c r="XD5" s="1536" t="n">
        <v>182.44503789</v>
      </c>
      <c r="XE5" s="1536" t="n">
        <v>160.9075681</v>
      </c>
      <c r="XF5" s="1536" t="n">
        <v>147.68408591</v>
      </c>
      <c r="XG5" s="1536" t="n">
        <v>157.71601976</v>
      </c>
      <c r="XH5" s="1536" t="n">
        <v>79.9075055</v>
      </c>
      <c r="XI5" s="1536" t="n">
        <v>136.87275245</v>
      </c>
      <c r="XJ5" s="1536" t="n">
        <v>35.36121286</v>
      </c>
      <c r="XK5" s="1536" t="n">
        <v>70.38548339</v>
      </c>
      <c r="XL5" s="1536" t="n">
        <v>67.48569901</v>
      </c>
      <c r="XM5" s="1536" t="n">
        <v>99.25487245000001</v>
      </c>
      <c r="XN5" s="1536" t="n">
        <v>95.98814045</v>
      </c>
      <c r="XO5" s="1536" t="n">
        <v>96.61782322000001</v>
      </c>
      <c r="XP5" s="1536" t="n">
        <v>97.47005197</v>
      </c>
      <c r="XQ5" s="1536" t="n">
        <v>284.47751646</v>
      </c>
      <c r="XR5" s="1536" t="n">
        <v>256.58052627</v>
      </c>
      <c r="XS5" s="1536" t="n">
        <v>264.37929015</v>
      </c>
      <c r="XT5" s="1536" t="n">
        <v>272.6070616</v>
      </c>
      <c r="XU5" s="1536" t="n">
        <v>232.50409673</v>
      </c>
      <c r="XV5" s="1536" t="n">
        <v>231.35462647</v>
      </c>
      <c r="XW5" s="1536" t="n">
        <v>264.30627599</v>
      </c>
      <c r="XX5" s="1536" t="n">
        <v>277.06653027</v>
      </c>
      <c r="XY5" s="1536" t="n">
        <v>39.12968554</v>
      </c>
      <c r="XZ5" s="1536" t="n">
        <v>67.13839267</v>
      </c>
      <c r="YA5" s="1536" t="n">
        <v>79.9105174</v>
      </c>
      <c r="YB5" s="1536" t="n">
        <v>49.45374249</v>
      </c>
      <c r="YC5" s="1536" t="n">
        <v>112.98573865</v>
      </c>
      <c r="YD5" s="1536" t="n">
        <v>122.06615271</v>
      </c>
      <c r="YE5" s="1536" t="n">
        <v>154.11508639</v>
      </c>
      <c r="YF5" s="1536" t="n">
        <v>163.98689378</v>
      </c>
      <c r="YG5" s="1536" t="n">
        <v>176.60697857</v>
      </c>
      <c r="YH5" s="1536" t="n">
        <v>169.58485405</v>
      </c>
      <c r="YI5" s="1536" t="n">
        <v>150.19027109</v>
      </c>
      <c r="YJ5" s="1537" t="n">
        <v>212.76079781</v>
      </c>
    </row>
    <row r="6">
      <c r="B6" s="917" t="inlineStr">
        <is>
          <t>CPFA</t>
        </is>
      </c>
      <c r="C6" s="1532" t="n">
        <v>39.74028548</v>
      </c>
      <c r="D6" s="1533" t="n">
        <v>44.36624316</v>
      </c>
      <c r="E6" s="1533" t="n">
        <v>22.92508667</v>
      </c>
      <c r="F6" s="1533" t="n">
        <v>24.94451322</v>
      </c>
      <c r="G6" s="1533" t="n">
        <v>27.28665056</v>
      </c>
      <c r="H6" s="1533" t="n">
        <v>16.52092351</v>
      </c>
      <c r="I6" s="1533" t="n">
        <v>15.4303982</v>
      </c>
      <c r="J6" s="1533" t="n">
        <v>20.51367568</v>
      </c>
      <c r="K6" s="1533" t="n">
        <v>27.61204174</v>
      </c>
      <c r="L6" s="1533" t="n">
        <v>2.17381222</v>
      </c>
      <c r="M6" s="1533" t="n">
        <v>145.48143737</v>
      </c>
      <c r="N6" s="1533" t="n">
        <v>7.812661530000001</v>
      </c>
      <c r="O6" s="1533" t="n">
        <v>4.27973511</v>
      </c>
      <c r="P6" s="1533" t="n">
        <v>5.76850438</v>
      </c>
      <c r="Q6" s="1533" t="n">
        <v>13.54755188</v>
      </c>
      <c r="R6" s="1533" t="n">
        <v>14.24172337</v>
      </c>
      <c r="S6" s="1533" t="n">
        <v>14.93610707</v>
      </c>
      <c r="T6" s="1533" t="n">
        <v>16.13549807</v>
      </c>
      <c r="U6" s="1533" t="n">
        <v>46.94891975</v>
      </c>
      <c r="V6" s="1533" t="n">
        <v>45.49128733</v>
      </c>
      <c r="W6" s="1533" t="n">
        <v>35.84791381</v>
      </c>
      <c r="X6" s="1533" t="n">
        <v>26.11609151</v>
      </c>
      <c r="Y6" s="1533" t="n">
        <v>37.63776327</v>
      </c>
      <c r="Z6" s="1533" t="n">
        <v>39.49660142</v>
      </c>
      <c r="AA6" s="1533" t="n">
        <v>39.49660142</v>
      </c>
      <c r="AB6" s="1533" t="n">
        <v>24.54412831</v>
      </c>
      <c r="AC6" s="1533" t="n">
        <v>25.38887491</v>
      </c>
      <c r="AD6" s="1533" t="n">
        <v>9.258076880000001</v>
      </c>
      <c r="AE6" s="1533" t="n">
        <v>12.23705062</v>
      </c>
      <c r="AF6" s="1533" t="n">
        <v>2.03244197</v>
      </c>
      <c r="AG6" s="1533" t="n">
        <v>7.00285479</v>
      </c>
      <c r="AH6" s="1533" t="n">
        <v>8.81441454</v>
      </c>
      <c r="AI6" s="1533" t="n">
        <v>8.292370269999999</v>
      </c>
      <c r="AJ6" s="1533" t="n">
        <v>11.00407099</v>
      </c>
      <c r="AK6" s="1533" t="n">
        <v>6.63977394</v>
      </c>
      <c r="AL6" s="1533" t="n">
        <v>7.63346286</v>
      </c>
      <c r="AM6" s="1533" t="n">
        <v>3.61425811</v>
      </c>
      <c r="AN6" s="1533" t="n">
        <v>4.31935123</v>
      </c>
      <c r="AO6" s="1533" t="n">
        <v>3.09249031</v>
      </c>
      <c r="AP6" s="1533" t="n">
        <v>12.80044572</v>
      </c>
      <c r="AQ6" s="1533" t="n">
        <v>11.21644384</v>
      </c>
      <c r="AR6" s="1533" t="n">
        <v>5.61578983</v>
      </c>
      <c r="AS6" s="1533" t="n">
        <v>5.10476445</v>
      </c>
      <c r="AT6" s="1533" t="n">
        <v>5.59488005</v>
      </c>
      <c r="AU6" s="1533" t="n">
        <v>6.58654442</v>
      </c>
      <c r="AV6" s="1533" t="n">
        <v>43.3600112</v>
      </c>
      <c r="AW6" s="1533" t="n">
        <v>19.25812391</v>
      </c>
      <c r="AX6" s="1533" t="n">
        <v>11.67055832</v>
      </c>
      <c r="AY6" s="1533" t="n">
        <v>16.11003472</v>
      </c>
      <c r="AZ6" s="1533" t="n">
        <v>12.04807186</v>
      </c>
      <c r="BA6" s="1533" t="n">
        <v>7.35652233</v>
      </c>
      <c r="BB6" s="1533" t="n">
        <v>34.8333874</v>
      </c>
      <c r="BC6" s="1533" t="n">
        <v>7.71013741</v>
      </c>
      <c r="BD6" s="1533" t="n">
        <v>11.56250074</v>
      </c>
      <c r="BE6" s="1533" t="n">
        <v>11.74487491</v>
      </c>
      <c r="BF6" s="1533" t="n">
        <v>7.74781251</v>
      </c>
      <c r="BG6" s="1533" t="n">
        <v>3.70917645</v>
      </c>
      <c r="BH6" s="1533" t="n">
        <v>11.54446728</v>
      </c>
      <c r="BI6" s="1533" t="n">
        <v>7.112988179999999</v>
      </c>
      <c r="BJ6" s="1533" t="n">
        <v>24.88538212</v>
      </c>
      <c r="BK6" s="1533" t="n">
        <v>27.69131971</v>
      </c>
      <c r="BL6" s="1533" t="n">
        <v>23.96900076</v>
      </c>
      <c r="BM6" s="1533" t="n">
        <v>39.40328050999999</v>
      </c>
      <c r="BN6" s="1533" t="n">
        <v>37.45548355</v>
      </c>
      <c r="BO6" s="1533" t="n">
        <v>47.03683172</v>
      </c>
      <c r="BP6" s="1533" t="n">
        <v>23.65893583</v>
      </c>
      <c r="BQ6" s="1533" t="n">
        <v>15.86519677</v>
      </c>
      <c r="BR6" s="1533" t="n">
        <v>23.04239666</v>
      </c>
      <c r="BS6" s="1533" t="n">
        <v>24.54607479</v>
      </c>
      <c r="BT6" s="1533" t="n">
        <v>27.40875965</v>
      </c>
      <c r="BU6" s="1533" t="n">
        <v>26.97439467</v>
      </c>
      <c r="BV6" s="1533" t="n">
        <v>29.41838025</v>
      </c>
      <c r="BW6" s="1533" t="n">
        <v>28.85271825</v>
      </c>
      <c r="BX6" s="1533" t="n">
        <v>30.86428012</v>
      </c>
      <c r="BY6" s="1533" t="n">
        <v>37.43635328</v>
      </c>
      <c r="BZ6" s="1533" t="n">
        <v>35.82387362</v>
      </c>
      <c r="CA6" s="1533" t="n">
        <v>22.4421127</v>
      </c>
      <c r="CB6" s="1533" t="n">
        <v>30.02201642</v>
      </c>
      <c r="CC6" s="1533" t="n">
        <v>23.46396329</v>
      </c>
      <c r="CD6" s="1533" t="n">
        <v>35.63853403</v>
      </c>
      <c r="CE6" s="1533" t="n">
        <v>21.61590527</v>
      </c>
      <c r="CF6" s="1533" t="n">
        <v>19.90796644</v>
      </c>
      <c r="CG6" s="1533" t="n">
        <v>17.59162153</v>
      </c>
      <c r="CH6" s="1533" t="n">
        <v>11.48735679</v>
      </c>
      <c r="CI6" s="1533" t="n">
        <v>16.66665126</v>
      </c>
      <c r="CJ6" s="1533" t="n">
        <v>15.5039157</v>
      </c>
      <c r="CK6" s="1533" t="n">
        <v>19.34903804</v>
      </c>
      <c r="CL6" s="1533" t="n">
        <v>12.02656272</v>
      </c>
      <c r="CM6" s="1533" t="n">
        <v>15.71423234</v>
      </c>
      <c r="CN6" s="1533" t="n">
        <v>10.72490096</v>
      </c>
      <c r="CO6" s="1533" t="n">
        <v>13.67215647</v>
      </c>
      <c r="CP6" s="1533" t="n">
        <v>12.29586314</v>
      </c>
      <c r="CQ6" s="1533" t="n">
        <v>2.77934799</v>
      </c>
      <c r="CR6" s="1533" t="n">
        <v>2.37024134</v>
      </c>
      <c r="CS6" s="1533" t="n">
        <v>8.421900529999998</v>
      </c>
      <c r="CT6" s="1533" t="n">
        <v>5.44223208</v>
      </c>
      <c r="CU6" s="1533" t="n">
        <v>5.91695677</v>
      </c>
      <c r="CV6" s="1533" t="n">
        <v>10.25989882</v>
      </c>
      <c r="CW6" s="1533" t="n">
        <v>7.00050195</v>
      </c>
      <c r="CX6" s="1533" t="n">
        <v>22.95209554</v>
      </c>
      <c r="CY6" s="1533" t="n">
        <v>29.0826188</v>
      </c>
      <c r="CZ6" s="1533" t="n">
        <v>24.23057077</v>
      </c>
      <c r="DA6" s="1533" t="n">
        <v>18.45914464</v>
      </c>
      <c r="DB6" s="1533" t="n">
        <v>2.66012067</v>
      </c>
      <c r="DC6" s="1533" t="n">
        <v>6.84340546</v>
      </c>
      <c r="DD6" s="1533" t="n">
        <v>1.58745886</v>
      </c>
      <c r="DE6" s="1533" t="n">
        <v>70.38448048000001</v>
      </c>
      <c r="DF6" s="1533" t="n">
        <v>69.51805662000001</v>
      </c>
      <c r="DG6" s="1533" t="n">
        <v>38.22998017</v>
      </c>
      <c r="DH6" s="1533" t="n">
        <v>38.2086387</v>
      </c>
      <c r="DI6" s="1533" t="n">
        <v>14.86872113</v>
      </c>
      <c r="DJ6" s="1533" t="n">
        <v>6.12832131</v>
      </c>
      <c r="DK6" s="1533" t="n">
        <v>15.61578483</v>
      </c>
      <c r="DL6" s="1533" t="n">
        <v>12.2081533</v>
      </c>
      <c r="DM6" s="1533" t="n">
        <v>5.24070066</v>
      </c>
      <c r="DN6" s="1533" t="n">
        <v>3.9984575</v>
      </c>
      <c r="DO6" s="1533" t="n">
        <v>4.44658354</v>
      </c>
      <c r="DP6" s="1533" t="n">
        <v>1.85132266</v>
      </c>
      <c r="DQ6" s="1533" t="n">
        <v>2.47423088</v>
      </c>
      <c r="DR6" s="1533" t="n">
        <v>8.188975559999999</v>
      </c>
      <c r="DS6" s="1533" t="n">
        <v>13.42211296</v>
      </c>
      <c r="DT6" s="1533" t="n">
        <v>10.80861082</v>
      </c>
      <c r="DU6" s="1533" t="n">
        <v>16.23198375</v>
      </c>
      <c r="DV6" s="1533" t="n">
        <v>17.92362824</v>
      </c>
      <c r="DW6" s="1533" t="n">
        <v>9.216734480000001</v>
      </c>
      <c r="DX6" s="944" t="n">
        <v>10.42219922</v>
      </c>
      <c r="DY6" s="1533" t="n">
        <v>9.4646761</v>
      </c>
      <c r="DZ6" s="1533" t="n">
        <v>15.1655482</v>
      </c>
      <c r="EA6" s="1533" t="n">
        <v>5.07146938</v>
      </c>
      <c r="EB6" s="1533" t="n">
        <v>7.94383489</v>
      </c>
      <c r="EC6" s="1533" t="n">
        <v>6.71878709</v>
      </c>
      <c r="ED6" s="1533" t="n">
        <v>6.785106099999999</v>
      </c>
      <c r="EE6" s="1533" t="n">
        <v>1.47754146</v>
      </c>
      <c r="EF6" s="1533" t="n">
        <v>1.66726571</v>
      </c>
      <c r="EG6" s="1533" t="n">
        <v>5.77567686</v>
      </c>
      <c r="EH6" s="1533" t="n">
        <v>5.77567686</v>
      </c>
      <c r="EI6" s="1533" t="n">
        <v>11.29161561</v>
      </c>
      <c r="EJ6" s="1533" t="n">
        <v>12.6566901</v>
      </c>
      <c r="EK6" s="1533" t="n">
        <v>51.39687322</v>
      </c>
      <c r="EL6" s="1533" t="n">
        <v>26.99072311</v>
      </c>
      <c r="EM6" s="1533" t="n">
        <v>28.47834918</v>
      </c>
      <c r="EN6" s="1533" t="n">
        <v>28.27826977</v>
      </c>
      <c r="EO6" s="1533" t="n">
        <v>35.82868417</v>
      </c>
      <c r="EP6" s="1533" t="n">
        <v>66.44313235999999</v>
      </c>
      <c r="EQ6" s="1533" t="n">
        <v>63.10838635</v>
      </c>
      <c r="ER6" s="1533" t="n">
        <v>67.70788292</v>
      </c>
      <c r="ES6" s="1533" t="n">
        <v>65.36854521000001</v>
      </c>
      <c r="ET6" s="1533" t="n">
        <v>66.23274411</v>
      </c>
      <c r="EU6" s="1533" t="n">
        <v>63.96457152</v>
      </c>
      <c r="EV6" s="944" t="n">
        <v>152.21231489</v>
      </c>
      <c r="EW6" s="1533" t="n">
        <v>152.5485885</v>
      </c>
      <c r="EX6" s="1533" t="n">
        <v>151.40495886</v>
      </c>
      <c r="EY6" s="1533" t="n">
        <v>151.25624776</v>
      </c>
      <c r="EZ6" s="1533" t="n">
        <v>168.47975732</v>
      </c>
      <c r="FA6" s="1533" t="n">
        <v>158.57104623</v>
      </c>
      <c r="FB6" s="1533" t="n">
        <v>162.04757291</v>
      </c>
      <c r="FC6" s="1533" t="n">
        <v>164.45297578</v>
      </c>
      <c r="FD6" s="1533" t="n">
        <v>161.44700774</v>
      </c>
      <c r="FE6" s="1533" t="n">
        <v>162.25650102</v>
      </c>
      <c r="FF6" s="1533" t="n">
        <v>159.74587425</v>
      </c>
      <c r="FG6" s="1533" t="n">
        <v>160.13856117</v>
      </c>
      <c r="FH6" s="1533" t="n">
        <v>166.73796114</v>
      </c>
      <c r="FI6" s="1533" t="n">
        <v>163.05401881</v>
      </c>
      <c r="FJ6" s="1533" t="n">
        <v>169.53921644</v>
      </c>
      <c r="FK6" s="1533" t="n">
        <v>170.25125321</v>
      </c>
      <c r="FL6" s="1533" t="n">
        <v>168.8598508</v>
      </c>
      <c r="FM6" s="1533" t="n">
        <v>16.47723785</v>
      </c>
      <c r="FN6" s="944" t="n">
        <v>17.46199282</v>
      </c>
      <c r="FO6" s="1533" t="n">
        <v>16.48921924</v>
      </c>
      <c r="FP6" s="1533" t="n">
        <v>17.17093474</v>
      </c>
      <c r="FQ6" s="1533" t="n">
        <v>17.33831697</v>
      </c>
      <c r="FR6" s="1533" t="n">
        <v>6.02907075</v>
      </c>
      <c r="FS6" s="1533" t="n">
        <v>6.61801917</v>
      </c>
      <c r="FT6" s="1533" t="n">
        <v>6.31513217</v>
      </c>
      <c r="FU6" s="1533" t="n">
        <v>10.63930281</v>
      </c>
      <c r="FV6" s="1533" t="n">
        <v>4.629460900000001</v>
      </c>
      <c r="FW6" s="1533" t="n">
        <v>55.08946645</v>
      </c>
      <c r="FX6" s="1533" t="n">
        <v>1.13390348</v>
      </c>
      <c r="FY6" s="1533" t="n">
        <v>2.78152254</v>
      </c>
      <c r="FZ6" s="1533" t="n">
        <v>6.43398849</v>
      </c>
      <c r="GA6" s="1533" t="n">
        <v>6.330504530000001</v>
      </c>
      <c r="GB6" s="1533" t="n">
        <v>2.47468347</v>
      </c>
      <c r="GC6" s="1533" t="n">
        <v>25.82707773</v>
      </c>
      <c r="GD6" s="1533" t="n">
        <v>28.91915373</v>
      </c>
      <c r="GE6" s="1533" t="n">
        <v>33.60540468</v>
      </c>
      <c r="GF6" s="1533" t="n">
        <v>28.43399253</v>
      </c>
      <c r="GG6" s="1533" t="n">
        <v>56.80486718</v>
      </c>
      <c r="GH6" s="1533" t="n">
        <v>167.45557076</v>
      </c>
      <c r="GI6" s="1533" t="n">
        <v>36.60918367</v>
      </c>
      <c r="GJ6" s="1533" t="n">
        <v>36.59410198</v>
      </c>
      <c r="GK6" s="1533" t="n">
        <v>3.42858934</v>
      </c>
      <c r="GL6" s="1533" t="n">
        <v>5.55250075</v>
      </c>
      <c r="GM6" s="1533" t="n">
        <v>7.588720299999999</v>
      </c>
      <c r="GN6" s="1533" t="n">
        <v>15.45595679</v>
      </c>
      <c r="GO6" s="1533" t="n">
        <v>11.10729212</v>
      </c>
      <c r="GP6" s="1533" t="n">
        <v>18.4562849</v>
      </c>
      <c r="GQ6" s="1533" t="n">
        <v>22.84804815</v>
      </c>
      <c r="GR6" s="1533" t="n">
        <v>24.84079425</v>
      </c>
      <c r="GS6" s="1533" t="n">
        <v>3.93788148</v>
      </c>
      <c r="GT6" s="1533" t="n">
        <v>3.3388471</v>
      </c>
      <c r="GU6" s="1534" t="n">
        <v>3.3388471</v>
      </c>
      <c r="GV6" s="1533" t="n">
        <v>11.17122741</v>
      </c>
      <c r="GW6" s="1533" t="n">
        <v>8.196717639999999</v>
      </c>
      <c r="GX6" s="1533" t="n">
        <v>10.82098254</v>
      </c>
      <c r="GY6" s="1533" t="n">
        <v>11.23279909</v>
      </c>
      <c r="GZ6" s="1533" t="n">
        <v>9.350622730000001</v>
      </c>
      <c r="HA6" s="1533" t="n">
        <v>17.41613413</v>
      </c>
      <c r="HB6" s="1533" t="n">
        <v>24.20842357</v>
      </c>
      <c r="HC6" s="1533" t="n">
        <v>26.13274036</v>
      </c>
      <c r="HD6" s="1533" t="n">
        <v>9.67845121</v>
      </c>
      <c r="HE6" s="1533" t="n">
        <v>5.534266280000001</v>
      </c>
      <c r="HF6" s="1533" t="n">
        <v>6.21718346</v>
      </c>
      <c r="HG6" s="1533" t="n">
        <v>21.3814301</v>
      </c>
      <c r="HH6" s="1533" t="n">
        <v>24.48584209</v>
      </c>
      <c r="HI6" s="1533" t="n">
        <v>10.36824598</v>
      </c>
      <c r="HJ6" s="1533" t="n">
        <v>14.16918185</v>
      </c>
      <c r="HK6" s="1533" t="n">
        <v>18.06418185</v>
      </c>
      <c r="HL6" s="1533" t="n">
        <v>24.70722785</v>
      </c>
      <c r="HM6" s="1533" t="n">
        <v>27.70373105</v>
      </c>
      <c r="HN6" s="1533" t="n">
        <v>31.81704657</v>
      </c>
      <c r="HO6" s="1533" t="n">
        <v>41.37109558</v>
      </c>
      <c r="HP6" s="1533" t="n">
        <v>30.65725166</v>
      </c>
      <c r="HQ6" s="1533" t="n">
        <v>36.25547994</v>
      </c>
      <c r="HR6" s="944" t="n">
        <v>18.3561006</v>
      </c>
      <c r="HS6" s="945" t="n">
        <v>20.69334395</v>
      </c>
      <c r="HT6" s="1535" t="n">
        <v>13.51572277</v>
      </c>
      <c r="HU6" s="1535" t="n">
        <v>4.78665082</v>
      </c>
      <c r="HV6" s="1535" t="n">
        <v>6.88443358</v>
      </c>
      <c r="HW6" s="1535" t="n">
        <v>15.39042258</v>
      </c>
      <c r="HX6" s="1535" t="n">
        <v>1.91503014</v>
      </c>
      <c r="HY6" s="1535" t="n">
        <v>3.54367108</v>
      </c>
      <c r="HZ6" s="1535" t="n">
        <v>7.77651698</v>
      </c>
      <c r="IA6" s="1535" t="n">
        <v>9.554149630000001</v>
      </c>
      <c r="IB6" s="1535" t="n">
        <v>3.36211311</v>
      </c>
      <c r="IC6" s="1535" t="n">
        <v>5.122650309999999</v>
      </c>
      <c r="ID6" s="1535" t="n">
        <v>0.09580591000000001</v>
      </c>
      <c r="IE6" s="1535" t="n">
        <v>0.41719173</v>
      </c>
      <c r="IF6" s="1535" t="n">
        <v>5.24958103</v>
      </c>
      <c r="IG6" s="1535" t="n">
        <v>2.28865226</v>
      </c>
      <c r="IH6" s="1535" t="n">
        <v>2.56331827</v>
      </c>
      <c r="II6" s="1535" t="n">
        <v>3.0597566</v>
      </c>
      <c r="IJ6" s="1535" t="n">
        <v>6.37000468</v>
      </c>
      <c r="IK6" s="1535" t="n">
        <v>15.80455971</v>
      </c>
      <c r="IL6" s="1535" t="n">
        <v>6.97385392</v>
      </c>
      <c r="IM6" s="1535" t="n">
        <v>9.683679740000001</v>
      </c>
      <c r="IN6" s="1535" t="n">
        <v>14.91080204</v>
      </c>
      <c r="IO6" s="1535" t="n">
        <v>10.84681263</v>
      </c>
      <c r="IP6" s="1535" t="n">
        <v>14.08044391</v>
      </c>
      <c r="IQ6" s="1535" t="n">
        <v>4.25034446</v>
      </c>
      <c r="IR6" s="1535" t="n">
        <v>65.20924246</v>
      </c>
      <c r="IS6" s="1535" t="n">
        <v>65.09161639999999</v>
      </c>
      <c r="IT6" s="1535" t="n">
        <v>64.04077034000001</v>
      </c>
      <c r="IU6" s="1535" t="n">
        <v>68.50241918</v>
      </c>
      <c r="IV6" s="1535" t="n">
        <v>70.93027775</v>
      </c>
      <c r="IW6" s="1535" t="n">
        <v>72.11746366</v>
      </c>
      <c r="IX6" s="1535" t="n">
        <v>78.44840140000001</v>
      </c>
      <c r="IY6" s="1536" t="n">
        <v>37.51515263</v>
      </c>
      <c r="IZ6" s="1535" t="n">
        <v>41.35976864</v>
      </c>
      <c r="JA6" s="1535" t="n">
        <v>50.52608864</v>
      </c>
      <c r="JB6" s="1535" t="n">
        <v>49.80299229</v>
      </c>
      <c r="JC6" s="1535" t="n">
        <v>49.93850438</v>
      </c>
      <c r="JD6" s="1535" t="n">
        <v>46.15073799</v>
      </c>
      <c r="JE6" s="1535" t="n">
        <v>51.06897258</v>
      </c>
      <c r="JF6" s="1535" t="n">
        <v>49.5521715</v>
      </c>
      <c r="JG6" s="1535" t="n">
        <v>45.77753985</v>
      </c>
      <c r="JH6" s="1535" t="n">
        <v>42.59199393999999</v>
      </c>
      <c r="JI6" s="1535" t="n">
        <v>50.04783546</v>
      </c>
      <c r="JJ6" s="1535" t="n">
        <v>50.04783546</v>
      </c>
      <c r="JK6" s="1535" t="n">
        <v>54.87193882</v>
      </c>
      <c r="JL6" s="1535" t="n">
        <v>51.4167759</v>
      </c>
      <c r="JM6" s="1535" t="n">
        <v>54.4781865</v>
      </c>
      <c r="JN6" s="1535" t="n">
        <v>58.9828057</v>
      </c>
      <c r="JO6" s="1535" t="n">
        <v>58.9828057</v>
      </c>
      <c r="JP6" s="1535" t="n">
        <v>58.9828057</v>
      </c>
      <c r="JQ6" s="1535" t="n">
        <v>70.32650619</v>
      </c>
      <c r="JR6" s="1535" t="n">
        <v>66.35382204</v>
      </c>
      <c r="JS6" s="1535" t="n">
        <v>66.35382204</v>
      </c>
      <c r="JT6" s="1535" t="n">
        <v>76.37402869</v>
      </c>
      <c r="JU6" s="1535" t="n">
        <v>75.89450492</v>
      </c>
      <c r="JV6" s="1535" t="n">
        <v>79.53312692</v>
      </c>
      <c r="JW6" s="1535" t="n">
        <v>84.58799445</v>
      </c>
      <c r="JX6" s="1535" t="n">
        <v>81.23658006000001</v>
      </c>
      <c r="JY6" s="1535" t="n">
        <v>81.23658006000001</v>
      </c>
      <c r="JZ6" s="1535" t="n">
        <v>83.26494699</v>
      </c>
      <c r="KA6" s="1535" t="n">
        <v>74.48470143999999</v>
      </c>
      <c r="KB6" s="1535" t="n">
        <v>81.68762997</v>
      </c>
      <c r="KC6" s="1535" t="n">
        <v>82.79539475</v>
      </c>
      <c r="KD6" s="1535" t="n">
        <v>87.83509658</v>
      </c>
      <c r="KE6" s="1535" t="n">
        <v>74.04261973999999</v>
      </c>
      <c r="KF6" s="1535" t="n">
        <v>77.69511946999999</v>
      </c>
      <c r="KG6" s="1535" t="n">
        <v>85.53697472</v>
      </c>
      <c r="KH6" s="1535" t="n">
        <v>91.85724237000001</v>
      </c>
      <c r="KI6" s="1535" t="n">
        <v>91.23479353</v>
      </c>
      <c r="KJ6" s="1535" t="n">
        <v>91.23479353</v>
      </c>
      <c r="KK6" s="1535" t="n">
        <v>91.23479353</v>
      </c>
      <c r="KL6" s="1535" t="n">
        <v>91.23479353</v>
      </c>
      <c r="KM6" s="1535" t="n">
        <v>91.23479353</v>
      </c>
      <c r="KN6" s="1535" t="n">
        <v>91.23479353</v>
      </c>
      <c r="KO6" s="1535" t="n">
        <v>91.23479353</v>
      </c>
      <c r="KP6" s="1535" t="n">
        <v>91.23479353</v>
      </c>
      <c r="KQ6" s="1535" t="n">
        <v>91.23479353</v>
      </c>
      <c r="KR6" s="1535" t="n">
        <v>20.75187536</v>
      </c>
      <c r="KS6" s="1536" t="n">
        <v>25.61467256</v>
      </c>
      <c r="KT6" s="1536" t="n">
        <v>3.3584252</v>
      </c>
      <c r="KU6" s="1536" t="n">
        <v>9.41787302</v>
      </c>
      <c r="KV6" s="1536" t="n">
        <v>14.90456086</v>
      </c>
      <c r="KW6" s="1536" t="n">
        <v>0.78714975</v>
      </c>
      <c r="KX6" s="1536" t="n">
        <v>1.02890863</v>
      </c>
      <c r="KY6" s="1536" t="n">
        <v>5.9103414</v>
      </c>
      <c r="KZ6" s="1536" t="n">
        <v>11.87684598</v>
      </c>
      <c r="LA6" s="1536" t="n">
        <v>7.83513967</v>
      </c>
      <c r="LB6" s="1536" t="n">
        <v>16.00814727</v>
      </c>
      <c r="LC6" s="1536" t="n">
        <v>23.399037</v>
      </c>
      <c r="LD6" s="1536" t="n">
        <v>26.20010884</v>
      </c>
      <c r="LE6" s="1536" t="n">
        <v>7.16452108</v>
      </c>
      <c r="LF6" s="1536" t="n">
        <v>14.47950572</v>
      </c>
      <c r="LG6" s="1536" t="n">
        <v>21.42058718</v>
      </c>
      <c r="LH6" s="1536" t="n">
        <v>21.3322676</v>
      </c>
      <c r="LI6" s="1536" t="n">
        <v>27.17564536</v>
      </c>
      <c r="LJ6" s="1536" t="n">
        <v>25.78181188</v>
      </c>
      <c r="LK6" s="1536" t="n">
        <v>22.92386122</v>
      </c>
      <c r="LL6" s="1536" t="n">
        <v>25.78181188</v>
      </c>
      <c r="LM6" s="1536" t="n">
        <v>26.78235881</v>
      </c>
      <c r="LN6" s="1536" t="n">
        <v>24.0778463</v>
      </c>
      <c r="LO6" s="1536" t="n">
        <v>0.26742962</v>
      </c>
      <c r="LP6" s="1536" t="n">
        <v>0.25188608</v>
      </c>
      <c r="LQ6" s="1536" t="n">
        <v>0.25188608</v>
      </c>
      <c r="LR6" s="1536" t="n">
        <v>1.99231984</v>
      </c>
      <c r="LS6" s="1536" t="n">
        <v>11.74222412</v>
      </c>
      <c r="LT6" s="1536" t="n">
        <v>0.37945088</v>
      </c>
      <c r="LU6" s="1536" t="n">
        <v>6.994543</v>
      </c>
      <c r="LV6" s="1536" t="n">
        <v>15.17125343</v>
      </c>
      <c r="LW6" s="1536" t="n">
        <v>7.26346813</v>
      </c>
      <c r="LX6" s="1536" t="n">
        <v>14.40424612</v>
      </c>
      <c r="LY6" s="1536" t="n">
        <v>0.98075526</v>
      </c>
      <c r="LZ6" s="1536" t="n">
        <v>0.48936102</v>
      </c>
      <c r="MA6" s="1536" t="n">
        <v>3.84684978</v>
      </c>
      <c r="MB6" s="1536" t="n">
        <v>9.634521080000001</v>
      </c>
      <c r="MC6" s="1536" t="n">
        <v>21.69252108</v>
      </c>
      <c r="MD6" s="1536" t="n">
        <v>0.6888703199999999</v>
      </c>
      <c r="ME6" s="1536" t="n">
        <v>24.98196632</v>
      </c>
      <c r="MF6" s="1536" t="n">
        <v>24.79964797</v>
      </c>
      <c r="MG6" s="1536" t="n">
        <v>33.53229758</v>
      </c>
      <c r="MH6" s="1536" t="n">
        <v>34.986951</v>
      </c>
      <c r="MI6" s="1536" t="n">
        <v>17.47524685</v>
      </c>
      <c r="MJ6" s="1536" t="n">
        <v>23.83641943</v>
      </c>
      <c r="MK6" s="1536" t="n">
        <v>23.83641943</v>
      </c>
      <c r="ML6" s="1536" t="n">
        <v>23.83641943</v>
      </c>
      <c r="MM6" s="1536" t="n">
        <v>23.83641943</v>
      </c>
      <c r="MN6" s="1536" t="n">
        <v>19.53649039</v>
      </c>
      <c r="MO6" s="1536" t="n">
        <v>3.71999674</v>
      </c>
      <c r="MP6" s="1536" t="n">
        <v>22.50829891</v>
      </c>
      <c r="MQ6" s="1536" t="n">
        <v>22.91176131</v>
      </c>
      <c r="MR6" s="1536" t="n">
        <v>160.87969341</v>
      </c>
      <c r="MS6" s="1536" t="n">
        <v>9.047325499999999</v>
      </c>
      <c r="MT6" s="1536" t="n">
        <v>16.30503119</v>
      </c>
      <c r="MU6" s="1536" t="n">
        <v>14.76057646</v>
      </c>
      <c r="MV6" s="1536" t="n">
        <v>16.87482036</v>
      </c>
      <c r="MW6" s="1536" t="n">
        <v>24.87730596</v>
      </c>
      <c r="MX6" s="1536" t="n">
        <v>24.87730596</v>
      </c>
      <c r="MY6" s="1536" t="n">
        <v>23.87579084</v>
      </c>
      <c r="MZ6" s="1536" t="n">
        <v>28.86065388</v>
      </c>
      <c r="NA6" s="1536" t="n">
        <v>33.46052959</v>
      </c>
      <c r="NB6" s="1536" t="n">
        <v>48.45108559000001</v>
      </c>
      <c r="NC6" s="1536" t="n">
        <v>37.8779375</v>
      </c>
      <c r="ND6" s="1536" t="n">
        <v>161.02266368</v>
      </c>
      <c r="NE6" s="1536" t="n">
        <v>228.31802092</v>
      </c>
      <c r="NF6" s="1536" t="n">
        <v>331.52041658</v>
      </c>
      <c r="NG6" s="1536" t="n">
        <v>342.54990185</v>
      </c>
      <c r="NH6" s="1536" t="n">
        <v>398.15833974</v>
      </c>
      <c r="NI6" s="1536" t="n">
        <v>397.70348691</v>
      </c>
      <c r="NJ6" s="1536" t="n">
        <v>400.02055376</v>
      </c>
      <c r="NK6" s="1536" t="n">
        <v>402.33980831</v>
      </c>
      <c r="NL6" s="1536" t="n">
        <v>405.37026377</v>
      </c>
      <c r="NM6" s="1536" t="n">
        <v>402.87335495</v>
      </c>
      <c r="NN6" s="1536" t="n">
        <v>405.63258171</v>
      </c>
      <c r="NO6" s="1536" t="n">
        <v>401.37698456</v>
      </c>
      <c r="NP6" s="1536" t="n">
        <v>409.91152152</v>
      </c>
      <c r="NQ6" s="1536" t="n">
        <v>207.01278341</v>
      </c>
      <c r="NR6" s="1536" t="n">
        <v>231.72798941</v>
      </c>
      <c r="NS6" s="1536" t="n">
        <v>241.14465392</v>
      </c>
      <c r="NT6" s="1536" t="n">
        <v>241.14465392</v>
      </c>
      <c r="NU6" s="1536" t="n">
        <v>244.18518809</v>
      </c>
      <c r="NV6" s="1536" t="n">
        <v>244.18518809</v>
      </c>
      <c r="NW6" s="1536" t="n">
        <v>46.08297856</v>
      </c>
      <c r="NX6" s="1536" t="n">
        <v>49.16411299</v>
      </c>
      <c r="NY6" s="1536" t="n">
        <v>44.12121826</v>
      </c>
      <c r="NZ6" s="1536" t="n">
        <v>50.13115426</v>
      </c>
      <c r="OA6" s="1536" t="n">
        <v>50.13115426</v>
      </c>
      <c r="OB6" s="1536" t="n">
        <v>69.49226579</v>
      </c>
      <c r="OC6" s="1536" t="n">
        <v>75.99766114000001</v>
      </c>
      <c r="OD6" s="1536" t="n">
        <v>80.62078604999999</v>
      </c>
      <c r="OE6" s="1536" t="n">
        <v>87.59494359</v>
      </c>
      <c r="OF6" s="1536" t="n">
        <v>89.66824912999999</v>
      </c>
      <c r="OG6" s="1536" t="n">
        <v>96.96453098000001</v>
      </c>
      <c r="OH6" s="1536" t="n">
        <v>99.95287166</v>
      </c>
      <c r="OI6" s="1536" t="n">
        <v>96.26839144</v>
      </c>
      <c r="OJ6" s="1536" t="n">
        <v>104.87598791</v>
      </c>
      <c r="OK6" s="1536" t="n">
        <v>52.99512517</v>
      </c>
      <c r="OL6" s="1536" t="n">
        <v>53.52112717</v>
      </c>
      <c r="OM6" s="1536" t="n">
        <v>61.03451817</v>
      </c>
      <c r="ON6" s="1536" t="n">
        <v>61.01967444</v>
      </c>
      <c r="OO6" s="1536" t="n">
        <v>74.24176552</v>
      </c>
      <c r="OP6" s="1536" t="n">
        <v>56.36244153</v>
      </c>
      <c r="OQ6" s="1536" t="n">
        <v>56.36244153</v>
      </c>
      <c r="OR6" s="1536" t="n">
        <v>68.40277148</v>
      </c>
      <c r="OS6" s="1536" t="n">
        <v>68.40277148</v>
      </c>
      <c r="OT6" s="1536" t="n">
        <v>73.19131012999999</v>
      </c>
      <c r="OU6" s="1536" t="n">
        <v>38.94480341</v>
      </c>
      <c r="OV6" s="1536" t="n">
        <v>38.94480341</v>
      </c>
      <c r="OW6" s="1536" t="n">
        <v>32.0075632</v>
      </c>
      <c r="OX6" s="1536" t="n">
        <v>47.37425001</v>
      </c>
      <c r="OY6" s="1536" t="n">
        <v>49.51339027</v>
      </c>
      <c r="OZ6" s="1536" t="n">
        <v>14.94306992</v>
      </c>
      <c r="PA6" s="1536" t="n">
        <v>14.69779865</v>
      </c>
      <c r="PB6" s="1536" t="n">
        <v>14.69709865</v>
      </c>
      <c r="PC6" s="1536" t="n">
        <v>14.69709865</v>
      </c>
      <c r="PD6" s="1536" t="n">
        <v>24.31329862</v>
      </c>
      <c r="PE6" s="1536" t="n">
        <v>31.31078664</v>
      </c>
      <c r="PF6" s="1536" t="n">
        <v>4.93303189</v>
      </c>
      <c r="PG6" s="1536" t="n">
        <v>4.90474541</v>
      </c>
      <c r="PH6" s="1536" t="n">
        <v>12.29255016</v>
      </c>
      <c r="PI6" s="1536" t="n">
        <v>31.21237952</v>
      </c>
      <c r="PJ6" s="1536" t="n">
        <v>17.78009587</v>
      </c>
      <c r="PK6" s="1536" t="n">
        <v>22.38570156</v>
      </c>
      <c r="PL6" s="1536" t="n">
        <v>24.8611274</v>
      </c>
      <c r="PM6" s="1536" t="n">
        <v>31.97255471</v>
      </c>
      <c r="PN6" s="1536" t="n">
        <v>36.947839</v>
      </c>
      <c r="PO6" s="1536" t="n">
        <v>43.64435045</v>
      </c>
      <c r="PP6" s="1536" t="n">
        <v>46.22698737</v>
      </c>
      <c r="PQ6" s="1536" t="n">
        <v>56.05832237</v>
      </c>
      <c r="PR6" s="1536" t="n">
        <v>59.66307137</v>
      </c>
      <c r="PS6" s="1536" t="n">
        <v>17.02748517</v>
      </c>
      <c r="PT6" s="1536" t="n">
        <v>17.50764894</v>
      </c>
      <c r="PU6" s="1536" t="n">
        <v>17.50764894</v>
      </c>
      <c r="PV6" s="1536" t="n">
        <v>19.53507534</v>
      </c>
      <c r="PW6" s="1536" t="n">
        <v>28.8325936</v>
      </c>
      <c r="PX6" s="1536" t="n">
        <v>26.30979118</v>
      </c>
      <c r="PY6" s="1536" t="n">
        <v>74.91758539</v>
      </c>
      <c r="PZ6" s="1536" t="n">
        <v>75.86054939</v>
      </c>
      <c r="QA6" s="1536" t="n">
        <v>75.86054939</v>
      </c>
      <c r="QB6" s="1536" t="n">
        <v>78.20546751000001</v>
      </c>
      <c r="QC6" s="1536" t="n">
        <v>78.20546751000001</v>
      </c>
      <c r="QD6" s="1536" t="n">
        <v>44.73135996</v>
      </c>
      <c r="QE6" s="1536" t="n">
        <v>39.46076134</v>
      </c>
      <c r="QF6" s="1536" t="n">
        <v>43.25139185</v>
      </c>
      <c r="QG6" s="1536" t="n">
        <v>36.99714631000001</v>
      </c>
      <c r="QH6" s="1536" t="n">
        <v>36.99714631000001</v>
      </c>
      <c r="QI6" s="1536" t="n">
        <v>36.99714631000001</v>
      </c>
      <c r="QJ6" s="1536" t="n">
        <v>43.22193923</v>
      </c>
      <c r="QK6" s="1536" t="n">
        <v>43.22193923</v>
      </c>
      <c r="QL6" s="1536" t="n">
        <v>41.16347976</v>
      </c>
      <c r="QM6" s="1536" t="n">
        <v>41.16347976</v>
      </c>
      <c r="QN6" s="1536" t="n">
        <v>41.16347976</v>
      </c>
      <c r="QO6" s="1536" t="n">
        <v>55.80226364</v>
      </c>
      <c r="QP6" s="1536" t="n">
        <v>49.63525852</v>
      </c>
      <c r="QQ6" s="1536" t="n">
        <v>52.66891574</v>
      </c>
      <c r="QR6" s="1536" t="n">
        <v>52.58407253</v>
      </c>
      <c r="QS6" s="1536" t="n">
        <v>59.43450334000001</v>
      </c>
      <c r="QT6" s="1536" t="n">
        <v>63.83435534</v>
      </c>
      <c r="QU6" s="1536" t="n">
        <v>53.66364904</v>
      </c>
      <c r="QV6" s="1536" t="n">
        <v>38.01824392</v>
      </c>
      <c r="QW6" s="1536" t="n">
        <v>38.01649392</v>
      </c>
      <c r="QX6" s="1536" t="n">
        <v>40.97705485</v>
      </c>
      <c r="QY6" s="1536" t="n">
        <v>39.46804676</v>
      </c>
      <c r="QZ6" s="1536" t="n">
        <v>41.66720676</v>
      </c>
      <c r="RA6" s="1536" t="n">
        <v>27.90074713</v>
      </c>
      <c r="RB6" s="1536" t="n">
        <v>22.96373548</v>
      </c>
      <c r="RC6" s="1536" t="n">
        <v>12.88586969</v>
      </c>
      <c r="RD6" s="1536" t="n">
        <v>16.85240551</v>
      </c>
      <c r="RE6" s="1536" t="n">
        <v>37.47928167</v>
      </c>
      <c r="RF6" s="1536" t="n">
        <v>5.518541269999999</v>
      </c>
      <c r="RG6" s="1536" t="n">
        <v>8.142631530000001</v>
      </c>
      <c r="RH6" s="1536" t="n">
        <v>6.27369136</v>
      </c>
      <c r="RI6" s="1536" t="n">
        <v>9.07038625</v>
      </c>
      <c r="RJ6" s="1536" t="n">
        <v>41.33316657</v>
      </c>
      <c r="RK6" s="1536" t="n">
        <v>35.76250431</v>
      </c>
      <c r="RL6" s="1536" t="n">
        <v>117.05774323</v>
      </c>
      <c r="RM6" s="1536" t="n">
        <v>95.15539868</v>
      </c>
      <c r="RN6" s="1536" t="n">
        <v>95.34704223</v>
      </c>
      <c r="RO6" s="1536" t="n">
        <v>95.84276840999999</v>
      </c>
      <c r="RP6" s="1536" t="n">
        <v>85.43788937000001</v>
      </c>
      <c r="RQ6" s="1536" t="n">
        <v>92.72832264</v>
      </c>
      <c r="RR6" s="1536" t="n">
        <v>38.0730708</v>
      </c>
      <c r="RS6" s="1536" t="n">
        <v>42.63789972999999</v>
      </c>
      <c r="RT6" s="1536" t="n">
        <v>60.19546364</v>
      </c>
      <c r="RU6" s="1536" t="n">
        <v>49.11008831</v>
      </c>
      <c r="RV6" s="1536" t="n">
        <v>42.44024742</v>
      </c>
      <c r="RW6" s="1536" t="n">
        <v>75.95805548999999</v>
      </c>
      <c r="RX6" s="1536" t="n">
        <v>37.32134334000001</v>
      </c>
      <c r="RY6" s="1536" t="n">
        <v>23.42697783</v>
      </c>
      <c r="RZ6" s="1536" t="n">
        <v>35.29376639</v>
      </c>
      <c r="SA6" s="1536" t="n">
        <v>39.25036873</v>
      </c>
      <c r="SB6" s="1536" t="n">
        <v>38.26113555</v>
      </c>
      <c r="SC6" s="1536" t="n">
        <v>41.59171989</v>
      </c>
      <c r="SD6" s="1536" t="n">
        <v>48.48916138000001</v>
      </c>
      <c r="SE6" s="1536" t="n">
        <v>45.10239065</v>
      </c>
      <c r="SF6" s="1536" t="n">
        <v>45.13599058</v>
      </c>
      <c r="SG6" s="1536" t="n">
        <v>54.30050253</v>
      </c>
      <c r="SH6" s="1536" t="n">
        <v>56.75050253</v>
      </c>
      <c r="SI6" s="1536" t="n">
        <v>62.74397937</v>
      </c>
      <c r="SJ6" s="1536" t="n">
        <v>61.68734997</v>
      </c>
      <c r="SK6" s="1536" t="n">
        <v>47.21005928</v>
      </c>
      <c r="SL6" s="1536" t="n">
        <v>30.84987913</v>
      </c>
      <c r="SM6" s="1536" t="n">
        <v>26.76453729</v>
      </c>
      <c r="SN6" s="1536" t="n">
        <v>29.09271212</v>
      </c>
      <c r="SO6" s="1536" t="n">
        <v>20.47907348</v>
      </c>
      <c r="SP6" s="1536" t="n">
        <v>17.25283921</v>
      </c>
      <c r="SQ6" s="1536" t="n">
        <v>17.10250872</v>
      </c>
      <c r="SR6" s="1536" t="n">
        <v>0.8952831099999999</v>
      </c>
      <c r="SS6" s="1536" t="n">
        <v>3.64092441</v>
      </c>
      <c r="ST6" s="1536" t="n">
        <v>1.47204688</v>
      </c>
      <c r="SU6" s="1536" t="n">
        <v>4.32769084</v>
      </c>
      <c r="SV6" s="1536" t="n">
        <v>3.77512042</v>
      </c>
      <c r="SW6" s="1536" t="n">
        <v>20.70608942</v>
      </c>
      <c r="SX6" s="1536" t="n">
        <v>9.261876769999999</v>
      </c>
      <c r="SY6" s="1536" t="n">
        <v>6.7776367</v>
      </c>
      <c r="SZ6" s="1536" t="n">
        <v>13.49209502</v>
      </c>
      <c r="TA6" s="1536" t="n">
        <v>24.362447</v>
      </c>
      <c r="TB6" s="1536" t="n">
        <v>24.362447</v>
      </c>
      <c r="TC6" s="1536" t="n">
        <v>27.10696622</v>
      </c>
      <c r="TD6" s="1536" t="n">
        <v>26.48168474</v>
      </c>
      <c r="TE6" s="1536" t="n">
        <v>26.48168474</v>
      </c>
      <c r="TF6" s="1536" t="n">
        <v>2.99749405</v>
      </c>
      <c r="TG6" s="1536" t="n">
        <v>36.58079687</v>
      </c>
      <c r="TH6" s="1536" t="n">
        <v>51.6211359</v>
      </c>
      <c r="TI6" s="1536" t="n">
        <v>12.17724102</v>
      </c>
      <c r="TJ6" s="1536" t="n">
        <v>2.93772603</v>
      </c>
      <c r="TK6" s="1536" t="n">
        <v>2.93772603</v>
      </c>
      <c r="TL6" s="1536" t="n">
        <v>21.40517839</v>
      </c>
      <c r="TM6" s="1536" t="n">
        <v>32.56016398</v>
      </c>
      <c r="TN6" s="1536" t="n">
        <v>18.73687337</v>
      </c>
      <c r="TO6" s="1536" t="n">
        <v>40.48681145</v>
      </c>
      <c r="TP6" s="1536" t="n">
        <v>53.34978558</v>
      </c>
      <c r="TQ6" s="1536" t="n">
        <v>71.06401773</v>
      </c>
      <c r="TR6" s="1536" t="n">
        <v>107.41511178</v>
      </c>
      <c r="TS6" s="1536" t="n">
        <v>113.34110383</v>
      </c>
      <c r="TT6" s="1536" t="n">
        <v>113.70256235</v>
      </c>
      <c r="TU6" s="1536" t="n">
        <v>119.88875883</v>
      </c>
      <c r="TV6" s="1536" t="n">
        <v>99.91089681999999</v>
      </c>
      <c r="TW6" s="1536" t="n">
        <v>20.97643625</v>
      </c>
      <c r="TX6" s="1536" t="n">
        <v>2.51274199</v>
      </c>
      <c r="TY6" s="1536" t="n">
        <v>5.53555112</v>
      </c>
      <c r="TZ6" s="1536" t="n">
        <v>8.575880590000001</v>
      </c>
      <c r="UA6" s="1536" t="n">
        <v>11.26714745</v>
      </c>
      <c r="UB6" s="1536" t="n">
        <v>27.02801347</v>
      </c>
      <c r="UC6" s="1536" t="n">
        <v>5.80788031</v>
      </c>
      <c r="UD6" s="1536" t="n">
        <v>78.56998383</v>
      </c>
      <c r="UE6" s="1536" t="n">
        <v>85.56438383</v>
      </c>
      <c r="UF6" s="1536" t="n">
        <v>278.75417446</v>
      </c>
      <c r="UG6" s="1536" t="n">
        <v>278.09830888</v>
      </c>
      <c r="UH6" s="1536" t="n">
        <v>278.40462651</v>
      </c>
      <c r="UI6" s="1536" t="n">
        <v>275.26129219</v>
      </c>
      <c r="UJ6" s="1536" t="n">
        <v>368.27371155</v>
      </c>
      <c r="UK6" s="1536" t="n">
        <v>378.22784677</v>
      </c>
      <c r="UL6" s="1536" t="n">
        <v>337.73548958</v>
      </c>
      <c r="UM6" s="1536" t="n">
        <v>349.36708793</v>
      </c>
      <c r="UN6" s="1536" t="n">
        <v>315.21771371</v>
      </c>
      <c r="UO6" s="1536" t="n">
        <v>328.03992109</v>
      </c>
      <c r="UP6" s="1536" t="n">
        <v>325.60045211</v>
      </c>
      <c r="UQ6" s="1536" t="n">
        <v>311.05336585</v>
      </c>
      <c r="UR6" s="1536" t="n">
        <v>210.2644022</v>
      </c>
      <c r="US6" s="1536" t="n">
        <v>210.2644022</v>
      </c>
      <c r="UT6" s="1536" t="n">
        <v>212.81223676</v>
      </c>
      <c r="UU6" s="1536" t="n">
        <v>317.19318556</v>
      </c>
      <c r="UV6" s="1536" t="n">
        <v>284.12947321</v>
      </c>
      <c r="UW6" s="1536" t="n">
        <v>284.12947321</v>
      </c>
      <c r="UX6" s="1536" t="n">
        <v>292.64472328</v>
      </c>
      <c r="UY6" s="1536" t="n">
        <v>292.64472328</v>
      </c>
      <c r="UZ6" s="1536" t="n">
        <v>108.98647926</v>
      </c>
      <c r="VA6" s="1536" t="n">
        <v>96.5675677</v>
      </c>
      <c r="VB6" s="1536" t="n">
        <v>107.7566258</v>
      </c>
      <c r="VC6" s="1536" t="n">
        <v>114.01163492</v>
      </c>
      <c r="VD6" s="1536" t="n">
        <v>121.91216392</v>
      </c>
      <c r="VE6" s="1536" t="n">
        <v>119.65211344</v>
      </c>
      <c r="VF6" s="1536" t="n">
        <v>143.47339068</v>
      </c>
      <c r="VG6" s="1536" t="n">
        <v>116.58225013</v>
      </c>
      <c r="VH6" s="1536" t="n">
        <v>139.6565444</v>
      </c>
      <c r="VI6" s="1536" t="n">
        <v>6.77231462</v>
      </c>
      <c r="VJ6" s="1536" t="n">
        <v>21.31524701</v>
      </c>
      <c r="VK6" s="1536" t="n">
        <v>11.23369364</v>
      </c>
      <c r="VL6" s="1536" t="n">
        <v>31.39286492</v>
      </c>
      <c r="VM6" s="1536" t="n">
        <v>38.62922466</v>
      </c>
      <c r="VN6" s="1536" t="n">
        <v>42.69044445</v>
      </c>
      <c r="VO6" s="1536" t="n">
        <v>57.72277529</v>
      </c>
      <c r="VP6" s="1536" t="n">
        <v>68.65498044</v>
      </c>
      <c r="VQ6" s="1536" t="n">
        <v>75.10021497</v>
      </c>
      <c r="VR6" s="1536" t="n">
        <v>82.15809227</v>
      </c>
      <c r="VS6" s="1536" t="n">
        <v>98.04030525</v>
      </c>
      <c r="VT6" s="1536" t="n">
        <v>116.5645883</v>
      </c>
      <c r="VU6" s="1536" t="n">
        <v>121.68581027</v>
      </c>
      <c r="VV6" s="1536" t="n">
        <v>140.57395563</v>
      </c>
      <c r="VW6" s="1536" t="n">
        <v>133.4321244</v>
      </c>
      <c r="VX6" s="1536" t="n">
        <v>110.1153391</v>
      </c>
      <c r="VY6" s="1536" t="n">
        <v>105.04016259</v>
      </c>
      <c r="VZ6" s="1536" t="n">
        <v>119.79127895</v>
      </c>
      <c r="WA6" s="1536" t="n">
        <v>107.84864556</v>
      </c>
      <c r="WB6" s="1536" t="n">
        <v>100.05266929</v>
      </c>
      <c r="WC6" s="1536" t="n">
        <v>108.60811226</v>
      </c>
      <c r="WD6" s="1536" t="n">
        <v>114.25264522</v>
      </c>
      <c r="WE6" s="1536" t="n">
        <v>127.0996918</v>
      </c>
      <c r="WF6" s="1536" t="n">
        <v>129.1824368</v>
      </c>
      <c r="WG6" s="1536" t="n">
        <v>159.43101811</v>
      </c>
      <c r="WH6" s="1536" t="n">
        <v>48.37928729</v>
      </c>
      <c r="WI6" s="1536" t="n">
        <v>403.37698827</v>
      </c>
      <c r="WJ6" s="1536" t="n">
        <v>345.79127664</v>
      </c>
      <c r="WK6" s="1536" t="n">
        <v>329.90107798</v>
      </c>
      <c r="WL6" s="1536" t="n">
        <v>329.90107798</v>
      </c>
      <c r="WM6" s="1536" t="n">
        <v>322.89418575</v>
      </c>
      <c r="WN6" s="1536" t="n">
        <v>320.99582277</v>
      </c>
      <c r="WO6" s="1536" t="n">
        <v>321.72896491</v>
      </c>
      <c r="WP6" s="1536" t="n">
        <v>332.56277326</v>
      </c>
      <c r="WQ6" s="1536" t="n">
        <v>296.50663857</v>
      </c>
      <c r="WR6" s="1536" t="n">
        <v>297.39770137</v>
      </c>
      <c r="WS6" s="1536" t="n">
        <v>277.90528926</v>
      </c>
      <c r="WT6" s="1536" t="n">
        <v>290.1890456</v>
      </c>
      <c r="WU6" s="1536" t="n">
        <v>290.1890456</v>
      </c>
      <c r="WV6" s="1536" t="n">
        <v>294.39604413</v>
      </c>
      <c r="WW6" s="1536" t="n">
        <v>297.80149659</v>
      </c>
      <c r="WX6" s="1536" t="n">
        <v>290.31479035</v>
      </c>
      <c r="WY6" s="1536" t="n">
        <v>289.83206045</v>
      </c>
      <c r="WZ6" s="1536" t="n">
        <v>280.21759333</v>
      </c>
      <c r="XA6" s="1536" t="n">
        <v>287.67811658</v>
      </c>
      <c r="XB6" s="1536" t="n">
        <v>293.75439559</v>
      </c>
      <c r="XC6" s="1536" t="n">
        <v>271.64777242</v>
      </c>
      <c r="XD6" s="1536" t="n">
        <v>269.67194349</v>
      </c>
      <c r="XE6" s="1536" t="n">
        <v>281.99707628</v>
      </c>
      <c r="XF6" s="1536" t="n">
        <v>285.37086615</v>
      </c>
      <c r="XG6" s="1536" t="n">
        <v>300.91950667</v>
      </c>
      <c r="XH6" s="1536" t="n">
        <v>283.67115118</v>
      </c>
      <c r="XI6" s="1536" t="n">
        <v>233.06072496</v>
      </c>
      <c r="XJ6" s="1536" t="n">
        <v>240.19542937</v>
      </c>
      <c r="XK6" s="1536" t="n">
        <v>249.68136956</v>
      </c>
      <c r="XL6" s="1536" t="n">
        <v>233.75019473</v>
      </c>
      <c r="XM6" s="1536" t="n">
        <v>259.77766135</v>
      </c>
      <c r="XN6" s="1536" t="n">
        <v>261.65548101</v>
      </c>
      <c r="XO6" s="1536" t="n">
        <v>263.0260047</v>
      </c>
      <c r="XP6" s="1536" t="n">
        <v>289.69721283</v>
      </c>
      <c r="XQ6" s="1536" t="n">
        <v>81.98523273000001</v>
      </c>
      <c r="XR6" s="1536" t="n">
        <v>73.72194544</v>
      </c>
      <c r="XS6" s="1536" t="n">
        <v>80.29108402</v>
      </c>
      <c r="XT6" s="1536" t="n">
        <v>92.39799492</v>
      </c>
      <c r="XU6" s="1536" t="n">
        <v>86.96097105</v>
      </c>
      <c r="XV6" s="1536" t="n">
        <v>89.75577256999999</v>
      </c>
      <c r="XW6" s="1536" t="n">
        <v>77.21282348</v>
      </c>
      <c r="XX6" s="1536" t="n">
        <v>86.05181387</v>
      </c>
      <c r="XY6" s="1536" t="n">
        <v>82.73887769</v>
      </c>
      <c r="XZ6" s="1536" t="n">
        <v>88.0647512</v>
      </c>
      <c r="YA6" s="1536" t="n">
        <v>95.86048794</v>
      </c>
      <c r="YB6" s="1536" t="n">
        <v>96.61289243</v>
      </c>
      <c r="YC6" s="1536" t="n">
        <v>77.54311095999999</v>
      </c>
      <c r="YD6" s="1536" t="n">
        <v>96.8766026</v>
      </c>
      <c r="YE6" s="1536" t="n">
        <v>99.37820945</v>
      </c>
      <c r="YF6" s="1536" t="n">
        <v>97.64617075</v>
      </c>
      <c r="YG6" s="1536" t="n">
        <v>105.03917075</v>
      </c>
      <c r="YH6" s="1536" t="n">
        <v>98.56095499</v>
      </c>
      <c r="YI6" s="1536" t="n">
        <v>104.52647889</v>
      </c>
      <c r="YJ6" s="1537" t="n">
        <v>117.60271143</v>
      </c>
    </row>
    <row r="7">
      <c r="B7" s="917" t="inlineStr">
        <is>
          <t>CPFF</t>
        </is>
      </c>
      <c r="C7" s="1532" t="n">
        <v>0.64372928</v>
      </c>
      <c r="D7" s="1533" t="n">
        <v>0.6437292800000001</v>
      </c>
      <c r="E7" s="1533" t="n">
        <v>0.64172928</v>
      </c>
      <c r="F7" s="1533" t="n">
        <v>0.64172928</v>
      </c>
      <c r="G7" s="1533" t="n">
        <v>0.68845762</v>
      </c>
      <c r="H7" s="1533" t="n">
        <v>0.68845762</v>
      </c>
      <c r="I7" s="1533" t="n">
        <v>0.68755762</v>
      </c>
      <c r="J7" s="1533" t="n">
        <v>0.68755762</v>
      </c>
      <c r="K7" s="1533" t="n">
        <v>0.68755762</v>
      </c>
      <c r="L7" s="1533" t="n">
        <v>0.68755762</v>
      </c>
      <c r="M7" s="1533" t="n">
        <v>0.68755762</v>
      </c>
      <c r="N7" s="1533" t="n">
        <v>0.68755762</v>
      </c>
      <c r="O7" s="1533" t="n">
        <v>0.68755762</v>
      </c>
      <c r="P7" s="1533" t="n">
        <v>1.45808562</v>
      </c>
      <c r="Q7" s="1533" t="n">
        <v>1.45808562</v>
      </c>
      <c r="R7" s="1533" t="n">
        <v>1.45808562</v>
      </c>
      <c r="S7" s="1533" t="n">
        <v>1.45808562</v>
      </c>
      <c r="T7" s="1533" t="n">
        <v>1.35381162</v>
      </c>
      <c r="U7" s="1533" t="n">
        <v>1.35381162</v>
      </c>
      <c r="V7" s="1533" t="n">
        <v>1.35381162</v>
      </c>
      <c r="W7" s="1533" t="n">
        <v>1.35381162</v>
      </c>
      <c r="X7" s="1533" t="n">
        <v>1.35381162</v>
      </c>
      <c r="Y7" s="1533" t="n">
        <v>1.35291162</v>
      </c>
      <c r="Z7" s="1533" t="n">
        <v>1.35091162</v>
      </c>
      <c r="AA7" s="1533" t="n">
        <v>1.35091162</v>
      </c>
      <c r="AB7" s="1533" t="n">
        <v>1.35091162</v>
      </c>
      <c r="AC7" s="1533" t="n">
        <v>1.35011162</v>
      </c>
      <c r="AD7" s="1533" t="n">
        <v>1.35011162</v>
      </c>
      <c r="AE7" s="1533" t="n">
        <v>1.35011162</v>
      </c>
      <c r="AF7" s="1533" t="n">
        <v>1.35011162</v>
      </c>
      <c r="AG7" s="1533" t="n">
        <v>1.44057778</v>
      </c>
      <c r="AH7" s="1533" t="n">
        <v>1.44057778</v>
      </c>
      <c r="AI7" s="1533" t="n">
        <v>1.44057778</v>
      </c>
      <c r="AJ7" s="1533" t="n">
        <v>1.44057778</v>
      </c>
      <c r="AK7" s="1533" t="n">
        <v>1.44057778</v>
      </c>
      <c r="AL7" s="1533" t="n">
        <v>1.44057778</v>
      </c>
      <c r="AM7" s="1533" t="n">
        <v>1.44057778</v>
      </c>
      <c r="AN7" s="1533" t="n">
        <v>1.44057778</v>
      </c>
      <c r="AO7" s="1533" t="n">
        <v>1.44057778</v>
      </c>
      <c r="AP7" s="1533" t="n">
        <v>1.44057778</v>
      </c>
      <c r="AQ7" s="1533" t="n">
        <v>1.43857778</v>
      </c>
      <c r="AR7" s="1533" t="n">
        <v>1.43857778</v>
      </c>
      <c r="AS7" s="1533" t="n">
        <v>1.43857778</v>
      </c>
      <c r="AT7" s="1533" t="n">
        <v>1.43857778</v>
      </c>
      <c r="AU7" s="1533" t="n">
        <v>0.85621107</v>
      </c>
      <c r="AV7" s="1533" t="n">
        <v>0.8561370699999999</v>
      </c>
      <c r="AW7" s="1533" t="n">
        <v>0.8561370699999999</v>
      </c>
      <c r="AX7" s="1533" t="n">
        <v>0.8561370699999999</v>
      </c>
      <c r="AY7" s="1533" t="n">
        <v>0.8561370699999999</v>
      </c>
      <c r="AZ7" s="1533" t="n">
        <v>0.8561370699999999</v>
      </c>
      <c r="BA7" s="1533" t="n">
        <v>0.8561370699999999</v>
      </c>
      <c r="BB7" s="1533" t="n">
        <v>0.8561370699999999</v>
      </c>
      <c r="BC7" s="1533" t="n">
        <v>0.8561370699999999</v>
      </c>
      <c r="BD7" s="1533" t="n">
        <v>0.8561370699999999</v>
      </c>
      <c r="BE7" s="1533" t="n">
        <v>0.8561370699999999</v>
      </c>
      <c r="BF7" s="1533" t="n">
        <v>0.8561370699999999</v>
      </c>
      <c r="BG7" s="1533" t="n">
        <v>0.8561370699999999</v>
      </c>
      <c r="BH7" s="1533" t="n">
        <v>0.8561370699999999</v>
      </c>
      <c r="BI7" s="1533" t="n">
        <v>0.8561370699999999</v>
      </c>
      <c r="BJ7" s="1533" t="n">
        <v>0.8561370699999999</v>
      </c>
      <c r="BK7" s="1533" t="n">
        <v>0.02443707</v>
      </c>
      <c r="BL7" s="1533" t="n">
        <v>0.02443707</v>
      </c>
      <c r="BM7" s="1533" t="n">
        <v>0.02443707</v>
      </c>
      <c r="BN7" s="1533" t="n">
        <v>0.02443707</v>
      </c>
      <c r="BO7" s="1533" t="n">
        <v>0.02396207</v>
      </c>
      <c r="BP7" s="1533" t="n">
        <v>0.02396207</v>
      </c>
      <c r="BQ7" s="1533" t="n">
        <v>0.02396207</v>
      </c>
      <c r="BR7" s="1533" t="n">
        <v>0.02396207</v>
      </c>
      <c r="BS7" s="1533" t="n">
        <v>0.02396207</v>
      </c>
      <c r="BT7" s="1533" t="n">
        <v>0.02361207</v>
      </c>
      <c r="BU7" s="1533" t="n">
        <v>0.02361207</v>
      </c>
      <c r="BV7" s="1533" t="n">
        <v>0.02361207</v>
      </c>
      <c r="BW7" s="1533" t="n">
        <v>0.02361207</v>
      </c>
      <c r="BX7" s="1533" t="n">
        <v>0.26815707</v>
      </c>
      <c r="BY7" s="1533" t="n">
        <v>0.13189407</v>
      </c>
      <c r="BZ7" s="1533" t="n">
        <v>0.13189407</v>
      </c>
      <c r="CA7" s="1533" t="n">
        <v>0.13189407</v>
      </c>
      <c r="CB7" s="1533" t="n">
        <v>0.13189407</v>
      </c>
      <c r="CC7" s="1533" t="n">
        <v>0.13099407</v>
      </c>
      <c r="CD7" s="1533" t="n">
        <v>0.13099407</v>
      </c>
      <c r="CE7" s="1533" t="n">
        <v>0.7403239</v>
      </c>
      <c r="CF7" s="1533" t="n">
        <v>0.7403239</v>
      </c>
      <c r="CG7" s="1533" t="n">
        <v>0.7383239</v>
      </c>
      <c r="CH7" s="1533" t="n">
        <v>0.7383239</v>
      </c>
      <c r="CI7" s="1533" t="n">
        <v>0.7383239</v>
      </c>
      <c r="CJ7" s="1533" t="n">
        <v>0.7383239</v>
      </c>
      <c r="CK7" s="1533" t="n">
        <v>0.7383239</v>
      </c>
      <c r="CL7" s="1533" t="n">
        <v>0.7383239</v>
      </c>
      <c r="CM7" s="1533" t="n">
        <v>0.7383239</v>
      </c>
      <c r="CN7" s="1533" t="n">
        <v>0.7383239</v>
      </c>
      <c r="CO7" s="1533" t="n">
        <v>0.7383239</v>
      </c>
      <c r="CP7" s="1533" t="n">
        <v>0.7535049</v>
      </c>
      <c r="CQ7" s="1533" t="n">
        <v>0.7535049</v>
      </c>
      <c r="CR7" s="1533" t="n">
        <v>0.7535049</v>
      </c>
      <c r="CS7" s="1533" t="n">
        <v>0.7535049</v>
      </c>
      <c r="CT7" s="1533" t="n">
        <v>0.7528049</v>
      </c>
      <c r="CU7" s="1533" t="n">
        <v>0.7528049</v>
      </c>
      <c r="CV7" s="1533" t="n">
        <v>0.7528049</v>
      </c>
      <c r="CW7" s="1533" t="n">
        <v>0.7528049</v>
      </c>
      <c r="CX7" s="1533" t="n">
        <v>0.7528049</v>
      </c>
      <c r="CY7" s="1533" t="n">
        <v>0.7528049</v>
      </c>
      <c r="CZ7" s="1533" t="n">
        <v>0.7528049</v>
      </c>
      <c r="DA7" s="1533" t="n">
        <v>0.7528049</v>
      </c>
      <c r="DB7" s="1533" t="n">
        <v>0.7528049</v>
      </c>
      <c r="DC7" s="1533" t="n">
        <v>0.7528049</v>
      </c>
      <c r="DD7" s="1533" t="n">
        <v>0.7508049</v>
      </c>
      <c r="DE7" s="1533" t="n">
        <v>0.7508049</v>
      </c>
      <c r="DF7" s="1533" t="n">
        <v>0.7508049</v>
      </c>
      <c r="DG7" s="1533" t="n">
        <v>0.80215348</v>
      </c>
      <c r="DH7" s="1533" t="n">
        <v>0.80215348</v>
      </c>
      <c r="DI7" s="1533" t="n">
        <v>0.80215348</v>
      </c>
      <c r="DJ7" s="1533" t="n">
        <v>0.80215348</v>
      </c>
      <c r="DK7" s="1533" t="n">
        <v>0.80215348</v>
      </c>
      <c r="DL7" s="1533" t="n">
        <v>0.80215348</v>
      </c>
      <c r="DM7" s="1533" t="n">
        <v>0.80215348</v>
      </c>
      <c r="DN7" s="1533" t="n">
        <v>0.80215348</v>
      </c>
      <c r="DO7" s="1533" t="n">
        <v>0.80215348</v>
      </c>
      <c r="DP7" s="1533" t="n">
        <v>0.80215348</v>
      </c>
      <c r="DQ7" s="1533" t="n">
        <v>0.80215348</v>
      </c>
      <c r="DR7" s="1533" t="n">
        <v>0.80215348</v>
      </c>
      <c r="DS7" s="1533" t="n">
        <v>0.80180348</v>
      </c>
      <c r="DT7" s="1533" t="n">
        <v>0.80180348</v>
      </c>
      <c r="DU7" s="1533" t="n">
        <v>0.80180348</v>
      </c>
      <c r="DV7" s="1533" t="n">
        <v>0.80180348</v>
      </c>
      <c r="DW7" s="1533" t="n">
        <v>0.80180348</v>
      </c>
      <c r="DX7" s="944" t="n">
        <v>0.80180348</v>
      </c>
      <c r="DY7" s="1533" t="n">
        <v>0.80180348</v>
      </c>
      <c r="DZ7" s="1533" t="n">
        <v>0.79980348</v>
      </c>
      <c r="EA7" s="1533" t="n">
        <v>0.79980348</v>
      </c>
      <c r="EB7" s="1533" t="n">
        <v>0.79980348</v>
      </c>
      <c r="EC7" s="1533" t="n">
        <v>0.78655805</v>
      </c>
      <c r="ED7" s="1533" t="n">
        <v>0.78655805</v>
      </c>
      <c r="EE7" s="1533" t="n">
        <v>0.78655805</v>
      </c>
      <c r="EF7" s="1533" t="n">
        <v>0.78655805</v>
      </c>
      <c r="EG7" s="1533" t="n">
        <v>0.78655805</v>
      </c>
      <c r="EH7" s="1533" t="n">
        <v>0.78655805</v>
      </c>
      <c r="EI7" s="1533" t="n">
        <v>0.78655805</v>
      </c>
      <c r="EJ7" s="1533" t="n">
        <v>0.78655805</v>
      </c>
      <c r="EK7" s="1533" t="n">
        <v>0.78655805</v>
      </c>
      <c r="EL7" s="1533" t="n">
        <v>0.78655805</v>
      </c>
      <c r="EM7" s="1533" t="n">
        <v>0.83700663</v>
      </c>
      <c r="EN7" s="1533" t="n">
        <v>0.83700663</v>
      </c>
      <c r="EO7" s="1533" t="n">
        <v>0.70533363</v>
      </c>
      <c r="EP7" s="1533" t="n">
        <v>0.70533363</v>
      </c>
      <c r="EQ7" s="1533" t="n">
        <v>0.70490863</v>
      </c>
      <c r="ER7" s="1533" t="n">
        <v>0.70490863</v>
      </c>
      <c r="ES7" s="1533" t="n">
        <v>0.70490863</v>
      </c>
      <c r="ET7" s="1533" t="n">
        <v>0.70490863</v>
      </c>
      <c r="EU7" s="1533" t="n">
        <v>0.70255863</v>
      </c>
      <c r="EV7" s="944" t="n">
        <v>0.70255863</v>
      </c>
      <c r="EW7" s="1533" t="n">
        <v>0.70255863</v>
      </c>
      <c r="EX7" s="1533" t="n">
        <v>0.70255863</v>
      </c>
      <c r="EY7" s="1533" t="n">
        <v>0.70255863</v>
      </c>
      <c r="EZ7" s="1533" t="n">
        <v>0.7289829200000001</v>
      </c>
      <c r="FA7" s="1533" t="n">
        <v>0.7282829200000001</v>
      </c>
      <c r="FB7" s="1533" t="n">
        <v>0.7282829200000001</v>
      </c>
      <c r="FC7" s="1533" t="n">
        <v>0.7282829200000001</v>
      </c>
      <c r="FD7" s="1533" t="n">
        <v>0.7282829200000001</v>
      </c>
      <c r="FE7" s="1533" t="n">
        <v>0.7282829200000001</v>
      </c>
      <c r="FF7" s="1533" t="n">
        <v>0.7282829200000001</v>
      </c>
      <c r="FG7" s="1533" t="n">
        <v>0.7282829200000001</v>
      </c>
      <c r="FH7" s="1533" t="n">
        <v>0.7282829200000001</v>
      </c>
      <c r="FI7" s="1533" t="n">
        <v>0.7282829200000001</v>
      </c>
      <c r="FJ7" s="1533" t="n">
        <v>0.7282829200000001</v>
      </c>
      <c r="FK7" s="1533" t="n">
        <v>0.7282829200000001</v>
      </c>
      <c r="FL7" s="1533" t="n">
        <v>0.7282829200000001</v>
      </c>
      <c r="FM7" s="1533" t="n">
        <v>0.7282829200000001</v>
      </c>
      <c r="FN7" s="944" t="n">
        <v>0.7282829200000001</v>
      </c>
      <c r="FO7" s="1533" t="n">
        <v>0.7282829200000001</v>
      </c>
      <c r="FP7" s="1533" t="n">
        <v>0.7282829200000001</v>
      </c>
      <c r="FQ7" s="1533" t="n">
        <v>0.7262829200000001</v>
      </c>
      <c r="FR7" s="1533" t="n">
        <v>0.7262829200000001</v>
      </c>
      <c r="FS7" s="1533" t="n">
        <v>0.75270721</v>
      </c>
      <c r="FT7" s="1533" t="n">
        <v>0.75270721</v>
      </c>
      <c r="FU7" s="1533" t="n">
        <v>0.75270721</v>
      </c>
      <c r="FV7" s="1533" t="n">
        <v>0.75270721</v>
      </c>
      <c r="FW7" s="1533" t="n">
        <v>0.75270721</v>
      </c>
      <c r="FX7" s="1533" t="n">
        <v>0.75270721</v>
      </c>
      <c r="FY7" s="1533" t="n">
        <v>0.75270721</v>
      </c>
      <c r="FZ7" s="1533" t="n">
        <v>0.72627221</v>
      </c>
      <c r="GA7" s="1533" t="n">
        <v>0.72627221</v>
      </c>
      <c r="GB7" s="1533" t="n">
        <v>0.72627221</v>
      </c>
      <c r="GC7" s="1533" t="n">
        <v>0.72627221</v>
      </c>
      <c r="GD7" s="1533" t="n">
        <v>0.72627221</v>
      </c>
      <c r="GE7" s="1533" t="n">
        <v>0.72627221</v>
      </c>
      <c r="GF7" s="1533" t="n">
        <v>0.72627221</v>
      </c>
      <c r="GG7" s="1533" t="n">
        <v>0.72627221</v>
      </c>
      <c r="GH7" s="1533" t="n">
        <v>0.7092676899999999</v>
      </c>
      <c r="GI7" s="1533" t="n">
        <v>0.73150098</v>
      </c>
      <c r="GJ7" s="1533" t="n">
        <v>0.73150098</v>
      </c>
      <c r="GK7" s="1533" t="n">
        <v>0.73150098</v>
      </c>
      <c r="GL7" s="1533" t="n">
        <v>0.39102798</v>
      </c>
      <c r="GM7" s="1533" t="n">
        <v>0.39102798</v>
      </c>
      <c r="GN7" s="1533" t="n">
        <v>0.39102798</v>
      </c>
      <c r="GO7" s="1533" t="n">
        <v>0.59561264</v>
      </c>
      <c r="GP7" s="1533" t="n">
        <v>0.59561264</v>
      </c>
      <c r="GQ7" s="1533" t="n">
        <v>0.59561264</v>
      </c>
      <c r="GR7" s="1533" t="n">
        <v>0.59561264</v>
      </c>
      <c r="GS7" s="1533" t="n">
        <v>0.59561264</v>
      </c>
      <c r="GT7" s="1533" t="n">
        <v>0.59351264</v>
      </c>
      <c r="GU7" s="1534" t="n">
        <v>0.59351264</v>
      </c>
      <c r="GV7" s="1533" t="n">
        <v>0.59351264</v>
      </c>
      <c r="GW7" s="1533" t="n">
        <v>0.59351264</v>
      </c>
      <c r="GX7" s="1533" t="n">
        <v>0.52181893</v>
      </c>
      <c r="GY7" s="1533" t="n">
        <v>0.52181893</v>
      </c>
      <c r="GZ7" s="1533" t="n">
        <v>0.52181893</v>
      </c>
      <c r="HA7" s="1533" t="n">
        <v>0.52181893</v>
      </c>
      <c r="HB7" s="1533" t="n">
        <v>0.52181893</v>
      </c>
      <c r="HC7" s="1533" t="n">
        <v>0.52181893</v>
      </c>
      <c r="HD7" s="1533" t="n">
        <v>0.5786069300000001</v>
      </c>
      <c r="HE7" s="1533" t="n">
        <v>0.5786069300000001</v>
      </c>
      <c r="HF7" s="1533" t="n">
        <v>0.5786069300000001</v>
      </c>
      <c r="HG7" s="1533" t="n">
        <v>0.5765069300000001</v>
      </c>
      <c r="HH7" s="1533" t="n">
        <v>0.5765069300000001</v>
      </c>
      <c r="HI7" s="1533" t="n">
        <v>0.6029062199999999</v>
      </c>
      <c r="HJ7" s="1533" t="n">
        <v>0.6029062199999999</v>
      </c>
      <c r="HK7" s="1533" t="n">
        <v>0.6029062199999999</v>
      </c>
      <c r="HL7" s="1533" t="n">
        <v>0.6029062199999999</v>
      </c>
      <c r="HM7" s="1533" t="n">
        <v>0.6029062199999999</v>
      </c>
      <c r="HN7" s="1533" t="n">
        <v>0.6029062199999999</v>
      </c>
      <c r="HO7" s="1533" t="n">
        <v>0.6029062199999999</v>
      </c>
      <c r="HP7" s="1533" t="n">
        <v>0.6029062199999999</v>
      </c>
      <c r="HQ7" s="1533" t="n">
        <v>0.6029062199999999</v>
      </c>
      <c r="HR7" s="944" t="n">
        <v>0.60300371</v>
      </c>
      <c r="HS7" s="945" t="n">
        <v>0.60199571</v>
      </c>
      <c r="HT7" s="1535" t="n">
        <v>0.60199571</v>
      </c>
      <c r="HU7" s="1535" t="n">
        <v>0.60199571</v>
      </c>
      <c r="HV7" s="1535" t="n">
        <v>0.59869571</v>
      </c>
      <c r="HW7" s="1535" t="n">
        <v>0.59869571</v>
      </c>
      <c r="HX7" s="1535" t="n">
        <v>0.59869571</v>
      </c>
      <c r="HY7" s="1535" t="n">
        <v>0.59869571</v>
      </c>
      <c r="HZ7" s="1535" t="n">
        <v>0.59869571</v>
      </c>
      <c r="IA7" s="1535" t="n">
        <v>0.59869571</v>
      </c>
      <c r="IB7" s="1535" t="n">
        <v>0.59869571</v>
      </c>
      <c r="IC7" s="1535" t="n">
        <v>0.54072</v>
      </c>
      <c r="ID7" s="1535" t="n">
        <v>0.540683</v>
      </c>
      <c r="IE7" s="1535" t="n">
        <v>0.540683</v>
      </c>
      <c r="IF7" s="1535" t="n">
        <v>0.540683</v>
      </c>
      <c r="IG7" s="1535" t="n">
        <v>0.540683</v>
      </c>
      <c r="IH7" s="1535" t="n">
        <v>0.554389</v>
      </c>
      <c r="II7" s="1535" t="n">
        <v>0.554389</v>
      </c>
      <c r="IJ7" s="1535" t="n">
        <v>1.57014219</v>
      </c>
      <c r="IK7" s="1535" t="n">
        <v>0.07280319</v>
      </c>
      <c r="IL7" s="1535" t="n">
        <v>0.07280319</v>
      </c>
      <c r="IM7" s="1535" t="n">
        <v>0.07280319</v>
      </c>
      <c r="IN7" s="1535" t="n">
        <v>0.07280319</v>
      </c>
      <c r="IO7" s="1535" t="n">
        <v>0.07280319</v>
      </c>
      <c r="IP7" s="1535" t="n">
        <v>0.07280319</v>
      </c>
      <c r="IQ7" s="1535" t="n">
        <v>0.07280319</v>
      </c>
      <c r="IR7" s="1535" t="n">
        <v>0.07280319</v>
      </c>
      <c r="IS7" s="1535" t="n">
        <v>0.07070319</v>
      </c>
      <c r="IT7" s="1535" t="n">
        <v>0.07070319</v>
      </c>
      <c r="IU7" s="1535" t="n">
        <v>0.07070319</v>
      </c>
      <c r="IV7" s="1535" t="n">
        <v>0.07070319</v>
      </c>
      <c r="IW7" s="1535" t="n">
        <v>0.07070319</v>
      </c>
      <c r="IX7" s="1535" t="n">
        <v>0.07070319</v>
      </c>
      <c r="IY7" s="1536" t="n">
        <v>0.09712748</v>
      </c>
      <c r="IZ7" s="1535" t="n">
        <v>0.09622747999999999</v>
      </c>
      <c r="JA7" s="1535" t="n">
        <v>0.09622747999999999</v>
      </c>
      <c r="JB7" s="1535" t="n">
        <v>0.09592748</v>
      </c>
      <c r="JC7" s="1535" t="n">
        <v>0.09562748</v>
      </c>
      <c r="JD7" s="1535" t="n">
        <v>0.09562748</v>
      </c>
      <c r="JE7" s="1535" t="n">
        <v>0.09562748</v>
      </c>
      <c r="JF7" s="1535" t="n">
        <v>0.09562748</v>
      </c>
      <c r="JG7" s="1535" t="n">
        <v>0.09562748</v>
      </c>
      <c r="JH7" s="1535" t="n">
        <v>0.09562748</v>
      </c>
      <c r="JI7" s="1535" t="n">
        <v>0.09562748</v>
      </c>
      <c r="JJ7" s="1535" t="n">
        <v>0.09562748</v>
      </c>
      <c r="JK7" s="1535" t="n">
        <v>0.09352748</v>
      </c>
      <c r="JL7" s="1535" t="n">
        <v>0.09352748</v>
      </c>
      <c r="JM7" s="1535" t="n">
        <v>0.09352748</v>
      </c>
      <c r="JN7" s="1535" t="n">
        <v>0.11992677</v>
      </c>
      <c r="JO7" s="1535" t="n">
        <v>0.11992677</v>
      </c>
      <c r="JP7" s="1535" t="n">
        <v>0.11992677</v>
      </c>
      <c r="JQ7" s="1535" t="n">
        <v>0.11992677</v>
      </c>
      <c r="JR7" s="1535" t="n">
        <v>0.11992677</v>
      </c>
      <c r="JS7" s="1535" t="n">
        <v>0.11992677</v>
      </c>
      <c r="JT7" s="1535" t="n">
        <v>0.11992677</v>
      </c>
      <c r="JU7" s="1535" t="n">
        <v>0.11992677</v>
      </c>
      <c r="JV7" s="1535" t="n">
        <v>0.11992677</v>
      </c>
      <c r="JW7" s="1535" t="n">
        <v>0.11992677</v>
      </c>
      <c r="JX7" s="1535" t="n">
        <v>0.11992677</v>
      </c>
      <c r="JY7" s="1535" t="n">
        <v>0.11992677</v>
      </c>
      <c r="JZ7" s="1535" t="n">
        <v>0.11992677</v>
      </c>
      <c r="KA7" s="1535" t="n">
        <v>0.11995177</v>
      </c>
      <c r="KB7" s="1535" t="n">
        <v>0.11990177</v>
      </c>
      <c r="KC7" s="1535" t="n">
        <v>0.11990177</v>
      </c>
      <c r="KD7" s="1535" t="n">
        <v>0.11780177</v>
      </c>
      <c r="KE7" s="1535" t="n">
        <v>0.11780177</v>
      </c>
      <c r="KF7" s="1535" t="n">
        <v>0.11780177</v>
      </c>
      <c r="KG7" s="1535" t="n">
        <v>0.11780177</v>
      </c>
      <c r="KH7" s="1535" t="n">
        <v>0.11690177</v>
      </c>
      <c r="KI7" s="1535" t="n">
        <v>0.11690177</v>
      </c>
      <c r="KJ7" s="1535" t="n">
        <v>0.11690177</v>
      </c>
      <c r="KK7" s="1535" t="n">
        <v>0.11690177</v>
      </c>
      <c r="KL7" s="1535" t="n">
        <v>0.11690177</v>
      </c>
      <c r="KM7" s="1535" t="n">
        <v>0.11690177</v>
      </c>
      <c r="KN7" s="1535" t="n">
        <v>0.11690177</v>
      </c>
      <c r="KO7" s="1535" t="n">
        <v>0.11690177</v>
      </c>
      <c r="KP7" s="1535" t="n">
        <v>0.11690177</v>
      </c>
      <c r="KQ7" s="1535" t="n">
        <v>0.11690177</v>
      </c>
      <c r="KR7" s="1535" t="n">
        <v>0.68780639</v>
      </c>
      <c r="KS7" s="1536" t="n">
        <v>0.68780639</v>
      </c>
      <c r="KT7" s="1536" t="n">
        <v>0.68780639</v>
      </c>
      <c r="KU7" s="1536" t="n">
        <v>0.68780639</v>
      </c>
      <c r="KV7" s="1536" t="n">
        <v>0.68780639</v>
      </c>
      <c r="KW7" s="1536" t="n">
        <v>0.68570639</v>
      </c>
      <c r="KX7" s="1536" t="n">
        <v>0.68570639</v>
      </c>
      <c r="KY7" s="1536" t="n">
        <v>0.68570639</v>
      </c>
      <c r="KZ7" s="1536" t="n">
        <v>0.68570639</v>
      </c>
      <c r="LA7" s="1536" t="n">
        <v>0.68570639</v>
      </c>
      <c r="LB7" s="1536" t="n">
        <v>0.68570639</v>
      </c>
      <c r="LC7" s="1536" t="n">
        <v>0.68570639</v>
      </c>
      <c r="LD7" s="1536" t="n">
        <v>0.68570639</v>
      </c>
      <c r="LE7" s="1536" t="n">
        <v>0.68570639</v>
      </c>
      <c r="LF7" s="1536" t="n">
        <v>0.68570639</v>
      </c>
      <c r="LG7" s="1536" t="n">
        <v>0.7121056800000001</v>
      </c>
      <c r="LH7" s="1536" t="n">
        <v>0.7121056800000001</v>
      </c>
      <c r="LI7" s="1536" t="n">
        <v>0.7121056800000001</v>
      </c>
      <c r="LJ7" s="1536" t="n">
        <v>0.7121056800000001</v>
      </c>
      <c r="LK7" s="1536" t="n">
        <v>0.7121056800000001</v>
      </c>
      <c r="LL7" s="1536" t="n">
        <v>0.7121056800000001</v>
      </c>
      <c r="LM7" s="1536" t="n">
        <v>0.7121056800000001</v>
      </c>
      <c r="LN7" s="1536" t="n">
        <v>0.7121056800000001</v>
      </c>
      <c r="LO7" s="1536" t="n">
        <v>0.7121056800000001</v>
      </c>
      <c r="LP7" s="1536" t="n">
        <v>0.7121056800000001</v>
      </c>
      <c r="LQ7" s="1536" t="n">
        <v>0.7121056800000001</v>
      </c>
      <c r="LR7" s="1536" t="n">
        <v>0.7100056800000001</v>
      </c>
      <c r="LS7" s="1536" t="n">
        <v>0.7100056800000001</v>
      </c>
      <c r="LT7" s="1536" t="n">
        <v>0.7100056800000001</v>
      </c>
      <c r="LU7" s="1536" t="n">
        <v>0.7100056800000001</v>
      </c>
      <c r="LV7" s="1536" t="n">
        <v>0.7100056800000001</v>
      </c>
      <c r="LW7" s="1536" t="n">
        <v>0.7100056800000001</v>
      </c>
      <c r="LX7" s="1536" t="n">
        <v>0.7100056800000001</v>
      </c>
      <c r="LY7" s="1536" t="n">
        <v>0.7100056800000001</v>
      </c>
      <c r="LZ7" s="1536" t="n">
        <v>0.7100056800000001</v>
      </c>
      <c r="MA7" s="1536" t="n">
        <v>0.7100056800000001</v>
      </c>
      <c r="MB7" s="1536" t="n">
        <v>0.7100056800000001</v>
      </c>
      <c r="MC7" s="1536" t="n">
        <v>0.7100056800000001</v>
      </c>
      <c r="MD7" s="1536" t="n">
        <v>0.7100056800000001</v>
      </c>
      <c r="ME7" s="1536" t="n">
        <v>0.7396136800000001</v>
      </c>
      <c r="MF7" s="1536" t="n">
        <v>0.7396136800000001</v>
      </c>
      <c r="MG7" s="1536" t="n">
        <v>0.77574433</v>
      </c>
      <c r="MH7" s="1536" t="n">
        <v>0.77574433</v>
      </c>
      <c r="MI7" s="1536" t="n">
        <v>0.77574433</v>
      </c>
      <c r="MJ7" s="1536" t="n">
        <v>0.77574433</v>
      </c>
      <c r="MK7" s="1536" t="n">
        <v>0.77574433</v>
      </c>
      <c r="ML7" s="1536" t="n">
        <v>0.77574433</v>
      </c>
      <c r="MM7" s="1536" t="n">
        <v>0.77574433</v>
      </c>
      <c r="MN7" s="1536" t="n">
        <v>0.77363633</v>
      </c>
      <c r="MO7" s="1536" t="n">
        <v>0.80666933</v>
      </c>
      <c r="MP7" s="1536" t="n">
        <v>0.80166933</v>
      </c>
      <c r="MQ7" s="1536" t="n">
        <v>0.80166933</v>
      </c>
      <c r="MR7" s="1536" t="n">
        <v>0.80166933</v>
      </c>
      <c r="MS7" s="1536" t="n">
        <v>15.19761001</v>
      </c>
      <c r="MT7" s="1536" t="n">
        <v>15.19761001</v>
      </c>
      <c r="MU7" s="1536" t="n">
        <v>15.19911001</v>
      </c>
      <c r="MV7" s="1536" t="n">
        <v>15.19911001</v>
      </c>
      <c r="MW7" s="1536" t="n">
        <v>15.19911001</v>
      </c>
      <c r="MX7" s="1536" t="n">
        <v>15.19911001</v>
      </c>
      <c r="MY7" s="1536" t="n">
        <v>15.19911001</v>
      </c>
      <c r="MZ7" s="1536" t="n">
        <v>13.41287601</v>
      </c>
      <c r="NA7" s="1536" t="n">
        <v>13.41287601</v>
      </c>
      <c r="NB7" s="1536" t="n">
        <v>13.41287601</v>
      </c>
      <c r="NC7" s="1536" t="n">
        <v>13.41287601</v>
      </c>
      <c r="ND7" s="1536" t="n">
        <v>13.41287601</v>
      </c>
      <c r="NE7" s="1536" t="n">
        <v>13.40977601</v>
      </c>
      <c r="NF7" s="1536" t="n">
        <v>13.40941801</v>
      </c>
      <c r="NG7" s="1536" t="n">
        <v>13.40941801</v>
      </c>
      <c r="NH7" s="1536" t="n">
        <v>13.40941801</v>
      </c>
      <c r="NI7" s="1536" t="n">
        <v>13.40941801</v>
      </c>
      <c r="NJ7" s="1536" t="n">
        <v>13.40941801</v>
      </c>
      <c r="NK7" s="1536" t="n">
        <v>13.40626801</v>
      </c>
      <c r="NL7" s="1536" t="n">
        <v>13.40626801</v>
      </c>
      <c r="NM7" s="1536" t="n">
        <v>13.40626801</v>
      </c>
      <c r="NN7" s="1536" t="n">
        <v>13.43587601</v>
      </c>
      <c r="NO7" s="1536" t="n">
        <v>13.43587601</v>
      </c>
      <c r="NP7" s="1536" t="n">
        <v>13.43587601</v>
      </c>
      <c r="NQ7" s="1536" t="n">
        <v>13.43587601</v>
      </c>
      <c r="NR7" s="1536" t="n">
        <v>13.43587601</v>
      </c>
      <c r="NS7" s="1536" t="n">
        <v>13.43587601</v>
      </c>
      <c r="NT7" s="1536" t="n">
        <v>13.43587601</v>
      </c>
      <c r="NU7" s="1536" t="n">
        <v>13.43587601</v>
      </c>
      <c r="NV7" s="1536" t="n">
        <v>13.43587601</v>
      </c>
      <c r="NW7" s="1536" t="n">
        <v>13.43587601</v>
      </c>
      <c r="NX7" s="1536" t="n">
        <v>13.43587601</v>
      </c>
      <c r="NY7" s="1536" t="n">
        <v>13.43587601</v>
      </c>
      <c r="NZ7" s="1536" t="n">
        <v>13.43587601</v>
      </c>
      <c r="OA7" s="1536" t="n">
        <v>13.43587601</v>
      </c>
      <c r="OB7" s="1536" t="n">
        <v>13.43587601</v>
      </c>
      <c r="OC7" s="1536" t="n">
        <v>13.43482601</v>
      </c>
      <c r="OD7" s="1536" t="n">
        <v>13.43272601</v>
      </c>
      <c r="OE7" s="1536" t="n">
        <v>13.43272601</v>
      </c>
      <c r="OF7" s="1536" t="n">
        <v>13.43272601</v>
      </c>
      <c r="OG7" s="1536" t="n">
        <v>13.43272601</v>
      </c>
      <c r="OH7" s="1536" t="n">
        <v>13.43272601</v>
      </c>
      <c r="OI7" s="1536" t="n">
        <v>13.43272601</v>
      </c>
      <c r="OJ7" s="1536" t="n">
        <v>13.43272601</v>
      </c>
      <c r="OK7" s="1536" t="n">
        <v>134.32908601</v>
      </c>
      <c r="OL7" s="1536" t="n">
        <v>134.32908601</v>
      </c>
      <c r="OM7" s="1536" t="n">
        <v>13.43908601</v>
      </c>
      <c r="ON7" s="1536" t="n">
        <v>13.43908601</v>
      </c>
      <c r="OO7" s="1536" t="n">
        <v>13.40402934</v>
      </c>
      <c r="OP7" s="1536" t="n">
        <v>13.40401334</v>
      </c>
      <c r="OQ7" s="1536" t="n">
        <v>13.40401334</v>
      </c>
      <c r="OR7" s="1536" t="n">
        <v>13.43360682</v>
      </c>
      <c r="OS7" s="1536" t="n">
        <v>13.43360682</v>
      </c>
      <c r="OT7" s="1536" t="n">
        <v>13.43360682</v>
      </c>
      <c r="OU7" s="1536" t="n">
        <v>13.43360682</v>
      </c>
      <c r="OV7" s="1536" t="n">
        <v>13.43360682</v>
      </c>
      <c r="OW7" s="1536" t="n">
        <v>13.43360682</v>
      </c>
      <c r="OX7" s="1536" t="n">
        <v>13.43150682</v>
      </c>
      <c r="OY7" s="1536" t="n">
        <v>13.30150682</v>
      </c>
      <c r="OZ7" s="1536" t="n">
        <v>13.30149082</v>
      </c>
      <c r="PA7" s="1536" t="n">
        <v>13.30149082</v>
      </c>
      <c r="PB7" s="1536" t="n">
        <v>13.33107382</v>
      </c>
      <c r="PC7" s="1536" t="n">
        <v>13.33107382</v>
      </c>
      <c r="PD7" s="1536" t="n">
        <v>13.32987382</v>
      </c>
      <c r="PE7" s="1536" t="n">
        <v>13.32987382</v>
      </c>
      <c r="PF7" s="1536" t="n">
        <v>13.32987382</v>
      </c>
      <c r="PG7" s="1536" t="n">
        <v>13.32987382</v>
      </c>
      <c r="PH7" s="1536" t="n">
        <v>13.16277682</v>
      </c>
      <c r="PI7" s="1536" t="n">
        <v>13.16277682</v>
      </c>
      <c r="PJ7" s="1536" t="n">
        <v>13.16277682</v>
      </c>
      <c r="PK7" s="1536" t="n">
        <v>13.16277682</v>
      </c>
      <c r="PL7" s="1536" t="n">
        <v>13.16277682</v>
      </c>
      <c r="PM7" s="1536" t="n">
        <v>12.96192682</v>
      </c>
      <c r="PN7" s="1536" t="n">
        <v>23.34435212</v>
      </c>
      <c r="PO7" s="1536" t="n">
        <v>23.34435212</v>
      </c>
      <c r="PP7" s="1536" t="n">
        <v>23.34225212</v>
      </c>
      <c r="PQ7" s="1536" t="n">
        <v>23.34225212</v>
      </c>
      <c r="PR7" s="1536" t="n">
        <v>23.34225212</v>
      </c>
      <c r="PS7" s="1536" t="n">
        <v>10.34509636</v>
      </c>
      <c r="PT7" s="1536" t="n">
        <v>10.37462636</v>
      </c>
      <c r="PU7" s="1536" t="n">
        <v>10.37462636</v>
      </c>
      <c r="PV7" s="1536" t="n">
        <v>10.37462636</v>
      </c>
      <c r="PW7" s="1536" t="n">
        <v>10.37462636</v>
      </c>
      <c r="PX7" s="1536" t="n">
        <v>10.37462636</v>
      </c>
      <c r="PY7" s="1536" t="n">
        <v>10.37462636</v>
      </c>
      <c r="PZ7" s="1536" t="n">
        <v>10.37462636</v>
      </c>
      <c r="QA7" s="1536" t="n">
        <v>10.37462636</v>
      </c>
      <c r="QB7" s="1536" t="n">
        <v>10.37462636</v>
      </c>
      <c r="QC7" s="1536" t="n">
        <v>10.37462636</v>
      </c>
      <c r="QD7" s="1536" t="n">
        <v>10.37462636</v>
      </c>
      <c r="QE7" s="1536" t="n">
        <v>10.37392636</v>
      </c>
      <c r="QF7" s="1536" t="n">
        <v>10.37392636</v>
      </c>
      <c r="QG7" s="1536" t="n">
        <v>8.75468036</v>
      </c>
      <c r="QH7" s="1536" t="n">
        <v>8.75468036</v>
      </c>
      <c r="QI7" s="1536" t="n">
        <v>8.75468036</v>
      </c>
      <c r="QJ7" s="1536" t="n">
        <v>8.75258036</v>
      </c>
      <c r="QK7" s="1536" t="n">
        <v>8.75258036</v>
      </c>
      <c r="QL7" s="1536" t="n">
        <v>8.75258036</v>
      </c>
      <c r="QM7" s="1536" t="n">
        <v>8.75258036</v>
      </c>
      <c r="QN7" s="1536" t="n">
        <v>8.75258036</v>
      </c>
      <c r="QO7" s="1536" t="n">
        <v>8.78216336</v>
      </c>
      <c r="QP7" s="1536" t="n">
        <v>8.78216336</v>
      </c>
      <c r="QQ7" s="1536" t="n">
        <v>8.78216336</v>
      </c>
      <c r="QR7" s="1536" t="n">
        <v>8.78216336</v>
      </c>
      <c r="QS7" s="1536" t="n">
        <v>8.78216336</v>
      </c>
      <c r="QT7" s="1536" t="n">
        <v>8.78216336</v>
      </c>
      <c r="QU7" s="1536" t="n">
        <v>8.78216336</v>
      </c>
      <c r="QV7" s="1536" t="n">
        <v>8.78216336</v>
      </c>
      <c r="QW7" s="1536" t="n">
        <v>8.78216336</v>
      </c>
      <c r="QX7" s="1536" t="n">
        <v>8.78216336</v>
      </c>
      <c r="QY7" s="1536" t="n">
        <v>8.781260850000001</v>
      </c>
      <c r="QZ7" s="1536" t="n">
        <v>8.61325285</v>
      </c>
      <c r="RA7" s="1536" t="n">
        <v>8.61321585</v>
      </c>
      <c r="RB7" s="1536" t="n">
        <v>8.61321585</v>
      </c>
      <c r="RC7" s="1536" t="n">
        <v>8.61321585</v>
      </c>
      <c r="RD7" s="1536" t="n">
        <v>8.61076585</v>
      </c>
      <c r="RE7" s="1536" t="n">
        <v>8.61076585</v>
      </c>
      <c r="RF7" s="1536" t="n">
        <v>8.61076585</v>
      </c>
      <c r="RG7" s="1536" t="n">
        <v>8.61076585</v>
      </c>
      <c r="RH7" s="1536" t="n">
        <v>8.61076585</v>
      </c>
      <c r="RI7" s="1536" t="n">
        <v>8.61076585</v>
      </c>
      <c r="RJ7" s="1536" t="n">
        <v>8.61076585</v>
      </c>
      <c r="RK7" s="1536" t="n">
        <v>8.630946849999999</v>
      </c>
      <c r="RL7" s="1536" t="n">
        <v>8.630946849999999</v>
      </c>
      <c r="RM7" s="1536" t="n">
        <v>8.630946849999999</v>
      </c>
      <c r="RN7" s="1536" t="n">
        <v>8.630946849999999</v>
      </c>
      <c r="RO7" s="1536" t="n">
        <v>8.630946849999999</v>
      </c>
      <c r="RP7" s="1536" t="n">
        <v>8.630946849999999</v>
      </c>
      <c r="RQ7" s="1536" t="n">
        <v>8.630946849999999</v>
      </c>
      <c r="RR7" s="1536" t="n">
        <v>8.630946849999999</v>
      </c>
      <c r="RS7" s="1536" t="n">
        <v>8.630946849999999</v>
      </c>
      <c r="RT7" s="1536" t="n">
        <v>6.65685085</v>
      </c>
      <c r="RU7" s="1536" t="n">
        <v>6.65685085</v>
      </c>
      <c r="RV7" s="1536" t="n">
        <v>6.65685085</v>
      </c>
      <c r="RW7" s="1536" t="n">
        <v>6.65685085</v>
      </c>
      <c r="RX7" s="1536" t="n">
        <v>6.65685085</v>
      </c>
      <c r="RY7" s="1536" t="n">
        <v>6.56940085</v>
      </c>
      <c r="RZ7" s="1536" t="n">
        <v>6.56726385</v>
      </c>
      <c r="SA7" s="1536" t="n">
        <v>6.56726385</v>
      </c>
      <c r="SB7" s="1536" t="n">
        <v>6.56726385</v>
      </c>
      <c r="SC7" s="1536" t="n">
        <v>6.58744485</v>
      </c>
      <c r="SD7" s="1536" t="n">
        <v>6.58744485</v>
      </c>
      <c r="SE7" s="1536" t="n">
        <v>6.58744485</v>
      </c>
      <c r="SF7" s="1536" t="n">
        <v>6.58744485</v>
      </c>
      <c r="SG7" s="1536" t="n">
        <v>6.58744485</v>
      </c>
      <c r="SH7" s="1536" t="n">
        <v>6.58744485</v>
      </c>
      <c r="SI7" s="1536" t="n">
        <v>6.58744485</v>
      </c>
      <c r="SJ7" s="1536" t="n">
        <v>6.58744485</v>
      </c>
      <c r="SK7" s="1536" t="n">
        <v>6.58744485</v>
      </c>
      <c r="SL7" s="1536" t="n">
        <v>6.58744485</v>
      </c>
      <c r="SM7" s="1536" t="n">
        <v>6.58744485</v>
      </c>
      <c r="SN7" s="1536" t="n">
        <v>6.58744485</v>
      </c>
      <c r="SO7" s="1536" t="n">
        <v>6.58744485</v>
      </c>
      <c r="SP7" s="1536" t="n">
        <v>6.58744485</v>
      </c>
      <c r="SQ7" s="1536" t="n">
        <v>6.58744485</v>
      </c>
      <c r="SR7" s="1536" t="n">
        <v>6.58744485</v>
      </c>
      <c r="SS7" s="1536" t="n">
        <v>6.585344849999999</v>
      </c>
      <c r="ST7" s="1536" t="n">
        <v>6.585344849999999</v>
      </c>
      <c r="SU7" s="1536" t="n">
        <v>6.494321650000001</v>
      </c>
      <c r="SV7" s="1536" t="n">
        <v>6.49376563</v>
      </c>
      <c r="SW7" s="1536" t="n">
        <v>6.49376563</v>
      </c>
      <c r="SX7" s="1536" t="n">
        <v>6.49376563</v>
      </c>
      <c r="SY7" s="1536" t="n">
        <v>6.49376563</v>
      </c>
      <c r="SZ7" s="1536" t="n">
        <v>6.49376563</v>
      </c>
      <c r="TA7" s="1536" t="n">
        <v>6.49376563</v>
      </c>
      <c r="TB7" s="1536" t="n">
        <v>6.49376563</v>
      </c>
      <c r="TC7" s="1536" t="n">
        <v>6.49376563</v>
      </c>
      <c r="TD7" s="1536" t="n">
        <v>6.49376563</v>
      </c>
      <c r="TE7" s="1536" t="n">
        <v>6.49376563</v>
      </c>
      <c r="TF7" s="1536" t="n">
        <v>6.49376563</v>
      </c>
      <c r="TG7" s="1536" t="n">
        <v>6.49166563</v>
      </c>
      <c r="TH7" s="1536" t="n">
        <v>6.49046563</v>
      </c>
      <c r="TI7" s="1536" t="n">
        <v>6.51064663</v>
      </c>
      <c r="TJ7" s="1536" t="n">
        <v>6.51064663</v>
      </c>
      <c r="TK7" s="1536" t="n">
        <v>6.51064663</v>
      </c>
      <c r="TL7" s="1536" t="n">
        <v>4.50892863</v>
      </c>
      <c r="TM7" s="1536" t="n">
        <v>4.50892863</v>
      </c>
      <c r="TN7" s="1536" t="n">
        <v>4.50892863</v>
      </c>
      <c r="TO7" s="1536" t="n">
        <v>4.50682863</v>
      </c>
      <c r="TP7" s="1536" t="n">
        <v>4.52700963</v>
      </c>
      <c r="TQ7" s="1536" t="n">
        <v>4.52700963</v>
      </c>
      <c r="TR7" s="1536" t="n">
        <v>4.52700963</v>
      </c>
      <c r="TS7" s="1536" t="n">
        <v>4.52700963</v>
      </c>
      <c r="TT7" s="1536" t="n">
        <v>4.52700963</v>
      </c>
      <c r="TU7" s="1536" t="n">
        <v>4.52700963</v>
      </c>
      <c r="TV7" s="1536" t="n">
        <v>4.52700963</v>
      </c>
      <c r="TW7" s="1536" t="n">
        <v>4.52490963</v>
      </c>
      <c r="TX7" s="1536" t="n">
        <v>4.52490963</v>
      </c>
      <c r="TY7" s="1536" t="n">
        <v>4.52490963</v>
      </c>
      <c r="TZ7" s="1536" t="n">
        <v>4.54509063</v>
      </c>
      <c r="UA7" s="1536" t="n">
        <v>4.54509063</v>
      </c>
      <c r="UB7" s="1536" t="n">
        <v>4.54509063</v>
      </c>
      <c r="UC7" s="1536" t="n">
        <v>4.54509063</v>
      </c>
      <c r="UD7" s="1536" t="n">
        <v>4.54509063</v>
      </c>
      <c r="UE7" s="1536" t="n">
        <v>4.54509063</v>
      </c>
      <c r="UF7" s="1536" t="n">
        <v>4.54509063</v>
      </c>
      <c r="UG7" s="1536" t="n">
        <v>4.54509063</v>
      </c>
      <c r="UH7" s="1536" t="n">
        <v>4.54299063</v>
      </c>
      <c r="UI7" s="1536" t="n">
        <v>4.54239063</v>
      </c>
      <c r="UJ7" s="1536" t="n">
        <v>4.56227163</v>
      </c>
      <c r="UK7" s="1536" t="n">
        <v>4.56227163</v>
      </c>
      <c r="UL7" s="1536" t="n">
        <v>2.56712063</v>
      </c>
      <c r="UM7" s="1536" t="n">
        <v>2.57398861</v>
      </c>
      <c r="UN7" s="1536" t="n">
        <v>2.57395161</v>
      </c>
      <c r="UO7" s="1536" t="n">
        <v>2.57395161</v>
      </c>
      <c r="UP7" s="1536" t="n">
        <v>2.57395161</v>
      </c>
      <c r="UQ7" s="1536" t="n">
        <v>2.55523161</v>
      </c>
      <c r="UR7" s="1536" t="n">
        <v>2.55523161</v>
      </c>
      <c r="US7" s="1536" t="n">
        <v>2.55523161</v>
      </c>
      <c r="UT7" s="1536" t="n">
        <v>2.55513161</v>
      </c>
      <c r="UU7" s="1536" t="n">
        <v>2.57331261</v>
      </c>
      <c r="UV7" s="1536" t="n">
        <v>2.57331261</v>
      </c>
      <c r="UW7" s="1536" t="n">
        <v>2.57331261</v>
      </c>
      <c r="UX7" s="1536" t="n">
        <v>2.57296261</v>
      </c>
      <c r="UY7" s="1536" t="n">
        <v>2.57296261</v>
      </c>
      <c r="UZ7" s="1536" t="n">
        <v>2.57296261</v>
      </c>
      <c r="VA7" s="1536" t="n">
        <v>2.57296261</v>
      </c>
      <c r="VB7" s="1536" t="n">
        <v>2.57296261</v>
      </c>
      <c r="VC7" s="1536" t="n">
        <v>2.57296261</v>
      </c>
      <c r="VD7" s="1536" t="n">
        <v>2.57296261</v>
      </c>
      <c r="VE7" s="1536" t="n">
        <v>2.57296261</v>
      </c>
      <c r="VF7" s="1536" t="n">
        <v>2.57296261</v>
      </c>
      <c r="VG7" s="1536" t="n">
        <v>2.47086261</v>
      </c>
      <c r="VH7" s="1536" t="n">
        <v>2.49104361</v>
      </c>
      <c r="VI7" s="1536" t="n">
        <v>2.49104361</v>
      </c>
      <c r="VJ7" s="1536" t="n">
        <v>2.45153561</v>
      </c>
      <c r="VK7" s="1536" t="n">
        <v>2.45153561</v>
      </c>
      <c r="VL7" s="1536" t="n">
        <v>2.34643561</v>
      </c>
      <c r="VM7" s="1536" t="n">
        <v>2.36657961</v>
      </c>
      <c r="VN7" s="1536" t="n">
        <v>0.37080261</v>
      </c>
      <c r="VO7" s="1536" t="n">
        <v>0.37045261</v>
      </c>
      <c r="VP7" s="1536" t="n">
        <v>0.37045261</v>
      </c>
      <c r="VQ7" s="1536" t="n">
        <v>1.22986557</v>
      </c>
      <c r="VR7" s="1536" t="n">
        <v>1.22986557</v>
      </c>
      <c r="VS7" s="1536" t="n">
        <v>1.58583357</v>
      </c>
      <c r="VT7" s="1536" t="n">
        <v>1.58573357</v>
      </c>
      <c r="VU7" s="1536" t="n">
        <v>1.58573357</v>
      </c>
      <c r="VV7" s="1536" t="n">
        <v>1.58573357</v>
      </c>
      <c r="VW7" s="1536" t="n">
        <v>1.58573357</v>
      </c>
      <c r="VX7" s="1536" t="n">
        <v>1.60391457</v>
      </c>
      <c r="VY7" s="1536" t="n">
        <v>1.60391457</v>
      </c>
      <c r="VZ7" s="1536" t="n">
        <v>1.60211457</v>
      </c>
      <c r="WA7" s="1536" t="n">
        <v>1.60211457</v>
      </c>
      <c r="WB7" s="1536" t="n">
        <v>1.60211457</v>
      </c>
      <c r="WC7" s="1536" t="n">
        <v>1.62019557</v>
      </c>
      <c r="WD7" s="1536" t="n">
        <v>1.62019557</v>
      </c>
      <c r="WE7" s="1536" t="n">
        <v>1.62019557</v>
      </c>
      <c r="WF7" s="1536" t="n">
        <v>1.62019557</v>
      </c>
      <c r="WG7" s="1536" t="n">
        <v>1.61879557</v>
      </c>
      <c r="WH7" s="1536" t="n">
        <v>1.61879557</v>
      </c>
      <c r="WI7" s="1536" t="n">
        <v>1.61879557</v>
      </c>
      <c r="WJ7" s="1536" t="n">
        <v>1.61879557</v>
      </c>
      <c r="WK7" s="1536" t="n">
        <v>1.61879557</v>
      </c>
      <c r="WL7" s="1536" t="n">
        <v>1.61879557</v>
      </c>
      <c r="WM7" s="1536" t="n">
        <v>1.61781809</v>
      </c>
      <c r="WN7" s="1536" t="n">
        <v>7.16781809</v>
      </c>
      <c r="WO7" s="1536" t="n">
        <v>7.16511809</v>
      </c>
      <c r="WP7" s="1536" t="n">
        <v>7.16511809</v>
      </c>
      <c r="WQ7" s="1536" t="n">
        <v>5.53953709</v>
      </c>
      <c r="WR7" s="1536" t="n">
        <v>5.53953709</v>
      </c>
      <c r="WS7" s="1536" t="n">
        <v>5.05110609</v>
      </c>
      <c r="WT7" s="1536" t="n">
        <v>5.05110609</v>
      </c>
      <c r="WU7" s="1536" t="n">
        <v>5.05110609</v>
      </c>
      <c r="WV7" s="1536" t="n">
        <v>5.05110609</v>
      </c>
      <c r="WW7" s="1536" t="n">
        <v>5.05110609</v>
      </c>
      <c r="WX7" s="1536" t="n">
        <v>5.05110609</v>
      </c>
      <c r="WY7" s="1536" t="n">
        <v>5.04900609</v>
      </c>
      <c r="WZ7" s="1536" t="n">
        <v>5.04900609</v>
      </c>
      <c r="XA7" s="1536" t="n">
        <v>5.04900609</v>
      </c>
      <c r="XB7" s="1536" t="n">
        <v>5.04900609</v>
      </c>
      <c r="XC7" s="1536" t="n">
        <v>5.04900609</v>
      </c>
      <c r="XD7" s="1536" t="n">
        <v>5.04900609</v>
      </c>
      <c r="XE7" s="1536" t="n">
        <v>5.17218709</v>
      </c>
      <c r="XF7" s="1536" t="n">
        <v>5.17218709</v>
      </c>
      <c r="XG7" s="1536" t="n">
        <v>5.17218709</v>
      </c>
      <c r="XH7" s="1536" t="n">
        <v>5.17218709</v>
      </c>
      <c r="XI7" s="1536" t="n">
        <v>5.17008709</v>
      </c>
      <c r="XJ7" s="1536" t="n">
        <v>5.17008709</v>
      </c>
      <c r="XK7" s="1536" t="n">
        <v>5.17008709</v>
      </c>
      <c r="XL7" s="1536" t="n">
        <v>5.19026809</v>
      </c>
      <c r="XM7" s="1536" t="n">
        <v>5.19026809</v>
      </c>
      <c r="XN7" s="1536" t="n">
        <v>5.19026809</v>
      </c>
      <c r="XO7" s="1536" t="n">
        <v>5.19026809</v>
      </c>
      <c r="XP7" s="1536" t="n">
        <v>5.19026809</v>
      </c>
      <c r="XQ7" s="1536" t="n">
        <v>5.19026809</v>
      </c>
      <c r="XR7" s="1536" t="n">
        <v>5.19026809</v>
      </c>
      <c r="XS7" s="1536" t="n">
        <v>5.18756809</v>
      </c>
      <c r="XT7" s="1536" t="n">
        <v>5.18756809</v>
      </c>
      <c r="XU7" s="1536" t="n">
        <v>5.18756809</v>
      </c>
      <c r="XV7" s="1536" t="n">
        <v>5.18756809</v>
      </c>
      <c r="XW7" s="1536" t="n">
        <v>5.18756809</v>
      </c>
      <c r="XX7" s="1536" t="n">
        <v>5.18756809</v>
      </c>
      <c r="XY7" s="1536" t="n">
        <v>5.18756809</v>
      </c>
      <c r="XZ7" s="1536" t="n">
        <v>5.18756809</v>
      </c>
      <c r="YA7" s="1536" t="n">
        <v>5.18756809</v>
      </c>
      <c r="YB7" s="1536" t="n">
        <v>5.18756809</v>
      </c>
      <c r="YC7" s="1536" t="n">
        <v>5.20774909</v>
      </c>
      <c r="YD7" s="1536" t="n">
        <v>5.20774909</v>
      </c>
      <c r="YE7" s="1536" t="n">
        <v>4.00930609</v>
      </c>
      <c r="YF7" s="1536" t="n">
        <v>4.02738709</v>
      </c>
      <c r="YG7" s="1536" t="n">
        <v>4.02338709</v>
      </c>
      <c r="YH7" s="1536" t="n">
        <v>4.02334709</v>
      </c>
      <c r="YI7" s="1536" t="n">
        <v>4.02334709</v>
      </c>
      <c r="YJ7" s="1537" t="n">
        <v>4.02334709</v>
      </c>
    </row>
    <row r="8">
      <c r="B8" s="917" t="inlineStr">
        <is>
          <t>CPFSP</t>
        </is>
      </c>
      <c r="C8" s="1532" t="n">
        <v>10.34575113</v>
      </c>
      <c r="D8" s="1533" t="n">
        <v>10.33515659</v>
      </c>
      <c r="E8" s="1533" t="n">
        <v>10.33515659</v>
      </c>
      <c r="F8" s="1533" t="n">
        <v>10.33515659</v>
      </c>
      <c r="G8" s="1533" t="n">
        <v>10.33515659</v>
      </c>
      <c r="H8" s="1533" t="n">
        <v>10.33515659</v>
      </c>
      <c r="I8" s="1533" t="n">
        <v>10.33515659</v>
      </c>
      <c r="J8" s="1533" t="n">
        <v>10.33515659</v>
      </c>
      <c r="K8" s="1533" t="n">
        <v>10.33515659</v>
      </c>
      <c r="L8" s="1533" t="n">
        <v>10.22846659</v>
      </c>
      <c r="M8" s="1533" t="n">
        <v>10.28846659</v>
      </c>
      <c r="N8" s="1533" t="n">
        <v>10.28846659</v>
      </c>
      <c r="O8" s="1533" t="n">
        <v>10.28846659</v>
      </c>
      <c r="P8" s="1533" t="n">
        <v>10.28846659</v>
      </c>
      <c r="Q8" s="1533" t="n">
        <v>10.28846659</v>
      </c>
      <c r="R8" s="1533" t="n">
        <v>10.28846659</v>
      </c>
      <c r="S8" s="1533" t="n">
        <v>10.28846659</v>
      </c>
      <c r="T8" s="1533" t="n">
        <v>10.27376659</v>
      </c>
      <c r="U8" s="1533" t="n">
        <v>10.27376659</v>
      </c>
      <c r="V8" s="1533" t="n">
        <v>10.27376659</v>
      </c>
      <c r="W8" s="1533" t="n">
        <v>10.27376659</v>
      </c>
      <c r="X8" s="1533" t="n">
        <v>10.27376659</v>
      </c>
      <c r="Y8" s="1533" t="n">
        <v>10.27190259</v>
      </c>
      <c r="Z8" s="1533" t="n">
        <v>10.27190259</v>
      </c>
      <c r="AA8" s="1533" t="n">
        <v>10.27190259</v>
      </c>
      <c r="AB8" s="1533" t="n">
        <v>10.27190259</v>
      </c>
      <c r="AC8" s="1533" t="n">
        <v>10.27190259</v>
      </c>
      <c r="AD8" s="1533" t="n">
        <v>10.27190259</v>
      </c>
      <c r="AE8" s="1533" t="n">
        <v>10.27110259</v>
      </c>
      <c r="AF8" s="1533" t="n">
        <v>8.12441259</v>
      </c>
      <c r="AG8" s="1533" t="n">
        <v>8.12441259</v>
      </c>
      <c r="AH8" s="1533" t="n">
        <v>8.12441259</v>
      </c>
      <c r="AI8" s="1533" t="n">
        <v>8.12441259</v>
      </c>
      <c r="AJ8" s="1533" t="n">
        <v>8.12441259</v>
      </c>
      <c r="AK8" s="1533" t="n">
        <v>8.12441259</v>
      </c>
      <c r="AL8" s="1533" t="n">
        <v>8.12441259</v>
      </c>
      <c r="AM8" s="1533" t="n">
        <v>8.12441259</v>
      </c>
      <c r="AN8" s="1533" t="n">
        <v>8.12441259</v>
      </c>
      <c r="AO8" s="1533" t="n">
        <v>8.11652333</v>
      </c>
      <c r="AP8" s="1533" t="n">
        <v>8.10282333</v>
      </c>
      <c r="AQ8" s="1533" t="n">
        <v>8.10089533</v>
      </c>
      <c r="AR8" s="1533" t="n">
        <v>8.10089533</v>
      </c>
      <c r="AS8" s="1533" t="n">
        <v>8.10089533</v>
      </c>
      <c r="AT8" s="1533" t="n">
        <v>8.10089533</v>
      </c>
      <c r="AU8" s="1533" t="n">
        <v>8.05420533</v>
      </c>
      <c r="AV8" s="1533" t="n">
        <v>8.05420533</v>
      </c>
      <c r="AW8" s="1533" t="n">
        <v>8.05420533</v>
      </c>
      <c r="AX8" s="1533" t="n">
        <v>8.05420533</v>
      </c>
      <c r="AY8" s="1533" t="n">
        <v>8.05420533</v>
      </c>
      <c r="AZ8" s="1533" t="n">
        <v>8.05420533</v>
      </c>
      <c r="BA8" s="1533" t="n">
        <v>8.05420533</v>
      </c>
      <c r="BB8" s="1533" t="n">
        <v>8.05420533</v>
      </c>
      <c r="BC8" s="1533" t="n">
        <v>8.05420533</v>
      </c>
      <c r="BD8" s="1533" t="n">
        <v>8.05420533</v>
      </c>
      <c r="BE8" s="1533" t="n">
        <v>8.05420533</v>
      </c>
      <c r="BF8" s="1533" t="n">
        <v>8.044005330000001</v>
      </c>
      <c r="BG8" s="1533" t="n">
        <v>8.044005330000001</v>
      </c>
      <c r="BH8" s="1533" t="n">
        <v>8.00434263</v>
      </c>
      <c r="BI8" s="1533" t="n">
        <v>8.00434263</v>
      </c>
      <c r="BJ8" s="1533" t="n">
        <v>8.00434263</v>
      </c>
      <c r="BK8" s="1533" t="n">
        <v>8.00434263</v>
      </c>
      <c r="BL8" s="1533" t="n">
        <v>8.002478630000001</v>
      </c>
      <c r="BM8" s="1533" t="n">
        <v>8.002478630000001</v>
      </c>
      <c r="BN8" s="1533" t="n">
        <v>8.002478630000001</v>
      </c>
      <c r="BO8" s="1533" t="n">
        <v>8.002478630000001</v>
      </c>
      <c r="BP8" s="1533" t="n">
        <v>8.002478630000001</v>
      </c>
      <c r="BQ8" s="1533" t="n">
        <v>7.95578863</v>
      </c>
      <c r="BR8" s="1533" t="n">
        <v>7.95578863</v>
      </c>
      <c r="BS8" s="1533" t="n">
        <v>7.95578863</v>
      </c>
      <c r="BT8" s="1533" t="n">
        <v>7.95578863</v>
      </c>
      <c r="BU8" s="1533" t="n">
        <v>4.06592463</v>
      </c>
      <c r="BV8" s="1533" t="n">
        <v>4.06592463</v>
      </c>
      <c r="BW8" s="1533" t="n">
        <v>4.06592463</v>
      </c>
      <c r="BX8" s="1533" t="n">
        <v>4.09629563</v>
      </c>
      <c r="BY8" s="1533" t="n">
        <v>4.09629563</v>
      </c>
      <c r="BZ8" s="1533" t="n">
        <v>4.09629563</v>
      </c>
      <c r="CA8" s="1533" t="n">
        <v>4.09629563</v>
      </c>
      <c r="CB8" s="1533" t="n">
        <v>4.09629563</v>
      </c>
      <c r="CC8" s="1533" t="n">
        <v>4.09629563</v>
      </c>
      <c r="CD8" s="1533" t="n">
        <v>4.09629563</v>
      </c>
      <c r="CE8" s="1533" t="n">
        <v>4.09629563</v>
      </c>
      <c r="CF8" s="1533" t="n">
        <v>4.09629563</v>
      </c>
      <c r="CG8" s="1533" t="n">
        <v>4.09412723</v>
      </c>
      <c r="CH8" s="1533" t="n">
        <v>4.09412591</v>
      </c>
      <c r="CI8" s="1533" t="n">
        <v>4.09412591</v>
      </c>
      <c r="CJ8" s="1533" t="n">
        <v>4.09412591</v>
      </c>
      <c r="CK8" s="1533" t="n">
        <v>4.09412591</v>
      </c>
      <c r="CL8" s="1533" t="n">
        <v>4.09412591</v>
      </c>
      <c r="CM8" s="1533" t="n">
        <v>4.09412591</v>
      </c>
      <c r="CN8" s="1533" t="n">
        <v>4.09412591</v>
      </c>
      <c r="CO8" s="1533" t="n">
        <v>4.09412591</v>
      </c>
      <c r="CP8" s="1533" t="n">
        <v>4.09412591</v>
      </c>
      <c r="CQ8" s="1533" t="n">
        <v>4.09412591</v>
      </c>
      <c r="CR8" s="1533" t="n">
        <v>4.09412591</v>
      </c>
      <c r="CS8" s="1533" t="n">
        <v>4.09412591</v>
      </c>
      <c r="CT8" s="1533" t="n">
        <v>4.09412591</v>
      </c>
      <c r="CU8" s="1533" t="n">
        <v>4.09412591</v>
      </c>
      <c r="CV8" s="1533" t="n">
        <v>4.09412591</v>
      </c>
      <c r="CW8" s="1533" t="n">
        <v>4.04743591</v>
      </c>
      <c r="CX8" s="1533" t="n">
        <v>4.04743591</v>
      </c>
      <c r="CY8" s="1533" t="n">
        <v>4.04743591</v>
      </c>
      <c r="CZ8" s="1533" t="n">
        <v>4.04743591</v>
      </c>
      <c r="DA8" s="1533" t="n">
        <v>4.04743591</v>
      </c>
      <c r="DB8" s="1533" t="n">
        <v>4.04743591</v>
      </c>
      <c r="DC8" s="1533" t="n">
        <v>4.04743591</v>
      </c>
      <c r="DD8" s="1533" t="n">
        <v>4.04757191</v>
      </c>
      <c r="DE8" s="1533" t="n">
        <v>4.04757191</v>
      </c>
      <c r="DF8" s="1533" t="n">
        <v>4.04757191</v>
      </c>
      <c r="DG8" s="1533" t="n">
        <v>4.00590921</v>
      </c>
      <c r="DH8" s="1533" t="n">
        <v>4.00590921</v>
      </c>
      <c r="DI8" s="1533" t="n">
        <v>4.00590921</v>
      </c>
      <c r="DJ8" s="1533" t="n">
        <v>4.00590921</v>
      </c>
      <c r="DK8" s="1533" t="n">
        <v>4.00590921</v>
      </c>
      <c r="DL8" s="1533" t="n">
        <v>4.00590921</v>
      </c>
      <c r="DM8" s="1533" t="n">
        <v>4.03670521</v>
      </c>
      <c r="DN8" s="1533" t="n">
        <v>4.03670521</v>
      </c>
      <c r="DO8" s="1533" t="n">
        <v>4.03670521</v>
      </c>
      <c r="DP8" s="1533" t="n">
        <v>4.03670521</v>
      </c>
      <c r="DQ8" s="1533" t="n">
        <v>4.03670521</v>
      </c>
      <c r="DR8" s="1533" t="n">
        <v>4.03670521</v>
      </c>
      <c r="DS8" s="1533" t="n">
        <v>4.03670521</v>
      </c>
      <c r="DT8" s="1533" t="n">
        <v>4.03670521</v>
      </c>
      <c r="DU8" s="1533" t="n">
        <v>4.03670521</v>
      </c>
      <c r="DV8" s="1533" t="n">
        <v>4.03670521</v>
      </c>
      <c r="DW8" s="1533" t="n">
        <v>4.03670521</v>
      </c>
      <c r="DX8" s="944" t="n">
        <v>4.03670521</v>
      </c>
      <c r="DY8" s="1533" t="n">
        <v>4.03670521</v>
      </c>
      <c r="DZ8" s="1533" t="n">
        <v>4.03490521</v>
      </c>
      <c r="EA8" s="1533" t="n">
        <v>4.03490521</v>
      </c>
      <c r="EB8" s="1533" t="n">
        <v>4.03490521</v>
      </c>
      <c r="EC8" s="1533" t="n">
        <v>4.03468708</v>
      </c>
      <c r="ED8" s="1533" t="n">
        <v>4.03468708</v>
      </c>
      <c r="EE8" s="1533" t="n">
        <v>4.03468708</v>
      </c>
      <c r="EF8" s="1533" t="n">
        <v>4.03468708</v>
      </c>
      <c r="EG8" s="1533" t="n">
        <v>4.03468708</v>
      </c>
      <c r="EH8" s="1533" t="n">
        <v>4.03468708</v>
      </c>
      <c r="EI8" s="1533" t="n">
        <v>4.03468708</v>
      </c>
      <c r="EJ8" s="1533" t="n">
        <v>4.03468708</v>
      </c>
      <c r="EK8" s="1533" t="n">
        <v>4.03468708</v>
      </c>
      <c r="EL8" s="1533" t="n">
        <v>4.03468708</v>
      </c>
      <c r="EM8" s="1533" t="n">
        <v>4.03468708</v>
      </c>
      <c r="EN8" s="1533" t="n">
        <v>4.03468708</v>
      </c>
      <c r="EO8" s="1533" t="n">
        <v>4.03468708</v>
      </c>
      <c r="EP8" s="1533" t="n">
        <v>4.03468708</v>
      </c>
      <c r="EQ8" s="1533" t="n">
        <v>4.03468708</v>
      </c>
      <c r="ER8" s="1533" t="n">
        <v>4.03468708</v>
      </c>
      <c r="ES8" s="1533" t="n">
        <v>4.03468708</v>
      </c>
      <c r="ET8" s="1533" t="n">
        <v>4.02988708</v>
      </c>
      <c r="EU8" s="1533" t="n">
        <v>4.02808708</v>
      </c>
      <c r="EV8" s="944" t="n">
        <v>4.02808708</v>
      </c>
      <c r="EW8" s="1533" t="n">
        <v>4.01539666</v>
      </c>
      <c r="EX8" s="1533" t="n">
        <v>4.01539666</v>
      </c>
      <c r="EY8" s="1533" t="n">
        <v>4.01539666</v>
      </c>
      <c r="EZ8" s="1533" t="n">
        <v>4.01539666</v>
      </c>
      <c r="FA8" s="1533" t="n">
        <v>4.01539666</v>
      </c>
      <c r="FB8" s="1533" t="n">
        <v>4.01539666</v>
      </c>
      <c r="FC8" s="1533" t="n">
        <v>4.01539666</v>
      </c>
      <c r="FD8" s="1533" t="n">
        <v>4.01539666</v>
      </c>
      <c r="FE8" s="1533" t="n">
        <v>4.01539666</v>
      </c>
      <c r="FF8" s="1533" t="n">
        <v>4.01539666</v>
      </c>
      <c r="FG8" s="1533" t="n">
        <v>4.01539666</v>
      </c>
      <c r="FH8" s="1533" t="n">
        <v>4.01539666</v>
      </c>
      <c r="FI8" s="1533" t="n">
        <v>4.01539666</v>
      </c>
      <c r="FJ8" s="1533" t="n">
        <v>4.01539666</v>
      </c>
      <c r="FK8" s="1533" t="n">
        <v>4.01539666</v>
      </c>
      <c r="FL8" s="1533" t="n">
        <v>4.01539666</v>
      </c>
      <c r="FM8" s="1533" t="n">
        <v>4.01539666</v>
      </c>
      <c r="FN8" s="944" t="n">
        <v>4.01539666</v>
      </c>
      <c r="FO8" s="1533" t="n">
        <v>4.00339666</v>
      </c>
      <c r="FP8" s="1533" t="n">
        <v>4.001596660000001</v>
      </c>
      <c r="FQ8" s="1533" t="n">
        <v>4.001596660000001</v>
      </c>
      <c r="FR8" s="1533" t="n">
        <v>4.001596660000001</v>
      </c>
      <c r="FS8" s="1533" t="n">
        <v>4.001596660000001</v>
      </c>
      <c r="FT8" s="1533" t="n">
        <v>4.001596660000001</v>
      </c>
      <c r="FU8" s="1533" t="n">
        <v>4.001596660000001</v>
      </c>
      <c r="FV8" s="1533" t="n">
        <v>4.001596660000001</v>
      </c>
      <c r="FW8" s="1533" t="n">
        <v>4.001596660000001</v>
      </c>
      <c r="FX8" s="1533" t="n">
        <v>4.001596660000001</v>
      </c>
      <c r="FY8" s="1533" t="n">
        <v>4.001596660000001</v>
      </c>
      <c r="FZ8" s="1533" t="n">
        <v>3.97870666</v>
      </c>
      <c r="GA8" s="1533" t="n">
        <v>3.97870666</v>
      </c>
      <c r="GB8" s="1533" t="n">
        <v>3.97870666</v>
      </c>
      <c r="GC8" s="1533" t="n">
        <v>3.94196146</v>
      </c>
      <c r="GD8" s="1533" t="n">
        <v>3.94196146</v>
      </c>
      <c r="GE8" s="1533" t="n">
        <v>3.94196146</v>
      </c>
      <c r="GF8" s="1533" t="n">
        <v>3.94196146</v>
      </c>
      <c r="GG8" s="1533" t="n">
        <v>3.94196146</v>
      </c>
      <c r="GH8" s="1533" t="n">
        <v>3.94196146</v>
      </c>
      <c r="GI8" s="1533" t="n">
        <v>3.94012946</v>
      </c>
      <c r="GJ8" s="1533" t="n">
        <v>3.94012946</v>
      </c>
      <c r="GK8" s="1533" t="n">
        <v>3.94012946</v>
      </c>
      <c r="GL8" s="1533" t="n">
        <v>3.94012946</v>
      </c>
      <c r="GM8" s="1533" t="n">
        <v>3.94012946</v>
      </c>
      <c r="GN8" s="1533" t="n">
        <v>3.94012946</v>
      </c>
      <c r="GO8" s="1533" t="n">
        <v>3.94012946</v>
      </c>
      <c r="GP8" s="1533" t="n">
        <v>3.94012946</v>
      </c>
      <c r="GQ8" s="1533" t="n">
        <v>3.94012946</v>
      </c>
      <c r="GR8" s="1533" t="n">
        <v>3.94012946</v>
      </c>
      <c r="GS8" s="1533" t="n">
        <v>3.94012946</v>
      </c>
      <c r="GT8" s="1533" t="n">
        <v>3.93922946</v>
      </c>
      <c r="GU8" s="1534" t="n">
        <v>3.93922946</v>
      </c>
      <c r="GV8" s="1533" t="n">
        <v>3.87836023</v>
      </c>
      <c r="GW8" s="1533" t="n">
        <v>3.87636023</v>
      </c>
      <c r="GX8" s="1533" t="n">
        <v>3.87836023</v>
      </c>
      <c r="GY8" s="1533" t="n">
        <v>3.87836023</v>
      </c>
      <c r="GZ8" s="1533" t="n">
        <v>3.87836023</v>
      </c>
      <c r="HA8" s="1533" t="n">
        <v>3.87836023</v>
      </c>
      <c r="HB8" s="1533" t="n">
        <v>3.87836023</v>
      </c>
      <c r="HC8" s="1533" t="n">
        <v>3.87836023</v>
      </c>
      <c r="HD8" s="1533" t="n">
        <v>3.87836023</v>
      </c>
      <c r="HE8" s="1533" t="n">
        <v>3.87836023</v>
      </c>
      <c r="HF8" s="1533" t="n">
        <v>3.87836023</v>
      </c>
      <c r="HG8" s="1533" t="n">
        <v>3.87656023</v>
      </c>
      <c r="HH8" s="1533" t="n">
        <v>3.87656023</v>
      </c>
      <c r="HI8" s="1533" t="n">
        <v>3.87656023</v>
      </c>
      <c r="HJ8" s="1533" t="n">
        <v>3.87656023</v>
      </c>
      <c r="HK8" s="1533" t="n">
        <v>3.87656023</v>
      </c>
      <c r="HL8" s="1533" t="n">
        <v>3.82712791</v>
      </c>
      <c r="HM8" s="1533" t="n">
        <v>3.82712791</v>
      </c>
      <c r="HN8" s="1533" t="n">
        <v>3.82712791</v>
      </c>
      <c r="HO8" s="1533" t="n">
        <v>3.82712791</v>
      </c>
      <c r="HP8" s="1533" t="n">
        <v>3.82712791</v>
      </c>
      <c r="HQ8" s="1533" t="n">
        <v>3.82712791</v>
      </c>
      <c r="HR8" s="944" t="n">
        <v>3.82712791</v>
      </c>
      <c r="HS8" s="945" t="n">
        <v>3.82712791</v>
      </c>
      <c r="HT8" s="1535" t="n">
        <v>3.82712791</v>
      </c>
      <c r="HU8" s="1535" t="n">
        <v>3.82712791</v>
      </c>
      <c r="HV8" s="1535" t="n">
        <v>3.82532791</v>
      </c>
      <c r="HW8" s="1535" t="n">
        <v>3.82532791</v>
      </c>
      <c r="HX8" s="1535" t="n">
        <v>3.82532791</v>
      </c>
      <c r="HY8" s="1535" t="n">
        <v>3.82532791</v>
      </c>
      <c r="HZ8" s="1535" t="n">
        <v>3.82532791</v>
      </c>
      <c r="IA8" s="1535" t="n">
        <v>3.82532791</v>
      </c>
      <c r="IB8" s="1535" t="n">
        <v>3.82532791</v>
      </c>
      <c r="IC8" s="1535" t="n">
        <v>3.79073491</v>
      </c>
      <c r="ID8" s="1535" t="n">
        <v>3.79073491</v>
      </c>
      <c r="IE8" s="1535" t="n">
        <v>3.79073491</v>
      </c>
      <c r="IF8" s="1535" t="n">
        <v>3.79073491</v>
      </c>
      <c r="IG8" s="1535" t="n">
        <v>3.79073491</v>
      </c>
      <c r="IH8" s="1535" t="n">
        <v>3.79073491</v>
      </c>
      <c r="II8" s="1535" t="n">
        <v>3.79073491</v>
      </c>
      <c r="IJ8" s="1535" t="n">
        <v>3.79073491</v>
      </c>
      <c r="IK8" s="1535" t="n">
        <v>3.79073491</v>
      </c>
      <c r="IL8" s="1535" t="n">
        <v>3.79073491</v>
      </c>
      <c r="IM8" s="1535" t="n">
        <v>3.79073491</v>
      </c>
      <c r="IN8" s="1535" t="n">
        <v>3.79073491</v>
      </c>
      <c r="IO8" s="1535" t="n">
        <v>3.78893491</v>
      </c>
      <c r="IP8" s="1535" t="n">
        <v>3.76834091</v>
      </c>
      <c r="IQ8" s="1535" t="n">
        <v>3.76834091</v>
      </c>
      <c r="IR8" s="1535" t="n">
        <v>3.76834091</v>
      </c>
      <c r="IS8" s="1535" t="n">
        <v>3.76834091</v>
      </c>
      <c r="IT8" s="1535" t="n">
        <v>3.76834091</v>
      </c>
      <c r="IU8" s="1535" t="n">
        <v>3.76834091</v>
      </c>
      <c r="IV8" s="1535" t="n">
        <v>3.76834091</v>
      </c>
      <c r="IW8" s="1535" t="n">
        <v>3.76834091</v>
      </c>
      <c r="IX8" s="1535" t="n">
        <v>3.76834091</v>
      </c>
      <c r="IY8" s="1536" t="n">
        <v>3.76834091</v>
      </c>
      <c r="IZ8" s="1535" t="n">
        <v>3.76834091</v>
      </c>
      <c r="JA8" s="1535" t="n">
        <v>3.76834091</v>
      </c>
      <c r="JB8" s="1535" t="n">
        <v>3.76834091</v>
      </c>
      <c r="JC8" s="1535" t="n">
        <v>3.76834091</v>
      </c>
      <c r="JD8" s="1535" t="n">
        <v>3.76834091</v>
      </c>
      <c r="JE8" s="1535" t="n">
        <v>3.76834091</v>
      </c>
      <c r="JF8" s="1535" t="n">
        <v>3.76834091</v>
      </c>
      <c r="JG8" s="1535" t="n">
        <v>3.76834091</v>
      </c>
      <c r="JH8" s="1535" t="n">
        <v>3.76834091</v>
      </c>
      <c r="JI8" s="1535" t="n">
        <v>3.76834091</v>
      </c>
      <c r="JJ8" s="1535" t="n">
        <v>3.76834091</v>
      </c>
      <c r="JK8" s="1535" t="n">
        <v>3.79055491</v>
      </c>
      <c r="JL8" s="1535" t="n">
        <v>3.79055491</v>
      </c>
      <c r="JM8" s="1535" t="n">
        <v>3.79055491</v>
      </c>
      <c r="JN8" s="1535" t="n">
        <v>3.79055491</v>
      </c>
      <c r="JO8" s="1535" t="n">
        <v>3.79055491</v>
      </c>
      <c r="JP8" s="1535" t="n">
        <v>3.79055491</v>
      </c>
      <c r="JQ8" s="1535" t="n">
        <v>3.79055491</v>
      </c>
      <c r="JR8" s="1535" t="n">
        <v>3.79055491</v>
      </c>
      <c r="JS8" s="1535" t="n">
        <v>3.79055491</v>
      </c>
      <c r="JT8" s="1535" t="n">
        <v>3.79055491</v>
      </c>
      <c r="JU8" s="1535" t="n">
        <v>3.79055491</v>
      </c>
      <c r="JV8" s="1535" t="n">
        <v>3.79055491</v>
      </c>
      <c r="JW8" s="1535" t="n">
        <v>3.79055491</v>
      </c>
      <c r="JX8" s="1535" t="n">
        <v>3.79055491</v>
      </c>
      <c r="JY8" s="1535" t="n">
        <v>3.79055491</v>
      </c>
      <c r="JZ8" s="1535" t="n">
        <v>3.79055491</v>
      </c>
      <c r="KA8" s="1535" t="n">
        <v>3.83121391</v>
      </c>
      <c r="KB8" s="1535" t="n">
        <v>3.83121391</v>
      </c>
      <c r="KC8" s="1535" t="n">
        <v>3.83121391</v>
      </c>
      <c r="KD8" s="1535" t="n">
        <v>3.82941391</v>
      </c>
      <c r="KE8" s="1535" t="n">
        <v>3.82941391</v>
      </c>
      <c r="KF8" s="1535" t="n">
        <v>3.82941391</v>
      </c>
      <c r="KG8" s="1535" t="n">
        <v>3.82941391</v>
      </c>
      <c r="KH8" s="1535" t="n">
        <v>3.82941391</v>
      </c>
      <c r="KI8" s="1535" t="n">
        <v>3.82941391</v>
      </c>
      <c r="KJ8" s="1535" t="n">
        <v>3.82941391</v>
      </c>
      <c r="KK8" s="1535" t="n">
        <v>3.82941391</v>
      </c>
      <c r="KL8" s="1535" t="n">
        <v>3.82941391</v>
      </c>
      <c r="KM8" s="1535" t="n">
        <v>3.82941391</v>
      </c>
      <c r="KN8" s="1535" t="n">
        <v>3.82941391</v>
      </c>
      <c r="KO8" s="1535" t="n">
        <v>3.82941391</v>
      </c>
      <c r="KP8" s="1535" t="n">
        <v>3.82941391</v>
      </c>
      <c r="KQ8" s="1535" t="n">
        <v>3.82941391</v>
      </c>
      <c r="KR8" s="1535" t="n">
        <v>3.82941391</v>
      </c>
      <c r="KS8" s="1536" t="n">
        <v>3.82941391</v>
      </c>
      <c r="KT8" s="1536" t="n">
        <v>3.82941391</v>
      </c>
      <c r="KU8" s="1536" t="n">
        <v>3.82941391</v>
      </c>
      <c r="KV8" s="1536" t="n">
        <v>3.82851391</v>
      </c>
      <c r="KW8" s="1536" t="n">
        <v>3.82851391</v>
      </c>
      <c r="KX8" s="1536" t="n">
        <v>3.82851391</v>
      </c>
      <c r="KY8" s="1536" t="n">
        <v>3.82851391</v>
      </c>
      <c r="KZ8" s="1536" t="n">
        <v>3.82851391</v>
      </c>
      <c r="LA8" s="1536" t="n">
        <v>3.82851391</v>
      </c>
      <c r="LB8" s="1536" t="n">
        <v>3.82851391</v>
      </c>
      <c r="LC8" s="1536" t="n">
        <v>3.82851391</v>
      </c>
      <c r="LD8" s="1536" t="n">
        <v>3.82851391</v>
      </c>
      <c r="LE8" s="1536" t="n">
        <v>3.82851391</v>
      </c>
      <c r="LF8" s="1536" t="n">
        <v>3.82851391</v>
      </c>
      <c r="LG8" s="1536" t="n">
        <v>3.82851391</v>
      </c>
      <c r="LH8" s="1536" t="n">
        <v>3.82851391</v>
      </c>
      <c r="LI8" s="1536" t="n">
        <v>3.82851391</v>
      </c>
      <c r="LJ8" s="1536" t="n">
        <v>3.82851391</v>
      </c>
      <c r="LK8" s="1536" t="n">
        <v>3.82851391</v>
      </c>
      <c r="LL8" s="1536" t="n">
        <v>3.82851391</v>
      </c>
      <c r="LM8" s="1536" t="n">
        <v>3.82851391</v>
      </c>
      <c r="LN8" s="1536" t="n">
        <v>3.82851391</v>
      </c>
      <c r="LO8" s="1536" t="n">
        <v>3.82851391</v>
      </c>
      <c r="LP8" s="1536" t="n">
        <v>3.82851391</v>
      </c>
      <c r="LQ8" s="1536" t="n">
        <v>3.82851391</v>
      </c>
      <c r="LR8" s="1536" t="n">
        <v>3.82761391</v>
      </c>
      <c r="LS8" s="1536" t="n">
        <v>3.82761391</v>
      </c>
      <c r="LT8" s="1536" t="n">
        <v>3.82761391</v>
      </c>
      <c r="LU8" s="1536" t="n">
        <v>3.82761391</v>
      </c>
      <c r="LV8" s="1536" t="n">
        <v>3.82761391</v>
      </c>
      <c r="LW8" s="1536" t="n">
        <v>3.82761391</v>
      </c>
      <c r="LX8" s="1536" t="n">
        <v>3.85776791</v>
      </c>
      <c r="LY8" s="1536" t="n">
        <v>3.85776791</v>
      </c>
      <c r="LZ8" s="1536" t="n">
        <v>3.85776791</v>
      </c>
      <c r="MA8" s="1536" t="n">
        <v>3.85776791</v>
      </c>
      <c r="MB8" s="1536" t="n">
        <v>3.85776791</v>
      </c>
      <c r="MC8" s="1536" t="n">
        <v>3.85776791</v>
      </c>
      <c r="MD8" s="1536" t="n">
        <v>3.85776791</v>
      </c>
      <c r="ME8" s="1536" t="n">
        <v>3.85776791</v>
      </c>
      <c r="MF8" s="1536" t="n">
        <v>3.85776791</v>
      </c>
      <c r="MG8" s="1536" t="n">
        <v>3.8557679</v>
      </c>
      <c r="MH8" s="1536" t="n">
        <v>3.8557679</v>
      </c>
      <c r="MI8" s="1536" t="n">
        <v>3.8557679</v>
      </c>
      <c r="MJ8" s="1536" t="n">
        <v>3.8557679</v>
      </c>
      <c r="MK8" s="1536" t="n">
        <v>3.8557679</v>
      </c>
      <c r="ML8" s="1536" t="n">
        <v>3.8557679</v>
      </c>
      <c r="MM8" s="1536" t="n">
        <v>3.8557679</v>
      </c>
      <c r="MN8" s="1536" t="n">
        <v>3.8539359</v>
      </c>
      <c r="MO8" s="1536" t="n">
        <v>3.8539359</v>
      </c>
      <c r="MP8" s="1536" t="n">
        <v>3.8539359</v>
      </c>
      <c r="MQ8" s="1536" t="n">
        <v>3.8539359</v>
      </c>
      <c r="MR8" s="1536" t="n">
        <v>3.8539359</v>
      </c>
      <c r="MS8" s="1536" t="n">
        <v>3.8539359</v>
      </c>
      <c r="MT8" s="1536" t="n">
        <v>3.8539359</v>
      </c>
      <c r="MU8" s="1536" t="n">
        <v>3.8539359</v>
      </c>
      <c r="MV8" s="1536" t="n">
        <v>3.8539359</v>
      </c>
      <c r="MW8" s="1536" t="n">
        <v>3.8539359</v>
      </c>
      <c r="MX8" s="1536" t="n">
        <v>3.8539359</v>
      </c>
      <c r="MY8" s="1536" t="n">
        <v>3.8539359</v>
      </c>
      <c r="MZ8" s="1536" t="n">
        <v>3.8539359</v>
      </c>
      <c r="NA8" s="1536" t="n">
        <v>3.8539359</v>
      </c>
      <c r="NB8" s="1536" t="n">
        <v>3.8539359</v>
      </c>
      <c r="NC8" s="1536" t="n">
        <v>3.8539359</v>
      </c>
      <c r="ND8" s="1536" t="n">
        <v>3.8539359</v>
      </c>
      <c r="NE8" s="1536" t="n">
        <v>3.8539359</v>
      </c>
      <c r="NF8" s="1536" t="n">
        <v>3.8539359</v>
      </c>
      <c r="NG8" s="1536" t="n">
        <v>3.8539359</v>
      </c>
      <c r="NH8" s="1536" t="n">
        <v>3.8539359</v>
      </c>
      <c r="NI8" s="1536" t="n">
        <v>3.8539359</v>
      </c>
      <c r="NJ8" s="1536" t="n">
        <v>3.8539359</v>
      </c>
      <c r="NK8" s="1536" t="n">
        <v>3.8539359</v>
      </c>
      <c r="NL8" s="1536" t="n">
        <v>3.8539359</v>
      </c>
      <c r="NM8" s="1536" t="n">
        <v>3.8539359</v>
      </c>
      <c r="NN8" s="1536" t="n">
        <v>3.8539359</v>
      </c>
      <c r="NO8" s="1536" t="n">
        <v>3.8539359</v>
      </c>
      <c r="NP8" s="1536" t="n">
        <v>3.8539359</v>
      </c>
      <c r="NQ8" s="1536" t="n">
        <v>3.8539359</v>
      </c>
      <c r="NR8" s="1536" t="n">
        <v>3.8539359</v>
      </c>
      <c r="NS8" s="1536" t="n">
        <v>3.8539359</v>
      </c>
      <c r="NT8" s="1536" t="n">
        <v>3.8539359</v>
      </c>
      <c r="NU8" s="1536" t="n">
        <v>3.8539359</v>
      </c>
      <c r="NV8" s="1536" t="n">
        <v>3.8539359</v>
      </c>
      <c r="NW8" s="1536" t="n">
        <v>3.8539359</v>
      </c>
      <c r="NX8" s="1536" t="n">
        <v>3.8539359</v>
      </c>
      <c r="NY8" s="1536" t="n">
        <v>3.8311059</v>
      </c>
      <c r="NZ8" s="1536" t="n">
        <v>3.8311059</v>
      </c>
      <c r="OA8" s="1536" t="n">
        <v>3.8311059</v>
      </c>
      <c r="OB8" s="1536" t="n">
        <v>3.8311059</v>
      </c>
      <c r="OC8" s="1536" t="n">
        <v>3.8311059</v>
      </c>
      <c r="OD8" s="1536" t="n">
        <v>3.8296059</v>
      </c>
      <c r="OE8" s="1536" t="n">
        <v>3.8296059</v>
      </c>
      <c r="OF8" s="1536" t="n">
        <v>3.8296059</v>
      </c>
      <c r="OG8" s="1536" t="n">
        <v>3.8296059</v>
      </c>
      <c r="OH8" s="1536" t="n">
        <v>3.8296059</v>
      </c>
      <c r="OI8" s="1536" t="n">
        <v>3.8296059</v>
      </c>
      <c r="OJ8" s="1536" t="n">
        <v>3.8296059</v>
      </c>
      <c r="OK8" s="1536" t="n">
        <v>3.8296059</v>
      </c>
      <c r="OL8" s="1536" t="n">
        <v>3.8296059</v>
      </c>
      <c r="OM8" s="1536" t="n">
        <v>3.8296059</v>
      </c>
      <c r="ON8" s="1536" t="n">
        <v>3.7667159</v>
      </c>
      <c r="OO8" s="1536" t="n">
        <v>3.76454923</v>
      </c>
      <c r="OP8" s="1536" t="n">
        <v>3.76454923</v>
      </c>
      <c r="OQ8" s="1536" t="n">
        <v>3.76454923</v>
      </c>
      <c r="OR8" s="1536" t="n">
        <v>3.76454923</v>
      </c>
      <c r="OS8" s="1536" t="n">
        <v>3.76454923</v>
      </c>
      <c r="OT8" s="1536" t="n">
        <v>3.76454923</v>
      </c>
      <c r="OU8" s="1536" t="n">
        <v>3.76454923</v>
      </c>
      <c r="OV8" s="1536" t="n">
        <v>3.76454923</v>
      </c>
      <c r="OW8" s="1536" t="n">
        <v>3.76454923</v>
      </c>
      <c r="OX8" s="1536" t="n">
        <v>3.76295323</v>
      </c>
      <c r="OY8" s="1536" t="n">
        <v>3.76295323</v>
      </c>
      <c r="OZ8" s="1536" t="n">
        <v>3.76295323</v>
      </c>
      <c r="PA8" s="1536" t="n">
        <v>3.76295323</v>
      </c>
      <c r="PB8" s="1536" t="n">
        <v>3.76295323</v>
      </c>
      <c r="PC8" s="1536" t="n">
        <v>3.76295323</v>
      </c>
      <c r="PD8" s="1536" t="n">
        <v>3.73922323</v>
      </c>
      <c r="PE8" s="1536" t="n">
        <v>3.73922323</v>
      </c>
      <c r="PF8" s="1536" t="n">
        <v>3.93322323</v>
      </c>
      <c r="PG8" s="1536" t="n">
        <v>3.93322323</v>
      </c>
      <c r="PH8" s="1536" t="n">
        <v>3.93322323</v>
      </c>
      <c r="PI8" s="1536" t="n">
        <v>3.93322323</v>
      </c>
      <c r="PJ8" s="1536" t="n">
        <v>4.10120895</v>
      </c>
      <c r="PK8" s="1536" t="n">
        <v>4.10120895</v>
      </c>
      <c r="PL8" s="1536" t="n">
        <v>4.10120895</v>
      </c>
      <c r="PM8" s="1536" t="n">
        <v>4.10120895</v>
      </c>
      <c r="PN8" s="1536" t="n">
        <v>4.10120895</v>
      </c>
      <c r="PO8" s="1536" t="n">
        <v>4.10120895</v>
      </c>
      <c r="PP8" s="1536" t="n">
        <v>4.09916495</v>
      </c>
      <c r="PQ8" s="1536" t="n">
        <v>4.09916495</v>
      </c>
      <c r="PR8" s="1536" t="n">
        <v>4.09916495</v>
      </c>
      <c r="PS8" s="1536" t="n">
        <v>4.09916495</v>
      </c>
      <c r="PT8" s="1536" t="n">
        <v>4.09916495</v>
      </c>
      <c r="PU8" s="1536" t="n">
        <v>4.09916495</v>
      </c>
      <c r="PV8" s="1536" t="n">
        <v>4.09916495</v>
      </c>
      <c r="PW8" s="1536" t="n">
        <v>4.09916495</v>
      </c>
      <c r="PX8" s="1536" t="n">
        <v>4.09366496</v>
      </c>
      <c r="PY8" s="1536" t="n">
        <v>4.09366496</v>
      </c>
      <c r="PZ8" s="1536" t="n">
        <v>4.09366496</v>
      </c>
      <c r="QA8" s="1536" t="n">
        <v>4.09366496</v>
      </c>
      <c r="QB8" s="1536" t="n">
        <v>4.09366496</v>
      </c>
      <c r="QC8" s="1536" t="n">
        <v>4.09366496</v>
      </c>
      <c r="QD8" s="1536" t="n">
        <v>4.04504084</v>
      </c>
      <c r="QE8" s="1536" t="n">
        <v>4.04504084</v>
      </c>
      <c r="QF8" s="1536" t="n">
        <v>4.04504084</v>
      </c>
      <c r="QG8" s="1536" t="n">
        <v>4.04504084</v>
      </c>
      <c r="QH8" s="1536" t="n">
        <v>4.04504084</v>
      </c>
      <c r="QI8" s="1536" t="n">
        <v>4.04504084</v>
      </c>
      <c r="QJ8" s="1536" t="n">
        <v>4.043508839999999</v>
      </c>
      <c r="QK8" s="1536" t="n">
        <v>4.043508839999999</v>
      </c>
      <c r="QL8" s="1536" t="n">
        <v>4.043508839999999</v>
      </c>
      <c r="QM8" s="1536" t="n">
        <v>4.043508839999999</v>
      </c>
      <c r="QN8" s="1536" t="n">
        <v>4.043508839999999</v>
      </c>
      <c r="QO8" s="1536" t="n">
        <v>4.043508839999999</v>
      </c>
      <c r="QP8" s="1536" t="n">
        <v>4.043508839999999</v>
      </c>
      <c r="QQ8" s="1536" t="n">
        <v>4.043508839999999</v>
      </c>
      <c r="QR8" s="1536" t="n">
        <v>4.043508839999999</v>
      </c>
      <c r="QS8" s="1536" t="n">
        <v>4.043508839999999</v>
      </c>
      <c r="QT8" s="1536" t="n">
        <v>4.02487284</v>
      </c>
      <c r="QU8" s="1536" t="n">
        <v>4.02487284</v>
      </c>
      <c r="QV8" s="1536" t="n">
        <v>4.02487284</v>
      </c>
      <c r="QW8" s="1536" t="n">
        <v>4.02487284</v>
      </c>
      <c r="QX8" s="1536" t="n">
        <v>4.02487284</v>
      </c>
      <c r="QY8" s="1536" t="n">
        <v>4.02487284</v>
      </c>
      <c r="QZ8" s="1536" t="n">
        <v>4.02487284</v>
      </c>
      <c r="RA8" s="1536" t="n">
        <v>4.02487284</v>
      </c>
      <c r="RB8" s="1536" t="n">
        <v>4.02487284</v>
      </c>
      <c r="RC8" s="1536" t="n">
        <v>4.02487284</v>
      </c>
      <c r="RD8" s="1536" t="n">
        <v>4.02337284</v>
      </c>
      <c r="RE8" s="1536" t="n">
        <v>4.02337284</v>
      </c>
      <c r="RF8" s="1536" t="n">
        <v>4.02337284</v>
      </c>
      <c r="RG8" s="1536" t="n">
        <v>4.02337284</v>
      </c>
      <c r="RH8" s="1536" t="n">
        <v>4.02337284</v>
      </c>
      <c r="RI8" s="1536" t="n">
        <v>4.02337284</v>
      </c>
      <c r="RJ8" s="1536" t="n">
        <v>4.02337284</v>
      </c>
      <c r="RK8" s="1536" t="n">
        <v>4.02337284</v>
      </c>
      <c r="RL8" s="1536" t="n">
        <v>4.02337284</v>
      </c>
      <c r="RM8" s="1536" t="n">
        <v>4.02337284</v>
      </c>
      <c r="RN8" s="1536" t="n">
        <v>4.02337284</v>
      </c>
      <c r="RO8" s="1536" t="n">
        <v>4.02337284</v>
      </c>
      <c r="RP8" s="1536" t="n">
        <v>4.02337284</v>
      </c>
      <c r="RQ8" s="1536" t="n">
        <v>3.99835351</v>
      </c>
      <c r="RR8" s="1536" t="n">
        <v>3.99835351</v>
      </c>
      <c r="RS8" s="1536" t="n">
        <v>3.99835351</v>
      </c>
      <c r="RT8" s="1536" t="n">
        <v>3.99835351</v>
      </c>
      <c r="RU8" s="1536" t="n">
        <v>3.99835351</v>
      </c>
      <c r="RV8" s="1536" t="n">
        <v>3.99835351</v>
      </c>
      <c r="RW8" s="1536" t="n">
        <v>3.99835351</v>
      </c>
      <c r="RX8" s="1536" t="n">
        <v>3.99835351</v>
      </c>
      <c r="RY8" s="1536" t="n">
        <v>3.99685351</v>
      </c>
      <c r="RZ8" s="1536" t="n">
        <v>3.99685351</v>
      </c>
      <c r="SA8" s="1536" t="n">
        <v>3.99685351</v>
      </c>
      <c r="SB8" s="1536" t="n">
        <v>3.99685351</v>
      </c>
      <c r="SC8" s="1536" t="n">
        <v>3.99685351</v>
      </c>
      <c r="SD8" s="1536" t="n">
        <v>3.99685351</v>
      </c>
      <c r="SE8" s="1536" t="n">
        <v>3.99685351</v>
      </c>
      <c r="SF8" s="1536" t="n">
        <v>3.99685351</v>
      </c>
      <c r="SG8" s="1536" t="n">
        <v>3.98665251</v>
      </c>
      <c r="SH8" s="1536" t="n">
        <v>3.98665251</v>
      </c>
      <c r="SI8" s="1536" t="n">
        <v>3.98665251</v>
      </c>
      <c r="SJ8" s="1536" t="n">
        <v>3.98665251</v>
      </c>
      <c r="SK8" s="1536" t="n">
        <v>3.98665251</v>
      </c>
      <c r="SL8" s="1536" t="n">
        <v>3.98665251</v>
      </c>
      <c r="SM8" s="1536" t="n">
        <v>3.98665251</v>
      </c>
      <c r="SN8" s="1536" t="n">
        <v>3.98665251</v>
      </c>
      <c r="SO8" s="1536" t="n">
        <v>3.98665251</v>
      </c>
      <c r="SP8" s="1536" t="n">
        <v>3.98665251</v>
      </c>
      <c r="SQ8" s="1536" t="n">
        <v>3.98665251</v>
      </c>
      <c r="SR8" s="1536" t="n">
        <v>3.98665251</v>
      </c>
      <c r="SS8" s="1536" t="n">
        <v>3.98515251</v>
      </c>
      <c r="ST8" s="1536" t="n">
        <v>3.98515251</v>
      </c>
      <c r="SU8" s="1536" t="n">
        <v>3.98515251</v>
      </c>
      <c r="SV8" s="1536" t="n">
        <v>3.98515251</v>
      </c>
      <c r="SW8" s="1536" t="n">
        <v>3.98515251</v>
      </c>
      <c r="SX8" s="1536" t="n">
        <v>3.98515251</v>
      </c>
      <c r="SY8" s="1536" t="n">
        <v>3.98515251</v>
      </c>
      <c r="SZ8" s="1536" t="n">
        <v>3.98515251</v>
      </c>
      <c r="TA8" s="1536" t="n">
        <v>3.98515251</v>
      </c>
      <c r="TB8" s="1536" t="n">
        <v>3.98515251</v>
      </c>
      <c r="TC8" s="1536" t="n">
        <v>3.98515251</v>
      </c>
      <c r="TD8" s="1536" t="n">
        <v>3.98515251</v>
      </c>
      <c r="TE8" s="1536" t="n">
        <v>3.98515251</v>
      </c>
      <c r="TF8" s="1536" t="n">
        <v>3.97827651</v>
      </c>
      <c r="TG8" s="1536" t="n">
        <v>3.97677651</v>
      </c>
      <c r="TH8" s="1536" t="n">
        <v>3.97677651</v>
      </c>
      <c r="TI8" s="1536" t="n">
        <v>3.97413051</v>
      </c>
      <c r="TJ8" s="1536" t="n">
        <v>3.97413051</v>
      </c>
      <c r="TK8" s="1536" t="n">
        <v>3.97413051</v>
      </c>
      <c r="TL8" s="1536" t="n">
        <v>3.97413051</v>
      </c>
      <c r="TM8" s="1536" t="n">
        <v>3.97413051</v>
      </c>
      <c r="TN8" s="1536" t="n">
        <v>3.97413051</v>
      </c>
      <c r="TO8" s="1536" t="n">
        <v>3.97263051</v>
      </c>
      <c r="TP8" s="1536" t="n">
        <v>3.97263051</v>
      </c>
      <c r="TQ8" s="1536" t="n">
        <v>3.97263051</v>
      </c>
      <c r="TR8" s="1536" t="n">
        <v>3.96917251</v>
      </c>
      <c r="TS8" s="1536" t="n">
        <v>3.96917251</v>
      </c>
      <c r="TT8" s="1536" t="n">
        <v>3.96917251</v>
      </c>
      <c r="TU8" s="1536" t="n">
        <v>3.96917251</v>
      </c>
      <c r="TV8" s="1536" t="n">
        <v>3.96917251</v>
      </c>
      <c r="TW8" s="1536" t="n">
        <v>3.96767251</v>
      </c>
      <c r="TX8" s="1536" t="n">
        <v>3.96767251</v>
      </c>
      <c r="TY8" s="1536" t="n">
        <v>3.86779251</v>
      </c>
      <c r="TZ8" s="1536" t="n">
        <v>3.87424451</v>
      </c>
      <c r="UA8" s="1536" t="n">
        <v>3.87424451</v>
      </c>
      <c r="UB8" s="1536" t="n">
        <v>2.30801811</v>
      </c>
      <c r="UC8" s="1536" t="n">
        <v>3.6604957</v>
      </c>
      <c r="UD8" s="1536" t="n">
        <v>20.51583856</v>
      </c>
      <c r="UE8" s="1536" t="n">
        <v>15.65417948</v>
      </c>
      <c r="UF8" s="1536" t="n">
        <v>6.90144527</v>
      </c>
      <c r="UG8" s="1536" t="n">
        <v>3.01696032</v>
      </c>
      <c r="UH8" s="1536" t="n">
        <v>1.72531232</v>
      </c>
      <c r="UI8" s="1536" t="n">
        <v>0.71657337</v>
      </c>
      <c r="UJ8" s="1536" t="n">
        <v>1.83502744</v>
      </c>
      <c r="UK8" s="1536" t="n">
        <v>0.9424904200000001</v>
      </c>
      <c r="UL8" s="1536" t="n">
        <v>5.251638509999999</v>
      </c>
      <c r="UM8" s="1536" t="n">
        <v>6.34358336</v>
      </c>
      <c r="UN8" s="1536" t="n">
        <v>7.16668818</v>
      </c>
      <c r="UO8" s="1536" t="n">
        <v>6.46038191</v>
      </c>
      <c r="UP8" s="1536" t="n">
        <v>2.81404991</v>
      </c>
      <c r="UQ8" s="1536" t="n">
        <v>5.43131378</v>
      </c>
      <c r="UR8" s="1536" t="n">
        <v>3.72841962</v>
      </c>
      <c r="US8" s="1536" t="n">
        <v>3.72841962</v>
      </c>
      <c r="UT8" s="1536" t="n">
        <v>1.40623429</v>
      </c>
      <c r="UU8" s="1536" t="n">
        <v>3.14249953</v>
      </c>
      <c r="UV8" s="1536" t="n">
        <v>2.23100026</v>
      </c>
      <c r="UW8" s="1536" t="n">
        <v>2.23100026</v>
      </c>
      <c r="UX8" s="1536" t="n">
        <v>6.744093139999999</v>
      </c>
      <c r="UY8" s="1536" t="n">
        <v>6.744093139999999</v>
      </c>
      <c r="UZ8" s="1536" t="n">
        <v>2.14410971</v>
      </c>
      <c r="VA8" s="1536" t="n">
        <v>2.00607011</v>
      </c>
      <c r="VB8" s="1536" t="n">
        <v>4.87269386</v>
      </c>
      <c r="VC8" s="1536" t="n">
        <v>9.652750119999999</v>
      </c>
      <c r="VD8" s="1536" t="n">
        <v>3.73888592</v>
      </c>
      <c r="VE8" s="1536" t="n">
        <v>3.38041281</v>
      </c>
      <c r="VF8" s="1536" t="n">
        <v>9.250223980000001</v>
      </c>
      <c r="VG8" s="1536" t="n">
        <v>12.03203251</v>
      </c>
      <c r="VH8" s="1536" t="n">
        <v>15.37658785</v>
      </c>
      <c r="VI8" s="1536" t="n">
        <v>21.10989986</v>
      </c>
      <c r="VJ8" s="1536" t="n">
        <v>28.21364514</v>
      </c>
      <c r="VK8" s="1536" t="n">
        <v>20.47162631</v>
      </c>
      <c r="VL8" s="1536" t="n">
        <v>48.60039847</v>
      </c>
      <c r="VM8" s="1536" t="n">
        <v>50.5307307</v>
      </c>
      <c r="VN8" s="1536" t="n">
        <v>26.6040712</v>
      </c>
      <c r="VO8" s="1536" t="n">
        <v>53.24779792</v>
      </c>
      <c r="VP8" s="1536" t="n">
        <v>75.21635448000001</v>
      </c>
      <c r="VQ8" s="1536" t="n">
        <v>70.00625212999999</v>
      </c>
      <c r="VR8" s="1536" t="n">
        <v>110.7769444</v>
      </c>
      <c r="VS8" s="1536" t="n">
        <v>129.95271828</v>
      </c>
      <c r="VT8" s="1536" t="n">
        <v>142.68955249</v>
      </c>
      <c r="VU8" s="1536" t="n">
        <v>150.57673611</v>
      </c>
      <c r="VV8" s="1536" t="n">
        <v>151.99330609</v>
      </c>
      <c r="VW8" s="1536" t="n">
        <v>160.27330609</v>
      </c>
      <c r="VX8" s="1536" t="n">
        <v>123.64992</v>
      </c>
      <c r="VY8" s="1536" t="n">
        <v>123.79326711</v>
      </c>
      <c r="VZ8" s="1536" t="n">
        <v>126.45241743</v>
      </c>
      <c r="WA8" s="1536" t="n">
        <v>136.53191128</v>
      </c>
      <c r="WB8" s="1536" t="n">
        <v>144.20078525</v>
      </c>
      <c r="WC8" s="1536" t="n">
        <v>179.93283718</v>
      </c>
      <c r="WD8" s="1536" t="n">
        <v>187.94236918</v>
      </c>
      <c r="WE8" s="1536" t="n">
        <v>154.48196066</v>
      </c>
      <c r="WF8" s="1536" t="n">
        <v>154.46021066</v>
      </c>
      <c r="WG8" s="1536" t="n">
        <v>203.44717735</v>
      </c>
      <c r="WH8" s="1536" t="n">
        <v>194.38503287</v>
      </c>
      <c r="WI8" s="1536" t="n">
        <v>191.40826084</v>
      </c>
      <c r="WJ8" s="1536" t="n">
        <v>222.32161024</v>
      </c>
      <c r="WK8" s="1536" t="n">
        <v>154.94998342</v>
      </c>
      <c r="WL8" s="1536" t="n">
        <v>154.94998342</v>
      </c>
      <c r="WM8" s="1536" t="n">
        <v>23.06360933</v>
      </c>
      <c r="WN8" s="1536" t="n">
        <v>34.05574274</v>
      </c>
      <c r="WO8" s="1536" t="n">
        <v>42.41174274</v>
      </c>
      <c r="WP8" s="1536" t="n">
        <v>68.86174274</v>
      </c>
      <c r="WQ8" s="1536" t="n">
        <v>85.39630240999999</v>
      </c>
      <c r="WR8" s="1536" t="n">
        <v>85.04689020000001</v>
      </c>
      <c r="WS8" s="1536" t="n">
        <v>70.38983356</v>
      </c>
      <c r="WT8" s="1536" t="n">
        <v>60.11019201</v>
      </c>
      <c r="WU8" s="1536" t="n">
        <v>60.11019201</v>
      </c>
      <c r="WV8" s="1536" t="n">
        <v>57.30619456</v>
      </c>
      <c r="WW8" s="1536" t="n">
        <v>57.45687949</v>
      </c>
      <c r="WX8" s="1536" t="n">
        <v>56.28278272</v>
      </c>
      <c r="WY8" s="1536" t="n">
        <v>54.70152561</v>
      </c>
      <c r="WZ8" s="1536" t="n">
        <v>43.26427817</v>
      </c>
      <c r="XA8" s="1536" t="n">
        <v>43.26423386</v>
      </c>
      <c r="XB8" s="1536" t="n">
        <v>43.15921786</v>
      </c>
      <c r="XC8" s="1536" t="n">
        <v>31.91255599</v>
      </c>
      <c r="XD8" s="1536" t="n">
        <v>31.99888932</v>
      </c>
      <c r="XE8" s="1536" t="n">
        <v>31.16344057</v>
      </c>
      <c r="XF8" s="1536" t="n">
        <v>30.12117326</v>
      </c>
      <c r="XG8" s="1536" t="n">
        <v>31.86793439</v>
      </c>
      <c r="XH8" s="1536" t="n">
        <v>18.79027622</v>
      </c>
      <c r="XI8" s="1536" t="n">
        <v>20.63338166</v>
      </c>
      <c r="XJ8" s="1536" t="n">
        <v>58.7403285</v>
      </c>
      <c r="XK8" s="1536" t="n">
        <v>57.96388335</v>
      </c>
      <c r="XL8" s="1536" t="n">
        <v>42.67432169</v>
      </c>
      <c r="XM8" s="1536" t="n">
        <v>48.1146801</v>
      </c>
      <c r="XN8" s="1536" t="n">
        <v>46.25210721</v>
      </c>
      <c r="XO8" s="1536" t="n">
        <v>58.80328812</v>
      </c>
      <c r="XP8" s="1536" t="n">
        <v>66.46569084000001</v>
      </c>
      <c r="XQ8" s="1536" t="n">
        <v>84.79791725</v>
      </c>
      <c r="XR8" s="1536" t="n">
        <v>91.50958643000001</v>
      </c>
      <c r="XS8" s="1536" t="n">
        <v>91.50168643000001</v>
      </c>
      <c r="XT8" s="1536" t="n">
        <v>94.62271343</v>
      </c>
      <c r="XU8" s="1536" t="n">
        <v>103.77215943</v>
      </c>
      <c r="XV8" s="1536" t="n">
        <v>95.51679591</v>
      </c>
      <c r="XW8" s="1536" t="n">
        <v>95.30847308</v>
      </c>
      <c r="XX8" s="1536" t="n">
        <v>101.30847308</v>
      </c>
      <c r="XY8" s="1536" t="n">
        <v>113.68794741</v>
      </c>
      <c r="XZ8" s="1536" t="n">
        <v>124.84332163</v>
      </c>
      <c r="YA8" s="1536" t="n">
        <v>127.81368883</v>
      </c>
      <c r="YB8" s="1536" t="n">
        <v>143.23210125</v>
      </c>
      <c r="YC8" s="1536" t="n">
        <v>141.27382267</v>
      </c>
      <c r="YD8" s="1536" t="n">
        <v>156.46277021</v>
      </c>
      <c r="YE8" s="1536" t="n">
        <v>158.92430414</v>
      </c>
      <c r="YF8" s="1536" t="n">
        <v>169.54432517</v>
      </c>
      <c r="YG8" s="1536" t="n">
        <v>167.5966413</v>
      </c>
      <c r="YH8" s="1536" t="n">
        <v>170.86358154</v>
      </c>
      <c r="YI8" s="1536" t="n">
        <v>178.05735361</v>
      </c>
      <c r="YJ8" s="1537" t="n">
        <v>117.67053525</v>
      </c>
    </row>
    <row r="9">
      <c r="B9" s="917" t="inlineStr">
        <is>
          <t>CPFR</t>
        </is>
      </c>
      <c r="C9" s="1532" t="n">
        <v>291.67094104</v>
      </c>
      <c r="D9" s="1533" t="n">
        <v>143.41350702</v>
      </c>
      <c r="E9" s="1533" t="n">
        <v>139.23295875</v>
      </c>
      <c r="F9" s="1533" t="n">
        <v>139.24422579</v>
      </c>
      <c r="G9" s="1533" t="n">
        <v>135.85650455</v>
      </c>
      <c r="H9" s="1533" t="n">
        <v>78.80920927</v>
      </c>
      <c r="I9" s="1533" t="n">
        <v>78.7717495</v>
      </c>
      <c r="J9" s="1533" t="n">
        <v>78.67747378999999</v>
      </c>
      <c r="K9" s="1533" t="n">
        <v>78.67090541</v>
      </c>
      <c r="L9" s="1533" t="n">
        <v>8.795670980000001</v>
      </c>
      <c r="M9" s="1533" t="n">
        <v>8.364504800000001</v>
      </c>
      <c r="N9" s="1533" t="n">
        <v>8.28406343</v>
      </c>
      <c r="O9" s="1533" t="n">
        <v>8.249126520000001</v>
      </c>
      <c r="P9" s="1533" t="n">
        <v>49.79756208</v>
      </c>
      <c r="Q9" s="1533" t="n">
        <v>48.95414591</v>
      </c>
      <c r="R9" s="1533" t="n">
        <v>48.42126768</v>
      </c>
      <c r="S9" s="1533" t="n">
        <v>44.23315555</v>
      </c>
      <c r="T9" s="1533" t="n">
        <v>44.16377204</v>
      </c>
      <c r="U9" s="1533" t="n">
        <v>48.84639638</v>
      </c>
      <c r="V9" s="1533" t="n">
        <v>44.57521874</v>
      </c>
      <c r="W9" s="1533" t="n">
        <v>47.45901484</v>
      </c>
      <c r="X9" s="1533" t="n">
        <v>45.82451494</v>
      </c>
      <c r="Y9" s="1533" t="n">
        <v>36.72046259</v>
      </c>
      <c r="Z9" s="1533" t="n">
        <v>39.5545187</v>
      </c>
      <c r="AA9" s="1533" t="n">
        <v>39.55399939</v>
      </c>
      <c r="AB9" s="1533" t="n">
        <v>37.72634342</v>
      </c>
      <c r="AC9" s="1533" t="n">
        <v>42.82321951</v>
      </c>
      <c r="AD9" s="1533" t="n">
        <v>42.95515862</v>
      </c>
      <c r="AE9" s="1533" t="n">
        <v>47.74711299</v>
      </c>
      <c r="AF9" s="1533" t="n">
        <v>43.00254742</v>
      </c>
      <c r="AG9" s="1533" t="n">
        <v>37.86549255</v>
      </c>
      <c r="AH9" s="1533" t="n">
        <v>40.12113329</v>
      </c>
      <c r="AI9" s="1533" t="n">
        <v>47.40028659</v>
      </c>
      <c r="AJ9" s="1533" t="n">
        <v>68.01651108</v>
      </c>
      <c r="AK9" s="1533" t="n">
        <v>69.32308485</v>
      </c>
      <c r="AL9" s="1533" t="n">
        <v>147.13494545</v>
      </c>
      <c r="AM9" s="1533" t="n">
        <v>160.65739896</v>
      </c>
      <c r="AN9" s="1533" t="n">
        <v>170.1936081</v>
      </c>
      <c r="AO9" s="1533" t="n">
        <v>180.1266081</v>
      </c>
      <c r="AP9" s="1533" t="n">
        <v>144.79288967</v>
      </c>
      <c r="AQ9" s="1533" t="n">
        <v>149.18389383</v>
      </c>
      <c r="AR9" s="1533" t="n">
        <v>152.55880774</v>
      </c>
      <c r="AS9" s="1533" t="n">
        <v>158.45568237</v>
      </c>
      <c r="AT9" s="1533" t="n">
        <v>167.83231421</v>
      </c>
      <c r="AU9" s="1533" t="n">
        <v>108.09742876</v>
      </c>
      <c r="AV9" s="1533" t="n">
        <v>137.15783232</v>
      </c>
      <c r="AW9" s="1533" t="n">
        <v>136.99334515</v>
      </c>
      <c r="AX9" s="1533" t="n">
        <v>156.298411</v>
      </c>
      <c r="AY9" s="1533" t="n">
        <v>170.21107512</v>
      </c>
      <c r="AZ9" s="1533" t="n">
        <v>186.9648287</v>
      </c>
      <c r="BA9" s="1533" t="n">
        <v>197.39995333</v>
      </c>
      <c r="BB9" s="1533" t="n">
        <v>214.79365033</v>
      </c>
      <c r="BC9" s="1533" t="n">
        <v>225.85946388</v>
      </c>
      <c r="BD9" s="1533" t="n">
        <v>195.38044469</v>
      </c>
      <c r="BE9" s="1533" t="n">
        <v>273.4569524199999</v>
      </c>
      <c r="BF9" s="1533" t="n">
        <v>56.59639518</v>
      </c>
      <c r="BG9" s="1533" t="n">
        <v>58.71928284000001</v>
      </c>
      <c r="BH9" s="1533" t="n">
        <v>163.81194063</v>
      </c>
      <c r="BI9" s="1533" t="n">
        <v>168.85360529</v>
      </c>
      <c r="BJ9" s="1533" t="n">
        <v>173.42238814</v>
      </c>
      <c r="BK9" s="1533" t="n">
        <v>46.10579184</v>
      </c>
      <c r="BL9" s="1533" t="n">
        <v>54.3191936</v>
      </c>
      <c r="BM9" s="1533" t="n">
        <v>65.52451214</v>
      </c>
      <c r="BN9" s="1533" t="n">
        <v>61.02470619</v>
      </c>
      <c r="BO9" s="1533" t="n">
        <v>53.80598681</v>
      </c>
      <c r="BP9" s="1533" t="n">
        <v>66.49786570000001</v>
      </c>
      <c r="BQ9" s="1533" t="n">
        <v>71.23482523999999</v>
      </c>
      <c r="BR9" s="1533" t="n">
        <v>79.88035044</v>
      </c>
      <c r="BS9" s="1533" t="n">
        <v>71.49769762999999</v>
      </c>
      <c r="BT9" s="1533" t="n">
        <v>82.22643533</v>
      </c>
      <c r="BU9" s="1533" t="n">
        <v>90.17898829000001</v>
      </c>
      <c r="BV9" s="1533" t="n">
        <v>96.63998829000001</v>
      </c>
      <c r="BW9" s="1533" t="n">
        <v>102.11301923</v>
      </c>
      <c r="BX9" s="1533" t="n">
        <v>111.36516259</v>
      </c>
      <c r="BY9" s="1533" t="n">
        <v>111.30368076</v>
      </c>
      <c r="BZ9" s="1533" t="n">
        <v>103.39978328</v>
      </c>
      <c r="CA9" s="1533" t="n">
        <v>98.34385698</v>
      </c>
      <c r="CB9" s="1533" t="n">
        <v>102.13357688</v>
      </c>
      <c r="CC9" s="1533" t="n">
        <v>108.00887245</v>
      </c>
      <c r="CD9" s="1533" t="n">
        <v>114.29185145</v>
      </c>
      <c r="CE9" s="1533" t="n">
        <v>123.3532337</v>
      </c>
      <c r="CF9" s="1533" t="n">
        <v>130.31951701</v>
      </c>
      <c r="CG9" s="1533" t="n">
        <v>136.33679505</v>
      </c>
      <c r="CH9" s="1533" t="n">
        <v>142.45424074</v>
      </c>
      <c r="CI9" s="1533" t="n">
        <v>148.2196383</v>
      </c>
      <c r="CJ9" s="1533" t="n">
        <v>206.29399621</v>
      </c>
      <c r="CK9" s="1533" t="n">
        <v>213.6553713</v>
      </c>
      <c r="CL9" s="1533" t="n">
        <v>219.34775485</v>
      </c>
      <c r="CM9" s="1533" t="n">
        <v>246.10681219</v>
      </c>
      <c r="CN9" s="1533" t="n">
        <v>227.63594159</v>
      </c>
      <c r="CO9" s="1533" t="n">
        <v>231.72112009</v>
      </c>
      <c r="CP9" s="1533" t="n">
        <v>244.94903595</v>
      </c>
      <c r="CQ9" s="1533" t="n">
        <v>251.79406358</v>
      </c>
      <c r="CR9" s="1533" t="n">
        <v>264.90438146</v>
      </c>
      <c r="CS9" s="1533" t="n">
        <v>275.58618516</v>
      </c>
      <c r="CT9" s="1533" t="n">
        <v>285.50366001</v>
      </c>
      <c r="CU9" s="1533" t="n">
        <v>312.89287534</v>
      </c>
      <c r="CV9" s="1533" t="n">
        <v>302.69675219</v>
      </c>
      <c r="CW9" s="1533" t="n">
        <v>299.47453695</v>
      </c>
      <c r="CX9" s="1533" t="n">
        <v>306.55214531</v>
      </c>
      <c r="CY9" s="1533" t="n">
        <v>315.75846117</v>
      </c>
      <c r="CZ9" s="1533" t="n">
        <v>320.9818044</v>
      </c>
      <c r="DA9" s="1533" t="n">
        <v>328.23735076</v>
      </c>
      <c r="DB9" s="1533" t="n">
        <v>321.41453869</v>
      </c>
      <c r="DC9" s="1533" t="n">
        <v>334.96035022</v>
      </c>
      <c r="DD9" s="1533" t="n">
        <v>334.75307263</v>
      </c>
      <c r="DE9" s="1533" t="n">
        <v>346.89838141</v>
      </c>
      <c r="DF9" s="1533" t="n">
        <v>356.358504</v>
      </c>
      <c r="DG9" s="1533" t="n">
        <v>356.2741568</v>
      </c>
      <c r="DH9" s="1533" t="n">
        <v>363.7525765</v>
      </c>
      <c r="DI9" s="1533" t="n">
        <v>364.32578923</v>
      </c>
      <c r="DJ9" s="1533" t="n">
        <v>368.29236957</v>
      </c>
      <c r="DK9" s="1533" t="n">
        <v>382.0249429</v>
      </c>
      <c r="DL9" s="1533" t="n">
        <v>382.7348571</v>
      </c>
      <c r="DM9" s="1533" t="n">
        <v>390.06520007</v>
      </c>
      <c r="DN9" s="1533" t="n">
        <v>393.61480117</v>
      </c>
      <c r="DO9" s="1533" t="n">
        <v>401.18967682</v>
      </c>
      <c r="DP9" s="1533" t="n">
        <v>403.82239482</v>
      </c>
      <c r="DQ9" s="1533" t="n">
        <v>411.31745941</v>
      </c>
      <c r="DR9" s="1533" t="n">
        <v>415.45618199</v>
      </c>
      <c r="DS9" s="1533" t="n">
        <v>428.51567511</v>
      </c>
      <c r="DT9" s="1533" t="n">
        <v>430.99991299</v>
      </c>
      <c r="DU9" s="1533" t="n">
        <v>446.33772319</v>
      </c>
      <c r="DV9" s="1533" t="n">
        <v>459.59172356</v>
      </c>
      <c r="DW9" s="1533" t="n">
        <v>431.38998498</v>
      </c>
      <c r="DX9" s="944" t="n">
        <v>435.87662798</v>
      </c>
      <c r="DY9" s="1533" t="n">
        <v>317.20245335</v>
      </c>
      <c r="DZ9" s="1533" t="n">
        <v>328.6128711</v>
      </c>
      <c r="EA9" s="1533" t="n">
        <v>333.7940228</v>
      </c>
      <c r="EB9" s="1533" t="n">
        <v>341.29101751</v>
      </c>
      <c r="EC9" s="1533" t="n">
        <v>350.71163741</v>
      </c>
      <c r="ED9" s="1533" t="n">
        <v>353.82739887</v>
      </c>
      <c r="EE9" s="1533" t="n">
        <v>353.7514636</v>
      </c>
      <c r="EF9" s="1533" t="n">
        <v>342.21678797</v>
      </c>
      <c r="EG9" s="1533" t="n">
        <v>362.66634999</v>
      </c>
      <c r="EH9" s="1533" t="n">
        <v>362.66634999</v>
      </c>
      <c r="EI9" s="1533" t="n">
        <v>268.94401582</v>
      </c>
      <c r="EJ9" s="1533" t="n">
        <v>268.88765798</v>
      </c>
      <c r="EK9" s="1533" t="n">
        <v>285.5123667</v>
      </c>
      <c r="EL9" s="1533" t="n">
        <v>284.7340275</v>
      </c>
      <c r="EM9" s="1533" t="n">
        <v>269.97377143</v>
      </c>
      <c r="EN9" s="1533" t="n">
        <v>285.8860015</v>
      </c>
      <c r="EO9" s="1533" t="n">
        <v>288.49414613</v>
      </c>
      <c r="EP9" s="1533" t="n">
        <v>282.04144326</v>
      </c>
      <c r="EQ9" s="1533" t="n">
        <v>291.17508689</v>
      </c>
      <c r="ER9" s="1533" t="n">
        <v>297.48433115</v>
      </c>
      <c r="ES9" s="1533" t="n">
        <v>295.94466067</v>
      </c>
      <c r="ET9" s="1533" t="n">
        <v>308.53183378</v>
      </c>
      <c r="EU9" s="1533" t="n">
        <v>322.26729274</v>
      </c>
      <c r="EV9" s="944" t="n">
        <v>316.60889194</v>
      </c>
      <c r="EW9" s="1533" t="n">
        <v>333.65579077</v>
      </c>
      <c r="EX9" s="1533" t="n">
        <v>350.45927402</v>
      </c>
      <c r="EY9" s="1533" t="n">
        <v>466.64708188</v>
      </c>
      <c r="EZ9" s="1533" t="n">
        <v>436.55817301</v>
      </c>
      <c r="FA9" s="1533" t="n">
        <v>472.08036742</v>
      </c>
      <c r="FB9" s="1533" t="n">
        <v>474.22735095</v>
      </c>
      <c r="FC9" s="1533" t="n">
        <v>476.99588688</v>
      </c>
      <c r="FD9" s="1533" t="n">
        <v>482.2073709700001</v>
      </c>
      <c r="FE9" s="1533" t="n">
        <v>485.78505789</v>
      </c>
      <c r="FF9" s="1533" t="n">
        <v>504.60078593</v>
      </c>
      <c r="FG9" s="1533" t="n">
        <v>511.23297973</v>
      </c>
      <c r="FH9" s="1533" t="n">
        <v>526.4378821</v>
      </c>
      <c r="FI9" s="1533" t="n">
        <v>514.61468569</v>
      </c>
      <c r="FJ9" s="1533" t="n">
        <v>518.09353951</v>
      </c>
      <c r="FK9" s="1533" t="n">
        <v>532.9479363299999</v>
      </c>
      <c r="FL9" s="1533" t="n">
        <v>532.8708525</v>
      </c>
      <c r="FM9" s="1533" t="n">
        <v>550.87549684</v>
      </c>
      <c r="FN9" s="944" t="n">
        <v>562.5351240399999</v>
      </c>
      <c r="FO9" s="1533" t="n">
        <v>556.84407249</v>
      </c>
      <c r="FP9" s="1533" t="n">
        <v>569.0014014</v>
      </c>
      <c r="FQ9" s="1533" t="n">
        <v>578.76385108</v>
      </c>
      <c r="FR9" s="1533" t="n">
        <v>591.3817670599999</v>
      </c>
      <c r="FS9" s="1533" t="n">
        <v>583.12222196</v>
      </c>
      <c r="FT9" s="1533" t="n">
        <v>590.64090924</v>
      </c>
      <c r="FU9" s="1533" t="n">
        <v>591.7770473400001</v>
      </c>
      <c r="FV9" s="1533" t="n">
        <v>603.7603304500001</v>
      </c>
      <c r="FW9" s="1533" t="n">
        <v>585.54894499</v>
      </c>
      <c r="FX9" s="1533" t="n">
        <v>589.93634701</v>
      </c>
      <c r="FY9" s="1533" t="n">
        <v>584.4614484900001</v>
      </c>
      <c r="FZ9" s="1533" t="n">
        <v>501.30612395</v>
      </c>
      <c r="GA9" s="1533" t="n">
        <v>420.42560847</v>
      </c>
      <c r="GB9" s="1533" t="n">
        <v>516.42401369</v>
      </c>
      <c r="GC9" s="1533" t="n">
        <v>502.36689048</v>
      </c>
      <c r="GD9" s="1533" t="n">
        <v>520.70227528</v>
      </c>
      <c r="GE9" s="1533" t="n">
        <v>519.3475277900001</v>
      </c>
      <c r="GF9" s="1533" t="n">
        <v>530.17735719</v>
      </c>
      <c r="GG9" s="1533" t="n">
        <v>417.39117285</v>
      </c>
      <c r="GH9" s="1533" t="n">
        <v>420.96484656</v>
      </c>
      <c r="GI9" s="1533" t="n">
        <v>299.77147243</v>
      </c>
      <c r="GJ9" s="1533" t="n">
        <v>310.34325152</v>
      </c>
      <c r="GK9" s="1533" t="n">
        <v>314.02537829</v>
      </c>
      <c r="GL9" s="1533" t="n">
        <v>317.01758022</v>
      </c>
      <c r="GM9" s="1533" t="n">
        <v>318.97530985</v>
      </c>
      <c r="GN9" s="1533" t="n">
        <v>325.63396735</v>
      </c>
      <c r="GO9" s="1533" t="n">
        <v>324.20602271</v>
      </c>
      <c r="GP9" s="1533" t="n">
        <v>276.02915512</v>
      </c>
      <c r="GQ9" s="1533" t="n">
        <v>280.12314242</v>
      </c>
      <c r="GR9" s="1533" t="n">
        <v>284.83518863</v>
      </c>
      <c r="GS9" s="1533" t="n">
        <v>290.82698181</v>
      </c>
      <c r="GT9" s="1533" t="n">
        <v>235.92828086</v>
      </c>
      <c r="GU9" s="1534" t="n">
        <v>235.92828086</v>
      </c>
      <c r="GV9" s="1533" t="n">
        <v>264.89050477</v>
      </c>
      <c r="GW9" s="1533" t="n">
        <v>232.73313305</v>
      </c>
      <c r="GX9" s="1533" t="n">
        <v>210.25562864</v>
      </c>
      <c r="GY9" s="1533" t="n">
        <v>229.34807362</v>
      </c>
      <c r="GZ9" s="1533" t="n">
        <v>231.6664823</v>
      </c>
      <c r="HA9" s="1533" t="n">
        <v>230.0826453</v>
      </c>
      <c r="HB9" s="1533" t="n">
        <v>231.89517059</v>
      </c>
      <c r="HC9" s="1533" t="n">
        <v>215.67107965</v>
      </c>
      <c r="HD9" s="1533" t="n">
        <v>218.21740834</v>
      </c>
      <c r="HE9" s="1533" t="n">
        <v>105.040621</v>
      </c>
      <c r="HF9" s="1533" t="n">
        <v>116.15791852</v>
      </c>
      <c r="HG9" s="1533" t="n">
        <v>115.608364</v>
      </c>
      <c r="HH9" s="1533" t="n">
        <v>132.0830415</v>
      </c>
      <c r="HI9" s="1533" t="n">
        <v>126.43295844</v>
      </c>
      <c r="HJ9" s="1533" t="n">
        <v>117.71018466</v>
      </c>
      <c r="HK9" s="1533" t="n">
        <v>124.98787876</v>
      </c>
      <c r="HL9" s="1533" t="n">
        <v>82.07735622</v>
      </c>
      <c r="HM9" s="1533" t="n">
        <v>87.21153201</v>
      </c>
      <c r="HN9" s="1533" t="n">
        <v>93.00507251000001</v>
      </c>
      <c r="HO9" s="1533" t="n">
        <v>101.371111</v>
      </c>
      <c r="HP9" s="1533" t="n">
        <v>116.40167913</v>
      </c>
      <c r="HQ9" s="1533" t="n">
        <v>124.38913045</v>
      </c>
      <c r="HR9" s="944" t="n">
        <v>160.6495609</v>
      </c>
      <c r="HS9" s="945" t="n">
        <v>168.2242178</v>
      </c>
      <c r="HT9" s="1535" t="n">
        <v>180.21671034</v>
      </c>
      <c r="HU9" s="1535" t="n">
        <v>21.00942128</v>
      </c>
      <c r="HV9" s="1535" t="n">
        <v>30.24717887</v>
      </c>
      <c r="HW9" s="1535" t="n">
        <v>31.93756542</v>
      </c>
      <c r="HX9" s="1535" t="n">
        <v>35.23401542</v>
      </c>
      <c r="HY9" s="1535" t="n">
        <v>47.80931114</v>
      </c>
      <c r="HZ9" s="1535" t="n">
        <v>47.35845579</v>
      </c>
      <c r="IA9" s="1535" t="n">
        <v>66.39461831</v>
      </c>
      <c r="IB9" s="1535" t="n">
        <v>67.69310387</v>
      </c>
      <c r="IC9" s="1535" t="n">
        <v>51.2782989</v>
      </c>
      <c r="ID9" s="1535" t="n">
        <v>58.30170944</v>
      </c>
      <c r="IE9" s="1535" t="n">
        <v>55.8575473</v>
      </c>
      <c r="IF9" s="1535" t="n">
        <v>63.79889121</v>
      </c>
      <c r="IG9" s="1535" t="n">
        <v>72.26575139000001</v>
      </c>
      <c r="IH9" s="1535" t="n">
        <v>82.38998092</v>
      </c>
      <c r="II9" s="1535" t="n">
        <v>45.2793397</v>
      </c>
      <c r="IJ9" s="1535" t="n">
        <v>54.73777946</v>
      </c>
      <c r="IK9" s="1535" t="n">
        <v>59.45527367</v>
      </c>
      <c r="IL9" s="1535" t="n">
        <v>64.04702673</v>
      </c>
      <c r="IM9" s="1535" t="n">
        <v>84.25343972999998</v>
      </c>
      <c r="IN9" s="1535" t="n">
        <v>58.73162676</v>
      </c>
      <c r="IO9" s="1535" t="n">
        <v>26.75755195</v>
      </c>
      <c r="IP9" s="1535" t="n">
        <v>21.23781379</v>
      </c>
      <c r="IQ9" s="1535" t="n">
        <v>36.55089246</v>
      </c>
      <c r="IR9" s="1535" t="n">
        <v>51.83370624000001</v>
      </c>
      <c r="IS9" s="1535" t="n">
        <v>59.89952539</v>
      </c>
      <c r="IT9" s="1535" t="n">
        <v>64.15879425</v>
      </c>
      <c r="IU9" s="1535" t="n">
        <v>82.32850525000001</v>
      </c>
      <c r="IV9" s="1535" t="n">
        <v>96.56090106000001</v>
      </c>
      <c r="IW9" s="1535" t="n">
        <v>109.35896916</v>
      </c>
      <c r="IX9" s="1535" t="n">
        <v>108.09613277</v>
      </c>
      <c r="IY9" s="1536" t="n">
        <v>116.57973513</v>
      </c>
      <c r="IZ9" s="1535" t="n">
        <v>132.00103871</v>
      </c>
      <c r="JA9" s="1535" t="n">
        <v>148.58510006</v>
      </c>
      <c r="JB9" s="1535" t="n">
        <v>160.29883447</v>
      </c>
      <c r="JC9" s="1535" t="n">
        <v>178.20186842</v>
      </c>
      <c r="JD9" s="1535" t="n">
        <v>187.13173813</v>
      </c>
      <c r="JE9" s="1535" t="n">
        <v>193.69767907</v>
      </c>
      <c r="JF9" s="1535" t="n">
        <v>204.23934609</v>
      </c>
      <c r="JG9" s="1535" t="n">
        <v>204.68813629</v>
      </c>
      <c r="JH9" s="1535" t="n">
        <v>159.17566103</v>
      </c>
      <c r="JI9" s="1535" t="n">
        <v>169.48454693</v>
      </c>
      <c r="JJ9" s="1535" t="n">
        <v>169.48454693</v>
      </c>
      <c r="JK9" s="1535" t="n">
        <v>187.84143195</v>
      </c>
      <c r="JL9" s="1535" t="n">
        <v>184.37953825</v>
      </c>
      <c r="JM9" s="1535" t="n">
        <v>203.60950366</v>
      </c>
      <c r="JN9" s="1535" t="n">
        <v>207.52935072</v>
      </c>
      <c r="JO9" s="1535" t="n">
        <v>207.52935072</v>
      </c>
      <c r="JP9" s="1535" t="n">
        <v>207.52935072</v>
      </c>
      <c r="JQ9" s="1535" t="n">
        <v>236.30925887</v>
      </c>
      <c r="JR9" s="1535" t="n">
        <v>240.96079812</v>
      </c>
      <c r="JS9" s="1535" t="n">
        <v>240.96079812</v>
      </c>
      <c r="JT9" s="1535" t="n">
        <v>261.39158149</v>
      </c>
      <c r="JU9" s="1535" t="n">
        <v>256.6836953</v>
      </c>
      <c r="JV9" s="1535" t="n">
        <v>268.9536953</v>
      </c>
      <c r="JW9" s="1535" t="n">
        <v>229.61778478</v>
      </c>
      <c r="JX9" s="1535" t="n">
        <v>241.15718478</v>
      </c>
      <c r="JY9" s="1535" t="n">
        <v>241.15718478</v>
      </c>
      <c r="JZ9" s="1535" t="n">
        <v>260.61422755</v>
      </c>
      <c r="KA9" s="1535" t="n">
        <v>262.38131162</v>
      </c>
      <c r="KB9" s="1535" t="n">
        <v>274.66465092</v>
      </c>
      <c r="KC9" s="1535" t="n">
        <v>146.63669589</v>
      </c>
      <c r="KD9" s="1535" t="n">
        <v>157.9909394</v>
      </c>
      <c r="KE9" s="1535" t="n">
        <v>155.43052996</v>
      </c>
      <c r="KF9" s="1535" t="n">
        <v>168.01928866</v>
      </c>
      <c r="KG9" s="1535" t="n">
        <v>172.96533633</v>
      </c>
      <c r="KH9" s="1535" t="n">
        <v>187.98323019</v>
      </c>
      <c r="KI9" s="1535" t="n">
        <v>189.96195819</v>
      </c>
      <c r="KJ9" s="1535" t="n">
        <v>189.96195819</v>
      </c>
      <c r="KK9" s="1535" t="n">
        <v>189.96195819</v>
      </c>
      <c r="KL9" s="1535" t="n">
        <v>189.96195819</v>
      </c>
      <c r="KM9" s="1535" t="n">
        <v>189.96195819</v>
      </c>
      <c r="KN9" s="1535" t="n">
        <v>189.96195819</v>
      </c>
      <c r="KO9" s="1535" t="n">
        <v>189.96195819</v>
      </c>
      <c r="KP9" s="1535" t="n">
        <v>189.96195819</v>
      </c>
      <c r="KQ9" s="1535" t="n">
        <v>189.96195819</v>
      </c>
      <c r="KR9" s="1535" t="n">
        <v>171.23707273</v>
      </c>
      <c r="KS9" s="1536" t="n">
        <v>179.25774587</v>
      </c>
      <c r="KT9" s="1536" t="n">
        <v>164.51382359</v>
      </c>
      <c r="KU9" s="1536" t="n">
        <v>164.40701749</v>
      </c>
      <c r="KV9" s="1536" t="n">
        <v>174.80864459</v>
      </c>
      <c r="KW9" s="1536" t="n">
        <v>179.20697848</v>
      </c>
      <c r="KX9" s="1536" t="n">
        <v>184.64784576</v>
      </c>
      <c r="KY9" s="1536" t="n">
        <v>212.8121972</v>
      </c>
      <c r="KZ9" s="1536" t="n">
        <v>205.89829499</v>
      </c>
      <c r="LA9" s="1536" t="n">
        <v>187.46142327</v>
      </c>
      <c r="LB9" s="1536" t="n">
        <v>206.16825067</v>
      </c>
      <c r="LC9" s="1536" t="n">
        <v>235.92334054</v>
      </c>
      <c r="LD9" s="1536" t="n">
        <v>231.54237167</v>
      </c>
      <c r="LE9" s="1536" t="n">
        <v>233.96036141</v>
      </c>
      <c r="LF9" s="1536" t="n">
        <v>251.22767221</v>
      </c>
      <c r="LG9" s="1536" t="n">
        <v>258.36327283</v>
      </c>
      <c r="LH9" s="1536" t="n">
        <v>261.08028073</v>
      </c>
      <c r="LI9" s="1536" t="n">
        <v>277.36005529</v>
      </c>
      <c r="LJ9" s="1536" t="n">
        <v>294.61426468</v>
      </c>
      <c r="LK9" s="1536" t="n">
        <v>282.82050611</v>
      </c>
      <c r="LL9" s="1536" t="n">
        <v>294.61426468</v>
      </c>
      <c r="LM9" s="1536" t="n">
        <v>306.3436226600001</v>
      </c>
      <c r="LN9" s="1536" t="n">
        <v>307.6163797200001</v>
      </c>
      <c r="LO9" s="1536" t="n">
        <v>315.48162927</v>
      </c>
      <c r="LP9" s="1536" t="n">
        <v>300.41968895</v>
      </c>
      <c r="LQ9" s="1536" t="n">
        <v>300.41968895</v>
      </c>
      <c r="LR9" s="1536" t="n">
        <v>305.17110475</v>
      </c>
      <c r="LS9" s="1536" t="n">
        <v>328.4487601</v>
      </c>
      <c r="LT9" s="1536" t="n">
        <v>329.29401846</v>
      </c>
      <c r="LU9" s="1536" t="n">
        <v>360.22082669</v>
      </c>
      <c r="LV9" s="1536" t="n">
        <v>368.85047253</v>
      </c>
      <c r="LW9" s="1536" t="n">
        <v>368.71110899</v>
      </c>
      <c r="LX9" s="1536" t="n">
        <v>383.33494182</v>
      </c>
      <c r="LY9" s="1536" t="n">
        <v>394.33783465</v>
      </c>
      <c r="LZ9" s="1536" t="n">
        <v>394.28795387</v>
      </c>
      <c r="MA9" s="1536" t="n">
        <v>400.902109</v>
      </c>
      <c r="MB9" s="1536" t="n">
        <v>403.70425711</v>
      </c>
      <c r="MC9" s="1536" t="n">
        <v>420.31527947</v>
      </c>
      <c r="MD9" s="1536" t="n">
        <v>419.04405282</v>
      </c>
      <c r="ME9" s="1536" t="n">
        <v>432.46305701</v>
      </c>
      <c r="MF9" s="1536" t="n">
        <v>444.71787693</v>
      </c>
      <c r="MG9" s="1536" t="n">
        <v>455.17014225</v>
      </c>
      <c r="MH9" s="1536" t="n">
        <v>466.41862733</v>
      </c>
      <c r="MI9" s="1536" t="n">
        <v>473.78133359</v>
      </c>
      <c r="MJ9" s="1536" t="n">
        <v>484.0461121</v>
      </c>
      <c r="MK9" s="1536" t="n">
        <v>484.0461121</v>
      </c>
      <c r="ML9" s="1536" t="n">
        <v>484.0461121</v>
      </c>
      <c r="MM9" s="1536" t="n">
        <v>484.0461121</v>
      </c>
      <c r="MN9" s="1536" t="n">
        <v>357.46184304</v>
      </c>
      <c r="MO9" s="1536" t="n">
        <v>360.12290732</v>
      </c>
      <c r="MP9" s="1536" t="n">
        <v>370.19719206</v>
      </c>
      <c r="MQ9" s="1536" t="n">
        <v>375.07255077</v>
      </c>
      <c r="MR9" s="1536" t="n">
        <v>379.84675678</v>
      </c>
      <c r="MS9" s="1536" t="n">
        <v>396.30417523</v>
      </c>
      <c r="MT9" s="1536" t="n">
        <v>384.15242194</v>
      </c>
      <c r="MU9" s="1536" t="n">
        <v>373.73307286</v>
      </c>
      <c r="MV9" s="1536" t="n">
        <v>363.92760426</v>
      </c>
      <c r="MW9" s="1536" t="n">
        <v>381.17300486</v>
      </c>
      <c r="MX9" s="1536" t="n">
        <v>381.17300486</v>
      </c>
      <c r="MY9" s="1536" t="n">
        <v>317.25013508</v>
      </c>
      <c r="MZ9" s="1536" t="n">
        <v>337.92431963</v>
      </c>
      <c r="NA9" s="1536" t="n">
        <v>346.48463272</v>
      </c>
      <c r="NB9" s="1536" t="n">
        <v>358.91213776</v>
      </c>
      <c r="NC9" s="1536" t="n">
        <v>355.39942928</v>
      </c>
      <c r="ND9" s="1536" t="n">
        <v>372.92416567</v>
      </c>
      <c r="NE9" s="1536" t="n">
        <v>372.62013741</v>
      </c>
      <c r="NF9" s="1536" t="n">
        <v>380.95041035</v>
      </c>
      <c r="NG9" s="1536" t="n">
        <v>388.9672541</v>
      </c>
      <c r="NH9" s="1536" t="n">
        <v>377.59832582</v>
      </c>
      <c r="NI9" s="1536" t="n">
        <v>411.12215983</v>
      </c>
      <c r="NJ9" s="1536" t="n">
        <v>406.85483967</v>
      </c>
      <c r="NK9" s="1536" t="n">
        <v>422.32546516</v>
      </c>
      <c r="NL9" s="1536" t="n">
        <v>438.32565966</v>
      </c>
      <c r="NM9" s="1536" t="n">
        <v>407.02785101</v>
      </c>
      <c r="NN9" s="1536" t="n">
        <v>412.70202004</v>
      </c>
      <c r="NO9" s="1536" t="n">
        <v>424.4178443</v>
      </c>
      <c r="NP9" s="1536" t="n">
        <v>426.83765695</v>
      </c>
      <c r="NQ9" s="1536" t="n">
        <v>430.25212341</v>
      </c>
      <c r="NR9" s="1536" t="n">
        <v>432.60212341</v>
      </c>
      <c r="NS9" s="1536" t="n">
        <v>460.83473318</v>
      </c>
      <c r="NT9" s="1536" t="n">
        <v>460.83473318</v>
      </c>
      <c r="NU9" s="1536" t="n">
        <v>485.3669202</v>
      </c>
      <c r="NV9" s="1536" t="n">
        <v>463.29972479</v>
      </c>
      <c r="NW9" s="1536" t="n">
        <v>473.23080456</v>
      </c>
      <c r="NX9" s="1536" t="n">
        <v>498.91884422</v>
      </c>
      <c r="NY9" s="1536" t="n">
        <v>509.59758559</v>
      </c>
      <c r="NZ9" s="1536" t="n">
        <v>525.7323519</v>
      </c>
      <c r="OA9" s="1536" t="n">
        <v>525.7323519</v>
      </c>
      <c r="OB9" s="1536" t="n">
        <v>528.75751986</v>
      </c>
      <c r="OC9" s="1536" t="n">
        <v>409.28441189</v>
      </c>
      <c r="OD9" s="1536" t="n">
        <v>419.5800048</v>
      </c>
      <c r="OE9" s="1536" t="n">
        <v>432.34646094</v>
      </c>
      <c r="OF9" s="1536" t="n">
        <v>415.07653751</v>
      </c>
      <c r="OG9" s="1536" t="n">
        <v>417.8814574100001</v>
      </c>
      <c r="OH9" s="1536" t="n">
        <v>426.02803794</v>
      </c>
      <c r="OI9" s="1536" t="n">
        <v>435.97656784</v>
      </c>
      <c r="OJ9" s="1536" t="n">
        <v>463.57598808</v>
      </c>
      <c r="OK9" s="1536" t="n">
        <v>472.36812018</v>
      </c>
      <c r="OL9" s="1536" t="n">
        <v>474.23251383</v>
      </c>
      <c r="OM9" s="1536" t="n">
        <v>487.17042525</v>
      </c>
      <c r="ON9" s="1536" t="n">
        <v>500.67022541</v>
      </c>
      <c r="OO9" s="1536" t="n">
        <v>512.20752923</v>
      </c>
      <c r="OP9" s="1536" t="n">
        <v>513.39611941</v>
      </c>
      <c r="OQ9" s="1536" t="n">
        <v>513.39611941</v>
      </c>
      <c r="OR9" s="1536" t="n">
        <v>535.10860794</v>
      </c>
      <c r="OS9" s="1536" t="n">
        <v>535.10860794</v>
      </c>
      <c r="OT9" s="1536" t="n">
        <v>529.74542989</v>
      </c>
      <c r="OU9" s="1536" t="n">
        <v>542.13731891</v>
      </c>
      <c r="OV9" s="1536" t="n">
        <v>542.13731891</v>
      </c>
      <c r="OW9" s="1536" t="n">
        <v>556.1950268099999</v>
      </c>
      <c r="OX9" s="1536" t="n">
        <v>364.14919805</v>
      </c>
      <c r="OY9" s="1536" t="n">
        <v>281.98298894</v>
      </c>
      <c r="OZ9" s="1536" t="n">
        <v>289.35337408</v>
      </c>
      <c r="PA9" s="1536" t="n">
        <v>295.213908</v>
      </c>
      <c r="PB9" s="1536" t="n">
        <v>295.17536194</v>
      </c>
      <c r="PC9" s="1536" t="n">
        <v>295.17536194</v>
      </c>
      <c r="PD9" s="1536" t="n">
        <v>280.79858464</v>
      </c>
      <c r="PE9" s="1536" t="n">
        <v>290.37764573</v>
      </c>
      <c r="PF9" s="1536" t="n">
        <v>312.57046848</v>
      </c>
      <c r="PG9" s="1536" t="n">
        <v>313.69978132</v>
      </c>
      <c r="PH9" s="1536" t="n">
        <v>322.93537312</v>
      </c>
      <c r="PI9" s="1536" t="n">
        <v>317.50287842</v>
      </c>
      <c r="PJ9" s="1536" t="n">
        <v>312.48243659</v>
      </c>
      <c r="PK9" s="1536" t="n">
        <v>319.73109233</v>
      </c>
      <c r="PL9" s="1536" t="n">
        <v>329.9211966</v>
      </c>
      <c r="PM9" s="1536" t="n">
        <v>339.11724445</v>
      </c>
      <c r="PN9" s="1536" t="n">
        <v>352.97620899</v>
      </c>
      <c r="PO9" s="1536" t="n">
        <v>239.78862249</v>
      </c>
      <c r="PP9" s="1536" t="n">
        <v>242.7628461</v>
      </c>
      <c r="PQ9" s="1536" t="n">
        <v>258.52043018</v>
      </c>
      <c r="PR9" s="1536" t="n">
        <v>257.75839968</v>
      </c>
      <c r="PS9" s="1536" t="n">
        <v>257.95882344</v>
      </c>
      <c r="PT9" s="1536" t="n">
        <v>270.10729073</v>
      </c>
      <c r="PU9" s="1536" t="n">
        <v>270.10729073</v>
      </c>
      <c r="PV9" s="1536" t="n">
        <v>296.33132431</v>
      </c>
      <c r="PW9" s="1536" t="n">
        <v>303.00124705</v>
      </c>
      <c r="PX9" s="1536" t="n">
        <v>299.92901417</v>
      </c>
      <c r="PY9" s="1536" t="n">
        <v>278.20987543</v>
      </c>
      <c r="PZ9" s="1536" t="n">
        <v>292.74927843</v>
      </c>
      <c r="QA9" s="1536" t="n">
        <v>292.74927843</v>
      </c>
      <c r="QB9" s="1536" t="n">
        <v>295.42850252</v>
      </c>
      <c r="QC9" s="1536" t="n">
        <v>295.42850252</v>
      </c>
      <c r="QD9" s="1536" t="n">
        <v>161.02292932</v>
      </c>
      <c r="QE9" s="1536" t="n">
        <v>166.0011327</v>
      </c>
      <c r="QF9" s="1536" t="n">
        <v>181.11793157</v>
      </c>
      <c r="QG9" s="1536" t="n">
        <v>185.21685115</v>
      </c>
      <c r="QH9" s="1536" t="n">
        <v>185.21685115</v>
      </c>
      <c r="QI9" s="1536" t="n">
        <v>185.21685115</v>
      </c>
      <c r="QJ9" s="1536" t="n">
        <v>196.57629336</v>
      </c>
      <c r="QK9" s="1536" t="n">
        <v>196.57629336</v>
      </c>
      <c r="QL9" s="1536" t="n">
        <v>220.12089511</v>
      </c>
      <c r="QM9" s="1536" t="n">
        <v>220.12089511</v>
      </c>
      <c r="QN9" s="1536" t="n">
        <v>220.12089511</v>
      </c>
      <c r="QO9" s="1536" t="n">
        <v>266.89368342</v>
      </c>
      <c r="QP9" s="1536" t="n">
        <v>266.54851635</v>
      </c>
      <c r="QQ9" s="1536" t="n">
        <v>275.72602646</v>
      </c>
      <c r="QR9" s="1536" t="n">
        <v>280.06866557</v>
      </c>
      <c r="QS9" s="1536" t="n">
        <v>299.83528067</v>
      </c>
      <c r="QT9" s="1536" t="n">
        <v>314.34650987</v>
      </c>
      <c r="QU9" s="1536" t="n">
        <v>316.68238814</v>
      </c>
      <c r="QV9" s="1536" t="n">
        <v>327.05060577</v>
      </c>
      <c r="QW9" s="1536" t="n">
        <v>348.71089058</v>
      </c>
      <c r="QX9" s="1536" t="n">
        <v>350.48893198</v>
      </c>
      <c r="QY9" s="1536" t="n">
        <v>357.4761089</v>
      </c>
      <c r="QZ9" s="1536" t="n">
        <v>360.83967039</v>
      </c>
      <c r="RA9" s="1536" t="n">
        <v>371.86167766</v>
      </c>
      <c r="RB9" s="1536" t="n">
        <v>370.77043996</v>
      </c>
      <c r="RC9" s="1536" t="n">
        <v>263.68666605</v>
      </c>
      <c r="RD9" s="1536" t="n">
        <v>263.71018295</v>
      </c>
      <c r="RE9" s="1536" t="n">
        <v>260.47853965</v>
      </c>
      <c r="RF9" s="1536" t="n">
        <v>268.26232105</v>
      </c>
      <c r="RG9" s="1536" t="n">
        <v>279.27263787</v>
      </c>
      <c r="RH9" s="1536" t="n">
        <v>284.0476037</v>
      </c>
      <c r="RI9" s="1536" t="n">
        <v>306.14767864</v>
      </c>
      <c r="RJ9" s="1536" t="n">
        <v>289.26454142</v>
      </c>
      <c r="RK9" s="1536" t="n">
        <v>308.72925582</v>
      </c>
      <c r="RL9" s="1536" t="n">
        <v>282.27684675</v>
      </c>
      <c r="RM9" s="1536" t="n">
        <v>296.92648408</v>
      </c>
      <c r="RN9" s="1536" t="n">
        <v>300.91185503</v>
      </c>
      <c r="RO9" s="1536" t="n">
        <v>237.60359873</v>
      </c>
      <c r="RP9" s="1536" t="n">
        <v>246.90497516</v>
      </c>
      <c r="RQ9" s="1536" t="n">
        <v>263.53966716</v>
      </c>
      <c r="RR9" s="1536" t="n">
        <v>207.5289532</v>
      </c>
      <c r="RS9" s="1536" t="n">
        <v>216.6604953</v>
      </c>
      <c r="RT9" s="1536" t="n">
        <v>235.79185995</v>
      </c>
      <c r="RU9" s="1536" t="n">
        <v>239.66847617</v>
      </c>
      <c r="RV9" s="1536" t="n">
        <v>242.821171</v>
      </c>
      <c r="RW9" s="1536" t="n">
        <v>268.3180631</v>
      </c>
      <c r="RX9" s="1536" t="n">
        <v>289.51108779</v>
      </c>
      <c r="RY9" s="1536" t="n">
        <v>287.40549121</v>
      </c>
      <c r="RZ9" s="1536" t="n">
        <v>309.17723777</v>
      </c>
      <c r="SA9" s="1536" t="n">
        <v>324.08007108</v>
      </c>
      <c r="SB9" s="1536" t="n">
        <v>323.64375696</v>
      </c>
      <c r="SC9" s="1536" t="n">
        <v>336.39330585</v>
      </c>
      <c r="SD9" s="1536" t="n">
        <v>377.810026</v>
      </c>
      <c r="SE9" s="1536" t="n">
        <v>378.60243863</v>
      </c>
      <c r="SF9" s="1536" t="n">
        <v>379.10226236</v>
      </c>
      <c r="SG9" s="1536" t="n">
        <v>417.44739304</v>
      </c>
      <c r="SH9" s="1536" t="n">
        <v>431.11972556</v>
      </c>
      <c r="SI9" s="1536" t="n">
        <v>444.83975636</v>
      </c>
      <c r="SJ9" s="1536" t="n">
        <v>444.24927938</v>
      </c>
      <c r="SK9" s="1536" t="n">
        <v>451.7468013</v>
      </c>
      <c r="SL9" s="1536" t="n">
        <v>455.8751181</v>
      </c>
      <c r="SM9" s="1536" t="n">
        <v>479.54960624</v>
      </c>
      <c r="SN9" s="1536" t="n">
        <v>480.6395165</v>
      </c>
      <c r="SO9" s="1536" t="n">
        <v>477.04442384</v>
      </c>
      <c r="SP9" s="1536" t="n">
        <v>501.74997609</v>
      </c>
      <c r="SQ9" s="1536" t="n">
        <v>518.36317446</v>
      </c>
      <c r="SR9" s="1536" t="n">
        <v>513.27830649</v>
      </c>
      <c r="SS9" s="1536" t="n">
        <v>532.46379854</v>
      </c>
      <c r="ST9" s="1536" t="n">
        <v>535.00092627</v>
      </c>
      <c r="SU9" s="1536" t="n">
        <v>548.4754511</v>
      </c>
      <c r="SV9" s="1536" t="n">
        <v>548.5523171599999</v>
      </c>
      <c r="SW9" s="1536" t="n">
        <v>533.9978278999999</v>
      </c>
      <c r="SX9" s="1536" t="n">
        <v>539.3727453500001</v>
      </c>
      <c r="SY9" s="1536" t="n">
        <v>536.65158875</v>
      </c>
      <c r="SZ9" s="1536" t="n">
        <v>581.9956969</v>
      </c>
      <c r="TA9" s="1536" t="n">
        <v>586.9446055599999</v>
      </c>
      <c r="TB9" s="1536" t="n">
        <v>586.9446055599999</v>
      </c>
      <c r="TC9" s="1536" t="n">
        <v>202.41751747</v>
      </c>
      <c r="TD9" s="1536" t="n">
        <v>207.67946627</v>
      </c>
      <c r="TE9" s="1536" t="n">
        <v>207.67946627</v>
      </c>
      <c r="TF9" s="1536" t="n">
        <v>231.55746598</v>
      </c>
      <c r="TG9" s="1536" t="n">
        <v>112.07819425</v>
      </c>
      <c r="TH9" s="1536" t="n">
        <v>52.45574485</v>
      </c>
      <c r="TI9" s="1536" t="n">
        <v>98.13500676000001</v>
      </c>
      <c r="TJ9" s="1536" t="n">
        <v>104.72374692</v>
      </c>
      <c r="TK9" s="1536" t="n">
        <v>104.72374692</v>
      </c>
      <c r="TL9" s="1536" t="n">
        <v>116.90620636</v>
      </c>
      <c r="TM9" s="1536" t="n">
        <v>149.62931545</v>
      </c>
      <c r="TN9" s="1536" t="n">
        <v>123.18891568</v>
      </c>
      <c r="TO9" s="1536" t="n">
        <v>163.80190604</v>
      </c>
      <c r="TP9" s="1536" t="n">
        <v>192.2115336</v>
      </c>
      <c r="TQ9" s="1536" t="n">
        <v>208.09533877</v>
      </c>
      <c r="TR9" s="1536" t="n">
        <v>267.42874988</v>
      </c>
      <c r="TS9" s="1536" t="n">
        <v>227.62809896</v>
      </c>
      <c r="TT9" s="1536" t="n">
        <v>217.45862494</v>
      </c>
      <c r="TU9" s="1536" t="n">
        <v>219.32354845</v>
      </c>
      <c r="TV9" s="1536" t="n">
        <v>211.94552073</v>
      </c>
      <c r="TW9" s="1536" t="n">
        <v>219.94907643</v>
      </c>
      <c r="TX9" s="1536" t="n">
        <v>194.2475887</v>
      </c>
      <c r="TY9" s="1536" t="n">
        <v>192.67045395</v>
      </c>
      <c r="TZ9" s="1536" t="n">
        <v>197.97510927</v>
      </c>
      <c r="UA9" s="1536" t="n">
        <v>216.81195307</v>
      </c>
      <c r="UB9" s="1536" t="n">
        <v>229.96353383</v>
      </c>
      <c r="UC9" s="1536" t="n">
        <v>185.97854888</v>
      </c>
      <c r="UD9" s="1536" t="n">
        <v>184.39597488</v>
      </c>
      <c r="UE9" s="1536" t="n">
        <v>200.92279477</v>
      </c>
      <c r="UF9" s="1536" t="n">
        <v>224.17256641</v>
      </c>
      <c r="UG9" s="1536" t="n">
        <v>98.15297767</v>
      </c>
      <c r="UH9" s="1536" t="n">
        <v>79.58618903</v>
      </c>
      <c r="UI9" s="1536" t="n">
        <v>88.87361934</v>
      </c>
      <c r="UJ9" s="1536" t="n">
        <v>52.58110394</v>
      </c>
      <c r="UK9" s="1536" t="n">
        <v>59.75187448</v>
      </c>
      <c r="UL9" s="1536" t="n">
        <v>68.16626100000001</v>
      </c>
      <c r="UM9" s="1536" t="n">
        <v>72.79969694</v>
      </c>
      <c r="UN9" s="1536" t="n">
        <v>38.36817067</v>
      </c>
      <c r="UO9" s="1536" t="n">
        <v>40.0157157</v>
      </c>
      <c r="UP9" s="1536" t="n">
        <v>61.88942801</v>
      </c>
      <c r="UQ9" s="1536" t="n">
        <v>19.88798432</v>
      </c>
      <c r="UR9" s="1536" t="n">
        <v>47.89866143</v>
      </c>
      <c r="US9" s="1536" t="n">
        <v>47.89866143</v>
      </c>
      <c r="UT9" s="1536" t="n">
        <v>59.98814145</v>
      </c>
      <c r="UU9" s="1536" t="n">
        <v>73.19867148</v>
      </c>
      <c r="UV9" s="1536" t="n">
        <v>102.04509418</v>
      </c>
      <c r="UW9" s="1536" t="n">
        <v>102.04509418</v>
      </c>
      <c r="UX9" s="1536" t="n">
        <v>98.69978020000001</v>
      </c>
      <c r="UY9" s="1536" t="n">
        <v>98.69978020000001</v>
      </c>
      <c r="UZ9" s="1536" t="n">
        <v>111.9573347</v>
      </c>
      <c r="VA9" s="1536" t="n">
        <v>112.30888788</v>
      </c>
      <c r="VB9" s="1536" t="n">
        <v>111.82626497</v>
      </c>
      <c r="VC9" s="1536" t="n">
        <v>50.94437151</v>
      </c>
      <c r="VD9" s="1536" t="n">
        <v>44.27163131</v>
      </c>
      <c r="VE9" s="1536" t="n">
        <v>4.91294799</v>
      </c>
      <c r="VF9" s="1536" t="n">
        <v>30.1949441</v>
      </c>
      <c r="VG9" s="1536" t="n">
        <v>45.17689649</v>
      </c>
      <c r="VH9" s="1536" t="n">
        <v>82.86039977</v>
      </c>
      <c r="VI9" s="1536" t="n">
        <v>138.36271663</v>
      </c>
      <c r="VJ9" s="1536" t="n">
        <v>176.73428749</v>
      </c>
      <c r="VK9" s="1536" t="n">
        <v>170.90394803</v>
      </c>
      <c r="VL9" s="1536" t="n">
        <v>82.33091816</v>
      </c>
      <c r="VM9" s="1536" t="n">
        <v>116.12173847</v>
      </c>
      <c r="VN9" s="1536" t="n">
        <v>116.13609416</v>
      </c>
      <c r="VO9" s="1536" t="n">
        <v>170.62522202</v>
      </c>
      <c r="VP9" s="1536" t="n">
        <v>180.65538802</v>
      </c>
      <c r="VQ9" s="1536" t="n">
        <v>179.30197737</v>
      </c>
      <c r="VR9" s="1536" t="n">
        <v>217.3849966</v>
      </c>
      <c r="VS9" s="1536" t="n">
        <v>229.2738141</v>
      </c>
      <c r="VT9" s="1536" t="n">
        <v>223.16377196</v>
      </c>
      <c r="VU9" s="1536" t="n">
        <v>234.00719448</v>
      </c>
      <c r="VV9" s="1536" t="n">
        <v>241.59215383</v>
      </c>
      <c r="VW9" s="1536" t="n">
        <v>252.74877645</v>
      </c>
      <c r="VX9" s="1536" t="n">
        <v>292.31587005</v>
      </c>
      <c r="VY9" s="1536" t="n">
        <v>308.72581137</v>
      </c>
      <c r="VZ9" s="1536" t="n">
        <v>319.66906178</v>
      </c>
      <c r="WA9" s="1536" t="n">
        <v>342.20356256</v>
      </c>
      <c r="WB9" s="1536" t="n">
        <v>361.97774289</v>
      </c>
      <c r="WC9" s="1536" t="n">
        <v>358.45756588</v>
      </c>
      <c r="WD9" s="1536" t="n">
        <v>363.56077488</v>
      </c>
      <c r="WE9" s="1536" t="n">
        <v>391.17796265</v>
      </c>
      <c r="WF9" s="1536" t="n">
        <v>393.89424172</v>
      </c>
      <c r="WG9" s="1536" t="n">
        <v>411.6474123</v>
      </c>
      <c r="WH9" s="1536" t="n">
        <v>294.88554746</v>
      </c>
      <c r="WI9" s="1536" t="n">
        <v>275.93513081</v>
      </c>
      <c r="WJ9" s="1536" t="n">
        <v>275.01734641</v>
      </c>
      <c r="WK9" s="1536" t="n">
        <v>146.59281224</v>
      </c>
      <c r="WL9" s="1536" t="n">
        <v>146.59281224</v>
      </c>
      <c r="WM9" s="1536" t="n">
        <v>174.70533723</v>
      </c>
      <c r="WN9" s="1536" t="n">
        <v>68.15197059</v>
      </c>
      <c r="WO9" s="1536" t="n">
        <v>83.99958704000001</v>
      </c>
      <c r="WP9" s="1536" t="n">
        <v>101.87630162</v>
      </c>
      <c r="WQ9" s="1536" t="n">
        <v>102.14210347</v>
      </c>
      <c r="WR9" s="1536" t="n">
        <v>124.31243564</v>
      </c>
      <c r="WS9" s="1536" t="n">
        <v>132.36337417</v>
      </c>
      <c r="WT9" s="1536" t="n">
        <v>143.97615703</v>
      </c>
      <c r="WU9" s="1536" t="n">
        <v>143.97615703</v>
      </c>
      <c r="WV9" s="1536" t="n">
        <v>151.56534875</v>
      </c>
      <c r="WW9" s="1536" t="n">
        <v>163.31112445</v>
      </c>
      <c r="WX9" s="1536" t="n">
        <v>171.20069676</v>
      </c>
      <c r="WY9" s="1536" t="n">
        <v>178.96405895</v>
      </c>
      <c r="WZ9" s="1536" t="n">
        <v>195.93031627</v>
      </c>
      <c r="XA9" s="1536" t="n">
        <v>206.94599971</v>
      </c>
      <c r="XB9" s="1536" t="n">
        <v>231.57323883</v>
      </c>
      <c r="XC9" s="1536" t="n">
        <v>233.51275847</v>
      </c>
      <c r="XD9" s="1536" t="n">
        <v>233.30114323</v>
      </c>
      <c r="XE9" s="1536" t="n">
        <v>238.639468</v>
      </c>
      <c r="XF9" s="1536" t="n">
        <v>251.86361561</v>
      </c>
      <c r="XG9" s="1536" t="n">
        <v>253.40599703</v>
      </c>
      <c r="XH9" s="1536" t="n">
        <v>256.32103914</v>
      </c>
      <c r="XI9" s="1536" t="n">
        <v>262.97100804</v>
      </c>
      <c r="XJ9" s="1536" t="n">
        <v>267.18584384</v>
      </c>
      <c r="XK9" s="1536" t="n">
        <v>279.47195738</v>
      </c>
      <c r="XL9" s="1536" t="n">
        <v>275.61910932</v>
      </c>
      <c r="XM9" s="1536" t="n">
        <v>266.73377282</v>
      </c>
      <c r="XN9" s="1536" t="n">
        <v>237.32568095</v>
      </c>
      <c r="XO9" s="1536" t="n">
        <v>243.4860709</v>
      </c>
      <c r="XP9" s="1536" t="n">
        <v>263.76140521</v>
      </c>
      <c r="XQ9" s="1536" t="n">
        <v>161.17139228</v>
      </c>
      <c r="XR9" s="1536" t="n">
        <v>176.9963139</v>
      </c>
      <c r="XS9" s="1536" t="n">
        <v>175.68332122</v>
      </c>
      <c r="XT9" s="1536" t="n">
        <v>196.35619498</v>
      </c>
      <c r="XU9" s="1536" t="n">
        <v>204.12159441</v>
      </c>
      <c r="XV9" s="1536" t="n">
        <v>219.08694394</v>
      </c>
      <c r="XW9" s="1536" t="n">
        <v>193.12273689</v>
      </c>
      <c r="XX9" s="1536" t="n">
        <v>196.36277195</v>
      </c>
      <c r="XY9" s="1536" t="n">
        <v>236.97322902</v>
      </c>
      <c r="XZ9" s="1536" t="n">
        <v>266.24147622</v>
      </c>
      <c r="YA9" s="1536" t="n">
        <v>287.99064878</v>
      </c>
      <c r="YB9" s="1536" t="n">
        <v>292.37310516</v>
      </c>
      <c r="YC9" s="1536" t="n">
        <v>229.33891426</v>
      </c>
      <c r="YD9" s="1536" t="n">
        <v>251.06859052</v>
      </c>
      <c r="YE9" s="1536" t="n">
        <v>237.74483171</v>
      </c>
      <c r="YF9" s="1536" t="n">
        <v>280.65558922</v>
      </c>
      <c r="YG9" s="1536" t="n">
        <v>278.62050715</v>
      </c>
      <c r="YH9" s="1536" t="n">
        <v>309.95950564</v>
      </c>
      <c r="YI9" s="1536" t="n">
        <v>316.00050165</v>
      </c>
      <c r="YJ9" s="1537" t="n">
        <v>325.89040292</v>
      </c>
    </row>
    <row r="10">
      <c r="B10" s="917" t="inlineStr">
        <is>
          <t>CPFC</t>
        </is>
      </c>
      <c r="C10" s="1532" t="n">
        <v>11.82945358</v>
      </c>
      <c r="D10" s="1533" t="n">
        <v>14.31426227</v>
      </c>
      <c r="E10" s="1533" t="n">
        <v>14.30958985</v>
      </c>
      <c r="F10" s="1533" t="n">
        <v>14.29538168</v>
      </c>
      <c r="G10" s="1533" t="n">
        <v>14.29538168</v>
      </c>
      <c r="H10" s="1533" t="n">
        <v>12.73350354</v>
      </c>
      <c r="I10" s="1533" t="n">
        <v>12.73350354</v>
      </c>
      <c r="J10" s="1533" t="n">
        <v>12.69969636</v>
      </c>
      <c r="K10" s="1533" t="n">
        <v>12.69969636</v>
      </c>
      <c r="L10" s="1533" t="n">
        <v>13.11909179</v>
      </c>
      <c r="M10" s="1533" t="n">
        <v>13.08863971</v>
      </c>
      <c r="N10" s="1533" t="n">
        <v>13.08863971</v>
      </c>
      <c r="O10" s="1533" t="n">
        <v>13.08863971</v>
      </c>
      <c r="P10" s="1533" t="n">
        <v>12.56102692</v>
      </c>
      <c r="Q10" s="1533" t="n">
        <v>12.56102692</v>
      </c>
      <c r="R10" s="1533" t="n">
        <v>12.56102692</v>
      </c>
      <c r="S10" s="1533" t="n">
        <v>11.47516922</v>
      </c>
      <c r="T10" s="1533" t="n">
        <v>10.57509022</v>
      </c>
      <c r="U10" s="1533" t="n">
        <v>10.2953593</v>
      </c>
      <c r="V10" s="1533" t="n">
        <v>10.2934433</v>
      </c>
      <c r="W10" s="1533" t="n">
        <v>9.7849713</v>
      </c>
      <c r="X10" s="1533" t="n">
        <v>9.78433802</v>
      </c>
      <c r="Y10" s="1533" t="n">
        <v>9.45321759</v>
      </c>
      <c r="Z10" s="1533" t="n">
        <v>7.81264731</v>
      </c>
      <c r="AA10" s="1533" t="n">
        <v>7.81264731</v>
      </c>
      <c r="AB10" s="1533" t="n">
        <v>7.81264731</v>
      </c>
      <c r="AC10" s="1533" t="n">
        <v>7.72227309</v>
      </c>
      <c r="AD10" s="1533" t="n">
        <v>7.70269174</v>
      </c>
      <c r="AE10" s="1533" t="n">
        <v>7.70199274</v>
      </c>
      <c r="AF10" s="1533" t="n">
        <v>6.54861336</v>
      </c>
      <c r="AG10" s="1533" t="n">
        <v>9.174268530000001</v>
      </c>
      <c r="AH10" s="1533" t="n">
        <v>9.16078353</v>
      </c>
      <c r="AI10" s="1533" t="n">
        <v>9.16078353</v>
      </c>
      <c r="AJ10" s="1533" t="n">
        <v>9.160667009999999</v>
      </c>
      <c r="AK10" s="1533" t="n">
        <v>8.38266701</v>
      </c>
      <c r="AL10" s="1533" t="n">
        <v>8.30401928</v>
      </c>
      <c r="AM10" s="1533" t="n">
        <v>8.303223279999999</v>
      </c>
      <c r="AN10" s="1533" t="n">
        <v>8.303223279999999</v>
      </c>
      <c r="AO10" s="1533" t="n">
        <v>8.303223279999999</v>
      </c>
      <c r="AP10" s="1533" t="n">
        <v>8.11868117</v>
      </c>
      <c r="AQ10" s="1533" t="n">
        <v>8.11868117</v>
      </c>
      <c r="AR10" s="1533" t="n">
        <v>7.38751941</v>
      </c>
      <c r="AS10" s="1533" t="n">
        <v>7.38745114</v>
      </c>
      <c r="AT10" s="1533" t="n">
        <v>7.24922371</v>
      </c>
      <c r="AU10" s="1533" t="n">
        <v>7.12983659</v>
      </c>
      <c r="AV10" s="1533" t="n">
        <v>9.829836589999999</v>
      </c>
      <c r="AW10" s="1533" t="n">
        <v>8.5748704</v>
      </c>
      <c r="AX10" s="1533" t="n">
        <v>8.5748704</v>
      </c>
      <c r="AY10" s="1533" t="n">
        <v>8.54116606</v>
      </c>
      <c r="AZ10" s="1533" t="n">
        <v>8.54116606</v>
      </c>
      <c r="BA10" s="1533" t="n">
        <v>8.540874609999999</v>
      </c>
      <c r="BB10" s="1533" t="n">
        <v>8.220195329999999</v>
      </c>
      <c r="BC10" s="1533" t="n">
        <v>8.219695530000001</v>
      </c>
      <c r="BD10" s="1533" t="n">
        <v>8.219695530000001</v>
      </c>
      <c r="BE10" s="1533" t="n">
        <v>7.10466496</v>
      </c>
      <c r="BF10" s="1533" t="n">
        <v>6.36483396</v>
      </c>
      <c r="BG10" s="1533" t="n">
        <v>6.36481237</v>
      </c>
      <c r="BH10" s="1533" t="n">
        <v>6.24381793</v>
      </c>
      <c r="BI10" s="1533" t="n">
        <v>6.24381793</v>
      </c>
      <c r="BJ10" s="1533" t="n">
        <v>6.18286793</v>
      </c>
      <c r="BK10" s="1533" t="n">
        <v>5.288819230000001</v>
      </c>
      <c r="BL10" s="1533" t="n">
        <v>5.28595433</v>
      </c>
      <c r="BM10" s="1533" t="n">
        <v>5.28595433</v>
      </c>
      <c r="BN10" s="1533" t="n">
        <v>4.09832172</v>
      </c>
      <c r="BO10" s="1533" t="n">
        <v>4.09692872</v>
      </c>
      <c r="BP10" s="1533" t="n">
        <v>5.45389423</v>
      </c>
      <c r="BQ10" s="1533" t="n">
        <v>5.45386872</v>
      </c>
      <c r="BR10" s="1533" t="n">
        <v>5.37231872</v>
      </c>
      <c r="BS10" s="1533" t="n">
        <v>5.37231872</v>
      </c>
      <c r="BT10" s="1533" t="n">
        <v>5.37040887</v>
      </c>
      <c r="BU10" s="1533" t="n">
        <v>5.34794997</v>
      </c>
      <c r="BV10" s="1533" t="n">
        <v>5.34794997</v>
      </c>
      <c r="BW10" s="1533" t="n">
        <v>5.34794997</v>
      </c>
      <c r="BX10" s="1533" t="n">
        <v>5.34794997</v>
      </c>
      <c r="BY10" s="1533" t="n">
        <v>5.34794997</v>
      </c>
      <c r="BZ10" s="1533" t="n">
        <v>3.63036981</v>
      </c>
      <c r="CA10" s="1533" t="n">
        <v>2.94063309</v>
      </c>
      <c r="CB10" s="1533" t="n">
        <v>2.94030965</v>
      </c>
      <c r="CC10" s="1533" t="n">
        <v>2.91061065</v>
      </c>
      <c r="CD10" s="1533" t="n">
        <v>2.99861065</v>
      </c>
      <c r="CE10" s="1533" t="n">
        <v>2.99558192</v>
      </c>
      <c r="CF10" s="1533" t="n">
        <v>2.91620187</v>
      </c>
      <c r="CG10" s="1533" t="n">
        <v>2.88045837</v>
      </c>
      <c r="CH10" s="1533" t="n">
        <v>2.87014237</v>
      </c>
      <c r="CI10" s="1533" t="n">
        <v>2.87014237</v>
      </c>
      <c r="CJ10" s="1533" t="n">
        <v>2.87014237</v>
      </c>
      <c r="CK10" s="1533" t="n">
        <v>2.87014237</v>
      </c>
      <c r="CL10" s="1533" t="n">
        <v>2.87014237</v>
      </c>
      <c r="CM10" s="1533" t="n">
        <v>5.24404905</v>
      </c>
      <c r="CN10" s="1533" t="n">
        <v>5.24403066</v>
      </c>
      <c r="CO10" s="1533" t="n">
        <v>5.24403066</v>
      </c>
      <c r="CP10" s="1533" t="n">
        <v>5.21694787</v>
      </c>
      <c r="CQ10" s="1533" t="n">
        <v>5.21694787</v>
      </c>
      <c r="CR10" s="1533" t="n">
        <v>4.86684187</v>
      </c>
      <c r="CS10" s="1533" t="n">
        <v>4.86684187</v>
      </c>
      <c r="CT10" s="1533" t="n">
        <v>4.82558887</v>
      </c>
      <c r="CU10" s="1533" t="n">
        <v>4.02054047</v>
      </c>
      <c r="CV10" s="1533" t="n">
        <v>4.02054047</v>
      </c>
      <c r="CW10" s="1533" t="n">
        <v>3.9646741</v>
      </c>
      <c r="CX10" s="1533" t="n">
        <v>3.3643741</v>
      </c>
      <c r="CY10" s="1533" t="n">
        <v>3.3643741</v>
      </c>
      <c r="CZ10" s="1533" t="n">
        <v>3.3643741</v>
      </c>
      <c r="DA10" s="1533" t="n">
        <v>3.36435754</v>
      </c>
      <c r="DB10" s="1533" t="n">
        <v>3.21161881</v>
      </c>
      <c r="DC10" s="1533" t="n">
        <v>3.95636661</v>
      </c>
      <c r="DD10" s="1533" t="n">
        <v>3.67628947</v>
      </c>
      <c r="DE10" s="1533" t="n">
        <v>3.51707703</v>
      </c>
      <c r="DF10" s="1533" t="n">
        <v>3.51707703</v>
      </c>
      <c r="DG10" s="1533" t="n">
        <v>5.42734063</v>
      </c>
      <c r="DH10" s="1533" t="n">
        <v>5.42734063</v>
      </c>
      <c r="DI10" s="1533" t="n">
        <v>4.29496998</v>
      </c>
      <c r="DJ10" s="1533" t="n">
        <v>4.29478628</v>
      </c>
      <c r="DK10" s="1533" t="n">
        <v>4.287384769999999</v>
      </c>
      <c r="DL10" s="1533" t="n">
        <v>4.287384769999999</v>
      </c>
      <c r="DM10" s="1533" t="n">
        <v>4.29380975</v>
      </c>
      <c r="DN10" s="1533" t="n">
        <v>4.29380975</v>
      </c>
      <c r="DO10" s="1533" t="n">
        <v>4.29380975</v>
      </c>
      <c r="DP10" s="1533" t="n">
        <v>4.29380975</v>
      </c>
      <c r="DQ10" s="1533" t="n">
        <v>4.29380975</v>
      </c>
      <c r="DR10" s="1533" t="n">
        <v>4.29380975</v>
      </c>
      <c r="DS10" s="1533" t="n">
        <v>3.6526529</v>
      </c>
      <c r="DT10" s="1533" t="n">
        <v>3.30327272</v>
      </c>
      <c r="DU10" s="1533" t="n">
        <v>3.30327272</v>
      </c>
      <c r="DV10" s="1533" t="n">
        <v>3.28838372</v>
      </c>
      <c r="DW10" s="1533" t="n">
        <v>3.28838372</v>
      </c>
      <c r="DX10" s="944" t="n">
        <v>3.20378872</v>
      </c>
      <c r="DY10" s="1533" t="n">
        <v>3.16016936</v>
      </c>
      <c r="DZ10" s="1533" t="n">
        <v>3.15763336</v>
      </c>
      <c r="EA10" s="1533" t="n">
        <v>3.15763336</v>
      </c>
      <c r="EB10" s="1533" t="n">
        <v>2.34937656</v>
      </c>
      <c r="EC10" s="1533" t="n">
        <v>2.25515166</v>
      </c>
      <c r="ED10" s="1533" t="n">
        <v>1.1976126</v>
      </c>
      <c r="EE10" s="1533" t="n">
        <v>1.1976126</v>
      </c>
      <c r="EF10" s="1533" t="n">
        <v>1.05634597</v>
      </c>
      <c r="EG10" s="1533" t="n">
        <v>3.73982697</v>
      </c>
      <c r="EH10" s="1533" t="n">
        <v>3.73982697</v>
      </c>
      <c r="EI10" s="1533" t="n">
        <v>3.73982697</v>
      </c>
      <c r="EJ10" s="1533" t="n">
        <v>3.73982697</v>
      </c>
      <c r="EK10" s="1533" t="n">
        <v>3.73982697</v>
      </c>
      <c r="EL10" s="1533" t="n">
        <v>3.15022697</v>
      </c>
      <c r="EM10" s="1533" t="n">
        <v>2.83131247</v>
      </c>
      <c r="EN10" s="1533" t="n">
        <v>2.83091447</v>
      </c>
      <c r="EO10" s="1533" t="n">
        <v>1.37225814</v>
      </c>
      <c r="EP10" s="1533" t="n">
        <v>1.36647229</v>
      </c>
      <c r="EQ10" s="1533" t="n">
        <v>1.36637229</v>
      </c>
      <c r="ER10" s="1533" t="n">
        <v>1.34076747</v>
      </c>
      <c r="ES10" s="1533" t="n">
        <v>1.39957347</v>
      </c>
      <c r="ET10" s="1533" t="n">
        <v>4.907487809999999</v>
      </c>
      <c r="EU10" s="1533" t="n">
        <v>4.77726158</v>
      </c>
      <c r="EV10" s="944" t="n">
        <v>5.847261580000001</v>
      </c>
      <c r="EW10" s="1533" t="n">
        <v>7.36726158</v>
      </c>
      <c r="EX10" s="1533" t="n">
        <v>7.36726158</v>
      </c>
      <c r="EY10" s="1533" t="n">
        <v>9.296711179999999</v>
      </c>
      <c r="EZ10" s="1533" t="n">
        <v>7.897625730000001</v>
      </c>
      <c r="FA10" s="1533" t="n">
        <v>9.47257999</v>
      </c>
      <c r="FB10" s="1533" t="n">
        <v>9.47257999</v>
      </c>
      <c r="FC10" s="1533" t="n">
        <v>9.47257999</v>
      </c>
      <c r="FD10" s="1533" t="n">
        <v>9.45707999</v>
      </c>
      <c r="FE10" s="1533" t="n">
        <v>9.45707999</v>
      </c>
      <c r="FF10" s="1533" t="n">
        <v>9.45707999</v>
      </c>
      <c r="FG10" s="1533" t="n">
        <v>9.45707999</v>
      </c>
      <c r="FH10" s="1533" t="n">
        <v>9.45707999</v>
      </c>
      <c r="FI10" s="1533" t="n">
        <v>9.45707999</v>
      </c>
      <c r="FJ10" s="1533" t="n">
        <v>9.45707999</v>
      </c>
      <c r="FK10" s="1533" t="n">
        <v>9.10522999</v>
      </c>
      <c r="FL10" s="1533" t="n">
        <v>9.10522999</v>
      </c>
      <c r="FM10" s="1533" t="n">
        <v>9.10370249</v>
      </c>
      <c r="FN10" s="944" t="n">
        <v>9.10370249</v>
      </c>
      <c r="FO10" s="1533" t="n">
        <v>8.295656709999999</v>
      </c>
      <c r="FP10" s="1533" t="n">
        <v>8.28774864</v>
      </c>
      <c r="FQ10" s="1533" t="n">
        <v>8.283548639999999</v>
      </c>
      <c r="FR10" s="1533" t="n">
        <v>8.283548639999999</v>
      </c>
      <c r="FS10" s="1533" t="n">
        <v>8.283548639999999</v>
      </c>
      <c r="FT10" s="1533" t="n">
        <v>8.283548639999999</v>
      </c>
      <c r="FU10" s="1533" t="n">
        <v>7.42285301</v>
      </c>
      <c r="FV10" s="1533" t="n">
        <v>7.41873645</v>
      </c>
      <c r="FW10" s="1533" t="n">
        <v>7.41873645</v>
      </c>
      <c r="FX10" s="1533" t="n">
        <v>7.418264629999999</v>
      </c>
      <c r="FY10" s="1533" t="n">
        <v>7.418264629999999</v>
      </c>
      <c r="FZ10" s="1533" t="n">
        <v>7.40026463</v>
      </c>
      <c r="GA10" s="1533" t="n">
        <v>7.40026463</v>
      </c>
      <c r="GB10" s="1533" t="n">
        <v>7.40026463</v>
      </c>
      <c r="GC10" s="1533" t="n">
        <v>7.40026463</v>
      </c>
      <c r="GD10" s="1533" t="n">
        <v>6.653108230000001</v>
      </c>
      <c r="GE10" s="1533" t="n">
        <v>5.77685167</v>
      </c>
      <c r="GF10" s="1533" t="n">
        <v>5.77685167</v>
      </c>
      <c r="GG10" s="1533" t="n">
        <v>5.70159232</v>
      </c>
      <c r="GH10" s="1533" t="n">
        <v>5.70159232</v>
      </c>
      <c r="GI10" s="1533" t="n">
        <v>7.88842654</v>
      </c>
      <c r="GJ10" s="1533" t="n">
        <v>7.88842654</v>
      </c>
      <c r="GK10" s="1533" t="n">
        <v>16.72452854</v>
      </c>
      <c r="GL10" s="1533" t="n">
        <v>16.07370154</v>
      </c>
      <c r="GM10" s="1533" t="n">
        <v>16.07370154</v>
      </c>
      <c r="GN10" s="1533" t="n">
        <v>16.06166911</v>
      </c>
      <c r="GO10" s="1533" t="n">
        <v>16.06166911</v>
      </c>
      <c r="GP10" s="1533" t="n">
        <v>16.92726911</v>
      </c>
      <c r="GQ10" s="1533" t="n">
        <v>16.92726911</v>
      </c>
      <c r="GR10" s="1533" t="n">
        <v>16.92726911</v>
      </c>
      <c r="GS10" s="1533" t="n">
        <v>16.69439582</v>
      </c>
      <c r="GT10" s="1533" t="n">
        <v>16.69735182</v>
      </c>
      <c r="GU10" s="1534" t="n">
        <v>16.69735182</v>
      </c>
      <c r="GV10" s="1533" t="n">
        <v>16.64264713</v>
      </c>
      <c r="GW10" s="1533" t="n">
        <v>16.64264713</v>
      </c>
      <c r="GX10" s="1533" t="n">
        <v>16.64257153</v>
      </c>
      <c r="GY10" s="1533" t="n">
        <v>16.64257153</v>
      </c>
      <c r="GZ10" s="1533" t="n">
        <v>16.64257153</v>
      </c>
      <c r="HA10" s="1533" t="n">
        <v>16.64257153</v>
      </c>
      <c r="HB10" s="1533" t="n">
        <v>16.63317615</v>
      </c>
      <c r="HC10" s="1533" t="n">
        <v>16.63317615</v>
      </c>
      <c r="HD10" s="1533" t="n">
        <v>16.63197915</v>
      </c>
      <c r="HE10" s="1533" t="n">
        <v>16.63197915</v>
      </c>
      <c r="HF10" s="1533" t="n">
        <v>16.63197915</v>
      </c>
      <c r="HG10" s="1533" t="n">
        <v>16.60927915</v>
      </c>
      <c r="HH10" s="1533" t="n">
        <v>16.60927915</v>
      </c>
      <c r="HI10" s="1533" t="n">
        <v>16.60927915</v>
      </c>
      <c r="HJ10" s="1533" t="n">
        <v>16.60927915</v>
      </c>
      <c r="HK10" s="1533" t="n">
        <v>16.60927915</v>
      </c>
      <c r="HL10" s="1533" t="n">
        <v>16.60425715</v>
      </c>
      <c r="HM10" s="1533" t="n">
        <v>16.60425715</v>
      </c>
      <c r="HN10" s="1533" t="n">
        <v>16.60425715</v>
      </c>
      <c r="HO10" s="1533" t="n">
        <v>16.60425715</v>
      </c>
      <c r="HP10" s="1533" t="n">
        <v>17.06755184</v>
      </c>
      <c r="HQ10" s="1533" t="n">
        <v>17.06755184</v>
      </c>
      <c r="HR10" s="944" t="n">
        <v>15.76589784</v>
      </c>
      <c r="HS10" s="945" t="n">
        <v>15.76589784</v>
      </c>
      <c r="HT10" s="1535" t="n">
        <v>15.76589784</v>
      </c>
      <c r="HU10" s="1535" t="n">
        <v>15.76589784</v>
      </c>
      <c r="HV10" s="1535" t="n">
        <v>15.80814277</v>
      </c>
      <c r="HW10" s="1535" t="n">
        <v>15.80814277</v>
      </c>
      <c r="HX10" s="1535" t="n">
        <v>15.79101277</v>
      </c>
      <c r="HY10" s="1535" t="n">
        <v>15.79101277</v>
      </c>
      <c r="HZ10" s="1535" t="n">
        <v>15.79101277</v>
      </c>
      <c r="IA10" s="1535" t="n">
        <v>15.79101277</v>
      </c>
      <c r="IB10" s="1535" t="n">
        <v>15.79101277</v>
      </c>
      <c r="IC10" s="1535" t="n">
        <v>15.79101277</v>
      </c>
      <c r="ID10" s="1535" t="n">
        <v>15.79101277</v>
      </c>
      <c r="IE10" s="1535" t="n">
        <v>15.79101277</v>
      </c>
      <c r="IF10" s="1535" t="n">
        <v>15.79101277</v>
      </c>
      <c r="IG10" s="1535" t="n">
        <v>15.79101277</v>
      </c>
      <c r="IH10" s="1535" t="n">
        <v>15.79101277</v>
      </c>
      <c r="II10" s="1535" t="n">
        <v>15.79101277</v>
      </c>
      <c r="IJ10" s="1535" t="n">
        <v>15.79101277</v>
      </c>
      <c r="IK10" s="1535" t="n">
        <v>15.79101277</v>
      </c>
      <c r="IL10" s="1535" t="n">
        <v>15.79101277</v>
      </c>
      <c r="IM10" s="1535" t="n">
        <v>15.79101277</v>
      </c>
      <c r="IN10" s="1535" t="n">
        <v>15.79101277</v>
      </c>
      <c r="IO10" s="1535" t="n">
        <v>15.78834877</v>
      </c>
      <c r="IP10" s="1535" t="n">
        <v>15.78834877</v>
      </c>
      <c r="IQ10" s="1535" t="n">
        <v>15.78834877</v>
      </c>
      <c r="IR10" s="1535" t="n">
        <v>15.78834877</v>
      </c>
      <c r="IS10" s="1535" t="n">
        <v>15.78834877</v>
      </c>
      <c r="IT10" s="1535" t="n">
        <v>15.78834877</v>
      </c>
      <c r="IU10" s="1535" t="n">
        <v>15.78834877</v>
      </c>
      <c r="IV10" s="1535" t="n">
        <v>15.78834877</v>
      </c>
      <c r="IW10" s="1535" t="n">
        <v>15.78834877</v>
      </c>
      <c r="IX10" s="1535" t="n">
        <v>15.78834877</v>
      </c>
      <c r="IY10" s="1536" t="n">
        <v>15.78834877</v>
      </c>
      <c r="IZ10" s="1535" t="n">
        <v>15.78834877</v>
      </c>
      <c r="JA10" s="1535" t="n">
        <v>15.78834877</v>
      </c>
      <c r="JB10" s="1535" t="n">
        <v>15.78834877</v>
      </c>
      <c r="JC10" s="1535" t="n">
        <v>15.78834877</v>
      </c>
      <c r="JD10" s="1535" t="n">
        <v>15.78834877</v>
      </c>
      <c r="JE10" s="1535" t="n">
        <v>15.78834877</v>
      </c>
      <c r="JF10" s="1535" t="n">
        <v>15.78834877</v>
      </c>
      <c r="JG10" s="1535" t="n">
        <v>15.78834877</v>
      </c>
      <c r="JH10" s="1535" t="n">
        <v>15.78834877</v>
      </c>
      <c r="JI10" s="1535" t="n">
        <v>15.78834877</v>
      </c>
      <c r="JJ10" s="1535" t="n">
        <v>15.78834877</v>
      </c>
      <c r="JK10" s="1535" t="n">
        <v>15.78744877</v>
      </c>
      <c r="JL10" s="1535" t="n">
        <v>15.7705112</v>
      </c>
      <c r="JM10" s="1535" t="n">
        <v>15.7705112</v>
      </c>
      <c r="JN10" s="1535" t="n">
        <v>15.7705112</v>
      </c>
      <c r="JO10" s="1535" t="n">
        <v>15.7705112</v>
      </c>
      <c r="JP10" s="1535" t="n">
        <v>15.7705112</v>
      </c>
      <c r="JQ10" s="1535" t="n">
        <v>15.7705112</v>
      </c>
      <c r="JR10" s="1535" t="n">
        <v>15.7705112</v>
      </c>
      <c r="JS10" s="1535" t="n">
        <v>15.7705112</v>
      </c>
      <c r="JT10" s="1535" t="n">
        <v>15.7705112</v>
      </c>
      <c r="JU10" s="1535" t="n">
        <v>15.7705112</v>
      </c>
      <c r="JV10" s="1535" t="n">
        <v>15.7705112</v>
      </c>
      <c r="JW10" s="1535" t="n">
        <v>15.7705112</v>
      </c>
      <c r="JX10" s="1535" t="n">
        <v>15.7705112</v>
      </c>
      <c r="JY10" s="1535" t="n">
        <v>15.7705112</v>
      </c>
      <c r="JZ10" s="1535" t="n">
        <v>15.7705112</v>
      </c>
      <c r="KA10" s="1535" t="n">
        <v>15.7705112</v>
      </c>
      <c r="KB10" s="1535" t="n">
        <v>15.7705112</v>
      </c>
      <c r="KC10" s="1535" t="n">
        <v>15.7705112</v>
      </c>
      <c r="KD10" s="1535" t="n">
        <v>15.7685512</v>
      </c>
      <c r="KE10" s="1535" t="n">
        <v>15.7685512</v>
      </c>
      <c r="KF10" s="1535" t="n">
        <v>15.7685512</v>
      </c>
      <c r="KG10" s="1535" t="n">
        <v>15.7685512</v>
      </c>
      <c r="KH10" s="1535" t="n">
        <v>15.7685512</v>
      </c>
      <c r="KI10" s="1535" t="n">
        <v>15.7685512</v>
      </c>
      <c r="KJ10" s="1535" t="n">
        <v>15.7685512</v>
      </c>
      <c r="KK10" s="1535" t="n">
        <v>15.7685512</v>
      </c>
      <c r="KL10" s="1535" t="n">
        <v>15.7685512</v>
      </c>
      <c r="KM10" s="1535" t="n">
        <v>15.7685512</v>
      </c>
      <c r="KN10" s="1535" t="n">
        <v>15.7685512</v>
      </c>
      <c r="KO10" s="1535" t="n">
        <v>15.7685512</v>
      </c>
      <c r="KP10" s="1535" t="n">
        <v>15.7685512</v>
      </c>
      <c r="KQ10" s="1535" t="n">
        <v>15.7685512</v>
      </c>
      <c r="KR10" s="1535" t="n">
        <v>15.63679791</v>
      </c>
      <c r="KS10" s="1536" t="n">
        <v>15.63679791</v>
      </c>
      <c r="KT10" s="1536" t="n">
        <v>15.63679791</v>
      </c>
      <c r="KU10" s="1536" t="n">
        <v>15.63679791</v>
      </c>
      <c r="KV10" s="1536" t="n">
        <v>15.63490191</v>
      </c>
      <c r="KW10" s="1536" t="n">
        <v>15.63490191</v>
      </c>
      <c r="KX10" s="1536" t="n">
        <v>15.63490191</v>
      </c>
      <c r="KY10" s="1536" t="n">
        <v>15.63490191</v>
      </c>
      <c r="KZ10" s="1536" t="n">
        <v>15.63490191</v>
      </c>
      <c r="LA10" s="1536" t="n">
        <v>15.63490191</v>
      </c>
      <c r="LB10" s="1536" t="n">
        <v>15.63490191</v>
      </c>
      <c r="LC10" s="1536" t="n">
        <v>15.63490191</v>
      </c>
      <c r="LD10" s="1536" t="n">
        <v>15.62419191</v>
      </c>
      <c r="LE10" s="1536" t="n">
        <v>15.62419191</v>
      </c>
      <c r="LF10" s="1536" t="n">
        <v>15.62419191</v>
      </c>
      <c r="LG10" s="1536" t="n">
        <v>15.62419191</v>
      </c>
      <c r="LH10" s="1536" t="n">
        <v>15.62149391</v>
      </c>
      <c r="LI10" s="1536" t="n">
        <v>15.62149391</v>
      </c>
      <c r="LJ10" s="1536" t="n">
        <v>16.72481697</v>
      </c>
      <c r="LK10" s="1536" t="n">
        <v>15.68709431</v>
      </c>
      <c r="LL10" s="1536" t="n">
        <v>16.72481697</v>
      </c>
      <c r="LM10" s="1536" t="n">
        <v>16.70944297</v>
      </c>
      <c r="LN10" s="1536" t="n">
        <v>16.70944297</v>
      </c>
      <c r="LO10" s="1536" t="n">
        <v>16.70944297</v>
      </c>
      <c r="LP10" s="1536" t="n">
        <v>16.70944297</v>
      </c>
      <c r="LQ10" s="1536" t="n">
        <v>16.70944297</v>
      </c>
      <c r="LR10" s="1536" t="n">
        <v>16.70757897</v>
      </c>
      <c r="LS10" s="1536" t="n">
        <v>16.70757897</v>
      </c>
      <c r="LT10" s="1536" t="n">
        <v>16.70757897</v>
      </c>
      <c r="LU10" s="1536" t="n">
        <v>16.70757897</v>
      </c>
      <c r="LV10" s="1536" t="n">
        <v>16.70757897</v>
      </c>
      <c r="LW10" s="1536" t="n">
        <v>16.70757297</v>
      </c>
      <c r="LX10" s="1536" t="n">
        <v>16.70757297</v>
      </c>
      <c r="LY10" s="1536" t="n">
        <v>16.70757297</v>
      </c>
      <c r="LZ10" s="1536" t="n">
        <v>16.70757297</v>
      </c>
      <c r="MA10" s="1536" t="n">
        <v>16.70757297</v>
      </c>
      <c r="MB10" s="1536" t="n">
        <v>16.70757297</v>
      </c>
      <c r="MC10" s="1536" t="n">
        <v>16.70757297</v>
      </c>
      <c r="MD10" s="1536" t="n">
        <v>16.69686297</v>
      </c>
      <c r="ME10" s="1536" t="n">
        <v>16.69003097</v>
      </c>
      <c r="MF10" s="1536" t="n">
        <v>16.68978097</v>
      </c>
      <c r="MG10" s="1536" t="n">
        <v>16.68953097</v>
      </c>
      <c r="MH10" s="1536" t="n">
        <v>16.68953097</v>
      </c>
      <c r="MI10" s="1536" t="n">
        <v>16.68660897</v>
      </c>
      <c r="MJ10" s="1536" t="n">
        <v>16.68660897</v>
      </c>
      <c r="MK10" s="1536" t="n">
        <v>16.68660897</v>
      </c>
      <c r="ML10" s="1536" t="n">
        <v>16.68660897</v>
      </c>
      <c r="MM10" s="1536" t="n">
        <v>16.68660897</v>
      </c>
      <c r="MN10" s="1536" t="n">
        <v>0.01079897</v>
      </c>
      <c r="MO10" s="1536" t="n">
        <v>0.01079897</v>
      </c>
      <c r="MP10" s="1536" t="n">
        <v>0.01079897</v>
      </c>
      <c r="MQ10" s="1536" t="n">
        <v>0.01079897</v>
      </c>
      <c r="MR10" s="1536" t="n">
        <v>0.01079897</v>
      </c>
      <c r="MS10" s="1536" t="n">
        <v>0.01079897</v>
      </c>
      <c r="MT10" s="1536" t="n">
        <v>0.01079897</v>
      </c>
      <c r="MU10" s="1536" t="n">
        <v>0.01079897</v>
      </c>
      <c r="MV10" s="1536" t="n">
        <v>0.01079897</v>
      </c>
      <c r="MW10" s="1536" t="n">
        <v>0.01079897</v>
      </c>
      <c r="MX10" s="1536" t="n">
        <v>0.01079897</v>
      </c>
      <c r="MY10" s="1536" t="n">
        <v>0.01079897</v>
      </c>
      <c r="MZ10" s="1536" t="n">
        <v>0.01079897</v>
      </c>
      <c r="NA10" s="1536" t="n">
        <v>0.01079897</v>
      </c>
      <c r="NB10" s="1536" t="n">
        <v>0.01079897</v>
      </c>
      <c r="NC10" s="1536" t="n">
        <v>0</v>
      </c>
      <c r="ND10" s="1536" t="n">
        <v>0</v>
      </c>
      <c r="NE10" s="1536" t="n">
        <v>0</v>
      </c>
      <c r="NF10" s="1536" t="n">
        <v>0</v>
      </c>
      <c r="NG10" s="1536" t="n">
        <v>0</v>
      </c>
      <c r="NH10" s="1536" t="n">
        <v>0</v>
      </c>
      <c r="NI10" s="1536" t="n">
        <v>0</v>
      </c>
      <c r="NJ10" s="1536" t="n">
        <v>0</v>
      </c>
      <c r="NK10" s="1536" t="n">
        <v>0</v>
      </c>
      <c r="NL10" s="1536" t="n">
        <v>0</v>
      </c>
      <c r="NM10" s="1536" t="n">
        <v>0</v>
      </c>
      <c r="NN10" s="1536" t="n">
        <v>0</v>
      </c>
      <c r="NO10" s="1536" t="n">
        <v>0</v>
      </c>
      <c r="NP10" s="1536" t="n">
        <v>0</v>
      </c>
      <c r="NQ10" s="1536" t="n">
        <v>0</v>
      </c>
      <c r="NR10" s="1536" t="n">
        <v>0</v>
      </c>
      <c r="NS10" s="1536" t="n">
        <v>0</v>
      </c>
      <c r="NT10" s="1536" t="n">
        <v>0</v>
      </c>
      <c r="NU10" s="1536" t="n">
        <v>0</v>
      </c>
      <c r="NV10" s="1536" t="n">
        <v>0</v>
      </c>
      <c r="NW10" s="1536" t="n">
        <v>0</v>
      </c>
      <c r="NX10" s="1536" t="n">
        <v>0</v>
      </c>
      <c r="NY10" s="1536" t="n">
        <v>0</v>
      </c>
      <c r="NZ10" s="1536" t="n">
        <v>0</v>
      </c>
      <c r="OA10" s="1536" t="n">
        <v>0</v>
      </c>
      <c r="OB10" s="1536" t="n">
        <v>0</v>
      </c>
      <c r="OC10" s="1536" t="n">
        <v>0</v>
      </c>
      <c r="OD10" s="1536" t="n">
        <v>0</v>
      </c>
      <c r="OE10" s="1536" t="n">
        <v>0</v>
      </c>
      <c r="OF10" s="1536" t="n">
        <v>0</v>
      </c>
      <c r="OG10" s="1536" t="n">
        <v>0</v>
      </c>
      <c r="OH10" s="1536" t="n">
        <v>0</v>
      </c>
      <c r="OI10" s="1536" t="n">
        <v>0</v>
      </c>
      <c r="OJ10" s="1536" t="n">
        <v>0</v>
      </c>
      <c r="OK10" s="1536" t="n">
        <v>0</v>
      </c>
      <c r="OL10" s="1536" t="n">
        <v>0</v>
      </c>
      <c r="OM10" s="1536" t="n">
        <v>0</v>
      </c>
      <c r="ON10" s="1536" t="n">
        <v>0</v>
      </c>
      <c r="OO10" s="1536" t="n">
        <v>0</v>
      </c>
      <c r="OP10" s="1536" t="n">
        <v>0</v>
      </c>
      <c r="OQ10" s="1536" t="n">
        <v>0</v>
      </c>
      <c r="OR10" s="1536" t="n">
        <v>0</v>
      </c>
      <c r="OS10" s="1536" t="n">
        <v>0</v>
      </c>
      <c r="OT10" s="1536" t="n">
        <v>0</v>
      </c>
      <c r="OU10" s="1536" t="n">
        <v>0</v>
      </c>
      <c r="OV10" s="1536" t="n">
        <v>0</v>
      </c>
      <c r="OW10" s="1536" t="n">
        <v>0</v>
      </c>
      <c r="OX10" s="1536" t="n">
        <v>0</v>
      </c>
      <c r="OY10" s="1536" t="n">
        <v>0</v>
      </c>
      <c r="OZ10" s="1536" t="n">
        <v>0</v>
      </c>
      <c r="PA10" s="1536" t="n">
        <v>0</v>
      </c>
      <c r="PB10" s="1536" t="n">
        <v>0</v>
      </c>
      <c r="PC10" s="1536" t="n">
        <v>0</v>
      </c>
      <c r="PD10" s="1536" t="n">
        <v>0</v>
      </c>
      <c r="PE10" s="1536" t="n">
        <v>0</v>
      </c>
      <c r="PF10" s="1536" t="n">
        <v>0</v>
      </c>
      <c r="PG10" s="1536" t="n">
        <v>0</v>
      </c>
      <c r="PH10" s="1536" t="n">
        <v>0</v>
      </c>
      <c r="PI10" s="1536" t="n">
        <v>0</v>
      </c>
      <c r="PJ10" s="1536" t="n">
        <v>0</v>
      </c>
      <c r="PK10" s="1536" t="n">
        <v>0</v>
      </c>
      <c r="PL10" s="1536" t="n">
        <v>0</v>
      </c>
      <c r="PM10" s="1536" t="n">
        <v>0</v>
      </c>
      <c r="PN10" s="1536" t="n">
        <v>0</v>
      </c>
      <c r="PO10" s="1536" t="n">
        <v>0</v>
      </c>
      <c r="PP10" s="1536" t="n">
        <v>0</v>
      </c>
      <c r="PQ10" s="1536" t="n">
        <v>0</v>
      </c>
      <c r="PR10" s="1536" t="n">
        <v>0</v>
      </c>
      <c r="PS10" s="1536" t="n">
        <v>0</v>
      </c>
      <c r="PT10" s="1536" t="n">
        <v>0</v>
      </c>
      <c r="PU10" s="1536" t="n">
        <v>0</v>
      </c>
      <c r="PV10" s="1536" t="n">
        <v>0</v>
      </c>
      <c r="PW10" s="1536" t="n">
        <v>0</v>
      </c>
      <c r="PX10" s="1536" t="n">
        <v>0</v>
      </c>
      <c r="PY10" s="1536" t="n">
        <v>0</v>
      </c>
      <c r="PZ10" s="1536" t="n">
        <v>0</v>
      </c>
      <c r="QA10" s="1536" t="n">
        <v>0</v>
      </c>
      <c r="QB10" s="1536" t="n">
        <v>0</v>
      </c>
      <c r="QC10" s="1536" t="n">
        <v>0</v>
      </c>
      <c r="QD10" s="1536" t="n">
        <v>0</v>
      </c>
      <c r="QE10" s="1536" t="n">
        <v>0</v>
      </c>
      <c r="QF10" s="1536" t="n">
        <v>0</v>
      </c>
      <c r="QG10" s="1536" t="n">
        <v>0</v>
      </c>
      <c r="QH10" s="1536" t="n">
        <v>0</v>
      </c>
      <c r="QI10" s="1536" t="n">
        <v>0</v>
      </c>
      <c r="QJ10" s="1536" t="n">
        <v>0</v>
      </c>
      <c r="QK10" s="1536" t="n">
        <v>0</v>
      </c>
      <c r="QL10" s="1536" t="n">
        <v>0</v>
      </c>
      <c r="QM10" s="1536" t="n">
        <v>0</v>
      </c>
      <c r="QN10" s="1536" t="n">
        <v>0</v>
      </c>
      <c r="QO10" s="1536" t="n">
        <v>0</v>
      </c>
      <c r="QP10" s="1536" t="n">
        <v>0</v>
      </c>
      <c r="QQ10" s="1536" t="n">
        <v>0</v>
      </c>
      <c r="QR10" s="1536" t="n">
        <v>0</v>
      </c>
      <c r="QS10" s="1536" t="n">
        <v>0</v>
      </c>
      <c r="QT10" s="1536" t="n">
        <v>0</v>
      </c>
      <c r="QU10" s="1536" t="n">
        <v>0</v>
      </c>
      <c r="QV10" s="1536" t="n">
        <v>0</v>
      </c>
      <c r="QW10" s="1536" t="n">
        <v>0</v>
      </c>
      <c r="QX10" s="1536" t="n">
        <v>0</v>
      </c>
      <c r="QY10" s="1536" t="n">
        <v>0</v>
      </c>
      <c r="QZ10" s="1536" t="n">
        <v>0</v>
      </c>
      <c r="RA10" s="1536" t="n">
        <v>0</v>
      </c>
      <c r="RB10" s="1536" t="n">
        <v>0</v>
      </c>
      <c r="RC10" s="1536" t="n">
        <v>0</v>
      </c>
      <c r="RD10" s="1536" t="n">
        <v>0</v>
      </c>
      <c r="RE10" s="1536" t="n">
        <v>0</v>
      </c>
      <c r="RF10" s="1536" t="n">
        <v>0</v>
      </c>
      <c r="RG10" s="1536" t="n">
        <v>0</v>
      </c>
      <c r="RH10" s="1536" t="n">
        <v>0</v>
      </c>
      <c r="RI10" s="1536" t="n">
        <v>0</v>
      </c>
      <c r="RJ10" s="1536" t="n">
        <v>0</v>
      </c>
      <c r="RK10" s="1536" t="n">
        <v>0</v>
      </c>
      <c r="RL10" s="1536" t="n">
        <v>0</v>
      </c>
      <c r="RM10" s="1536" t="n">
        <v>0</v>
      </c>
      <c r="RN10" s="1536" t="n">
        <v>0</v>
      </c>
      <c r="RO10" s="1536" t="n">
        <v>0</v>
      </c>
      <c r="RP10" s="1536" t="n">
        <v>0</v>
      </c>
      <c r="RQ10" s="1536" t="n">
        <v>0</v>
      </c>
      <c r="RR10" s="1536" t="n">
        <v>0</v>
      </c>
      <c r="RS10" s="1536" t="n">
        <v>0</v>
      </c>
      <c r="RT10" s="1536" t="n">
        <v>0</v>
      </c>
      <c r="RU10" s="1536" t="n">
        <v>0</v>
      </c>
      <c r="RV10" s="1536" t="n">
        <v>0</v>
      </c>
      <c r="RW10" s="1536" t="n">
        <v>0</v>
      </c>
      <c r="RX10" s="1536" t="n">
        <v>0</v>
      </c>
      <c r="RY10" s="1536" t="n">
        <v>0</v>
      </c>
      <c r="RZ10" s="1536" t="n">
        <v>0</v>
      </c>
      <c r="SA10" s="1536" t="n">
        <v>0</v>
      </c>
      <c r="SB10" s="1536" t="n">
        <v>0</v>
      </c>
      <c r="SC10" s="1536" t="n">
        <v>0</v>
      </c>
      <c r="SD10" s="1536" t="n">
        <v>0</v>
      </c>
      <c r="SE10" s="1536" t="n">
        <v>0</v>
      </c>
      <c r="SF10" s="1536" t="n">
        <v>0</v>
      </c>
      <c r="SG10" s="1536" t="n">
        <v>0</v>
      </c>
      <c r="SH10" s="1536" t="n">
        <v>0</v>
      </c>
      <c r="SI10" s="1536" t="n">
        <v>0</v>
      </c>
      <c r="SJ10" s="1536" t="n">
        <v>0</v>
      </c>
      <c r="SK10" s="1536" t="n">
        <v>0</v>
      </c>
      <c r="SL10" s="1536" t="n">
        <v>0</v>
      </c>
      <c r="SM10" s="1536" t="n">
        <v>0</v>
      </c>
      <c r="SN10" s="1536" t="n">
        <v>0</v>
      </c>
      <c r="SO10" s="1536" t="n">
        <v>0</v>
      </c>
      <c r="SP10" s="1536" t="n">
        <v>0</v>
      </c>
      <c r="SQ10" s="1536" t="n">
        <v>0</v>
      </c>
      <c r="SR10" s="1536" t="n">
        <v>0</v>
      </c>
      <c r="SS10" s="1536" t="n">
        <v>0</v>
      </c>
      <c r="ST10" s="1536" t="n">
        <v>0</v>
      </c>
      <c r="SU10" s="1536" t="n">
        <v>0</v>
      </c>
      <c r="SV10" s="1536" t="n">
        <v>0</v>
      </c>
      <c r="SW10" s="1536" t="n">
        <v>0</v>
      </c>
      <c r="SX10" s="1536" t="n">
        <v>0</v>
      </c>
      <c r="SY10" s="1536" t="n">
        <v>0</v>
      </c>
      <c r="SZ10" s="1536" t="n">
        <v>0</v>
      </c>
      <c r="TA10" s="1536" t="n">
        <v>0</v>
      </c>
      <c r="TB10" s="1536" t="n">
        <v>0</v>
      </c>
      <c r="TC10" s="1536" t="n">
        <v>0</v>
      </c>
      <c r="TD10" s="1536" t="n">
        <v>0</v>
      </c>
      <c r="TE10" s="1536" t="n">
        <v>0</v>
      </c>
      <c r="TF10" s="1536" t="n">
        <v>0</v>
      </c>
      <c r="TG10" s="1536" t="n">
        <v>0</v>
      </c>
      <c r="TH10" s="1536" t="n">
        <v>0</v>
      </c>
      <c r="TI10" s="1536" t="n">
        <v>0</v>
      </c>
      <c r="TJ10" s="1536" t="n">
        <v>0</v>
      </c>
      <c r="TK10" s="1536" t="n">
        <v>0</v>
      </c>
      <c r="TL10" s="1536" t="n">
        <v>0</v>
      </c>
      <c r="TM10" s="1536" t="n">
        <v>0</v>
      </c>
      <c r="TN10" s="1536" t="n">
        <v>0</v>
      </c>
      <c r="TO10" s="1536" t="n">
        <v>0</v>
      </c>
      <c r="TP10" s="1536" t="n">
        <v>0</v>
      </c>
      <c r="TQ10" s="1536" t="n">
        <v>0</v>
      </c>
      <c r="TR10" s="1536" t="n">
        <v>0</v>
      </c>
      <c r="TS10" s="1536" t="n">
        <v>0</v>
      </c>
      <c r="TT10" s="1536" t="n">
        <v>0</v>
      </c>
      <c r="TU10" s="1536" t="n">
        <v>0</v>
      </c>
      <c r="TV10" s="1536" t="n">
        <v>0</v>
      </c>
      <c r="TW10" s="1536" t="n">
        <v>0</v>
      </c>
      <c r="TX10" s="1536" t="n">
        <v>0</v>
      </c>
      <c r="TY10" s="1536" t="n">
        <v>0</v>
      </c>
      <c r="TZ10" s="1536" t="n">
        <v>0</v>
      </c>
      <c r="UA10" s="1536" t="n">
        <v>0</v>
      </c>
      <c r="UB10" s="1536" t="n">
        <v>0</v>
      </c>
      <c r="UC10" s="1536" t="n">
        <v>0</v>
      </c>
      <c r="UD10" s="1536" t="n">
        <v>0</v>
      </c>
      <c r="UE10" s="1536" t="n">
        <v>0</v>
      </c>
      <c r="UF10" s="1536" t="n">
        <v>0</v>
      </c>
      <c r="UG10" s="1536" t="n">
        <v>0</v>
      </c>
      <c r="UH10" s="1536" t="n">
        <v>0</v>
      </c>
      <c r="UI10" s="1536" t="n">
        <v>0</v>
      </c>
      <c r="UJ10" s="1536" t="n">
        <v>0</v>
      </c>
      <c r="UK10" s="1536" t="n">
        <v>0</v>
      </c>
      <c r="UL10" s="1536" t="n">
        <v>0</v>
      </c>
      <c r="UM10" s="1536" t="n">
        <v>0</v>
      </c>
      <c r="UN10" s="1536" t="n">
        <v>0</v>
      </c>
      <c r="UO10" s="1536" t="n">
        <v>0</v>
      </c>
      <c r="UP10" s="1536" t="n">
        <v>0</v>
      </c>
      <c r="UQ10" s="1536" t="n">
        <v>0</v>
      </c>
      <c r="UR10" s="1536" t="n">
        <v>0</v>
      </c>
      <c r="US10" s="1536" t="n">
        <v>0</v>
      </c>
      <c r="UT10" s="1536" t="n">
        <v>0</v>
      </c>
      <c r="UU10" s="1536" t="n">
        <v>0</v>
      </c>
      <c r="UV10" s="1536" t="n">
        <v>0</v>
      </c>
      <c r="UW10" s="1536" t="n">
        <v>0</v>
      </c>
      <c r="UX10" s="1536" t="n">
        <v>0</v>
      </c>
      <c r="UY10" s="1536" t="n">
        <v>0</v>
      </c>
      <c r="UZ10" s="1536" t="n">
        <v>0</v>
      </c>
      <c r="VA10" s="1536" t="n">
        <v>0</v>
      </c>
      <c r="VB10" s="1536" t="n">
        <v>0</v>
      </c>
      <c r="VC10" s="1536" t="n">
        <v>0</v>
      </c>
      <c r="VD10" s="1536" t="n">
        <v>0</v>
      </c>
      <c r="VE10" s="1536" t="n">
        <v>0</v>
      </c>
      <c r="VF10" s="1536" t="n">
        <v>0</v>
      </c>
      <c r="VG10" s="1536" t="n">
        <v>0</v>
      </c>
      <c r="VH10" s="1536" t="n">
        <v>0</v>
      </c>
      <c r="VI10" s="1536" t="n">
        <v>0</v>
      </c>
      <c r="VJ10" s="1536" t="n">
        <v>0</v>
      </c>
      <c r="VK10" s="1536" t="n">
        <v>0</v>
      </c>
      <c r="VL10" s="1536" t="n">
        <v>0</v>
      </c>
      <c r="VM10" s="1536" t="n">
        <v>0</v>
      </c>
      <c r="VN10" s="1536" t="n">
        <v>0</v>
      </c>
      <c r="VO10" s="1536" t="n">
        <v>0</v>
      </c>
      <c r="VP10" s="1536" t="n">
        <v>0</v>
      </c>
      <c r="VQ10" s="1536" t="n">
        <v>0</v>
      </c>
      <c r="VR10" s="1536" t="n">
        <v>0</v>
      </c>
      <c r="VS10" s="1536" t="n">
        <v>0</v>
      </c>
      <c r="VT10" s="1536" t="n">
        <v>0</v>
      </c>
      <c r="VU10" s="1536" t="n">
        <v>0</v>
      </c>
      <c r="VV10" s="1536" t="n">
        <v>0</v>
      </c>
      <c r="VW10" s="1536" t="n">
        <v>0</v>
      </c>
      <c r="VX10" s="1536" t="n">
        <v>0</v>
      </c>
      <c r="VY10" s="1536" t="n">
        <v>0</v>
      </c>
      <c r="VZ10" s="1536" t="n">
        <v>0</v>
      </c>
      <c r="WA10" s="1536" t="n">
        <v>0</v>
      </c>
      <c r="WB10" s="1536" t="n">
        <v>0</v>
      </c>
      <c r="WC10" s="1536" t="n">
        <v>0</v>
      </c>
      <c r="WD10" s="1536" t="n">
        <v>0</v>
      </c>
      <c r="WE10" s="1536" t="n">
        <v>0</v>
      </c>
      <c r="WF10" s="1536" t="n">
        <v>0</v>
      </c>
      <c r="WG10" s="1536" t="n">
        <v>0</v>
      </c>
      <c r="WH10" s="1536" t="n">
        <v>0</v>
      </c>
      <c r="WI10" s="1536" t="n">
        <v>0</v>
      </c>
      <c r="WJ10" s="1536" t="n">
        <v>0</v>
      </c>
      <c r="WK10" s="1536" t="n">
        <v>0</v>
      </c>
      <c r="WL10" s="1536" t="n">
        <v>0</v>
      </c>
      <c r="WM10" s="1536" t="n">
        <v>0</v>
      </c>
      <c r="WN10" s="1536" t="n">
        <v>0</v>
      </c>
      <c r="WO10" s="1536" t="n">
        <v>0</v>
      </c>
      <c r="WP10" s="1536" t="n">
        <v>0</v>
      </c>
      <c r="WQ10" s="1536" t="n">
        <v>0</v>
      </c>
      <c r="WR10" s="1536" t="n">
        <v>0</v>
      </c>
      <c r="WS10" s="1536" t="n">
        <v>0</v>
      </c>
      <c r="WT10" s="1536" t="n">
        <v>0</v>
      </c>
      <c r="WU10" s="1536" t="n">
        <v>0</v>
      </c>
      <c r="WV10" s="1536" t="n">
        <v>0</v>
      </c>
      <c r="WW10" s="1536" t="n">
        <v>0</v>
      </c>
      <c r="WX10" s="1536" t="n">
        <v>0</v>
      </c>
      <c r="WY10" s="1536" t="n">
        <v>0</v>
      </c>
      <c r="WZ10" s="1536" t="n">
        <v>0</v>
      </c>
      <c r="XA10" s="1536" t="n">
        <v>0</v>
      </c>
      <c r="XB10" s="1536" t="n">
        <v>0</v>
      </c>
      <c r="XC10" s="1536" t="n">
        <v>0</v>
      </c>
      <c r="XD10" s="1536" t="n">
        <v>0</v>
      </c>
      <c r="XE10" s="1536" t="n">
        <v>0</v>
      </c>
      <c r="XF10" s="1536" t="n">
        <v>0</v>
      </c>
      <c r="XG10" s="1536" t="n">
        <v>0</v>
      </c>
      <c r="XH10" s="1536" t="n">
        <v>0</v>
      </c>
      <c r="XI10" s="1536" t="n">
        <v>0</v>
      </c>
      <c r="XJ10" s="1536" t="n">
        <v>0</v>
      </c>
      <c r="XK10" s="1536" t="n">
        <v>0</v>
      </c>
      <c r="XL10" s="1536" t="n">
        <v>0</v>
      </c>
      <c r="XM10" s="1536" t="n">
        <v>0</v>
      </c>
      <c r="XN10" s="1536" t="n">
        <v>0</v>
      </c>
      <c r="XO10" s="1536" t="n">
        <v>0</v>
      </c>
      <c r="XP10" s="1536" t="n">
        <v>0</v>
      </c>
      <c r="XQ10" s="1536" t="n">
        <v>0</v>
      </c>
      <c r="XR10" s="1536" t="n">
        <v>0</v>
      </c>
      <c r="XS10" s="1536" t="n">
        <v>0</v>
      </c>
      <c r="XT10" s="1536" t="n">
        <v>0</v>
      </c>
      <c r="XU10" s="1536" t="n">
        <v>0</v>
      </c>
      <c r="XV10" s="1536" t="n">
        <v>0</v>
      </c>
      <c r="XW10" s="1536" t="n">
        <v>0</v>
      </c>
      <c r="XX10" s="1536" t="n">
        <v>0</v>
      </c>
      <c r="XY10" s="1536" t="n">
        <v>0</v>
      </c>
      <c r="XZ10" s="1536" t="n">
        <v>0</v>
      </c>
      <c r="YA10" s="1536" t="n">
        <v>0</v>
      </c>
      <c r="YB10" s="1536" t="n">
        <v>0</v>
      </c>
      <c r="YC10" s="1536" t="n">
        <v>0</v>
      </c>
      <c r="YD10" s="1536" t="n">
        <v>0</v>
      </c>
      <c r="YE10" s="1536" t="n">
        <v>0</v>
      </c>
      <c r="YF10" s="1536" t="n">
        <v>0</v>
      </c>
      <c r="YG10" s="1536" t="n">
        <v>0</v>
      </c>
      <c r="YH10" s="1536" t="n">
        <v>0</v>
      </c>
      <c r="YI10" s="1536" t="n">
        <v>0</v>
      </c>
      <c r="YJ10" s="1537" t="n">
        <v>0</v>
      </c>
    </row>
    <row r="11" customFormat="1" s="948">
      <c r="B11" s="919" t="inlineStr">
        <is>
          <t xml:space="preserve">  Total CPFO Group (M.RUB)</t>
        </is>
      </c>
      <c r="C11" s="1538">
        <f>SUM(C5:C10)</f>
        <v/>
      </c>
      <c r="D11" s="1526">
        <f>SUM(D5:D10)</f>
        <v/>
      </c>
      <c r="E11" s="1526">
        <f>SUM(E5:E10)</f>
        <v/>
      </c>
      <c r="F11" s="1526">
        <f>SUM(F5:F10)</f>
        <v/>
      </c>
      <c r="G11" s="1526">
        <f>SUM(G5:G10)</f>
        <v/>
      </c>
      <c r="H11" s="1526">
        <f>SUM(H5:H10)</f>
        <v/>
      </c>
      <c r="I11" s="1526">
        <f>SUM(I5:I10)</f>
        <v/>
      </c>
      <c r="J11" s="1526">
        <f>SUM(J5:J10)</f>
        <v/>
      </c>
      <c r="K11" s="1526">
        <f>SUM(K5:K10)</f>
        <v/>
      </c>
      <c r="L11" s="1526">
        <f>SUM(L5:L10)</f>
        <v/>
      </c>
      <c r="M11" s="1526">
        <f>SUM(M5:M10)</f>
        <v/>
      </c>
      <c r="N11" s="1526">
        <f>SUM(N5:N10)</f>
        <v/>
      </c>
      <c r="O11" s="1526">
        <f>SUM(O5:O10)</f>
        <v/>
      </c>
      <c r="P11" s="1526">
        <f>SUM(P5:P10)</f>
        <v/>
      </c>
      <c r="Q11" s="1526">
        <f>SUM(Q5:Q10)</f>
        <v/>
      </c>
      <c r="R11" s="1526">
        <f>SUM(R5:R10)</f>
        <v/>
      </c>
      <c r="S11" s="1526">
        <f>SUM(S5:S10)</f>
        <v/>
      </c>
      <c r="T11" s="1526">
        <f>SUM(T5:T10)</f>
        <v/>
      </c>
      <c r="U11" s="1526">
        <f>SUM(U5:U10)</f>
        <v/>
      </c>
      <c r="V11" s="1526">
        <f>SUM(V5:V10)</f>
        <v/>
      </c>
      <c r="W11" s="1526">
        <f>SUM(W5:W10)</f>
        <v/>
      </c>
      <c r="X11" s="1526">
        <f>SUM(X5:X10)</f>
        <v/>
      </c>
      <c r="Y11" s="1526">
        <f>SUM(Y5:Y10)</f>
        <v/>
      </c>
      <c r="Z11" s="1526">
        <f>SUM(Z5:Z10)</f>
        <v/>
      </c>
      <c r="AA11" s="1526">
        <f>SUM(AA5:AA10)</f>
        <v/>
      </c>
      <c r="AB11" s="1526">
        <f>SUM(AB5:AB10)</f>
        <v/>
      </c>
      <c r="AC11" s="1526">
        <f>SUM(AC5:AC10)</f>
        <v/>
      </c>
      <c r="AD11" s="1526">
        <f>SUM(AD5:AD10)</f>
        <v/>
      </c>
      <c r="AE11" s="1526">
        <f>SUM(AE5:AE10)</f>
        <v/>
      </c>
      <c r="AF11" s="1526">
        <f>SUM(AF5:AF10)</f>
        <v/>
      </c>
      <c r="AG11" s="1526">
        <f>SUM(AG5:AG10)</f>
        <v/>
      </c>
      <c r="AH11" s="1526">
        <f>SUM(AH5:AH10)</f>
        <v/>
      </c>
      <c r="AI11" s="1526">
        <f>SUM(AI5:AI10)</f>
        <v/>
      </c>
      <c r="AJ11" s="1526">
        <f>SUM(AJ5:AJ10)</f>
        <v/>
      </c>
      <c r="AK11" s="1526">
        <f>SUM(AK5:AK10)</f>
        <v/>
      </c>
      <c r="AL11" s="1526">
        <f>SUM(AL5:AL10)</f>
        <v/>
      </c>
      <c r="AM11" s="1526">
        <f>SUM(AM5:AM10)</f>
        <v/>
      </c>
      <c r="AN11" s="1526">
        <f>SUM(AN5:AN10)</f>
        <v/>
      </c>
      <c r="AO11" s="1526">
        <f>SUM(AO5:AO10)</f>
        <v/>
      </c>
      <c r="AP11" s="1526">
        <f>SUM(AP5:AP10)</f>
        <v/>
      </c>
      <c r="AQ11" s="1526">
        <f>SUM(AQ5:AQ10)</f>
        <v/>
      </c>
      <c r="AR11" s="1526">
        <f>SUM(AR5:AR10)</f>
        <v/>
      </c>
      <c r="AS11" s="1526">
        <f>SUM(AS5:AS10)</f>
        <v/>
      </c>
      <c r="AT11" s="1526">
        <f>SUM(AT5:AT10)</f>
        <v/>
      </c>
      <c r="AU11" s="1526">
        <f>SUM(AU5:AU10)</f>
        <v/>
      </c>
      <c r="AV11" s="1526">
        <f>SUM(AV5:AV10)</f>
        <v/>
      </c>
      <c r="AW11" s="1526">
        <f>SUM(AW5:AW10)</f>
        <v/>
      </c>
      <c r="AX11" s="1526">
        <f>SUM(AX5:AX10)</f>
        <v/>
      </c>
      <c r="AY11" s="1526">
        <f>SUM(AY5:AY10)</f>
        <v/>
      </c>
      <c r="AZ11" s="1526">
        <f>SUM(AZ5:AZ10)</f>
        <v/>
      </c>
      <c r="BA11" s="1526">
        <f>SUM(BA5:BA10)</f>
        <v/>
      </c>
      <c r="BB11" s="1526">
        <f>SUM(BB5:BB10)</f>
        <v/>
      </c>
      <c r="BC11" s="1526">
        <f>SUM(BC5:BC10)</f>
        <v/>
      </c>
      <c r="BD11" s="1526">
        <f>SUM(BD5:BD10)</f>
        <v/>
      </c>
      <c r="BE11" s="1526">
        <f>SUM(BE5:BE10)</f>
        <v/>
      </c>
      <c r="BF11" s="1526">
        <f>SUM(BF5:BF10)</f>
        <v/>
      </c>
      <c r="BG11" s="1526">
        <f>SUM(BG5:BG10)</f>
        <v/>
      </c>
      <c r="BH11" s="1526">
        <f>SUM(BH5:BH10)</f>
        <v/>
      </c>
      <c r="BI11" s="1526">
        <f>SUM(BI5:BI10)</f>
        <v/>
      </c>
      <c r="BJ11" s="1526">
        <f>SUM(BJ5:BJ10)</f>
        <v/>
      </c>
      <c r="BK11" s="1526">
        <f>SUM(BK5:BK10)</f>
        <v/>
      </c>
      <c r="BL11" s="1526">
        <f>SUM(BL5:BL10)</f>
        <v/>
      </c>
      <c r="BM11" s="1526">
        <f>SUM(BM5:BM10)</f>
        <v/>
      </c>
      <c r="BN11" s="1526">
        <f>SUM(BN5:BN10)</f>
        <v/>
      </c>
      <c r="BO11" s="1526">
        <f>SUM(BO5:BO10)</f>
        <v/>
      </c>
      <c r="BP11" s="1526">
        <f>SUM(BP5:BP10)</f>
        <v/>
      </c>
      <c r="BQ11" s="1526">
        <f>SUM(BQ5:BQ10)</f>
        <v/>
      </c>
      <c r="BR11" s="1526">
        <f>SUM(BR5:BR10)</f>
        <v/>
      </c>
      <c r="BS11" s="1526">
        <f>SUM(BS5:BS10)</f>
        <v/>
      </c>
      <c r="BT11" s="1526">
        <f>SUM(BT5:BT10)</f>
        <v/>
      </c>
      <c r="BU11" s="1526">
        <f>SUM(BU5:BU10)</f>
        <v/>
      </c>
      <c r="BV11" s="1526">
        <f>SUM(BV5:BV10)</f>
        <v/>
      </c>
      <c r="BW11" s="1526">
        <f>SUM(BW5:BW10)</f>
        <v/>
      </c>
      <c r="BX11" s="1526">
        <f>SUM(BX5:BX10)</f>
        <v/>
      </c>
      <c r="BY11" s="1526">
        <f>SUM(BY5:BY10)</f>
        <v/>
      </c>
      <c r="BZ11" s="1526">
        <f>SUM(BZ5:BZ10)</f>
        <v/>
      </c>
      <c r="CA11" s="1526">
        <f>SUM(CA5:CA10)</f>
        <v/>
      </c>
      <c r="CB11" s="1526">
        <f>SUM(CB5:CB10)</f>
        <v/>
      </c>
      <c r="CC11" s="1526">
        <f>SUM(CC5:CC10)</f>
        <v/>
      </c>
      <c r="CD11" s="1526">
        <f>SUM(CD5:CD10)</f>
        <v/>
      </c>
      <c r="CE11" s="1526">
        <f>SUM(CE5:CE10)</f>
        <v/>
      </c>
      <c r="CF11" s="1526">
        <f>SUM(CF5:CF10)</f>
        <v/>
      </c>
      <c r="CG11" s="1526">
        <f>SUM(CG5:CG10)</f>
        <v/>
      </c>
      <c r="CH11" s="1526">
        <f>SUM(CH5:CH10)</f>
        <v/>
      </c>
      <c r="CI11" s="1526">
        <f>SUM(CI5:CI10)</f>
        <v/>
      </c>
      <c r="CJ11" s="1526">
        <f>SUM(CJ5:CJ10)</f>
        <v/>
      </c>
      <c r="CK11" s="1526">
        <f>SUM(CK5:CK10)</f>
        <v/>
      </c>
      <c r="CL11" s="1526">
        <f>SUM(CL5:CL10)</f>
        <v/>
      </c>
      <c r="CM11" s="1526">
        <f>SUM(CM5:CM10)</f>
        <v/>
      </c>
      <c r="CN11" s="1526">
        <f>SUM(CN5:CN10)</f>
        <v/>
      </c>
      <c r="CO11" s="1526">
        <f>SUM(CO5:CO10)</f>
        <v/>
      </c>
      <c r="CP11" s="1526">
        <f>SUM(CP5:CP10)</f>
        <v/>
      </c>
      <c r="CQ11" s="1526">
        <f>SUM(CQ5:CQ10)</f>
        <v/>
      </c>
      <c r="CR11" s="1526">
        <f>SUM(CR5:CR10)</f>
        <v/>
      </c>
      <c r="CS11" s="1526">
        <f>SUM(CS5:CS10)</f>
        <v/>
      </c>
      <c r="CT11" s="1526">
        <f>SUM(CT5:CT10)</f>
        <v/>
      </c>
      <c r="CU11" s="1526">
        <f>SUM(CU5:CU10)</f>
        <v/>
      </c>
      <c r="CV11" s="1526">
        <f>SUM(CV5:CV10)</f>
        <v/>
      </c>
      <c r="CW11" s="1526">
        <f>SUM(CW5:CW10)</f>
        <v/>
      </c>
      <c r="CX11" s="1526">
        <f>SUM(CX5:CX10)</f>
        <v/>
      </c>
      <c r="CY11" s="1526">
        <f>SUM(CY5:CY10)</f>
        <v/>
      </c>
      <c r="CZ11" s="1526">
        <f>SUM(CZ5:CZ10)</f>
        <v/>
      </c>
      <c r="DA11" s="1526">
        <f>SUM(DA5:DA10)</f>
        <v/>
      </c>
      <c r="DB11" s="1526">
        <f>SUM(DB5:DB10)</f>
        <v/>
      </c>
      <c r="DC11" s="1526">
        <f>SUM(DC5:DC10)</f>
        <v/>
      </c>
      <c r="DD11" s="1526">
        <f>SUM(DD5:DD10)</f>
        <v/>
      </c>
      <c r="DE11" s="1526">
        <f>SUM(DE5:DE10)</f>
        <v/>
      </c>
      <c r="DF11" s="1526">
        <f>SUM(DF5:DF10)</f>
        <v/>
      </c>
      <c r="DG11" s="1526">
        <f>SUM(DG5:DG10)</f>
        <v/>
      </c>
      <c r="DH11" s="1526">
        <f>SUM(DH5:DH10)</f>
        <v/>
      </c>
      <c r="DI11" s="1526">
        <f>SUM(DI5:DI10)</f>
        <v/>
      </c>
      <c r="DJ11" s="1526">
        <f>SUM(DJ5:DJ10)</f>
        <v/>
      </c>
      <c r="DK11" s="1526">
        <f>SUM(DK5:DK10)</f>
        <v/>
      </c>
      <c r="DL11" s="1526">
        <f>SUM(DL5:DL10)</f>
        <v/>
      </c>
      <c r="DM11" s="1526">
        <f>SUM(DM5:DM10)</f>
        <v/>
      </c>
      <c r="DN11" s="1526">
        <f>SUM(DN5:DN10)</f>
        <v/>
      </c>
      <c r="DO11" s="1526">
        <f>SUM(DO5:DO10)</f>
        <v/>
      </c>
      <c r="DP11" s="1526">
        <f>SUM(DP5:DP10)</f>
        <v/>
      </c>
      <c r="DQ11" s="1526">
        <f>SUM(DQ5:DQ10)</f>
        <v/>
      </c>
      <c r="DR11" s="1526">
        <f>SUM(DR5:DR10)</f>
        <v/>
      </c>
      <c r="DS11" s="1526">
        <f>SUM(DS5:DS10)</f>
        <v/>
      </c>
      <c r="DT11" s="1526">
        <f>SUM(DT5:DT10)</f>
        <v/>
      </c>
      <c r="DU11" s="1526">
        <f>SUM(DU5:DU10)</f>
        <v/>
      </c>
      <c r="DV11" s="1526">
        <f>SUM(DV5:DV10)</f>
        <v/>
      </c>
      <c r="DW11" s="1526">
        <f>SUM(DW5:DW10)</f>
        <v/>
      </c>
      <c r="DX11" s="1526">
        <f>SUM(DX5:DX10)</f>
        <v/>
      </c>
      <c r="DY11" s="1526">
        <f>SUM(DY5:DY10)</f>
        <v/>
      </c>
      <c r="DZ11" s="1526">
        <f>SUM(DZ5:DZ10)</f>
        <v/>
      </c>
      <c r="EA11" s="1526">
        <f>SUM(EA5:EA10)</f>
        <v/>
      </c>
      <c r="EB11" s="1526">
        <f>SUM(EB5:EB10)</f>
        <v/>
      </c>
      <c r="EC11" s="1526">
        <f>SUM(EC5:EC10)</f>
        <v/>
      </c>
      <c r="ED11" s="1526">
        <f>SUM(ED5:ED10)</f>
        <v/>
      </c>
      <c r="EE11" s="1526">
        <f>SUM(EE5:EE10)</f>
        <v/>
      </c>
      <c r="EF11" s="1526">
        <f>SUM(EF5:EF10)</f>
        <v/>
      </c>
      <c r="EG11" s="1526">
        <f>SUM(EG5:EG10)</f>
        <v/>
      </c>
      <c r="EH11" s="1526">
        <f>SUM(EH5:EH10)</f>
        <v/>
      </c>
      <c r="EI11" s="1526">
        <f>SUM(EI5:EI10)</f>
        <v/>
      </c>
      <c r="EJ11" s="1526">
        <f>SUM(EJ5:EJ10)</f>
        <v/>
      </c>
      <c r="EK11" s="1526">
        <f>SUM(EK5:EK10)</f>
        <v/>
      </c>
      <c r="EL11" s="1526">
        <f>SUM(EL5:EL10)</f>
        <v/>
      </c>
      <c r="EM11" s="1526">
        <f>SUM(EM5:EM10)</f>
        <v/>
      </c>
      <c r="EN11" s="1526">
        <f>SUM(EN5:EN10)</f>
        <v/>
      </c>
      <c r="EO11" s="1526">
        <f>SUM(EO5:EO10)</f>
        <v/>
      </c>
      <c r="EP11" s="1526">
        <f>SUM(EP5:EP10)</f>
        <v/>
      </c>
      <c r="EQ11" s="1526">
        <f>SUM(EQ5:EQ10)</f>
        <v/>
      </c>
      <c r="ER11" s="1526">
        <f>SUM(ER5:ER10)</f>
        <v/>
      </c>
      <c r="ES11" s="1526">
        <f>SUM(ES5:ES10)</f>
        <v/>
      </c>
      <c r="ET11" s="1526">
        <f>SUM(ET5:ET10)</f>
        <v/>
      </c>
      <c r="EU11" s="1526">
        <f>SUM(EU5:EU10)</f>
        <v/>
      </c>
      <c r="EV11" s="1526">
        <f>SUM(EV5:EV10)</f>
        <v/>
      </c>
      <c r="EW11" s="1526">
        <f>SUM(EW5:EW10)</f>
        <v/>
      </c>
      <c r="EX11" s="1526">
        <f>SUM(EX5:EX10)</f>
        <v/>
      </c>
      <c r="EY11" s="1526">
        <f>SUM(EY5:EY10)</f>
        <v/>
      </c>
      <c r="EZ11" s="1526">
        <f>SUM(EZ5:EZ10)</f>
        <v/>
      </c>
      <c r="FA11" s="1526">
        <f>SUM(FA5:FA10)</f>
        <v/>
      </c>
      <c r="FB11" s="1526">
        <f>SUM(FB5:FB10)</f>
        <v/>
      </c>
      <c r="FC11" s="1526">
        <f>SUM(FC5:FC10)</f>
        <v/>
      </c>
      <c r="FD11" s="1526">
        <f>SUM(FD5:FD10)</f>
        <v/>
      </c>
      <c r="FE11" s="1526">
        <f>SUM(FE5:FE10)</f>
        <v/>
      </c>
      <c r="FF11" s="1526">
        <f>SUM(FF5:FF10)</f>
        <v/>
      </c>
      <c r="FG11" s="1526">
        <f>SUM(FG5:FG10)</f>
        <v/>
      </c>
      <c r="FH11" s="1526">
        <f>SUM(FH5:FH10)</f>
        <v/>
      </c>
      <c r="FI11" s="1526">
        <f>SUM(FI5:FI10)</f>
        <v/>
      </c>
      <c r="FJ11" s="1526">
        <f>SUM(FJ5:FJ10)</f>
        <v/>
      </c>
      <c r="FK11" s="1526">
        <f>SUM(FK5:FK10)</f>
        <v/>
      </c>
      <c r="FL11" s="1526">
        <f>SUM(FL5:FL10)</f>
        <v/>
      </c>
      <c r="FM11" s="1526">
        <f>SUM(FM5:FM10)</f>
        <v/>
      </c>
      <c r="FN11" s="1526">
        <f>SUM(FN5:FN10)</f>
        <v/>
      </c>
      <c r="FO11" s="1526">
        <f>SUM(FO5:FO10)</f>
        <v/>
      </c>
      <c r="FP11" s="1526">
        <f>SUM(FP5:FP10)</f>
        <v/>
      </c>
      <c r="FQ11" s="1526">
        <f>SUM(FQ5:FQ10)</f>
        <v/>
      </c>
      <c r="FR11" s="1526">
        <f>SUM(FR5:FR10)</f>
        <v/>
      </c>
      <c r="FS11" s="1526">
        <f>SUM(FS5:FS10)</f>
        <v/>
      </c>
      <c r="FT11" s="1526">
        <f>SUM(FT5:FT10)</f>
        <v/>
      </c>
      <c r="FU11" s="1526">
        <f>SUM(FU5:FU10)</f>
        <v/>
      </c>
      <c r="FV11" s="1526">
        <f>SUM(FV5:FV10)</f>
        <v/>
      </c>
      <c r="FW11" s="1526">
        <f>SUM(FW5:FW10)</f>
        <v/>
      </c>
      <c r="FX11" s="1526">
        <f>SUM(FX5:FX10)</f>
        <v/>
      </c>
      <c r="FY11" s="1526">
        <f>SUM(FY5:FY10)</f>
        <v/>
      </c>
      <c r="FZ11" s="1526">
        <f>SUM(FZ5:FZ10)</f>
        <v/>
      </c>
      <c r="GA11" s="1526">
        <f>SUM(GA5:GA10)</f>
        <v/>
      </c>
      <c r="GB11" s="1526">
        <f>SUM(GB5:GB10)</f>
        <v/>
      </c>
      <c r="GC11" s="1526">
        <f>SUM(GC5:GC10)</f>
        <v/>
      </c>
      <c r="GD11" s="1526">
        <f>SUM(GD5:GD10)</f>
        <v/>
      </c>
      <c r="GE11" s="1526">
        <f>SUM(GE5:GE10)</f>
        <v/>
      </c>
      <c r="GF11" s="1526">
        <f>SUM(GF5:GF10)</f>
        <v/>
      </c>
      <c r="GG11" s="1526">
        <f>SUM(GG5:GG10)</f>
        <v/>
      </c>
      <c r="GH11" s="1526">
        <f>SUM(GH5:GH10)</f>
        <v/>
      </c>
      <c r="GI11" s="1526">
        <f>SUM(GI5:GI10)</f>
        <v/>
      </c>
      <c r="GJ11" s="1526">
        <f>SUM(GJ5:GJ10)</f>
        <v/>
      </c>
      <c r="GK11" s="1526">
        <f>SUM(GK5:GK10)</f>
        <v/>
      </c>
      <c r="GL11" s="1526">
        <f>SUM(GL5:GL10)</f>
        <v/>
      </c>
      <c r="GM11" s="1526">
        <f>SUM(GM5:GM10)</f>
        <v/>
      </c>
      <c r="GN11" s="1526">
        <f>SUM(GN5:GN10)</f>
        <v/>
      </c>
      <c r="GO11" s="1526">
        <f>SUM(GO5:GO10)</f>
        <v/>
      </c>
      <c r="GP11" s="1526">
        <f>SUM(GP5:GP10)</f>
        <v/>
      </c>
      <c r="GQ11" s="1526">
        <f>SUM(GQ5:GQ10)</f>
        <v/>
      </c>
      <c r="GR11" s="1526">
        <f>SUM(GR5:GR10)</f>
        <v/>
      </c>
      <c r="GS11" s="1526">
        <f>SUM(GS5:GS10)</f>
        <v/>
      </c>
      <c r="GT11" s="1526">
        <f>SUM(GT5:GT10)</f>
        <v/>
      </c>
      <c r="GU11" s="1526">
        <f>SUM(GU5:GU10)</f>
        <v/>
      </c>
      <c r="GV11" s="1526">
        <f>SUM(GV5:GV10)</f>
        <v/>
      </c>
      <c r="GW11" s="1526">
        <f>SUM(GW5:GW10)</f>
        <v/>
      </c>
      <c r="GX11" s="1526">
        <f>SUM(GX5:GX10)</f>
        <v/>
      </c>
      <c r="GY11" s="1526">
        <f>SUM(GY5:GY10)</f>
        <v/>
      </c>
      <c r="GZ11" s="1526">
        <f>SUM(GZ5:GZ10)</f>
        <v/>
      </c>
      <c r="HA11" s="1526">
        <f>SUM(HA5:HA10)</f>
        <v/>
      </c>
      <c r="HB11" s="1526">
        <f>SUM(HB5:HB10)</f>
        <v/>
      </c>
      <c r="HC11" s="1526">
        <f>SUM(HC5:HC10)</f>
        <v/>
      </c>
      <c r="HD11" s="1526">
        <f>SUM(HD5:HD10)</f>
        <v/>
      </c>
      <c r="HE11" s="1526">
        <f>SUM(HE5:HE10)</f>
        <v/>
      </c>
      <c r="HF11" s="1526">
        <f>SUM(HF5:HF10)</f>
        <v/>
      </c>
      <c r="HG11" s="1526">
        <f>SUM(HG5:HG10)</f>
        <v/>
      </c>
      <c r="HH11" s="1526">
        <f>SUM(HH5:HH10)</f>
        <v/>
      </c>
      <c r="HI11" s="1526">
        <f>SUM(HI5:HI10)</f>
        <v/>
      </c>
      <c r="HJ11" s="1526">
        <f>SUM(HJ5:HJ10)</f>
        <v/>
      </c>
      <c r="HK11" s="1526">
        <f>SUM(HK5:HK10)</f>
        <v/>
      </c>
      <c r="HL11" s="1526">
        <f>SUM(HL5:HL10)</f>
        <v/>
      </c>
      <c r="HM11" s="1526">
        <f>SUM(HM5:HM10)</f>
        <v/>
      </c>
      <c r="HN11" s="1526">
        <f>SUM(HN5:HN10)</f>
        <v/>
      </c>
      <c r="HO11" s="1526" t="n">
        <v>487.5958795</v>
      </c>
      <c r="HP11" s="1526" t="n">
        <v>462.3234928100001</v>
      </c>
      <c r="HQ11" s="1526" t="n">
        <v>462.54262445</v>
      </c>
      <c r="HR11" s="1526">
        <f>SUM(HR5:HR10)</f>
        <v/>
      </c>
      <c r="HS11" s="1526">
        <f>SUM(HS5:HS10)</f>
        <v/>
      </c>
      <c r="HT11" s="1526">
        <f>SUM(HT5:HT10)</f>
        <v/>
      </c>
      <c r="HU11" s="1526">
        <f>SUM(HU5:HU10)</f>
        <v/>
      </c>
      <c r="HV11" s="1526" t="n">
        <v>550.1216127700001</v>
      </c>
      <c r="HW11" s="1526" t="n">
        <v>566.7264427600002</v>
      </c>
      <c r="HX11" s="1526" t="n">
        <v>512.3330432299999</v>
      </c>
      <c r="HY11" s="1526" t="n">
        <v>510.7038023</v>
      </c>
      <c r="HZ11" s="1526" t="n">
        <v>519.69178728</v>
      </c>
      <c r="IA11" s="1526" t="n">
        <v>543.77050693</v>
      </c>
      <c r="IB11" s="1526" t="n">
        <v>500.52814498</v>
      </c>
      <c r="IC11" s="1526" t="n">
        <v>393.7997911200001</v>
      </c>
      <c r="ID11" s="1526" t="n">
        <v>398.92363985</v>
      </c>
      <c r="IE11" s="1526" t="n">
        <v>388.6004669600001</v>
      </c>
      <c r="IF11" s="1526" t="n">
        <v>419.71548476</v>
      </c>
      <c r="IG11" s="1526" t="n">
        <v>408.7999282</v>
      </c>
      <c r="IH11" s="1526" t="n">
        <v>419.2217965</v>
      </c>
      <c r="II11" s="1526" t="n">
        <v>389.8451620800001</v>
      </c>
      <c r="IJ11" s="1526" t="n">
        <v>403.3259858700001</v>
      </c>
      <c r="IK11" s="1526" t="n">
        <v>429.45318846</v>
      </c>
      <c r="IL11" s="1526" t="n">
        <v>594.2166055499999</v>
      </c>
      <c r="IM11" s="1526" t="n">
        <v>619.0007470099998</v>
      </c>
      <c r="IN11" s="1526" t="n">
        <v>589.36869789</v>
      </c>
      <c r="IO11" s="1526" t="n">
        <v>572.4500498</v>
      </c>
      <c r="IP11" s="1526" t="n">
        <v>575.7370766599998</v>
      </c>
      <c r="IQ11" s="1526" t="n">
        <v>537.1640581400001</v>
      </c>
      <c r="IR11" s="1526" t="n">
        <v>615.6995446399999</v>
      </c>
      <c r="IS11" s="1526" t="n">
        <v>638.60844104</v>
      </c>
      <c r="IT11" s="1526" t="n">
        <v>644.31151619</v>
      </c>
      <c r="IU11" s="1526" t="n">
        <v>623.99574707</v>
      </c>
      <c r="IV11" s="1526" t="n">
        <v>643.6517376</v>
      </c>
      <c r="IW11" s="1526" t="n">
        <v>670.71811413</v>
      </c>
      <c r="IX11" s="1526" t="n">
        <v>675.80200239</v>
      </c>
      <c r="IY11" s="1526">
        <f>SUM(IY5:IY10)</f>
        <v/>
      </c>
      <c r="IZ11" s="1526" t="n">
        <v>639.9967423299998</v>
      </c>
      <c r="JA11" s="1526" t="n">
        <v>682.2960361500001</v>
      </c>
      <c r="JB11" s="1526" t="n">
        <v>657.17628444</v>
      </c>
      <c r="JC11" s="1526" t="n">
        <v>666.19207621</v>
      </c>
      <c r="JD11" s="1526" t="n">
        <v>665.67144121</v>
      </c>
      <c r="JE11" s="1526" t="n">
        <v>678.12055486</v>
      </c>
      <c r="JF11" s="1526" t="n">
        <v>683.71126104</v>
      </c>
      <c r="JG11" s="1526" t="n">
        <v>698.2670094700001</v>
      </c>
      <c r="JH11" s="1526" t="n">
        <v>620.76873588</v>
      </c>
      <c r="JI11" s="1526" t="n">
        <v>620.31942198</v>
      </c>
      <c r="JJ11" s="1526" t="n">
        <v>620.31942198</v>
      </c>
      <c r="JK11" s="1526" t="n">
        <v>665.8888100199999</v>
      </c>
      <c r="JL11" s="1526" t="n">
        <v>640.73446947</v>
      </c>
      <c r="JM11" s="1526" t="n">
        <v>660.73707418</v>
      </c>
      <c r="JN11" s="1526" t="n">
        <v>667.51041453</v>
      </c>
      <c r="JO11" s="1526" t="n">
        <v>667.51041453</v>
      </c>
      <c r="JP11" s="1526" t="n">
        <v>667.51041453</v>
      </c>
      <c r="JQ11" s="1526" t="n">
        <v>693.85139898</v>
      </c>
      <c r="JR11" s="1526" t="n">
        <v>669.81271524</v>
      </c>
      <c r="JS11" s="1526">
        <f>SUM(JS5:JS10)</f>
        <v/>
      </c>
      <c r="JT11" s="1526" t="n">
        <v>715.19861756</v>
      </c>
      <c r="JU11" s="1526" t="n">
        <v>678.08760467</v>
      </c>
      <c r="JV11" s="1526" t="n">
        <v>698.39654418</v>
      </c>
      <c r="JW11" s="1526" t="n">
        <v>677.8080518199999</v>
      </c>
      <c r="JX11" s="1526" t="n">
        <v>681.58043921</v>
      </c>
      <c r="JY11" s="1526" t="n">
        <v>681.58043921</v>
      </c>
      <c r="JZ11" s="1526" t="n">
        <v>695.07268642</v>
      </c>
      <c r="KA11" s="1526" t="n">
        <v>691.01457687</v>
      </c>
      <c r="KB11" s="1526" t="n">
        <v>716.35391163</v>
      </c>
      <c r="KC11" s="1526" t="n">
        <v>587.4708372</v>
      </c>
      <c r="KD11" s="1526" t="n">
        <v>621.5548164100001</v>
      </c>
      <c r="KE11" s="1526" t="n">
        <v>615.77723489</v>
      </c>
      <c r="KF11" s="1526" t="n">
        <v>587.2204857000002</v>
      </c>
      <c r="KG11" s="1526" t="n">
        <v>611.2755052000001</v>
      </c>
      <c r="KH11" s="1526" t="n">
        <v>639.4028974100002</v>
      </c>
      <c r="KI11" s="1526" t="n">
        <v>650.63498913</v>
      </c>
      <c r="KJ11" s="1526">
        <f>SUM(KJ5:KJ10)</f>
        <v/>
      </c>
      <c r="KK11" s="1526" t="n">
        <v>650.63498913</v>
      </c>
      <c r="KL11" s="1526" t="n">
        <v>650.63498913</v>
      </c>
      <c r="KM11" s="1526" t="n">
        <v>650.63498913</v>
      </c>
      <c r="KN11" s="1526" t="n">
        <v>650.63498913</v>
      </c>
      <c r="KO11" s="1526" t="n">
        <v>650.63498913</v>
      </c>
      <c r="KP11" s="1526" t="n">
        <v>650.63498913</v>
      </c>
      <c r="KQ11" s="1526" t="n">
        <v>650.63498913</v>
      </c>
      <c r="KR11" s="1526" t="n">
        <v>552.6209234800001</v>
      </c>
      <c r="KS11" s="1526">
        <f>SUM(KS5:KS10)</f>
        <v/>
      </c>
      <c r="KT11" s="1526" t="n">
        <v>419.08281599</v>
      </c>
      <c r="KU11" s="1526">
        <f>SUM(KU5:KU10)</f>
        <v/>
      </c>
      <c r="KV11" s="1526">
        <f>SUM(KV5:KV10)</f>
        <v/>
      </c>
      <c r="KW11" s="1526">
        <f>SUM(KW5:KW10)</f>
        <v/>
      </c>
      <c r="KX11" s="1526" t="n">
        <v>423.33009465</v>
      </c>
      <c r="KY11" s="1526" t="n">
        <v>466.2969735</v>
      </c>
      <c r="KZ11" s="1526" t="n">
        <v>460.83167969</v>
      </c>
      <c r="LA11" s="1526" t="n">
        <v>441.13044031</v>
      </c>
      <c r="LB11" s="1526" t="n">
        <v>470.4022193</v>
      </c>
      <c r="LC11" s="1526" t="n">
        <v>519.29495954</v>
      </c>
      <c r="LD11" s="1526" t="n">
        <v>712.3225154100001</v>
      </c>
      <c r="LE11" s="1526">
        <f>SUM(LE5:LE10)</f>
        <v/>
      </c>
      <c r="LF11" s="1527" t="n">
        <v>684.4298608000001</v>
      </c>
      <c r="LG11" s="1527" t="n">
        <v>707.2312068800001</v>
      </c>
      <c r="LH11" s="1527" t="n">
        <v>722.9103795200001</v>
      </c>
      <c r="LI11" s="1527" t="n">
        <v>756.31649215</v>
      </c>
      <c r="LJ11" s="1527" t="n">
        <v>723.7251399200001</v>
      </c>
      <c r="LK11" s="1527" t="n">
        <v>703.00760294</v>
      </c>
      <c r="LL11" s="1527" t="n">
        <v>723.7251399200001</v>
      </c>
      <c r="LM11" s="1527" t="n">
        <v>727.3069880200001</v>
      </c>
      <c r="LN11" s="1527" t="n">
        <v>727.88888892</v>
      </c>
      <c r="LO11" s="1527" t="n">
        <v>719.4928419</v>
      </c>
      <c r="LP11" s="1527" t="n">
        <v>659.08949483</v>
      </c>
      <c r="LQ11" s="1527" t="n">
        <v>659.08949483</v>
      </c>
      <c r="LR11" s="1527" t="n">
        <v>720.9071277</v>
      </c>
      <c r="LS11" s="1527" t="n">
        <v>771.0539457899999</v>
      </c>
      <c r="LT11" s="1527" t="n">
        <v>737.41472447</v>
      </c>
      <c r="LU11" s="1527" t="n">
        <v>730.3800054800001</v>
      </c>
      <c r="LV11" s="1527" t="n">
        <v>753.1146198700001</v>
      </c>
      <c r="LW11" s="1527" t="n">
        <v>745.12665798</v>
      </c>
      <c r="LX11" s="1527" t="n">
        <v>776.8391074399999</v>
      </c>
      <c r="LY11" s="1527" t="n">
        <v>758.62505452</v>
      </c>
      <c r="LZ11" s="1527" t="n">
        <v>717.82019206</v>
      </c>
      <c r="MA11" s="1527" t="n">
        <v>735.1966077899999</v>
      </c>
      <c r="MB11" s="1527" t="n">
        <v>754.24675531</v>
      </c>
      <c r="MC11" s="1527" t="n">
        <v>784.2747620499999</v>
      </c>
      <c r="MD11" s="1527" t="n">
        <v>770.640701</v>
      </c>
      <c r="ME11" s="1527" t="n">
        <v>716.69083269</v>
      </c>
      <c r="MF11" s="1527" t="n">
        <v>743.55838514</v>
      </c>
      <c r="MG11" s="1527" t="n">
        <v>774.6794235899999</v>
      </c>
      <c r="MH11" s="1527" t="n">
        <v>789.5906573499999</v>
      </c>
      <c r="MI11" s="1527" t="n">
        <v>746.7100747</v>
      </c>
      <c r="MJ11" s="1527" t="n">
        <v>745.48167459</v>
      </c>
      <c r="MK11" s="1527" t="n">
        <v>745.48167459</v>
      </c>
      <c r="ML11" s="1527" t="n">
        <v>745.48167459</v>
      </c>
      <c r="MM11" s="1527" t="n">
        <v>745.48167459</v>
      </c>
      <c r="MN11" s="1527" t="n">
        <v>624.72036832</v>
      </c>
      <c r="MO11" s="1527" t="n">
        <v>525.24061503</v>
      </c>
      <c r="MP11" s="1527" t="n">
        <v>578.4475256600001</v>
      </c>
      <c r="MQ11" s="1527" t="n">
        <v>589.9722617800001</v>
      </c>
      <c r="MR11" s="1527" t="n">
        <v>616.36589657</v>
      </c>
      <c r="MS11" s="1527" t="n">
        <v>459.21465074</v>
      </c>
      <c r="MT11" s="1527" t="n">
        <v>436.88912531</v>
      </c>
      <c r="MU11" s="1527" t="n">
        <v>427.657316</v>
      </c>
      <c r="MV11" s="1527" t="n">
        <v>406.53069851</v>
      </c>
      <c r="MW11" s="1527" t="n">
        <v>446.65918835</v>
      </c>
      <c r="MX11" s="1527" t="n">
        <v>446.65918835</v>
      </c>
      <c r="MY11" s="1527" t="n">
        <v>413.35211673</v>
      </c>
      <c r="MZ11" s="1527" t="n">
        <v>443.93967952</v>
      </c>
      <c r="NA11" s="1527" t="n">
        <v>471.4639266</v>
      </c>
      <c r="NB11" s="1527" t="n">
        <v>513.77915278</v>
      </c>
      <c r="NC11" s="1527" t="n">
        <v>492.40184167</v>
      </c>
      <c r="ND11" s="1527" t="n">
        <v>625.1739057100001</v>
      </c>
      <c r="NE11" s="1527" t="n">
        <v>693.1865694200001</v>
      </c>
      <c r="NF11" s="1527" t="n">
        <v>819.1981921700001</v>
      </c>
      <c r="NG11" s="1527" t="n">
        <v>830.9619134200001</v>
      </c>
      <c r="NH11" s="1527" t="n">
        <v>866.40984798</v>
      </c>
      <c r="NI11" s="1527" t="n">
        <v>894.73748161</v>
      </c>
      <c r="NJ11" s="1527" t="n">
        <v>910.38408844</v>
      </c>
      <c r="NK11" s="1527" t="n">
        <v>962.8857677</v>
      </c>
      <c r="NL11" s="1527" t="n">
        <v>1003.82513885</v>
      </c>
      <c r="NM11" s="1527" t="n">
        <v>928.8067088600001</v>
      </c>
      <c r="NN11" s="1527" t="n">
        <v>900.38618488</v>
      </c>
      <c r="NO11" s="1527" t="n">
        <v>898.8385021700001</v>
      </c>
      <c r="NP11" s="1527" t="n">
        <v>919.29430188</v>
      </c>
      <c r="NQ11" s="1527" t="n">
        <v>718.4637218800001</v>
      </c>
      <c r="NR11" s="1527" t="n">
        <v>805.0941095100001</v>
      </c>
      <c r="NS11" s="1527" t="n">
        <v>856.66376371</v>
      </c>
      <c r="NT11" s="1527" t="n">
        <v>856.66376371</v>
      </c>
      <c r="NU11" s="1527">
        <f>SUM(NU5:NU10)</f>
        <v/>
      </c>
      <c r="NV11" s="1527" t="n">
        <v>891.56673674</v>
      </c>
      <c r="NW11" s="1527" t="n">
        <v>877.03291233</v>
      </c>
      <c r="NX11" s="1527" t="n">
        <v>913.3341338</v>
      </c>
      <c r="NY11" s="1527" t="n">
        <v>918.28970497</v>
      </c>
      <c r="NZ11" s="1527" t="n">
        <v>960.78764097</v>
      </c>
      <c r="OA11" s="1527" t="n">
        <v>960.78764097</v>
      </c>
      <c r="OB11" s="1527" t="n">
        <v>1070.85661648</v>
      </c>
      <c r="OC11" s="1527" t="n">
        <v>970.3291062400001</v>
      </c>
      <c r="OD11" s="1527" t="n">
        <v>992.67223846</v>
      </c>
      <c r="OE11" s="1527" t="n">
        <v>1025.35987781</v>
      </c>
      <c r="OF11" s="1527" t="n">
        <v>1009.5248478</v>
      </c>
      <c r="OG11" s="1527" t="n">
        <v>986.3197095300001</v>
      </c>
      <c r="OH11" s="1527" t="n">
        <v>966.4041920100001</v>
      </c>
      <c r="OI11" s="1527" t="n">
        <v>964.2848336700001</v>
      </c>
      <c r="OJ11" s="1527" t="n">
        <v>1009.14422948</v>
      </c>
      <c r="OK11" s="1527" t="n">
        <v>1098.89471664</v>
      </c>
      <c r="OL11" s="1527" t="n">
        <v>1024.42664641</v>
      </c>
      <c r="OM11" s="1527" t="n">
        <v>946.4587436300001</v>
      </c>
      <c r="ON11" s="1527" t="n">
        <v>959.62717258</v>
      </c>
      <c r="OO11" s="1527" t="n">
        <v>1001.22724588</v>
      </c>
      <c r="OP11" s="1527" t="n">
        <v>959.5399930999999</v>
      </c>
      <c r="OQ11" s="1527" t="n">
        <v>959.5399930999999</v>
      </c>
      <c r="OR11" s="1527" t="n">
        <v>966.91103462</v>
      </c>
      <c r="OS11" s="1527" t="n">
        <v>966.91103462</v>
      </c>
      <c r="OT11" s="1527" t="n">
        <v>1016.81929135</v>
      </c>
      <c r="OU11" s="1527" t="n">
        <v>943.51878858</v>
      </c>
      <c r="OV11" s="1527" t="n">
        <v>943.51878858</v>
      </c>
      <c r="OW11" s="1527" t="n">
        <v>944.49001457</v>
      </c>
      <c r="OX11" s="1527" t="n">
        <v>773.55943929</v>
      </c>
      <c r="OY11" s="1527" t="n">
        <v>796.43780186</v>
      </c>
      <c r="OZ11" s="1527" t="n">
        <v>635.3707587700001</v>
      </c>
      <c r="PA11" s="1527" t="n">
        <v>669.77904747</v>
      </c>
      <c r="PB11" s="1527" t="n">
        <v>678.92871823</v>
      </c>
      <c r="PC11" s="1527" t="n">
        <v>678.92871823</v>
      </c>
      <c r="PD11" s="1527" t="n">
        <v>654.0375878</v>
      </c>
      <c r="PE11" s="1527" t="n">
        <v>820.82303223</v>
      </c>
      <c r="PF11" s="1527" t="n">
        <v>823.0143735300001</v>
      </c>
      <c r="PG11" s="1527" t="n">
        <v>831.9926931</v>
      </c>
      <c r="PH11" s="1527" t="n">
        <v>863.17636965</v>
      </c>
      <c r="PI11" s="1527" t="n">
        <v>880.9836551899999</v>
      </c>
      <c r="PJ11" s="1527" t="n">
        <v>834.44439547</v>
      </c>
      <c r="PK11" s="1527" t="n">
        <v>813.9365673999999</v>
      </c>
      <c r="PL11" s="1527" t="n">
        <v>827.36931506</v>
      </c>
      <c r="PM11" s="1527" t="n">
        <v>869.45595224</v>
      </c>
      <c r="PN11" s="1527" t="n">
        <v>901.1180411200002</v>
      </c>
      <c r="PO11" s="1527" t="n">
        <v>742.35077702</v>
      </c>
      <c r="PP11" s="1527" t="n">
        <v>759.63370261</v>
      </c>
      <c r="PQ11" s="1527" t="n">
        <v>795.1704972</v>
      </c>
      <c r="PR11" s="1527" t="n">
        <v>801.0081492900001</v>
      </c>
      <c r="PS11" s="1527" t="n">
        <v>715.83313385</v>
      </c>
      <c r="PT11" s="1527" t="n">
        <v>683.4712101800001</v>
      </c>
      <c r="PU11" s="1527" t="n">
        <v>683.4712101800001</v>
      </c>
      <c r="PV11" s="1527" t="n">
        <v>726.9410970599999</v>
      </c>
      <c r="PW11" s="1527" t="n">
        <v>751.3656906699999</v>
      </c>
      <c r="PX11" s="1527" t="n">
        <v>752.46967039</v>
      </c>
      <c r="PY11" s="1527" t="n">
        <v>761.26335525</v>
      </c>
      <c r="PZ11" s="1527" t="n">
        <v>754.07204571</v>
      </c>
      <c r="QA11" s="1527" t="n">
        <v>754.07204571</v>
      </c>
      <c r="QB11" s="1527" t="n">
        <v>828.52979697</v>
      </c>
      <c r="QC11" s="1527" t="n">
        <v>828.52979697</v>
      </c>
      <c r="QD11" s="1527" t="n">
        <v>654.40897451</v>
      </c>
      <c r="QE11" s="1527" t="n">
        <v>657.04523046</v>
      </c>
      <c r="QF11" s="1527" t="n">
        <v>693.95510531</v>
      </c>
      <c r="QG11" s="1527" t="n">
        <v>675.0874523</v>
      </c>
      <c r="QH11" s="1527">
        <f>SUM(QH5:QH10)</f>
        <v/>
      </c>
      <c r="QI11" s="1527" t="n">
        <v>675.0874523</v>
      </c>
      <c r="QJ11" s="1527" t="n">
        <v>681.78877715</v>
      </c>
      <c r="QK11" s="1527" t="n">
        <v>681.78877715</v>
      </c>
      <c r="QL11" s="1527" t="n">
        <v>705.3820992400001</v>
      </c>
      <c r="QM11" s="1527" t="n">
        <v>705.3820992400001</v>
      </c>
      <c r="QN11" s="1527" t="n">
        <v>705.3820992400001</v>
      </c>
      <c r="QO11" s="1527" t="n">
        <v>730.6301895199999</v>
      </c>
      <c r="QP11" s="1527" t="n">
        <v>682.10082143</v>
      </c>
      <c r="QQ11" s="1527" t="n">
        <v>675.7334628999999</v>
      </c>
      <c r="QR11" s="1527" t="n">
        <v>698.6016224300001</v>
      </c>
      <c r="QS11" s="1527" t="n">
        <v>732.41586571</v>
      </c>
      <c r="QT11" s="1527" t="n">
        <v>756.09165051</v>
      </c>
      <c r="QU11" s="1527" t="n">
        <v>746.72588568</v>
      </c>
      <c r="QV11" s="1527" t="n">
        <v>684.5922693</v>
      </c>
      <c r="QW11" s="1527" t="n">
        <v>731.91111262</v>
      </c>
      <c r="QX11" s="1527" t="n">
        <v>739.26362419</v>
      </c>
      <c r="QY11" s="1527" t="n">
        <v>744.8000008500001</v>
      </c>
      <c r="QZ11" s="1527" t="n">
        <v>756.12941022</v>
      </c>
      <c r="RA11" s="1527" t="n">
        <v>719.25377991</v>
      </c>
      <c r="RB11" s="1527" t="n">
        <v>696.4819834800001</v>
      </c>
      <c r="RC11" s="1527" t="n">
        <v>554.4967425</v>
      </c>
      <c r="RD11" s="1527" t="n">
        <v>565.30794522</v>
      </c>
      <c r="RE11" s="1527" t="n">
        <v>530.03815076</v>
      </c>
      <c r="RF11" s="1527" t="n">
        <v>552.66697164</v>
      </c>
      <c r="RG11" s="1527">
        <f>SUM(RG5:RG10)</f>
        <v/>
      </c>
      <c r="RH11" s="1527" t="n">
        <v>640.5389889399999</v>
      </c>
      <c r="RI11" s="1527" t="n">
        <v>673.93232319</v>
      </c>
      <c r="RJ11" s="1527" t="n">
        <v>553.7075680299999</v>
      </c>
      <c r="RK11" s="1527" t="n">
        <v>558.3316052599999</v>
      </c>
      <c r="RL11" s="1527" t="n">
        <v>595.4808672199999</v>
      </c>
      <c r="RM11" s="1527" t="n">
        <v>587.12695777</v>
      </c>
      <c r="RN11" s="1527" t="n">
        <v>600.6057710199999</v>
      </c>
      <c r="RO11" s="1527" t="n">
        <v>487.7332414799999</v>
      </c>
      <c r="RP11" s="1527" t="n">
        <v>524.5200106999999</v>
      </c>
      <c r="RQ11" s="1527" t="n">
        <v>568.24463193</v>
      </c>
      <c r="RR11" s="1527" t="n">
        <v>526.5100660099999</v>
      </c>
      <c r="RS11" s="1527" t="n">
        <v>530.68875285</v>
      </c>
      <c r="RT11" s="1527" t="n">
        <v>499.86350525</v>
      </c>
      <c r="RU11" s="1527" t="n">
        <v>526.67911283</v>
      </c>
      <c r="RV11" s="1527" t="n">
        <v>519.6347811000001</v>
      </c>
      <c r="RW11" s="1527" t="n">
        <v>563.63033827</v>
      </c>
      <c r="RX11" s="1527" t="n">
        <v>555.9902037000001</v>
      </c>
      <c r="RY11" s="1527" t="n">
        <v>631.2554940700001</v>
      </c>
      <c r="RZ11" s="1527" t="n">
        <v>645.82580333</v>
      </c>
      <c r="SA11" s="1527" t="n">
        <v>673.80868226</v>
      </c>
      <c r="SB11" s="1527" t="n">
        <v>634.6918257499999</v>
      </c>
      <c r="SC11" s="1527" t="n">
        <v>690.29505798</v>
      </c>
      <c r="SD11" s="1527" t="n">
        <v>759.5694367399999</v>
      </c>
      <c r="SE11" s="1527" t="n">
        <v>728.14552527</v>
      </c>
      <c r="SF11" s="1527" t="n">
        <v>724.13389613</v>
      </c>
      <c r="SG11" s="1527" t="n">
        <v>792.25330118</v>
      </c>
      <c r="SH11" s="1527" t="n">
        <v>807.39180299</v>
      </c>
      <c r="SI11" s="1527" t="n">
        <v>844.68848689</v>
      </c>
      <c r="SJ11" s="1527" t="n">
        <v>826.47700417</v>
      </c>
      <c r="SK11" s="1527" t="n">
        <v>814.4032456699999</v>
      </c>
      <c r="SL11" s="1527" t="n">
        <v>777.76925403</v>
      </c>
      <c r="SM11" s="1527" t="n">
        <v>800.5287673800001</v>
      </c>
      <c r="SN11" s="1527" t="n">
        <v>813.48090811</v>
      </c>
      <c r="SO11" s="1527" t="n">
        <v>747.1511713799999</v>
      </c>
      <c r="SP11" s="1527" t="n">
        <v>770.4982629799999</v>
      </c>
      <c r="SQ11" s="1527" t="n">
        <v>844.2942785400001</v>
      </c>
      <c r="SR11" s="1527" t="n">
        <v>827.16856508</v>
      </c>
      <c r="SS11" s="1527" t="n">
        <v>862.50226949</v>
      </c>
      <c r="ST11" s="1527" t="n">
        <v>875.7446265900001</v>
      </c>
      <c r="SU11" s="1527" t="n">
        <v>785.73234189</v>
      </c>
      <c r="SV11" s="1527" t="n">
        <v>808.37225595</v>
      </c>
      <c r="SW11" s="1527" t="n">
        <v>831.60384013</v>
      </c>
      <c r="SX11" s="1527" t="n">
        <v>821.08555639</v>
      </c>
      <c r="SY11" s="1527" t="n">
        <v>765.85807404</v>
      </c>
      <c r="SZ11" s="1527" t="n">
        <v>840.1689474899999</v>
      </c>
      <c r="TA11" s="1527" t="n">
        <v>868.9890769999998</v>
      </c>
      <c r="TB11" s="1527" t="n">
        <v>868.9890769999998</v>
      </c>
      <c r="TC11" s="1527" t="n">
        <v>893.63844909</v>
      </c>
      <c r="TD11" s="1527" t="n">
        <v>897.8431378700001</v>
      </c>
      <c r="TE11" s="1527">
        <f>SUM(TE5:TE10)</f>
        <v/>
      </c>
      <c r="TF11" s="1527">
        <f>SUM(TF5:TF10)</f>
        <v/>
      </c>
      <c r="TG11" s="1527" t="n">
        <v>753.2228409100001</v>
      </c>
      <c r="TH11" s="1527" t="n">
        <v>560.05851771</v>
      </c>
      <c r="TI11" s="1527" t="n">
        <v>574.74167033</v>
      </c>
      <c r="TJ11" s="1527" t="n">
        <v>829.6198755300002</v>
      </c>
      <c r="TK11" s="1527" t="n">
        <v>829.6198755300002</v>
      </c>
      <c r="TL11" s="1527" t="n">
        <v>855.9920607500001</v>
      </c>
      <c r="TM11" s="1527" t="n">
        <v>890.29713186</v>
      </c>
      <c r="TN11" s="1527" t="n">
        <v>793.6830967800001</v>
      </c>
      <c r="TO11" s="1527" t="n">
        <v>908.51206443</v>
      </c>
      <c r="TP11" s="1527" t="n">
        <v>850.9853207399999</v>
      </c>
      <c r="TQ11" s="1527" t="n">
        <v>869.63762304</v>
      </c>
      <c r="TR11" s="1527" t="n">
        <v>815.8349051099999</v>
      </c>
      <c r="TS11" s="1527" t="n">
        <v>844.2257887</v>
      </c>
      <c r="TT11" s="1527" t="n">
        <v>848.4525840599999</v>
      </c>
      <c r="TU11" s="1527" t="n">
        <v>883.0526585299999</v>
      </c>
      <c r="TV11" s="1527" t="n">
        <v>815.3752711099999</v>
      </c>
      <c r="TW11" s="1527" t="n">
        <v>783.1357418900001</v>
      </c>
      <c r="TX11" s="1527" t="n">
        <v>714.5830557300001</v>
      </c>
      <c r="TY11" s="1527" t="n">
        <v>729.80568293</v>
      </c>
      <c r="TZ11" s="1527">
        <f>SUM(TZ5:TZ10)</f>
        <v/>
      </c>
      <c r="UA11" s="1527">
        <f>SUM(UA5:UA10)</f>
        <v/>
      </c>
      <c r="UB11" s="1527">
        <f>SUM(UB5:UB10)</f>
        <v/>
      </c>
      <c r="UC11" s="1527">
        <f>SUM(UC5:UC10)</f>
        <v/>
      </c>
      <c r="UD11" s="1527">
        <f>SUM(UD5:UD10)</f>
        <v/>
      </c>
      <c r="UE11" s="1527">
        <f>SUM(UE5:UE10)</f>
        <v/>
      </c>
      <c r="UF11" s="1527" t="n">
        <v>850.5744905900001</v>
      </c>
      <c r="UG11" s="1527" t="n">
        <v>723.18110939</v>
      </c>
      <c r="UH11" s="1527" t="n">
        <v>749.8450905</v>
      </c>
      <c r="UI11" s="1527" t="n">
        <v>690.51947852</v>
      </c>
      <c r="UJ11" s="1527" t="n">
        <v>750.5976124900002</v>
      </c>
      <c r="UK11" s="1527" t="n">
        <v>771.9230280200001</v>
      </c>
      <c r="UL11" s="1527" t="n">
        <v>742.34998732</v>
      </c>
      <c r="UM11" s="1527" t="n">
        <v>739.9527010000002</v>
      </c>
      <c r="UN11" s="1527" t="n">
        <v>676.4085344800001</v>
      </c>
      <c r="UO11" s="1527" t="n">
        <v>695.59498834</v>
      </c>
      <c r="UP11" s="1527" t="n">
        <v>714.2639426</v>
      </c>
      <c r="UQ11" s="1527" t="n">
        <v>656.0090025699999</v>
      </c>
      <c r="UR11" s="1527" t="n">
        <v>591.0329605599999</v>
      </c>
      <c r="US11" s="1527" t="n">
        <v>591.0329605599999</v>
      </c>
      <c r="UT11" s="1527" t="n">
        <v>610.92583227</v>
      </c>
      <c r="UU11" s="1527" t="n">
        <v>729.1673424600001</v>
      </c>
      <c r="UV11" s="1527" t="n">
        <v>627.4970741499999</v>
      </c>
      <c r="UW11" s="1527" t="n">
        <v>627.4970741499999</v>
      </c>
      <c r="UX11" s="1527" t="n">
        <v>627.85446343</v>
      </c>
      <c r="UY11" s="1527" t="n">
        <v>627.85446343</v>
      </c>
      <c r="UZ11" s="1527" t="n">
        <v>434.74379135</v>
      </c>
      <c r="VA11" s="1527" t="n">
        <v>466.37969839</v>
      </c>
      <c r="VB11" s="1527" t="n">
        <v>506.85199389</v>
      </c>
      <c r="VC11" s="1527" t="n">
        <v>397.08653836</v>
      </c>
      <c r="VD11" s="1527" t="n">
        <v>396.76728851</v>
      </c>
      <c r="VE11" s="1527" t="n">
        <v>408.17407756</v>
      </c>
      <c r="VF11" s="1527" t="n">
        <v>415.0416213299999</v>
      </c>
      <c r="VG11" s="1527" t="n">
        <v>417.64870927</v>
      </c>
      <c r="VH11" s="1527" t="n">
        <v>501.2821343100001</v>
      </c>
      <c r="VI11" s="1527" t="n">
        <v>388.52557158</v>
      </c>
      <c r="VJ11" s="1527" t="n">
        <v>485.52670636</v>
      </c>
      <c r="VK11" s="1527" t="n">
        <v>772.7087227599999</v>
      </c>
      <c r="VL11" s="1527" t="n">
        <v>634.47516682</v>
      </c>
      <c r="VM11" s="1527" t="n">
        <v>738.73213719</v>
      </c>
      <c r="VN11" s="1527" t="n">
        <v>670.4466042600001</v>
      </c>
      <c r="VO11" s="1527" t="n">
        <v>999.29203652</v>
      </c>
      <c r="VP11" s="1527" t="n">
        <v>1049.24172238</v>
      </c>
      <c r="VQ11" s="1527" t="n">
        <v>982.18275022</v>
      </c>
      <c r="VR11" s="1527" t="n">
        <v>1079.28591436</v>
      </c>
      <c r="VS11" s="1527" t="n">
        <v>1087.84600154</v>
      </c>
      <c r="VT11" s="1527" t="n">
        <v>1108.95894603</v>
      </c>
      <c r="VU11" s="1527" t="n">
        <v>1039.27480088</v>
      </c>
      <c r="VV11" s="1527">
        <f>SUM(VV5:VV10)</f>
        <v/>
      </c>
      <c r="VW11" s="1527" t="n">
        <v>1080.38192837</v>
      </c>
      <c r="VX11" s="1527" t="n">
        <v>1042.26944432</v>
      </c>
      <c r="VY11" s="1527" t="n">
        <v>1071.1545935</v>
      </c>
      <c r="VZ11" s="1527" t="n">
        <v>1048.90018808</v>
      </c>
      <c r="WA11" s="1527" t="n">
        <v>1080.74724196</v>
      </c>
      <c r="WB11" s="1527" t="n">
        <v>1101.27926775</v>
      </c>
      <c r="WC11" s="1527" t="n">
        <v>1040.33257931</v>
      </c>
      <c r="WD11" s="1527" t="n">
        <v>1055.05899599</v>
      </c>
      <c r="WE11" s="1527" t="n">
        <v>1021.93701615</v>
      </c>
      <c r="WF11" s="1527" t="n">
        <v>1058.51332036</v>
      </c>
      <c r="WG11" s="1527" t="n">
        <v>1171.94816497</v>
      </c>
      <c r="WH11" s="1527" t="n">
        <v>1130.2514375</v>
      </c>
      <c r="WI11" s="1527" t="n">
        <v>1155.74040555</v>
      </c>
      <c r="WJ11" s="1527" t="n">
        <v>1090.40333465</v>
      </c>
      <c r="WK11" s="1527" t="n">
        <v>953.7193617</v>
      </c>
      <c r="WL11" s="1527" t="n">
        <v>953.7193617</v>
      </c>
      <c r="WM11" s="1527" t="n">
        <v>823.26142987</v>
      </c>
      <c r="WN11" s="1527" t="n">
        <v>607.0709852700001</v>
      </c>
      <c r="WO11" s="1527" t="n">
        <v>582.41635555</v>
      </c>
      <c r="WP11" s="1527" t="n">
        <v>648.87813438</v>
      </c>
      <c r="WQ11" s="1527" t="n">
        <v>557.02504375</v>
      </c>
      <c r="WR11" s="1527">
        <f>SUM(WR5:WR10)</f>
        <v/>
      </c>
      <c r="WS11" s="1527">
        <f>SUM(WS5:WS10)</f>
        <v/>
      </c>
      <c r="WT11" s="1527">
        <f>SUM(WT5:WT10)</f>
        <v/>
      </c>
      <c r="WU11" s="1527">
        <f>SUM(WU5:WU10)</f>
        <v/>
      </c>
      <c r="WV11" s="1527">
        <f>SUM(WV5:WV10)</f>
        <v/>
      </c>
      <c r="WW11" s="1527" t="n">
        <v>762.83775568</v>
      </c>
      <c r="WX11" s="1527" t="n">
        <v>761.35017934</v>
      </c>
      <c r="WY11" s="1527" t="n">
        <v>771.9173960999999</v>
      </c>
      <c r="WZ11" s="1527" t="n">
        <v>733.12287327</v>
      </c>
      <c r="XA11" s="1527" t="n">
        <v>743.1430453200001</v>
      </c>
      <c r="XB11" s="1527" t="n">
        <v>786.57646267</v>
      </c>
      <c r="XC11" s="1527" t="n">
        <v>689.25814077</v>
      </c>
      <c r="XD11" s="1527" t="n">
        <v>722.4660200199999</v>
      </c>
      <c r="XE11" s="1527" t="n">
        <v>717.87974004</v>
      </c>
      <c r="XF11" s="1527" t="n">
        <v>720.21192802</v>
      </c>
      <c r="XG11" s="1527" t="n">
        <v>749.08164494</v>
      </c>
      <c r="XH11" s="1527" t="n">
        <v>643.86215913</v>
      </c>
      <c r="XI11" s="1527" t="n">
        <v>658.7079542</v>
      </c>
      <c r="XJ11" s="1527" t="n">
        <v>606.65290166</v>
      </c>
      <c r="XK11" s="1527" t="n">
        <v>662.6727807699999</v>
      </c>
      <c r="XL11" s="1527" t="n">
        <v>624.71959284</v>
      </c>
      <c r="XM11" s="1527" t="n">
        <v>679.07125481</v>
      </c>
      <c r="XN11" s="1527" t="n">
        <v>646.41167771</v>
      </c>
      <c r="XO11" s="1527" t="n">
        <v>667.1234550300001</v>
      </c>
      <c r="XP11" s="1527" t="n">
        <v>722.58462894</v>
      </c>
      <c r="XQ11" s="1527" t="n">
        <v>617.62232681</v>
      </c>
      <c r="XR11" s="1527" t="n">
        <v>603.99864013</v>
      </c>
      <c r="XS11" s="1527" t="n">
        <v>617.0429499100001</v>
      </c>
      <c r="XT11" s="1527" t="n">
        <v>661.17153302</v>
      </c>
      <c r="XU11" s="1527" t="n">
        <v>632.54638971</v>
      </c>
      <c r="XV11" s="1527" t="n">
        <v>640.90170698</v>
      </c>
      <c r="XW11" s="1527" t="n">
        <v>635.13787753</v>
      </c>
      <c r="XX11" s="1527" t="n">
        <v>665.97715726</v>
      </c>
      <c r="XY11" s="1527" t="n">
        <v>477.71730775</v>
      </c>
      <c r="XZ11" s="1527" t="n">
        <v>551.4755098099999</v>
      </c>
      <c r="YA11" s="1527" t="n">
        <v>596.7629110399999</v>
      </c>
      <c r="YB11" s="1527" t="n">
        <v>586.85940942</v>
      </c>
      <c r="YC11" s="1527" t="n">
        <v>566.34933563</v>
      </c>
      <c r="YD11" s="1527" t="n">
        <v>631.68186513</v>
      </c>
      <c r="YE11" s="1527" t="n">
        <v>654.1717377799999</v>
      </c>
      <c r="YF11" s="1527" t="n">
        <v>715.86036601</v>
      </c>
      <c r="YG11" s="1527" t="n">
        <v>731.8866848599999</v>
      </c>
      <c r="YH11" s="1527" t="n">
        <v>752.99224331</v>
      </c>
      <c r="YI11" s="1527" t="n">
        <v>752.79795233</v>
      </c>
      <c r="YJ11" s="1528">
        <f>SUM(YJ5:YJ10)</f>
        <v/>
      </c>
    </row>
    <row r="12" ht="15" customFormat="1" customHeight="1" s="948" thickBot="1">
      <c r="B12" s="921" t="inlineStr">
        <is>
          <t xml:space="preserve">                                     (M.USD)</t>
        </is>
      </c>
      <c r="C12" s="1539">
        <f>C11/C2</f>
        <v/>
      </c>
      <c r="D12" s="1529">
        <f>D11/D2</f>
        <v/>
      </c>
      <c r="E12" s="1529">
        <f>E11/E2</f>
        <v/>
      </c>
      <c r="F12" s="1529">
        <f>F11/F2</f>
        <v/>
      </c>
      <c r="G12" s="1529">
        <f>G11/G2</f>
        <v/>
      </c>
      <c r="H12" s="1529">
        <f>H11/H2</f>
        <v/>
      </c>
      <c r="I12" s="1529">
        <f>I11/I2</f>
        <v/>
      </c>
      <c r="J12" s="1529">
        <f>J11/J2</f>
        <v/>
      </c>
      <c r="K12" s="1529">
        <f>K11/K2</f>
        <v/>
      </c>
      <c r="L12" s="1529">
        <f>L11/L2</f>
        <v/>
      </c>
      <c r="M12" s="1529">
        <f>M11/M2</f>
        <v/>
      </c>
      <c r="N12" s="1529">
        <f>N11/N2</f>
        <v/>
      </c>
      <c r="O12" s="1529">
        <f>O11/O2</f>
        <v/>
      </c>
      <c r="P12" s="1529">
        <f>P11/P2</f>
        <v/>
      </c>
      <c r="Q12" s="1529">
        <f>Q11/Q2</f>
        <v/>
      </c>
      <c r="R12" s="1529">
        <f>R11/R2</f>
        <v/>
      </c>
      <c r="S12" s="1529">
        <f>S11/S2</f>
        <v/>
      </c>
      <c r="T12" s="1529">
        <f>T11/T2</f>
        <v/>
      </c>
      <c r="U12" s="1529">
        <f>U11/U2</f>
        <v/>
      </c>
      <c r="V12" s="1529">
        <f>V11/V2</f>
        <v/>
      </c>
      <c r="W12" s="1529">
        <f>W11/W2</f>
        <v/>
      </c>
      <c r="X12" s="1529">
        <f>X11/X2</f>
        <v/>
      </c>
      <c r="Y12" s="1529">
        <f>Y11/Y2</f>
        <v/>
      </c>
      <c r="Z12" s="1529">
        <f>Z11/Z2</f>
        <v/>
      </c>
      <c r="AA12" s="1529">
        <f>AA11/AA2</f>
        <v/>
      </c>
      <c r="AB12" s="1529">
        <f>AB11/AB2</f>
        <v/>
      </c>
      <c r="AC12" s="1529">
        <f>AC11/AC2</f>
        <v/>
      </c>
      <c r="AD12" s="1529">
        <f>AD11/AD2</f>
        <v/>
      </c>
      <c r="AE12" s="1529">
        <f>AE11/AE2</f>
        <v/>
      </c>
      <c r="AF12" s="1529">
        <f>AF11/AF2</f>
        <v/>
      </c>
      <c r="AG12" s="1529">
        <f>AG11/AG2</f>
        <v/>
      </c>
      <c r="AH12" s="1529">
        <f>AH11/AH2</f>
        <v/>
      </c>
      <c r="AI12" s="1529">
        <f>AI11/AI2</f>
        <v/>
      </c>
      <c r="AJ12" s="1529">
        <f>AJ11/AJ2</f>
        <v/>
      </c>
      <c r="AK12" s="1529">
        <f>AK11/AK2</f>
        <v/>
      </c>
      <c r="AL12" s="1529">
        <f>AL11/AL2</f>
        <v/>
      </c>
      <c r="AM12" s="1529">
        <f>AM11/AM2</f>
        <v/>
      </c>
      <c r="AN12" s="1529">
        <f>AN11/AN2</f>
        <v/>
      </c>
      <c r="AO12" s="1529">
        <f>AO11/AO2</f>
        <v/>
      </c>
      <c r="AP12" s="1529">
        <f>AP11/AP2</f>
        <v/>
      </c>
      <c r="AQ12" s="1529">
        <f>AQ11/AQ2</f>
        <v/>
      </c>
      <c r="AR12" s="1529">
        <f>AR11/AR2</f>
        <v/>
      </c>
      <c r="AS12" s="1529">
        <f>AS11/AS2</f>
        <v/>
      </c>
      <c r="AT12" s="1529">
        <f>AT11/AT2</f>
        <v/>
      </c>
      <c r="AU12" s="1529">
        <f>AU11/AU2</f>
        <v/>
      </c>
      <c r="AV12" s="1529">
        <f>AV11/AV2</f>
        <v/>
      </c>
      <c r="AW12" s="1529">
        <f>AW11/AW2</f>
        <v/>
      </c>
      <c r="AX12" s="1529">
        <f>AX11/AX2</f>
        <v/>
      </c>
      <c r="AY12" s="1529">
        <f>AY11/AY2</f>
        <v/>
      </c>
      <c r="AZ12" s="1529">
        <f>AZ11/AZ2</f>
        <v/>
      </c>
      <c r="BA12" s="1529">
        <f>BA11/BA2</f>
        <v/>
      </c>
      <c r="BB12" s="1529">
        <f>BB11/BB2</f>
        <v/>
      </c>
      <c r="BC12" s="1529">
        <f>BC11/BC2</f>
        <v/>
      </c>
      <c r="BD12" s="1529">
        <f>BD11/BD2</f>
        <v/>
      </c>
      <c r="BE12" s="1529">
        <f>BE11/BE2</f>
        <v/>
      </c>
      <c r="BF12" s="1529">
        <f>BF11/BF2</f>
        <v/>
      </c>
      <c r="BG12" s="1529">
        <f>BG11/BG2</f>
        <v/>
      </c>
      <c r="BH12" s="1529">
        <f>BH11/BH2</f>
        <v/>
      </c>
      <c r="BI12" s="1529">
        <f>BI11/BI2</f>
        <v/>
      </c>
      <c r="BJ12" s="1529">
        <f>BJ11/BJ2</f>
        <v/>
      </c>
      <c r="BK12" s="1529">
        <f>BK11/BK2</f>
        <v/>
      </c>
      <c r="BL12" s="1529">
        <f>BL11/BL2</f>
        <v/>
      </c>
      <c r="BM12" s="1529">
        <f>BM11/BM2</f>
        <v/>
      </c>
      <c r="BN12" s="1529">
        <f>BN11/BN2</f>
        <v/>
      </c>
      <c r="BO12" s="1529">
        <f>BO11/BO2</f>
        <v/>
      </c>
      <c r="BP12" s="1529">
        <f>BP11/BP2</f>
        <v/>
      </c>
      <c r="BQ12" s="1529">
        <f>BQ11/BQ2</f>
        <v/>
      </c>
      <c r="BR12" s="1529">
        <f>BR11/BR2</f>
        <v/>
      </c>
      <c r="BS12" s="1529">
        <f>BS11/BS2</f>
        <v/>
      </c>
      <c r="BT12" s="1529">
        <f>BT11/BT2</f>
        <v/>
      </c>
      <c r="BU12" s="1529">
        <f>BU11/BU2</f>
        <v/>
      </c>
      <c r="BV12" s="1529">
        <f>BV11/BV2</f>
        <v/>
      </c>
      <c r="BW12" s="1529">
        <f>BW11/BW2</f>
        <v/>
      </c>
      <c r="BX12" s="1529">
        <f>BX11/BX2</f>
        <v/>
      </c>
      <c r="BY12" s="1529">
        <f>BY11/BY2</f>
        <v/>
      </c>
      <c r="BZ12" s="1529">
        <f>BZ11/BZ2</f>
        <v/>
      </c>
      <c r="CA12" s="1529">
        <f>CA11/CA2</f>
        <v/>
      </c>
      <c r="CB12" s="1529">
        <f>CB11/CB2</f>
        <v/>
      </c>
      <c r="CC12" s="1529">
        <f>CC11/CC2</f>
        <v/>
      </c>
      <c r="CD12" s="1529">
        <f>CD11/CD2</f>
        <v/>
      </c>
      <c r="CE12" s="1529">
        <f>CE11/CE2</f>
        <v/>
      </c>
      <c r="CF12" s="1529">
        <f>CF11/CF2</f>
        <v/>
      </c>
      <c r="CG12" s="1529">
        <f>CG11/CG2</f>
        <v/>
      </c>
      <c r="CH12" s="1529">
        <f>CH11/CH2</f>
        <v/>
      </c>
      <c r="CI12" s="1529">
        <f>CI11/CI2</f>
        <v/>
      </c>
      <c r="CJ12" s="1529">
        <f>CJ11/CJ2</f>
        <v/>
      </c>
      <c r="CK12" s="1529">
        <f>CK11/CK2</f>
        <v/>
      </c>
      <c r="CL12" s="1529">
        <f>CL11/CL2</f>
        <v/>
      </c>
      <c r="CM12" s="1529">
        <f>CM11/CM2</f>
        <v/>
      </c>
      <c r="CN12" s="1529">
        <f>CN11/CN2</f>
        <v/>
      </c>
      <c r="CO12" s="1529">
        <f>CO11/CO2</f>
        <v/>
      </c>
      <c r="CP12" s="1529">
        <f>CP11/CP2</f>
        <v/>
      </c>
      <c r="CQ12" s="1529">
        <f>CQ11/CQ2</f>
        <v/>
      </c>
      <c r="CR12" s="1529">
        <f>CR11/CR2</f>
        <v/>
      </c>
      <c r="CS12" s="1529">
        <f>CS11/CS2</f>
        <v/>
      </c>
      <c r="CT12" s="1529">
        <f>CT11/CT2</f>
        <v/>
      </c>
      <c r="CU12" s="1529">
        <f>CU11/CU2</f>
        <v/>
      </c>
      <c r="CV12" s="1529">
        <f>CV11/CV2</f>
        <v/>
      </c>
      <c r="CW12" s="1529">
        <f>CW11/CW2</f>
        <v/>
      </c>
      <c r="CX12" s="1529">
        <f>CX11/CX2</f>
        <v/>
      </c>
      <c r="CY12" s="1529">
        <f>CY11/CY2</f>
        <v/>
      </c>
      <c r="CZ12" s="1529">
        <f>CZ11/CZ2</f>
        <v/>
      </c>
      <c r="DA12" s="1529">
        <f>DA11/DA2</f>
        <v/>
      </c>
      <c r="DB12" s="1529">
        <f>DB11/DB2</f>
        <v/>
      </c>
      <c r="DC12" s="1529">
        <f>DC11/DC2</f>
        <v/>
      </c>
      <c r="DD12" s="1529">
        <f>DD11/DD2</f>
        <v/>
      </c>
      <c r="DE12" s="1529">
        <f>DE11/DE2</f>
        <v/>
      </c>
      <c r="DF12" s="1529">
        <f>DF11/DF2</f>
        <v/>
      </c>
      <c r="DG12" s="1529">
        <f>DG11/DG2</f>
        <v/>
      </c>
      <c r="DH12" s="1529">
        <f>DH11/DH2</f>
        <v/>
      </c>
      <c r="DI12" s="1529">
        <f>DI11/DI2</f>
        <v/>
      </c>
      <c r="DJ12" s="1529">
        <f>DJ11/DJ2</f>
        <v/>
      </c>
      <c r="DK12" s="1529">
        <f>DK11/DK2</f>
        <v/>
      </c>
      <c r="DL12" s="1529">
        <f>DL11/DL2</f>
        <v/>
      </c>
      <c r="DM12" s="1529">
        <f>DM11/DM2</f>
        <v/>
      </c>
      <c r="DN12" s="1529">
        <f>DN11/DN2</f>
        <v/>
      </c>
      <c r="DO12" s="1529">
        <f>DO11/DO2</f>
        <v/>
      </c>
      <c r="DP12" s="1529">
        <f>DP11/DP2</f>
        <v/>
      </c>
      <c r="DQ12" s="1529">
        <f>DQ11/DQ2</f>
        <v/>
      </c>
      <c r="DR12" s="1529">
        <f>DR11/DR2</f>
        <v/>
      </c>
      <c r="DS12" s="1529">
        <f>DS11/DS2</f>
        <v/>
      </c>
      <c r="DT12" s="1529">
        <f>DT11/DT2</f>
        <v/>
      </c>
      <c r="DU12" s="1529">
        <f>DU11/DU2</f>
        <v/>
      </c>
      <c r="DV12" s="1529">
        <f>DV11/DV2</f>
        <v/>
      </c>
      <c r="DW12" s="1529">
        <f>DW11/DW2</f>
        <v/>
      </c>
      <c r="DX12" s="1529">
        <f>DX11/DX2</f>
        <v/>
      </c>
      <c r="DY12" s="1529">
        <f>DY11/DY2</f>
        <v/>
      </c>
      <c r="DZ12" s="1529">
        <f>DZ11/DZ2</f>
        <v/>
      </c>
      <c r="EA12" s="1529">
        <f>EA11/EA2</f>
        <v/>
      </c>
      <c r="EB12" s="1529">
        <f>EB11/EB2</f>
        <v/>
      </c>
      <c r="EC12" s="1529">
        <f>EC11/EC2</f>
        <v/>
      </c>
      <c r="ED12" s="1529">
        <f>ED11/ED2</f>
        <v/>
      </c>
      <c r="EE12" s="1529">
        <f>EE11/EE2</f>
        <v/>
      </c>
      <c r="EF12" s="1529">
        <f>EF11/EF2</f>
        <v/>
      </c>
      <c r="EG12" s="1529">
        <f>EG11/EG2</f>
        <v/>
      </c>
      <c r="EH12" s="1529">
        <f>EH11/EH2</f>
        <v/>
      </c>
      <c r="EI12" s="1529">
        <f>EI11/EI2</f>
        <v/>
      </c>
      <c r="EJ12" s="1529">
        <f>EJ11/EJ2</f>
        <v/>
      </c>
      <c r="EK12" s="1529">
        <f>EK11/EK2</f>
        <v/>
      </c>
      <c r="EL12" s="1529">
        <f>EL11/EL2</f>
        <v/>
      </c>
      <c r="EM12" s="1529">
        <f>EM11/EM2</f>
        <v/>
      </c>
      <c r="EN12" s="1529">
        <f>EN11/EN2</f>
        <v/>
      </c>
      <c r="EO12" s="1529">
        <f>EO11/EO2</f>
        <v/>
      </c>
      <c r="EP12" s="1529">
        <f>EP11/EP2</f>
        <v/>
      </c>
      <c r="EQ12" s="1529">
        <f>EQ11/EQ2</f>
        <v/>
      </c>
      <c r="ER12" s="1529">
        <f>ER11/ER2</f>
        <v/>
      </c>
      <c r="ES12" s="1529">
        <f>ES11/ES2</f>
        <v/>
      </c>
      <c r="ET12" s="1529">
        <f>ET11/ET2</f>
        <v/>
      </c>
      <c r="EU12" s="1529">
        <f>EU11/EU2</f>
        <v/>
      </c>
      <c r="EV12" s="1529">
        <f>EV11/EV2</f>
        <v/>
      </c>
      <c r="EW12" s="1529">
        <f>EW11/EW2</f>
        <v/>
      </c>
      <c r="EX12" s="1529">
        <f>EX11/EX2</f>
        <v/>
      </c>
      <c r="EY12" s="1529">
        <f>EY11/EY2</f>
        <v/>
      </c>
      <c r="EZ12" s="1529">
        <f>EZ11/EZ2</f>
        <v/>
      </c>
      <c r="FA12" s="1529">
        <f>FA11/FA2</f>
        <v/>
      </c>
      <c r="FB12" s="1529">
        <f>FB11/FB2</f>
        <v/>
      </c>
      <c r="FC12" s="1529">
        <f>FC11/FC2</f>
        <v/>
      </c>
      <c r="FD12" s="1529">
        <f>FD11/FD2</f>
        <v/>
      </c>
      <c r="FE12" s="1529">
        <f>FE11/FE2</f>
        <v/>
      </c>
      <c r="FF12" s="1529">
        <f>FF11/FF2</f>
        <v/>
      </c>
      <c r="FG12" s="1529">
        <f>FG11/FG2</f>
        <v/>
      </c>
      <c r="FH12" s="1529">
        <f>FH11/FH2</f>
        <v/>
      </c>
      <c r="FI12" s="1529">
        <f>FI11/FI2</f>
        <v/>
      </c>
      <c r="FJ12" s="1529">
        <f>FJ11/FJ2</f>
        <v/>
      </c>
      <c r="FK12" s="1529">
        <f>FK11/FK2</f>
        <v/>
      </c>
      <c r="FL12" s="1529">
        <f>FL11/FL2</f>
        <v/>
      </c>
      <c r="FM12" s="1529">
        <f>FM11/FM2</f>
        <v/>
      </c>
      <c r="FN12" s="1529">
        <f>FN11/FN2</f>
        <v/>
      </c>
      <c r="FO12" s="1529">
        <f>FO11/FO2</f>
        <v/>
      </c>
      <c r="FP12" s="1529">
        <f>FP11/FP2</f>
        <v/>
      </c>
      <c r="FQ12" s="1529">
        <f>FQ11/FQ2</f>
        <v/>
      </c>
      <c r="FR12" s="1529">
        <f>FR11/FR2</f>
        <v/>
      </c>
      <c r="FS12" s="1529">
        <f>FS11/FS2</f>
        <v/>
      </c>
      <c r="FT12" s="1529">
        <f>FT11/FT2</f>
        <v/>
      </c>
      <c r="FU12" s="1529">
        <f>FU11/FU2</f>
        <v/>
      </c>
      <c r="FV12" s="1529">
        <f>FV11/FV2</f>
        <v/>
      </c>
      <c r="FW12" s="1529">
        <f>FW11/FW2</f>
        <v/>
      </c>
      <c r="FX12" s="1529">
        <f>FX11/FX2</f>
        <v/>
      </c>
      <c r="FY12" s="1529">
        <f>FY11/FY2</f>
        <v/>
      </c>
      <c r="FZ12" s="1529">
        <f>FZ11/FZ2</f>
        <v/>
      </c>
      <c r="GA12" s="1529">
        <f>GA11/GA2</f>
        <v/>
      </c>
      <c r="GB12" s="1529">
        <f>GB11/GB2</f>
        <v/>
      </c>
      <c r="GC12" s="1529">
        <f>GC11/GC2</f>
        <v/>
      </c>
      <c r="GD12" s="1529">
        <f>GD11/GD2</f>
        <v/>
      </c>
      <c r="GE12" s="1529">
        <f>GE11/GE2</f>
        <v/>
      </c>
      <c r="GF12" s="1529">
        <f>GF11/GF2</f>
        <v/>
      </c>
      <c r="GG12" s="1529">
        <f>GG11/GG2</f>
        <v/>
      </c>
      <c r="GH12" s="1529">
        <f>GH11/GH2</f>
        <v/>
      </c>
      <c r="GI12" s="1529">
        <f>GI11/GI2</f>
        <v/>
      </c>
      <c r="GJ12" s="1529">
        <f>GJ11/GJ2</f>
        <v/>
      </c>
      <c r="GK12" s="1529">
        <f>GK11/GK2</f>
        <v/>
      </c>
      <c r="GL12" s="1529">
        <f>GL11/GL2</f>
        <v/>
      </c>
      <c r="GM12" s="1529">
        <f>GM11/GM2</f>
        <v/>
      </c>
      <c r="GN12" s="1529">
        <f>GN11/GN2</f>
        <v/>
      </c>
      <c r="GO12" s="1529">
        <f>GO11/GO2</f>
        <v/>
      </c>
      <c r="GP12" s="1529">
        <f>GP11/GP2</f>
        <v/>
      </c>
      <c r="GQ12" s="1529">
        <f>GQ11/GQ2</f>
        <v/>
      </c>
      <c r="GR12" s="1529">
        <f>GR11/GR2</f>
        <v/>
      </c>
      <c r="GS12" s="1529">
        <f>GS11/GS2</f>
        <v/>
      </c>
      <c r="GT12" s="1529">
        <f>GT11/GT2</f>
        <v/>
      </c>
      <c r="GU12" s="1529">
        <f>GU11/GU2</f>
        <v/>
      </c>
      <c r="GV12" s="1529">
        <f>GV11/GV2</f>
        <v/>
      </c>
      <c r="GW12" s="1529">
        <f>GW11/GW2</f>
        <v/>
      </c>
      <c r="GX12" s="1529">
        <f>GX11/GX2</f>
        <v/>
      </c>
      <c r="GY12" s="1529">
        <f>GY11/GY2</f>
        <v/>
      </c>
      <c r="GZ12" s="1529">
        <f>GZ11/GZ2</f>
        <v/>
      </c>
      <c r="HA12" s="1529">
        <f>HA11/HA2</f>
        <v/>
      </c>
      <c r="HB12" s="1529">
        <f>HB11/HB2</f>
        <v/>
      </c>
      <c r="HC12" s="1529">
        <f>HC11/HC2</f>
        <v/>
      </c>
      <c r="HD12" s="1529">
        <f>HD11/HD2</f>
        <v/>
      </c>
      <c r="HE12" s="1529">
        <f>HE11/HE2</f>
        <v/>
      </c>
      <c r="HF12" s="1529">
        <f>HF11/HF2</f>
        <v/>
      </c>
      <c r="HG12" s="1529">
        <f>HG11/HG2</f>
        <v/>
      </c>
      <c r="HH12" s="1529">
        <f>HH11/HH2</f>
        <v/>
      </c>
      <c r="HI12" s="1529">
        <f>HI11/HI2</f>
        <v/>
      </c>
      <c r="HJ12" s="1529">
        <f>HJ11/HJ2</f>
        <v/>
      </c>
      <c r="HK12" s="1529">
        <f>HK11/HK2</f>
        <v/>
      </c>
      <c r="HL12" s="1529">
        <f>HL11/HL2</f>
        <v/>
      </c>
      <c r="HM12" s="1529">
        <f>HM11/HM2</f>
        <v/>
      </c>
      <c r="HN12" s="1529">
        <f>HN11/HN2</f>
        <v/>
      </c>
      <c r="HO12" s="1529" t="n">
        <v>6.312558154739248</v>
      </c>
      <c r="HP12" s="1529" t="n">
        <v>6.016914868299642</v>
      </c>
      <c r="HQ12" s="1529" t="n">
        <v>6.061585596771995</v>
      </c>
      <c r="HR12" s="1529">
        <f>HR11/HR2</f>
        <v/>
      </c>
      <c r="HS12" s="1529">
        <f>HS11/HS2</f>
        <v/>
      </c>
      <c r="HT12" s="1529">
        <f>HT11/HT2</f>
        <v/>
      </c>
      <c r="HU12" s="1529">
        <f>HU11/HU2</f>
        <v/>
      </c>
      <c r="HV12" s="1529" t="n">
        <v>7.114564597863775</v>
      </c>
      <c r="HW12" s="1529" t="n">
        <v>7.270290859129456</v>
      </c>
      <c r="HX12" s="1529" t="n">
        <v>6.456110519643682</v>
      </c>
      <c r="HY12" s="1529" t="n">
        <v>6.424262351234841</v>
      </c>
      <c r="HZ12" s="1529" t="n">
        <v>6.44209015201193</v>
      </c>
      <c r="IA12" s="1529" t="n">
        <v>6.599252743122474</v>
      </c>
      <c r="IB12" s="1529" t="n">
        <v>6.123110352673772</v>
      </c>
      <c r="IC12" s="1529" t="n">
        <v>4.791923464496794</v>
      </c>
      <c r="ID12" s="1529" t="n">
        <v>4.859387476337927</v>
      </c>
      <c r="IE12" s="1529" t="n">
        <v>4.757840963418786</v>
      </c>
      <c r="IF12" s="1529" t="n">
        <v>5.14959891490654</v>
      </c>
      <c r="IG12" s="1529" t="n">
        <v>5.008090716531971</v>
      </c>
      <c r="IH12" s="1529" t="n">
        <v>5.137345734460093</v>
      </c>
      <c r="II12" s="1529" t="n">
        <v>4.774302118795076</v>
      </c>
      <c r="IJ12" s="1529" t="n">
        <v>4.941581913358199</v>
      </c>
      <c r="IK12" s="1529" t="n">
        <v>5.270250194940744</v>
      </c>
      <c r="IL12" s="1529" t="n">
        <v>7.311230528025394</v>
      </c>
      <c r="IM12" s="1529" t="n">
        <v>7.590453783634313</v>
      </c>
      <c r="IN12" s="1529" t="n">
        <v>7.220231171028356</v>
      </c>
      <c r="IO12" s="1529" t="n">
        <v>7.018751200648356</v>
      </c>
      <c r="IP12" s="1529" t="n">
        <v>7.151187212657418</v>
      </c>
      <c r="IQ12" s="1529" t="n">
        <v>6.71783406815081</v>
      </c>
      <c r="IR12" s="1529" t="n">
        <v>7.763485799379877</v>
      </c>
      <c r="IS12" s="1529" t="n">
        <v>8.123352753647891</v>
      </c>
      <c r="IT12" s="1529" t="n">
        <v>8.387212251255196</v>
      </c>
      <c r="IU12" s="1529" t="n">
        <v>8.136290935275627</v>
      </c>
      <c r="IV12" s="1529" t="n">
        <v>8.481981029088907</v>
      </c>
      <c r="IW12" s="1529" t="n">
        <v>8.687597085258426</v>
      </c>
      <c r="IX12" s="1529" t="n">
        <v>8.5435977869897</v>
      </c>
      <c r="IY12" s="1529">
        <f>IY11/IY2</f>
        <v/>
      </c>
      <c r="IZ12" s="1529" t="n">
        <v>7.996300971430568</v>
      </c>
      <c r="JA12" s="1529" t="n">
        <v>8.538380841153659</v>
      </c>
      <c r="JB12" s="1529" t="n">
        <v>8.221085172865438</v>
      </c>
      <c r="JC12" s="1529" t="n">
        <v>8.310105545458514</v>
      </c>
      <c r="JD12" s="1529" t="n">
        <v>8.324337209645492</v>
      </c>
      <c r="JE12" s="1529" t="n">
        <v>8.478191976405311</v>
      </c>
      <c r="JF12" s="1529" t="n">
        <v>8.549949679554114</v>
      </c>
      <c r="JG12" s="1529" t="n">
        <v>8.722286532093362</v>
      </c>
      <c r="JH12" s="1529" t="n">
        <v>7.693521845844198</v>
      </c>
      <c r="JI12" s="1529" t="n">
        <v>7.658812877712231</v>
      </c>
      <c r="JJ12" s="1529" t="n">
        <v>7.661508786807254</v>
      </c>
      <c r="JK12" s="1529" t="n">
        <v>8.233494527644925</v>
      </c>
      <c r="JL12" s="1529" t="n">
        <v>7.878263819356837</v>
      </c>
      <c r="JM12" s="1529" t="n">
        <v>8.132128587745015</v>
      </c>
      <c r="JN12" s="1529" t="n">
        <v>8.194524725349597</v>
      </c>
      <c r="JO12" s="1529" t="n">
        <v>8.131148996016712</v>
      </c>
      <c r="JP12" s="1529" t="n">
        <v>8.07716218966938</v>
      </c>
      <c r="JQ12" s="1529" t="n">
        <v>8.295639062176816</v>
      </c>
      <c r="JR12" s="1529" t="n">
        <v>7.943237587474163</v>
      </c>
      <c r="JS12" s="1529">
        <f>JS11/JS2</f>
        <v/>
      </c>
      <c r="JT12" s="1529" t="n">
        <v>8.549914256340124</v>
      </c>
      <c r="JU12" s="1529" t="n">
        <v>8.07375944102988</v>
      </c>
      <c r="JV12" s="1529" t="n">
        <v>8.291187176851043</v>
      </c>
      <c r="JW12" s="1529" t="n">
        <v>8.045514564012596</v>
      </c>
      <c r="JX12" s="1529" t="n">
        <v>8.152125213467182</v>
      </c>
      <c r="JY12" s="1529" t="n">
        <v>8.106400020100072</v>
      </c>
      <c r="JZ12" s="1529" t="n">
        <v>8.210166388140799</v>
      </c>
      <c r="KA12" s="1529" t="n">
        <v>8.12476574913228</v>
      </c>
      <c r="KB12" s="1529" t="n">
        <v>8.366743810150059</v>
      </c>
      <c r="KC12" s="1529" t="n">
        <v>6.749892711017866</v>
      </c>
      <c r="KD12" s="1529" t="n">
        <v>7.032404094048272</v>
      </c>
      <c r="KE12" s="1529" t="n">
        <v>6.893633227801692</v>
      </c>
      <c r="KF12" s="1529" t="n">
        <v>6.557825514545761</v>
      </c>
      <c r="KG12" s="1529" t="n">
        <v>6.766537948593063</v>
      </c>
      <c r="KH12" s="1529" t="n">
        <v>6.90727396615516</v>
      </c>
      <c r="KI12" s="1529" t="n">
        <v>7.096192508826138</v>
      </c>
      <c r="KJ12" s="1529">
        <f>KJ11/KJ2</f>
        <v/>
      </c>
      <c r="KK12" s="1529" t="n">
        <v>7.18897943339834</v>
      </c>
      <c r="KL12" s="1529" t="n">
        <v>7.179396803431271</v>
      </c>
      <c r="KM12" s="1529" t="n">
        <v>7.215191998842259</v>
      </c>
      <c r="KN12" s="1529" t="n">
        <v>7.219731567482995</v>
      </c>
      <c r="KO12" s="1529" t="n">
        <v>7.195562449389914</v>
      </c>
      <c r="KP12" s="1529" t="n">
        <v>7.174227418607882</v>
      </c>
      <c r="KQ12" s="1529" t="n">
        <v>7.133795763919802</v>
      </c>
      <c r="KR12" s="1529" t="n">
        <v>6.082482689134826</v>
      </c>
      <c r="KS12" s="1529">
        <f>KS11/KS2</f>
        <v/>
      </c>
      <c r="KT12" s="1529" t="n">
        <v>4.631312269889158</v>
      </c>
      <c r="KU12" s="1529">
        <f>KU11/KU2</f>
        <v/>
      </c>
      <c r="KV12" s="1529">
        <f>KV11/KV2</f>
        <v/>
      </c>
      <c r="KW12" s="1529">
        <f>KW11/KW2</f>
        <v/>
      </c>
      <c r="KX12" s="1529" t="n">
        <v>4.514115013243875</v>
      </c>
      <c r="KY12" s="1529" t="n">
        <v>4.918350148089393</v>
      </c>
      <c r="KZ12" s="1529" t="n">
        <v>4.772154401823402</v>
      </c>
      <c r="LA12" s="1529" t="n">
        <v>4.591497731575688</v>
      </c>
      <c r="LB12" s="1529" t="n">
        <v>4.829596532439972</v>
      </c>
      <c r="LC12" s="1529" t="n">
        <v>5.338180123849448</v>
      </c>
      <c r="LD12" s="1529" t="n">
        <v>7.253305942879604</v>
      </c>
      <c r="LE12" s="1529">
        <f>LE11/LE2</f>
        <v/>
      </c>
      <c r="LF12" s="1530" t="n">
        <v>7.025435409154225</v>
      </c>
      <c r="LG12" s="1530" t="n">
        <v>7.313322615597</v>
      </c>
      <c r="LH12" s="1530" t="n">
        <v>7.711373066797519</v>
      </c>
      <c r="LI12" s="1530" t="n">
        <v>8.09719952154442</v>
      </c>
      <c r="LJ12" s="1530" t="n">
        <v>7.687557783952822</v>
      </c>
      <c r="LK12" s="1530" t="n">
        <v>7.469388089907935</v>
      </c>
      <c r="LL12" s="1530" t="n">
        <v>7.663162296475831</v>
      </c>
      <c r="LM12" s="1530" t="n">
        <v>7.704466047603461</v>
      </c>
      <c r="LN12" s="1530" t="n">
        <v>7.68531120146719</v>
      </c>
      <c r="LO12" s="1530" t="n">
        <v>7.536189697051587</v>
      </c>
      <c r="LP12" s="1530" t="n">
        <v>6.886533846322632</v>
      </c>
      <c r="LQ12" s="1530" t="n">
        <v>6.870647085687957</v>
      </c>
      <c r="LR12" s="1530" t="n">
        <v>7.483382132446977</v>
      </c>
      <c r="LS12" s="1530" t="n">
        <v>8.00337494371561</v>
      </c>
      <c r="LT12" s="1530" t="n">
        <v>7.632120551459896</v>
      </c>
      <c r="LU12" s="1530" t="n">
        <v>7.488135486060348</v>
      </c>
      <c r="LV12" s="1530" t="n">
        <v>7.697103446101393</v>
      </c>
      <c r="LW12" s="1530" t="n">
        <v>7.588149203277931</v>
      </c>
      <c r="LX12" s="1530" t="n">
        <v>7.933073752426623</v>
      </c>
      <c r="LY12" s="1530" t="n">
        <v>7.860723425031837</v>
      </c>
      <c r="LZ12" s="1530" t="n">
        <v>7.579658534901032</v>
      </c>
      <c r="MA12" s="1530" t="n">
        <v>7.659941693634258</v>
      </c>
      <c r="MB12" s="1530" t="n">
        <v>7.843590849399289</v>
      </c>
      <c r="MC12" s="1530" t="n">
        <v>8.11594661546995</v>
      </c>
      <c r="MD12" s="1530" t="n">
        <v>7.973750931222012</v>
      </c>
      <c r="ME12" s="1530" t="n">
        <v>7.448181451224023</v>
      </c>
      <c r="MF12" s="1530" t="n">
        <v>7.695921483338371</v>
      </c>
      <c r="MG12" s="1530" t="n">
        <v>8.063177182174149</v>
      </c>
      <c r="MH12" s="1530" t="n">
        <v>8.221314419539803</v>
      </c>
      <c r="MI12" s="1530" t="n">
        <v>7.766450827702983</v>
      </c>
      <c r="MJ12" s="1530" t="n">
        <v>7.746246013416767</v>
      </c>
      <c r="MK12" s="1530" t="n">
        <v>7.725198700414508</v>
      </c>
      <c r="ML12" s="1530" t="n">
        <v>7.685235475939622</v>
      </c>
      <c r="MM12" s="1530" t="n">
        <v>7.652660990487062</v>
      </c>
      <c r="MN12" s="1530" t="n">
        <v>6.343723435267597</v>
      </c>
      <c r="MO12" s="1530" t="n">
        <v>5.29115326566446</v>
      </c>
      <c r="MP12" s="1530" t="n">
        <v>5.816144161559693</v>
      </c>
      <c r="MQ12" s="1530" t="n">
        <v>5.918887977069753</v>
      </c>
      <c r="MR12" s="1530" t="n">
        <v>6.133537164684236</v>
      </c>
      <c r="MS12" s="1530" t="n">
        <v>4.530540221468471</v>
      </c>
      <c r="MT12" s="1530" t="n">
        <v>4.371737254052388</v>
      </c>
      <c r="MU12" s="1530" t="n">
        <v>4.277394419728588</v>
      </c>
      <c r="MV12" s="1530" t="n">
        <v>4.191262815223084</v>
      </c>
      <c r="MW12" s="1530" t="n">
        <v>4.590182548621637</v>
      </c>
      <c r="MX12" s="1530" t="n">
        <v>4.591173372975695</v>
      </c>
      <c r="MY12" s="1530" t="n">
        <v>4.246224456833269</v>
      </c>
      <c r="MZ12" s="1530" t="n">
        <v>4.559194181513448</v>
      </c>
      <c r="NA12" s="1530" t="n">
        <v>4.845098385117679</v>
      </c>
      <c r="NB12" s="1530" t="n">
        <v>5.357150780822332</v>
      </c>
      <c r="NC12" s="1530" t="n">
        <v>5.19915236046336</v>
      </c>
      <c r="ND12" s="1530" t="n">
        <v>6.684750452404986</v>
      </c>
      <c r="NE12" s="1530" t="n">
        <v>7.441560497344626</v>
      </c>
      <c r="NF12" s="1530" t="n">
        <v>8.755709523672106</v>
      </c>
      <c r="NG12" s="1530" t="n">
        <v>8.914236112785812</v>
      </c>
      <c r="NH12" s="1530" t="n">
        <v>9.291906116565766</v>
      </c>
      <c r="NI12" s="1530" t="n">
        <v>9.72301892806767</v>
      </c>
      <c r="NJ12" s="1530" t="n">
        <v>9.759681737476697</v>
      </c>
      <c r="NK12" s="1530" t="n">
        <v>10.33438622455003</v>
      </c>
      <c r="NL12" s="1530" t="n">
        <v>10.78974643817226</v>
      </c>
      <c r="NM12" s="1530" t="n">
        <v>10.05037822671836</v>
      </c>
      <c r="NN12" s="1530" t="n">
        <v>9.765862827653304</v>
      </c>
      <c r="NO12" s="1530" t="n">
        <v>9.777784690938207</v>
      </c>
      <c r="NP12" s="1530" t="n">
        <v>9.98652198862618</v>
      </c>
      <c r="NQ12" s="1530" t="n">
        <v>7.79934238920521</v>
      </c>
      <c r="NR12" s="1530" t="n">
        <v>8.822272368256682</v>
      </c>
      <c r="NS12" s="1530" t="n">
        <v>9.576316575206944</v>
      </c>
      <c r="NT12" s="1530" t="n">
        <v>9.631214275868892</v>
      </c>
      <c r="NU12" s="1530">
        <f>NU11/NU2</f>
        <v/>
      </c>
      <c r="NV12" s="1530" t="n">
        <v>10.07472407311566</v>
      </c>
      <c r="NW12" s="1530" t="n">
        <v>9.981016435966275</v>
      </c>
      <c r="NX12" s="1530" t="n">
        <v>10.35939665036386</v>
      </c>
      <c r="NY12" s="1530" t="n">
        <v>10.42082901126411</v>
      </c>
      <c r="NZ12" s="1530" t="n">
        <v>10.81806036899879</v>
      </c>
      <c r="OA12" s="1530" t="n">
        <v>10.83132919942055</v>
      </c>
      <c r="OB12" s="1530" t="n">
        <v>12.08502651478046</v>
      </c>
      <c r="OC12" s="1530" t="n">
        <v>10.91679058729289</v>
      </c>
      <c r="OD12" s="1530" t="n">
        <v>11.20626491935711</v>
      </c>
      <c r="OE12" s="1530" t="n">
        <v>11.42310799804817</v>
      </c>
      <c r="OF12" s="1530" t="n">
        <v>11.1337120702129</v>
      </c>
      <c r="OG12" s="1530" t="n">
        <v>10.76976347536587</v>
      </c>
      <c r="OH12" s="1530" t="n">
        <v>10.41579123682673</v>
      </c>
      <c r="OI12" s="1530" t="n">
        <v>10.41733556674524</v>
      </c>
      <c r="OJ12" s="1530" t="n">
        <v>11.01202561190395</v>
      </c>
      <c r="OK12" s="1530" t="n">
        <v>12.07781005400914</v>
      </c>
      <c r="OL12" s="1530" t="n">
        <v>11.35529082943343</v>
      </c>
      <c r="OM12" s="1530" t="n">
        <v>10.52877259785566</v>
      </c>
      <c r="ON12" s="1530" t="n">
        <v>10.70127464429529</v>
      </c>
      <c r="OO12" s="1530" t="n">
        <v>11.16237678886379</v>
      </c>
      <c r="OP12" s="1530" t="n">
        <v>10.61247866090369</v>
      </c>
      <c r="OQ12" s="1530" t="n">
        <v>10.65125926160267</v>
      </c>
      <c r="OR12" s="1530" t="n">
        <v>10.69525598657605</v>
      </c>
      <c r="OS12" s="1530" t="n">
        <v>10.54357322209404</v>
      </c>
      <c r="OT12" s="1530" t="n">
        <v>11.05972870406324</v>
      </c>
      <c r="OU12" s="1530" t="n">
        <v>10.25909587556677</v>
      </c>
      <c r="OV12" s="1530" t="n">
        <v>10.28841655949552</v>
      </c>
      <c r="OW12" s="1530" t="n">
        <v>10.29920925412</v>
      </c>
      <c r="OX12" s="1530" t="n">
        <v>8.566160775535108</v>
      </c>
      <c r="OY12" s="1530" t="n">
        <v>8.880063529579667</v>
      </c>
      <c r="OZ12" s="1530" t="n">
        <v>7.028126617959384</v>
      </c>
      <c r="PA12" s="1530" t="n">
        <v>7.492446883624051</v>
      </c>
      <c r="PB12" s="1530" t="n">
        <v>7.647160997298995</v>
      </c>
      <c r="PC12" s="1530" t="n">
        <v>7.703508791658912</v>
      </c>
      <c r="PD12" s="1530" t="n">
        <v>7.459608516239113</v>
      </c>
      <c r="PE12" s="1530" t="n">
        <v>9.36524019124726</v>
      </c>
      <c r="PF12" s="1530" t="n">
        <v>9.314964501097856</v>
      </c>
      <c r="PG12" s="1530" t="n">
        <v>9.383975965757211</v>
      </c>
      <c r="PH12" s="1530" t="n">
        <v>9.7435406599646</v>
      </c>
      <c r="PI12" s="1530" t="n">
        <v>10.01431875440479</v>
      </c>
      <c r="PJ12" s="1530" t="n">
        <v>9.490961607895368</v>
      </c>
      <c r="PK12" s="1530" t="n">
        <v>9.219640127363283</v>
      </c>
      <c r="PL12" s="1530" t="n">
        <v>9.332334513096658</v>
      </c>
      <c r="PM12" s="1530" t="n">
        <v>9.712866119203404</v>
      </c>
      <c r="PN12" s="1530" t="n">
        <v>10.05611089421822</v>
      </c>
      <c r="PO12" s="1530" t="n">
        <v>8.314050680769235</v>
      </c>
      <c r="PP12" s="1530" t="n">
        <v>8.471644253678578</v>
      </c>
      <c r="PQ12" s="1530" t="n">
        <v>8.812716152849553</v>
      </c>
      <c r="PR12" s="1530" t="n">
        <v>8.835044983157335</v>
      </c>
      <c r="PS12" s="1530" t="n">
        <v>7.845314114226344</v>
      </c>
      <c r="PT12" s="1530" t="n">
        <v>7.53682791688078</v>
      </c>
      <c r="PU12" s="1530" t="n">
        <v>7.498197616054171</v>
      </c>
      <c r="PV12" s="1530" t="n">
        <v>7.965945258015628</v>
      </c>
      <c r="PW12" s="1530" t="n">
        <v>8.266749521345007</v>
      </c>
      <c r="PX12" s="1530" t="n">
        <v>8.262015490283918</v>
      </c>
      <c r="PY12" s="1530" t="n">
        <v>8.346664246313553</v>
      </c>
      <c r="PZ12" s="1530" t="n">
        <v>8.247389805165829</v>
      </c>
      <c r="QA12" s="1530" t="n">
        <v>8.212172300941914</v>
      </c>
      <c r="QB12" s="1530" t="n">
        <v>8.952317221218552</v>
      </c>
      <c r="QC12" s="1530" t="n">
        <v>8.965782965192155</v>
      </c>
      <c r="QD12" s="1530" t="n">
        <v>7.086259456085068</v>
      </c>
      <c r="QE12" s="1530" t="n">
        <v>7.107902106585229</v>
      </c>
      <c r="QF12" s="1530" t="n">
        <v>7.481842477728219</v>
      </c>
      <c r="QG12" s="1530" t="n">
        <v>7.287834911439988</v>
      </c>
      <c r="QH12" s="1530">
        <f>QH11/QH2</f>
        <v/>
      </c>
      <c r="QI12" s="1530" t="n">
        <v>7.348354533401836</v>
      </c>
      <c r="QJ12" s="1530" t="n">
        <v>7.505190612192778</v>
      </c>
      <c r="QK12" s="1530" t="n">
        <v>7.464818830638451</v>
      </c>
      <c r="QL12" s="1530" t="n">
        <v>7.721465202608772</v>
      </c>
      <c r="QM12" s="1530" t="n">
        <v>7.737812682261159</v>
      </c>
      <c r="QN12" s="1530" t="n">
        <v>7.807977968413084</v>
      </c>
      <c r="QO12" s="1530" t="n">
        <v>8.0510834741425</v>
      </c>
      <c r="QP12" s="1530" t="n">
        <v>7.526613143253752</v>
      </c>
      <c r="QQ12" s="1530" t="n">
        <v>7.435300169010737</v>
      </c>
      <c r="QR12" s="1530" t="n">
        <v>7.631245677585536</v>
      </c>
      <c r="QS12" s="1530" t="n">
        <v>7.992673894292521</v>
      </c>
      <c r="QT12" s="1530" t="n">
        <v>8.230016877217807</v>
      </c>
      <c r="QU12" s="1530" t="n">
        <v>8.118094620630574</v>
      </c>
      <c r="QV12" s="1530" t="n">
        <v>7.423122423265886</v>
      </c>
      <c r="QW12" s="1530" t="n">
        <v>7.896665331910611</v>
      </c>
      <c r="QX12" s="1530" t="n">
        <v>8.039852399948233</v>
      </c>
      <c r="QY12" s="1530" t="n">
        <v>8.042171741074032</v>
      </c>
      <c r="QZ12" s="1530" t="n">
        <v>8.150045218757848</v>
      </c>
      <c r="RA12" s="1530" t="n">
        <v>7.769458975311776</v>
      </c>
      <c r="RB12" s="1530" t="n">
        <v>7.522061686605417</v>
      </c>
      <c r="RC12" s="1530" t="n">
        <v>6.009970892927594</v>
      </c>
      <c r="RD12" s="1530" t="n">
        <v>6.120303414892925</v>
      </c>
      <c r="RE12" s="1530" t="n">
        <v>5.743093622591054</v>
      </c>
      <c r="RF12" s="1530" t="n">
        <v>5.973137880409055</v>
      </c>
      <c r="RG12" s="1530">
        <f>RG11/RG2</f>
        <v/>
      </c>
      <c r="RH12" s="1530" t="n">
        <v>6.939314636133372</v>
      </c>
      <c r="RI12" s="1530" t="n">
        <v>7.292416566376853</v>
      </c>
      <c r="RJ12" s="1530" t="n">
        <v>5.980790529698317</v>
      </c>
      <c r="RK12" s="1530" t="n">
        <v>6.01998791606781</v>
      </c>
      <c r="RL12" s="1530" t="n">
        <v>6.387922600348852</v>
      </c>
      <c r="RM12" s="1530" t="n">
        <v>6.264718989090863</v>
      </c>
      <c r="RN12" s="1530" t="n">
        <v>6.427585173460726</v>
      </c>
      <c r="RO12" s="1530" t="n">
        <v>5.211432116346882</v>
      </c>
      <c r="RP12" s="1530" t="n">
        <v>5.575598949552586</v>
      </c>
      <c r="RQ12" s="1530" t="n">
        <v>6.024377963767516</v>
      </c>
      <c r="RR12" s="1530" t="n">
        <v>5.595682383980818</v>
      </c>
      <c r="RS12" s="1530" t="n">
        <v>5.679405408659377</v>
      </c>
      <c r="RT12" s="1530" t="n">
        <v>5.360357325159058</v>
      </c>
      <c r="RU12" s="1530" t="n">
        <v>5.645502743327924</v>
      </c>
      <c r="RV12" s="1530" t="n">
        <v>5.617321087975025</v>
      </c>
      <c r="RW12" s="1530" t="n">
        <v>6.117679078685443</v>
      </c>
      <c r="RX12" s="1530" t="n">
        <v>6.042491677299176</v>
      </c>
      <c r="RY12" s="1530" t="n">
        <v>6.87798740748166</v>
      </c>
      <c r="RZ12" s="1530" t="n">
        <v>7.015743003873822</v>
      </c>
      <c r="SA12" s="1530" t="n">
        <v>7.348625310660276</v>
      </c>
      <c r="SB12" s="1530" t="n">
        <v>6.950773670936258</v>
      </c>
      <c r="SC12" s="1530" t="n">
        <v>7.575412359544397</v>
      </c>
      <c r="SD12" s="1530" t="n">
        <v>8.272023261264223</v>
      </c>
      <c r="SE12" s="1530" t="n">
        <v>7.946324198378314</v>
      </c>
      <c r="SF12" s="1530" t="n">
        <v>7.926237190712256</v>
      </c>
      <c r="SG12" s="1530" t="n">
        <v>8.68153343546215</v>
      </c>
      <c r="SH12" s="1530" t="n">
        <v>8.879863303157915</v>
      </c>
      <c r="SI12" s="1530" t="n">
        <v>9.283586686163893</v>
      </c>
      <c r="SJ12" s="1530" t="n">
        <v>9.116859037965355</v>
      </c>
      <c r="SK12" s="1530" t="n">
        <v>9.008068357405634</v>
      </c>
      <c r="SL12" s="1530" t="n">
        <v>8.62379936765914</v>
      </c>
      <c r="SM12" s="1530" t="n">
        <v>8.870262445954841</v>
      </c>
      <c r="SN12" s="1530" t="n">
        <v>9.068643585693168</v>
      </c>
      <c r="SO12" s="1530" t="n">
        <v>8.424756006413697</v>
      </c>
      <c r="SP12" s="1530" t="n">
        <v>8.712347849950529</v>
      </c>
      <c r="SQ12" s="1530" t="n">
        <v>9.458936627495971</v>
      </c>
      <c r="SR12" s="1530" t="n">
        <v>9.212575164973956</v>
      </c>
      <c r="SS12" s="1530" t="n">
        <v>9.563010588470089</v>
      </c>
      <c r="ST12" s="1530" t="n">
        <v>9.798486459824002</v>
      </c>
      <c r="SU12" s="1530" t="n">
        <v>8.85258403119064</v>
      </c>
      <c r="SV12" s="1530" t="n">
        <v>9.109076665246846</v>
      </c>
      <c r="SW12" s="1530" t="n">
        <v>9.36908621558713</v>
      </c>
      <c r="SX12" s="1530" t="n">
        <v>9.250563384992891</v>
      </c>
      <c r="SY12" s="1530" t="n">
        <v>8.605688380841942</v>
      </c>
      <c r="SZ12" s="1530" t="n">
        <v>9.43783121238264</v>
      </c>
      <c r="TA12" s="1530" t="n">
        <v>9.851590297932159</v>
      </c>
      <c r="TB12" s="1530" t="n">
        <v>9.75670882650804</v>
      </c>
      <c r="TC12" s="1530" t="n">
        <v>10.03525494234132</v>
      </c>
      <c r="TD12" s="1530" t="n">
        <v>10.31583858832153</v>
      </c>
      <c r="TE12" s="1530">
        <f>TE11/TE2</f>
        <v/>
      </c>
      <c r="TF12" s="1530">
        <f>TF11/TF2</f>
        <v/>
      </c>
      <c r="TG12" s="1530" t="n">
        <v>8.628258877833424</v>
      </c>
      <c r="TH12" s="1530" t="n">
        <v>6.352116822617525</v>
      </c>
      <c r="TI12" s="1530" t="n">
        <v>6.550307550713621</v>
      </c>
      <c r="TJ12" s="1530" t="n">
        <v>9.448144929544906</v>
      </c>
      <c r="TK12" s="1530" t="n">
        <v>9.45107256771151</v>
      </c>
      <c r="TL12" s="1530" t="n">
        <v>9.717553296619714</v>
      </c>
      <c r="TM12" s="1530" t="n">
        <v>10.4049217771285</v>
      </c>
      <c r="TN12" s="1530" t="n">
        <v>9.193595468319241</v>
      </c>
      <c r="TO12" s="1530" t="n">
        <v>10.60077739281514</v>
      </c>
      <c r="TP12" s="1530" t="n">
        <v>9.830922779599847</v>
      </c>
      <c r="TQ12" s="1530" t="n">
        <v>9.668280086050196</v>
      </c>
      <c r="TR12" s="1530" t="n">
        <v>8.995427557930809</v>
      </c>
      <c r="TS12" s="1530" t="n">
        <v>9.20777378384097</v>
      </c>
      <c r="TT12" s="1530" t="n">
        <v>9.294229850988245</v>
      </c>
      <c r="TU12" s="1530" t="n">
        <v>9.621982778767521</v>
      </c>
      <c r="TV12" s="1530" t="n">
        <v>8.913085176545433</v>
      </c>
      <c r="TW12" s="1530" t="n">
        <v>8.588257751012208</v>
      </c>
      <c r="TX12" s="1530" t="n">
        <v>8.064197496608804</v>
      </c>
      <c r="TY12" s="1530" t="n">
        <v>8.206629156471244</v>
      </c>
      <c r="TZ12" s="1530">
        <f>TZ11/TZ2</f>
        <v/>
      </c>
      <c r="UA12" s="1530">
        <f>UA11/UA2</f>
        <v/>
      </c>
      <c r="UB12" s="1530">
        <f>UB11/UB2</f>
        <v/>
      </c>
      <c r="UC12" s="1530">
        <f>UC11/UC2</f>
        <v/>
      </c>
      <c r="UD12" s="1530">
        <f>UD11/UD2</f>
        <v/>
      </c>
      <c r="UE12" s="1530">
        <f>UE11/UE2</f>
        <v/>
      </c>
      <c r="UF12" s="1530" t="n">
        <v>9.206547285253496</v>
      </c>
      <c r="UG12" s="1530" t="n">
        <v>7.800246238267507</v>
      </c>
      <c r="UH12" s="1530" t="n">
        <v>8.043640837312182</v>
      </c>
      <c r="UI12" s="1530" t="n">
        <v>7.396460280575548</v>
      </c>
      <c r="UJ12" s="1530" t="n">
        <v>7.719068736438112</v>
      </c>
      <c r="UK12" s="1530" t="n">
        <v>8.035123110152536</v>
      </c>
      <c r="UL12" s="1530" t="n">
        <v>7.724596937215733</v>
      </c>
      <c r="UM12" s="1530" t="n">
        <v>7.616678514446882</v>
      </c>
      <c r="UN12" s="1530" t="n">
        <v>7.002753178634212</v>
      </c>
      <c r="UO12" s="1530" t="n">
        <v>7.197952235510084</v>
      </c>
      <c r="UP12" s="1530" t="n">
        <v>7.383320921395655</v>
      </c>
      <c r="UQ12" s="1530" t="n">
        <v>6.740319426854666</v>
      </c>
      <c r="UR12" s="1530" t="n">
        <v>6.09170400051122</v>
      </c>
      <c r="US12" s="1530" t="n">
        <v>6.065596751238194</v>
      </c>
      <c r="UT12" s="1530" t="n">
        <v>6.262700753870583</v>
      </c>
      <c r="UU12" s="1530" t="n">
        <v>7.434975135358909</v>
      </c>
      <c r="UV12" s="1530" t="n">
        <v>6.405972887039966</v>
      </c>
      <c r="UW12" s="1530" t="n">
        <v>6.405914030191136</v>
      </c>
      <c r="UX12" s="1530" t="n">
        <v>6.382859710549511</v>
      </c>
      <c r="UY12" s="1530" t="n">
        <v>6.278732996289889</v>
      </c>
      <c r="UZ12" s="1530" t="n">
        <v>4.345925531415067</v>
      </c>
      <c r="VA12" s="1530" t="n">
        <v>4.653596300808627</v>
      </c>
      <c r="VB12" s="1530" t="n">
        <v>4.883400011272675</v>
      </c>
      <c r="VC12" s="1530" t="n">
        <v>3.623773144293299</v>
      </c>
      <c r="VD12" s="1530" t="n">
        <v>3.682606034569972</v>
      </c>
      <c r="VE12" s="1530" t="n">
        <v>3.808453751313263</v>
      </c>
      <c r="VF12" s="1530" t="n">
        <v>4.014575037747729</v>
      </c>
      <c r="VG12" s="1530" t="n">
        <v>4.044213017535467</v>
      </c>
      <c r="VH12" s="1530" t="n">
        <v>4.846560098906997</v>
      </c>
      <c r="VI12" s="1530" t="n">
        <v>3.78030315919137</v>
      </c>
      <c r="VJ12" s="1530" t="n">
        <v>4.744075423816588</v>
      </c>
      <c r="VK12" s="1530" t="n">
        <v>7.757146169004893</v>
      </c>
      <c r="VL12" s="1530" t="n">
        <v>6.239939405997461</v>
      </c>
      <c r="VM12" s="1530" t="n">
        <v>7.248540809560161</v>
      </c>
      <c r="VN12" s="1530" t="n">
        <v>6.527689678418743</v>
      </c>
      <c r="VO12" s="1530" t="n">
        <v>9.760979959404628</v>
      </c>
      <c r="VP12" s="1530" t="n">
        <v>10.24513050871124</v>
      </c>
      <c r="VQ12" s="1530" t="n">
        <v>9.828884641372506</v>
      </c>
      <c r="VR12" s="1530" t="n">
        <v>10.98357799185049</v>
      </c>
      <c r="VS12" s="1530" t="n">
        <v>11.09904238373434</v>
      </c>
      <c r="VT12" s="1530" t="n">
        <v>11.09588082472762</v>
      </c>
      <c r="VU12" s="1530" t="n">
        <v>10.54741530685979</v>
      </c>
      <c r="VV12" s="1530">
        <f>VV11/VV2</f>
        <v/>
      </c>
      <c r="VW12" s="1530" t="n">
        <v>11.10633359824911</v>
      </c>
      <c r="VX12" s="1530" t="n">
        <v>11.44957222757447</v>
      </c>
      <c r="VY12" s="1530" t="n">
        <v>11.71496809745097</v>
      </c>
      <c r="VZ12" s="1530" t="n">
        <v>11.59943941486374</v>
      </c>
      <c r="WA12" s="1530" t="n">
        <v>12.25787298236541</v>
      </c>
      <c r="WB12" s="1530" t="n">
        <v>12.71218268291782</v>
      </c>
      <c r="WC12" s="1530" t="n">
        <v>11.86284751090976</v>
      </c>
      <c r="WD12" s="1530" t="n">
        <v>11.82207810415845</v>
      </c>
      <c r="WE12" s="1530" t="n">
        <v>11.56204762850277</v>
      </c>
      <c r="WF12" s="1530" t="n">
        <v>12.22769118866449</v>
      </c>
      <c r="WG12" s="1530" t="n">
        <v>13.69587919244496</v>
      </c>
      <c r="WH12" s="1530" t="n">
        <v>13.86780951463649</v>
      </c>
      <c r="WI12" s="1530" t="n">
        <v>13.95001255964185</v>
      </c>
      <c r="WJ12" s="1530" t="n">
        <v>12.88283712960775</v>
      </c>
      <c r="WK12" s="1530" t="n">
        <v>11.32777501336216</v>
      </c>
      <c r="WL12" s="1530" t="n">
        <v>11.32595894259944</v>
      </c>
      <c r="WM12" s="1530" t="n">
        <v>9.820055774876037</v>
      </c>
      <c r="WN12" s="1530" t="n">
        <v>7.100552717135128</v>
      </c>
      <c r="WO12" s="1530" t="n">
        <v>6.888246024940806</v>
      </c>
      <c r="WP12" s="1530" t="n">
        <v>7.699313628327404</v>
      </c>
      <c r="WQ12" s="1530" t="n">
        <v>6.517649442865483</v>
      </c>
      <c r="WR12" s="1530">
        <f>WR11/WR2</f>
        <v/>
      </c>
      <c r="WS12" s="1530">
        <f>WS11/WS2</f>
        <v/>
      </c>
      <c r="WT12" s="1530">
        <f>WT11/WT2</f>
        <v/>
      </c>
      <c r="WU12" s="1530">
        <f>WU11/WU2</f>
        <v/>
      </c>
      <c r="WV12" s="1530">
        <f>WV11/WV2</f>
        <v/>
      </c>
      <c r="WW12" s="1530" t="n">
        <v>9.229189747734255</v>
      </c>
      <c r="WX12" s="1530" t="n">
        <v>9.334664588973242</v>
      </c>
      <c r="WY12" s="1530" t="n">
        <v>9.472157785977496</v>
      </c>
      <c r="WZ12" s="1530" t="n">
        <v>8.94994211310196</v>
      </c>
      <c r="XA12" s="1530" t="n">
        <v>9.178639566525536</v>
      </c>
      <c r="XB12" s="1530" t="n">
        <v>9.727489360410184</v>
      </c>
      <c r="XC12" s="1530" t="n">
        <v>8.521110479142223</v>
      </c>
      <c r="XD12" s="1530" t="n">
        <v>9.005643220394969</v>
      </c>
      <c r="XE12" s="1530" t="n">
        <v>8.927331288573962</v>
      </c>
      <c r="XF12" s="1530" t="n">
        <v>9.030530864293505</v>
      </c>
      <c r="XG12" s="1530" t="n">
        <v>9.397492497127114</v>
      </c>
      <c r="XH12" s="1530" t="n">
        <v>8.082749917523238</v>
      </c>
      <c r="XI12" s="1530" t="n">
        <v>8.324534828791144</v>
      </c>
      <c r="XJ12" s="1530" t="n">
        <v>7.693280971252262</v>
      </c>
      <c r="XK12" s="1530" t="n">
        <v>8.374778594086482</v>
      </c>
      <c r="XL12" s="1530" t="n">
        <v>7.890832709235661</v>
      </c>
      <c r="XM12" s="1530" t="n">
        <v>8.59553401664245</v>
      </c>
      <c r="XN12" s="1530" t="n">
        <v>8.233840904152132</v>
      </c>
      <c r="XO12" s="1530" t="n">
        <v>8.475337204291513</v>
      </c>
      <c r="XP12" s="1530" t="n">
        <v>9.22931921708776</v>
      </c>
      <c r="XQ12" s="1530" t="n">
        <v>7.8709587517284</v>
      </c>
      <c r="XR12" s="1530" t="n">
        <v>7.702286081019561</v>
      </c>
      <c r="XS12" s="1530" t="n">
        <v>7.832174031105656</v>
      </c>
      <c r="XT12" s="1530" t="n">
        <v>8.386734043589554</v>
      </c>
      <c r="XU12" s="1530" t="n">
        <v>8.035549327159433</v>
      </c>
      <c r="XV12" s="1530" t="n">
        <v>8.199008125810751</v>
      </c>
      <c r="XW12" s="1530" t="n">
        <v>8.124804151960978</v>
      </c>
      <c r="XX12" s="1530" t="n">
        <v>8.548810856335258</v>
      </c>
      <c r="XY12" s="1530" t="n">
        <v>6.09549441957735</v>
      </c>
      <c r="XZ12" s="1530" t="n">
        <v>7.053415332362992</v>
      </c>
      <c r="YA12" s="1530" t="n">
        <v>7.620237675274443</v>
      </c>
      <c r="YB12" s="1530" t="n">
        <v>7.515340466549364</v>
      </c>
      <c r="YC12" s="1530" t="n">
        <v>7.18149655323266</v>
      </c>
      <c r="YD12" s="1530" t="n">
        <v>7.682852955313629</v>
      </c>
      <c r="YE12" s="1530" t="n">
        <v>8.144943651288717</v>
      </c>
      <c r="YF12" s="1530" t="n">
        <v>8.942777124136466</v>
      </c>
      <c r="YG12" s="1530" t="n">
        <v>9.126747816598787</v>
      </c>
      <c r="YH12" s="1530" t="n">
        <v>9.438405849490346</v>
      </c>
      <c r="YI12" s="1530" t="n">
        <v>9.425125293033553</v>
      </c>
      <c r="YJ12" s="1531">
        <f>YJ11/YJ2</f>
        <v/>
      </c>
    </row>
    <row r="13" ht="15" customFormat="1" customHeight="1" s="948" thickTop="1">
      <c r="B13" s="917" t="inlineStr">
        <is>
          <t>RBPI Voronezh</t>
        </is>
      </c>
      <c r="C13" s="1540" t="n"/>
      <c r="D13" s="1541" t="n"/>
      <c r="E13" s="1541" t="n"/>
      <c r="F13" s="1541" t="n"/>
      <c r="G13" s="1541" t="n"/>
      <c r="H13" s="1541" t="n"/>
      <c r="I13" s="1541" t="n"/>
      <c r="J13" s="1541" t="n"/>
      <c r="K13" s="1541" t="n"/>
      <c r="L13" s="1541" t="n"/>
      <c r="M13" s="1541" t="n"/>
      <c r="N13" s="1541" t="n"/>
      <c r="O13" s="1541" t="n"/>
      <c r="P13" s="1541" t="n"/>
      <c r="Q13" s="1541" t="n"/>
      <c r="R13" s="1541" t="n"/>
      <c r="S13" s="1541" t="n"/>
      <c r="T13" s="1541" t="n"/>
      <c r="U13" s="1541" t="n"/>
      <c r="V13" s="1541" t="n"/>
      <c r="W13" s="1541" t="n"/>
      <c r="X13" s="1541" t="n"/>
      <c r="Y13" s="1541" t="n"/>
      <c r="Z13" s="1541" t="n"/>
      <c r="AA13" s="1541" t="n"/>
      <c r="AB13" s="1541" t="n"/>
      <c r="AC13" s="1541" t="n"/>
      <c r="AD13" s="1541" t="n"/>
      <c r="AE13" s="1541" t="n"/>
      <c r="AF13" s="1541" t="n"/>
      <c r="AG13" s="1541" t="n"/>
      <c r="AH13" s="1541" t="n"/>
      <c r="AI13" s="1541" t="n"/>
      <c r="AJ13" s="1541" t="n"/>
      <c r="AK13" s="1541" t="n"/>
      <c r="AL13" s="1541" t="n"/>
      <c r="AM13" s="1541" t="n"/>
      <c r="AN13" s="1541" t="n"/>
      <c r="AO13" s="1541" t="n"/>
      <c r="AP13" s="1541" t="n"/>
      <c r="AQ13" s="1541" t="n"/>
      <c r="AR13" s="1541" t="n"/>
      <c r="AS13" s="1541" t="n"/>
      <c r="AT13" s="1541" t="n"/>
      <c r="AU13" s="1541" t="n"/>
      <c r="AV13" s="1541" t="n"/>
      <c r="AW13" s="1541" t="n"/>
      <c r="AX13" s="1541" t="n"/>
      <c r="AY13" s="1541" t="n"/>
      <c r="AZ13" s="1541" t="n"/>
      <c r="BA13" s="1541" t="n"/>
      <c r="BB13" s="1541" t="n"/>
      <c r="BC13" s="1541" t="n"/>
      <c r="BD13" s="1541" t="n"/>
      <c r="BE13" s="1541" t="n"/>
      <c r="BF13" s="1541" t="n"/>
      <c r="BG13" s="1541" t="n"/>
      <c r="BH13" s="1541" t="n"/>
      <c r="BI13" s="1541" t="n"/>
      <c r="BJ13" s="1541" t="n"/>
      <c r="BK13" s="1541" t="n"/>
      <c r="BL13" s="1541" t="n"/>
      <c r="BM13" s="1541" t="n"/>
      <c r="BN13" s="1541" t="n"/>
      <c r="BO13" s="1541" t="n"/>
      <c r="BP13" s="1541" t="n"/>
      <c r="BQ13" s="1541" t="n"/>
      <c r="BR13" s="1541" t="n"/>
      <c r="BS13" s="1541" t="n"/>
      <c r="BT13" s="1541" t="n"/>
      <c r="BU13" s="1541" t="n"/>
      <c r="BV13" s="1541" t="n"/>
      <c r="BW13" s="1541" t="n"/>
      <c r="BX13" s="1541" t="n"/>
      <c r="BY13" s="1541" t="n"/>
      <c r="BZ13" s="1541" t="n"/>
      <c r="CA13" s="1541" t="n"/>
      <c r="CB13" s="1541" t="n"/>
      <c r="CC13" s="1541" t="n"/>
      <c r="CD13" s="1541" t="n"/>
      <c r="CE13" s="1541" t="n"/>
      <c r="CF13" s="1541" t="n"/>
      <c r="CG13" s="1541" t="n"/>
      <c r="CH13" s="1541" t="n"/>
      <c r="CI13" s="1541" t="n"/>
      <c r="CJ13" s="1541" t="n"/>
      <c r="CK13" s="1541" t="n"/>
      <c r="CL13" s="1541" t="n"/>
      <c r="CM13" s="1541" t="n"/>
      <c r="CN13" s="1541" t="n"/>
      <c r="CO13" s="1541" t="n"/>
      <c r="CP13" s="1541" t="n"/>
      <c r="CQ13" s="1541" t="n"/>
      <c r="CR13" s="1541" t="n"/>
      <c r="CS13" s="1541" t="n"/>
      <c r="CT13" s="1541" t="n"/>
      <c r="CU13" s="1541" t="n"/>
      <c r="CV13" s="1541" t="n"/>
      <c r="CW13" s="1541" t="n"/>
      <c r="CX13" s="1541" t="n"/>
      <c r="CY13" s="1541" t="n"/>
      <c r="CZ13" s="1541" t="n"/>
      <c r="DA13" s="1541" t="n"/>
      <c r="DB13" s="1541" t="n"/>
      <c r="DC13" s="1541" t="n"/>
      <c r="DD13" s="1541" t="n"/>
      <c r="DE13" s="1541" t="n"/>
      <c r="DF13" s="1541" t="n"/>
      <c r="DG13" s="1541" t="n"/>
      <c r="DH13" s="1541" t="n"/>
      <c r="DI13" s="1541" t="n"/>
      <c r="DJ13" s="1541" t="n"/>
      <c r="DK13" s="1541" t="n"/>
      <c r="DL13" s="1541" t="n"/>
      <c r="DM13" s="1541" t="n"/>
      <c r="DN13" s="1541" t="n"/>
      <c r="DO13" s="1541" t="n"/>
      <c r="DP13" s="1541" t="n"/>
      <c r="DQ13" s="1541" t="n"/>
      <c r="DR13" s="1541" t="n"/>
      <c r="DS13" s="1541" t="n"/>
      <c r="DT13" s="1541" t="n"/>
      <c r="DU13" s="1541" t="n"/>
      <c r="DV13" s="1541" t="n"/>
      <c r="DW13" s="1541" t="n"/>
      <c r="DX13" s="1541" t="n"/>
      <c r="DY13" s="1541" t="n"/>
      <c r="DZ13" s="1541" t="n"/>
      <c r="EA13" s="1541" t="n"/>
      <c r="EB13" s="1541" t="n"/>
      <c r="EC13" s="1541" t="n"/>
      <c r="ED13" s="1541" t="n"/>
      <c r="EE13" s="1541" t="n"/>
      <c r="EF13" s="1541" t="n"/>
      <c r="EG13" s="1541" t="n"/>
      <c r="EH13" s="1541" t="n"/>
      <c r="EI13" s="1541" t="n"/>
      <c r="EJ13" s="1541" t="n"/>
      <c r="EK13" s="1541" t="n"/>
      <c r="EL13" s="1541" t="n"/>
      <c r="EM13" s="1541" t="n"/>
      <c r="EN13" s="1541" t="n"/>
      <c r="EO13" s="1541" t="n"/>
      <c r="EP13" s="1541" t="n"/>
      <c r="EQ13" s="1541" t="n"/>
      <c r="ER13" s="1541" t="n"/>
      <c r="ES13" s="1541" t="n"/>
      <c r="ET13" s="1541" t="n"/>
      <c r="EU13" s="1541" t="n"/>
      <c r="EV13" s="1541" t="n"/>
      <c r="EW13" s="1541" t="n"/>
      <c r="EX13" s="1541" t="n"/>
      <c r="EY13" s="1541" t="n"/>
      <c r="EZ13" s="1541" t="n"/>
      <c r="FA13" s="1541" t="n"/>
      <c r="FB13" s="1541" t="n"/>
      <c r="FC13" s="1541" t="n"/>
      <c r="FD13" s="1541" t="n"/>
      <c r="FE13" s="1541" t="n"/>
      <c r="FF13" s="1541" t="n"/>
      <c r="FG13" s="1541" t="n"/>
      <c r="FH13" s="1541" t="n"/>
      <c r="FI13" s="1541" t="n"/>
      <c r="FJ13" s="1541" t="n"/>
      <c r="FK13" s="1541" t="n"/>
      <c r="FL13" s="1541" t="n"/>
      <c r="FM13" s="1541" t="n"/>
      <c r="FN13" s="1541" t="n"/>
      <c r="FO13" s="1541" t="n"/>
      <c r="FP13" s="1541" t="n"/>
      <c r="FQ13" s="1541" t="n"/>
      <c r="FR13" s="1541" t="n"/>
      <c r="FS13" s="1541" t="n"/>
      <c r="FT13" s="1541" t="n"/>
      <c r="FU13" s="1541" t="n"/>
      <c r="FV13" s="1541" t="n"/>
      <c r="FW13" s="1541" t="n"/>
      <c r="FX13" s="1541" t="n"/>
      <c r="FY13" s="1541" t="n"/>
      <c r="FZ13" s="1541" t="n"/>
      <c r="GA13" s="1541" t="n"/>
      <c r="GB13" s="1541" t="n"/>
      <c r="GC13" s="1541" t="n"/>
      <c r="GD13" s="1541" t="n"/>
      <c r="GE13" s="1541" t="n"/>
      <c r="GF13" s="1541" t="n"/>
      <c r="GG13" s="1541" t="n"/>
      <c r="GH13" s="1541" t="n"/>
      <c r="GI13" s="1541" t="n"/>
      <c r="GJ13" s="1541" t="n"/>
      <c r="GK13" s="1541" t="n"/>
      <c r="GL13" s="1541" t="n"/>
      <c r="GM13" s="1541" t="n"/>
      <c r="GN13" s="1541" t="n"/>
      <c r="GO13" s="1541" t="n"/>
      <c r="GP13" s="1541" t="n"/>
      <c r="GQ13" s="1541" t="n"/>
      <c r="GR13" s="1541" t="n"/>
      <c r="GS13" s="1541" t="n"/>
      <c r="GT13" s="1541" t="n"/>
      <c r="GU13" s="1541" t="n"/>
      <c r="GV13" s="1541" t="n"/>
      <c r="GW13" s="1541" t="n"/>
      <c r="GX13" s="1541" t="n"/>
      <c r="GY13" s="1541" t="n"/>
      <c r="GZ13" s="1541" t="n"/>
      <c r="HA13" s="1541" t="n"/>
      <c r="HB13" s="1541" t="n"/>
      <c r="HC13" s="1541" t="n"/>
      <c r="HD13" s="1541" t="n"/>
      <c r="HE13" s="1541" t="n"/>
      <c r="HF13" s="1541" t="n"/>
      <c r="HG13" s="1541" t="n"/>
      <c r="HH13" s="1541" t="n"/>
      <c r="HI13" s="1541" t="n"/>
      <c r="HJ13" s="1541" t="n"/>
      <c r="HK13" s="1541" t="n"/>
      <c r="HL13" s="1541" t="n"/>
      <c r="HM13" s="1541" t="n"/>
      <c r="HN13" s="1541" t="n"/>
      <c r="HO13" s="1541" t="n"/>
      <c r="HP13" s="1541" t="n"/>
      <c r="HQ13" s="1541" t="n"/>
      <c r="HR13" s="1541" t="n"/>
      <c r="HS13" s="1541" t="n"/>
      <c r="HT13" s="1541" t="n"/>
      <c r="HU13" s="1541" t="n"/>
      <c r="HV13" s="1541" t="n"/>
      <c r="HW13" s="1541" t="n"/>
      <c r="HX13" s="1541" t="n"/>
      <c r="HY13" s="1541" t="n"/>
      <c r="HZ13" s="1541" t="n"/>
      <c r="IA13" s="1541" t="n"/>
      <c r="IB13" s="1541" t="n"/>
      <c r="IC13" s="1541" t="n"/>
      <c r="ID13" s="1541" t="n"/>
      <c r="IE13" s="1541" t="n"/>
      <c r="IF13" s="1541" t="n"/>
      <c r="IG13" s="1541" t="n"/>
      <c r="IH13" s="1541" t="n"/>
      <c r="II13" s="1541" t="n"/>
      <c r="IJ13" s="1541" t="n"/>
      <c r="IK13" s="1541" t="n"/>
      <c r="IL13" s="1541" t="n"/>
      <c r="IM13" s="1541" t="n"/>
      <c r="IN13" s="1541" t="n"/>
      <c r="IO13" s="1541" t="n"/>
      <c r="IP13" s="1541" t="n"/>
      <c r="IQ13" s="1541" t="n"/>
      <c r="IR13" s="1541" t="n"/>
      <c r="IS13" s="1541" t="n"/>
      <c r="IT13" s="1541" t="n"/>
      <c r="IU13" s="1541" t="n"/>
      <c r="IV13" s="1541" t="n"/>
      <c r="IW13" s="1541" t="n"/>
      <c r="IX13" s="1541" t="n"/>
      <c r="IY13" s="1541" t="n"/>
      <c r="IZ13" s="1541" t="n"/>
      <c r="JA13" s="1541" t="n"/>
      <c r="JB13" s="1541" t="n"/>
      <c r="JC13" s="1541" t="n"/>
      <c r="JD13" s="1541" t="n"/>
      <c r="JE13" s="1541" t="n"/>
      <c r="JF13" s="1541" t="n"/>
      <c r="JG13" s="1541" t="n"/>
      <c r="JH13" s="1541" t="n"/>
      <c r="JI13" s="1541" t="n"/>
      <c r="JJ13" s="1541" t="n"/>
      <c r="JK13" s="1541" t="n"/>
      <c r="JL13" s="1541" t="n"/>
      <c r="JM13" s="1541" t="n"/>
      <c r="JN13" s="1541" t="n"/>
      <c r="JO13" s="1541" t="n"/>
      <c r="JP13" s="1541" t="n"/>
      <c r="JQ13" s="1541" t="n"/>
      <c r="JR13" s="1541" t="n"/>
      <c r="JS13" s="1541" t="n"/>
      <c r="JT13" s="1541" t="n"/>
      <c r="JU13" s="1541" t="n"/>
      <c r="JV13" s="1541" t="n"/>
      <c r="JW13" s="1541" t="n"/>
      <c r="JX13" s="1541" t="n"/>
      <c r="JY13" s="1541" t="n"/>
      <c r="JZ13" s="1541" t="n"/>
      <c r="KA13" s="1541" t="n"/>
      <c r="KB13" s="1541" t="n"/>
      <c r="KC13" s="1541" t="n"/>
      <c r="KD13" s="1541" t="n"/>
      <c r="KE13" s="1541" t="n"/>
      <c r="KF13" s="1541" t="n"/>
      <c r="KG13" s="1541" t="n"/>
      <c r="KH13" s="1541" t="n"/>
      <c r="KI13" s="1541" t="n"/>
      <c r="KJ13" s="1541" t="n"/>
      <c r="KK13" s="1541" t="n"/>
      <c r="KL13" s="1541" t="n"/>
      <c r="KM13" s="1541" t="n"/>
      <c r="KN13" s="1541" t="n"/>
      <c r="KO13" s="1541" t="n"/>
      <c r="KP13" s="1541" t="n"/>
      <c r="KQ13" s="1541" t="n"/>
      <c r="KR13" s="1541" t="n"/>
      <c r="KS13" s="1541" t="n"/>
      <c r="KT13" s="1541" t="n"/>
      <c r="KU13" s="1541" t="n"/>
      <c r="KV13" s="1541" t="n"/>
      <c r="KW13" s="1541" t="n"/>
      <c r="KX13" s="1541" t="n"/>
      <c r="KY13" s="1541" t="n"/>
      <c r="KZ13" s="1541" t="n"/>
      <c r="LA13" s="1541" t="n"/>
      <c r="LB13" s="1541" t="n"/>
      <c r="LC13" s="1541" t="n"/>
      <c r="LD13" s="1541" t="n"/>
      <c r="LE13" s="1541" t="n"/>
      <c r="LF13" s="1542" t="n"/>
      <c r="LG13" s="1542" t="n"/>
      <c r="LH13" s="1542" t="n"/>
      <c r="LI13" s="1542" t="n"/>
      <c r="LJ13" s="1542" t="n"/>
      <c r="LK13" s="1542" t="n"/>
      <c r="LL13" s="1542" t="n"/>
      <c r="LM13" s="1542" t="n"/>
      <c r="LN13" s="1542" t="n"/>
      <c r="LO13" s="1542" t="n"/>
      <c r="LP13" s="1542" t="n"/>
      <c r="LQ13" s="1542" t="n"/>
      <c r="LR13" s="1542" t="n"/>
      <c r="LS13" s="1542" t="n"/>
      <c r="LT13" s="1542" t="n"/>
      <c r="LU13" s="1542" t="n"/>
      <c r="LV13" s="1542" t="n"/>
      <c r="LW13" s="1542" t="n"/>
      <c r="LX13" s="1542" t="n"/>
      <c r="LY13" s="1542" t="n"/>
      <c r="LZ13" s="1542" t="n"/>
      <c r="MA13" s="1542" t="n"/>
      <c r="MB13" s="1542" t="n"/>
      <c r="MC13" s="1542" t="n"/>
      <c r="MD13" s="1542" t="n"/>
      <c r="ME13" s="1542" t="n"/>
      <c r="MF13" s="1542" t="n"/>
      <c r="MG13" s="1542" t="n"/>
      <c r="MH13" s="1542" t="n"/>
      <c r="MI13" s="1542" t="n"/>
      <c r="MJ13" s="1542" t="n"/>
      <c r="MK13" s="1542" t="n"/>
      <c r="ML13" s="1542" t="n"/>
      <c r="MM13" s="1542" t="n"/>
      <c r="MN13" s="1542" t="n"/>
      <c r="MO13" s="1542" t="n"/>
      <c r="MP13" s="1542" t="n"/>
      <c r="MQ13" s="1542" t="n"/>
      <c r="MR13" s="1542" t="n"/>
      <c r="MS13" s="1542" t="n"/>
      <c r="MT13" s="1542" t="n"/>
      <c r="MU13" s="1542" t="n"/>
      <c r="MV13" s="1542" t="n"/>
      <c r="MW13" s="1542" t="n"/>
      <c r="MX13" s="1542" t="n"/>
      <c r="MY13" s="1542" t="n"/>
      <c r="MZ13" s="1542" t="n"/>
      <c r="NA13" s="1542" t="n"/>
      <c r="NB13" s="1542" t="n"/>
      <c r="NC13" s="1542" t="n"/>
      <c r="ND13" s="1542" t="n"/>
      <c r="NE13" s="1542" t="n"/>
      <c r="NF13" s="1542" t="n"/>
      <c r="NG13" s="1542" t="n"/>
      <c r="NH13" s="1542" t="n"/>
      <c r="NI13" s="1542" t="n"/>
      <c r="NJ13" s="1542" t="n"/>
      <c r="NK13" s="1542" t="n"/>
      <c r="NL13" s="1542" t="n"/>
      <c r="NM13" s="1542" t="n"/>
      <c r="NN13" s="1542" t="n"/>
      <c r="NO13" s="1542" t="n"/>
      <c r="NP13" s="1542" t="n"/>
      <c r="NQ13" s="1542" t="n"/>
      <c r="NR13" s="1542" t="n"/>
      <c r="NS13" s="1542" t="n"/>
      <c r="NT13" s="1542" t="n"/>
      <c r="NU13" s="1542" t="n"/>
      <c r="NV13" s="1542" t="n"/>
      <c r="NW13" s="1542" t="n"/>
      <c r="NX13" s="1542" t="n"/>
      <c r="NY13" s="1542" t="n"/>
      <c r="NZ13" s="1542" t="n"/>
      <c r="OA13" s="1542" t="n"/>
      <c r="OB13" s="1542" t="n"/>
      <c r="OC13" s="1542" t="n"/>
      <c r="OD13" s="1542" t="n"/>
      <c r="OE13" s="1542" t="n"/>
      <c r="OF13" s="1542" t="n"/>
      <c r="OG13" s="1542" t="n"/>
      <c r="OH13" s="1542" t="n"/>
      <c r="OI13" s="1542" t="n"/>
      <c r="OJ13" s="1542" t="n"/>
      <c r="OK13" s="1542" t="n"/>
      <c r="OL13" s="1542" t="n"/>
      <c r="OM13" s="1542" t="n"/>
      <c r="ON13" s="1542" t="n"/>
      <c r="OO13" s="1542" t="n"/>
      <c r="OP13" s="1542" t="n"/>
      <c r="OQ13" s="1542" t="n"/>
      <c r="OR13" s="1542" t="n"/>
      <c r="OS13" s="1542" t="n"/>
      <c r="OT13" s="1542" t="n"/>
      <c r="OU13" s="1542" t="n"/>
      <c r="OV13" s="1542" t="n"/>
      <c r="OW13" s="1542" t="n"/>
      <c r="OX13" s="1542" t="n"/>
      <c r="OY13" s="1542" t="n"/>
      <c r="OZ13" s="1542" t="n"/>
      <c r="PA13" s="1542" t="n"/>
      <c r="PB13" s="1542" t="n"/>
      <c r="PC13" s="1542" t="n"/>
      <c r="PD13" s="1542" t="n"/>
      <c r="PE13" s="1542" t="n"/>
      <c r="PF13" s="1542" t="n"/>
      <c r="PG13" s="1542" t="n"/>
      <c r="PH13" s="1542" t="n"/>
      <c r="PI13" s="1542" t="n"/>
      <c r="PJ13" s="1542" t="n"/>
      <c r="PK13" s="1542" t="n"/>
      <c r="PL13" s="1542" t="n"/>
      <c r="PM13" s="1542" t="n"/>
      <c r="PN13" s="1542" t="n"/>
      <c r="PO13" s="1542" t="n"/>
      <c r="PP13" s="1542" t="n"/>
      <c r="PQ13" s="1542" t="n"/>
      <c r="PR13" s="1542" t="n"/>
      <c r="PS13" s="1542" t="n"/>
      <c r="PT13" s="1542" t="n"/>
      <c r="PU13" s="1542" t="n"/>
      <c r="PV13" s="1542" t="n"/>
      <c r="PW13" s="1542" t="n"/>
      <c r="PX13" s="1542" t="n"/>
      <c r="PY13" s="1542" t="n"/>
      <c r="PZ13" s="1542" t="n"/>
      <c r="QA13" s="1542" t="n"/>
      <c r="QB13" s="1542" t="n"/>
      <c r="QC13" s="1542" t="n"/>
      <c r="QD13" s="1542" t="n"/>
      <c r="QE13" s="1542" t="n"/>
      <c r="QF13" s="1542" t="n"/>
      <c r="QG13" s="1542" t="n"/>
      <c r="QH13" s="1542" t="n"/>
      <c r="QI13" s="1542" t="n"/>
      <c r="QJ13" s="1542" t="n"/>
      <c r="QK13" s="1542" t="n"/>
      <c r="QL13" s="1542" t="n"/>
      <c r="QM13" s="1542" t="n"/>
      <c r="QN13" s="1542" t="n"/>
      <c r="QO13" s="1542" t="n"/>
      <c r="QP13" s="1542" t="n"/>
      <c r="QQ13" s="1542" t="n"/>
      <c r="QR13" s="1542" t="n"/>
      <c r="QS13" s="1542" t="n"/>
      <c r="QT13" s="1542" t="n"/>
      <c r="QU13" s="1542" t="n"/>
      <c r="QV13" s="1542" t="n"/>
      <c r="QW13" s="1542" t="n"/>
      <c r="QX13" s="1542" t="n"/>
      <c r="QY13" s="1542" t="n"/>
      <c r="QZ13" s="1542" t="n"/>
      <c r="RA13" s="1542" t="n"/>
      <c r="RB13" s="1542" t="n"/>
      <c r="RC13" s="1542" t="n"/>
      <c r="RD13" s="1542" t="n"/>
      <c r="RE13" s="1542" t="n"/>
      <c r="RF13" s="1542" t="n"/>
      <c r="RG13" s="1542" t="n"/>
      <c r="RH13" s="1542" t="n"/>
      <c r="RI13" s="1542" t="n"/>
      <c r="RJ13" s="1542" t="n"/>
      <c r="RK13" s="1542" t="n"/>
      <c r="RL13" s="1542" t="n"/>
      <c r="RM13" s="1542" t="n"/>
      <c r="RN13" s="1542" t="n"/>
      <c r="RO13" s="1542" t="n"/>
      <c r="RP13" s="1542" t="n"/>
      <c r="RQ13" s="1542" t="n"/>
      <c r="RR13" s="1542" t="n"/>
      <c r="RS13" s="1542" t="n"/>
      <c r="RT13" s="1542" t="n"/>
      <c r="RU13" s="1542" t="n"/>
      <c r="RV13" s="1542" t="n"/>
      <c r="RW13" s="1542" t="n"/>
      <c r="RX13" s="1542" t="n"/>
      <c r="RY13" s="1542" t="n"/>
      <c r="RZ13" s="1542" t="n"/>
      <c r="SA13" s="1542" t="n"/>
      <c r="SB13" s="1542" t="n"/>
      <c r="SC13" s="1542" t="n"/>
      <c r="SD13" s="1542" t="n"/>
      <c r="SE13" s="1542" t="n"/>
      <c r="SF13" s="1542" t="n"/>
      <c r="SG13" s="1542" t="n"/>
      <c r="SH13" s="1542" t="n"/>
      <c r="SI13" s="1542" t="n"/>
      <c r="SJ13" s="1542" t="n"/>
      <c r="SK13" s="1542" t="n"/>
      <c r="SL13" s="1542" t="n"/>
      <c r="SM13" s="1542" t="n"/>
      <c r="SN13" s="1542" t="n"/>
      <c r="SO13" s="1542" t="n"/>
      <c r="SP13" s="1542" t="n"/>
      <c r="SQ13" s="1542" t="n"/>
      <c r="SR13" s="1542" t="n"/>
      <c r="SS13" s="1542" t="n"/>
      <c r="ST13" s="1542" t="n"/>
      <c r="SU13" s="1542" t="n"/>
      <c r="SV13" s="1542" t="n"/>
      <c r="SW13" s="1542" t="n"/>
      <c r="SX13" s="1542" t="n"/>
      <c r="SY13" s="1542" t="n"/>
      <c r="SZ13" s="1542" t="n"/>
      <c r="TA13" s="1542" t="n"/>
      <c r="TB13" s="1542" t="n"/>
      <c r="TC13" s="1542" t="n"/>
      <c r="TD13" s="1542" t="n"/>
      <c r="TE13" s="1542" t="n"/>
      <c r="TF13" s="1533" t="n">
        <v>569.5958816599999</v>
      </c>
      <c r="TG13" s="1533" t="n">
        <v>18.41434084</v>
      </c>
      <c r="TH13" s="1533" t="n">
        <v>17.63294448</v>
      </c>
      <c r="TI13" s="1533" t="n">
        <v>17.63294448</v>
      </c>
      <c r="TJ13" s="1533" t="n">
        <v>17.59046867</v>
      </c>
      <c r="TK13" s="1533" t="n">
        <v>17.5963546</v>
      </c>
      <c r="TL13" s="1533" t="n">
        <v>17.12252514</v>
      </c>
      <c r="TM13" s="1533" t="n">
        <v>16.2924242</v>
      </c>
      <c r="TN13" s="1533" t="n">
        <v>16.24261999</v>
      </c>
      <c r="TO13" s="1533" t="n">
        <v>16.24051999</v>
      </c>
      <c r="TP13" s="1533" t="n">
        <v>15.81011138</v>
      </c>
      <c r="TQ13" s="1533" t="n">
        <v>15.8091339</v>
      </c>
      <c r="TR13" s="1533" t="n">
        <v>15.39177155</v>
      </c>
      <c r="TS13" s="1533" t="n">
        <v>15.39722729</v>
      </c>
      <c r="TT13" s="1533" t="n">
        <v>15.40228303</v>
      </c>
      <c r="TU13" s="1533" t="n">
        <v>12.80209452</v>
      </c>
      <c r="TV13" s="1533" t="n">
        <v>12.3894376</v>
      </c>
      <c r="TW13" s="1533" t="n">
        <v>12.39395235</v>
      </c>
      <c r="TX13" s="1533" t="n">
        <v>12.39395235</v>
      </c>
      <c r="TY13" s="1533" t="n">
        <v>12.39395235</v>
      </c>
      <c r="TZ13" s="1533" t="n">
        <v>11.8804663</v>
      </c>
      <c r="UA13" s="1533" t="n">
        <v>11.8804663</v>
      </c>
      <c r="UB13" s="1533" t="n">
        <v>11.89503285</v>
      </c>
      <c r="UC13" s="1533" t="n">
        <v>11.89503285</v>
      </c>
      <c r="UD13" s="1533" t="n">
        <v>11.89503285</v>
      </c>
      <c r="UE13" s="1533" t="n">
        <v>11.34431612</v>
      </c>
      <c r="UF13" s="1533" t="n">
        <v>6.344096119999999</v>
      </c>
      <c r="UG13" s="1533" t="n">
        <v>6.344096119999999</v>
      </c>
      <c r="UH13" s="1533" t="n">
        <v>5.98447647</v>
      </c>
      <c r="UI13" s="1533" t="n">
        <v>5.98170647</v>
      </c>
      <c r="UJ13" s="1533" t="n">
        <v>2.90824938</v>
      </c>
      <c r="UK13" s="1533" t="n">
        <v>2.90824938</v>
      </c>
      <c r="UL13" s="1533" t="n">
        <v>2.90824938</v>
      </c>
      <c r="UM13" s="1533" t="n">
        <v>2.89889769</v>
      </c>
      <c r="UN13" s="1533" t="n">
        <v>2.22855014</v>
      </c>
      <c r="UO13" s="1533" t="n">
        <v>2.22855014</v>
      </c>
      <c r="UP13" s="1533" t="n">
        <v>137.26698258</v>
      </c>
      <c r="UQ13" s="1533" t="n">
        <v>10.64349247</v>
      </c>
      <c r="UR13" s="1533" t="n">
        <v>10.64349247</v>
      </c>
      <c r="US13" s="1533" t="n">
        <v>10.64349247</v>
      </c>
      <c r="UT13" s="1533" t="n">
        <v>10.4740354</v>
      </c>
      <c r="UU13" s="1533" t="n">
        <v>9.922845129999999</v>
      </c>
      <c r="UV13" s="1533" t="n">
        <v>9.922845129999999</v>
      </c>
      <c r="UW13" s="1533" t="n">
        <v>9.922845129999999</v>
      </c>
      <c r="UX13" s="1533" t="n">
        <v>9.922845129999999</v>
      </c>
      <c r="UY13" s="1533" t="n">
        <v>9.8943601</v>
      </c>
      <c r="UZ13" s="1533" t="n">
        <v>9.8943601</v>
      </c>
      <c r="VA13" s="1533" t="n">
        <v>9.8943601</v>
      </c>
      <c r="VB13" s="1533" t="n">
        <v>13.29719734</v>
      </c>
      <c r="VC13" s="1533" t="n">
        <v>12.30331198</v>
      </c>
      <c r="VD13" s="1533" t="n">
        <v>12.3229169</v>
      </c>
      <c r="VE13" s="1533" t="n">
        <v>12.3229169</v>
      </c>
      <c r="VF13" s="1533" t="n">
        <v>12.3214299</v>
      </c>
      <c r="VG13" s="1533" t="n">
        <v>11.64199571</v>
      </c>
      <c r="VH13" s="1533" t="n">
        <v>11.61467808</v>
      </c>
      <c r="VI13" s="1533" t="n">
        <v>11.64457644</v>
      </c>
      <c r="VJ13" s="1533" t="n">
        <v>10.76342114</v>
      </c>
      <c r="VK13" s="1533" t="n">
        <v>12.01055354</v>
      </c>
      <c r="VL13" s="1533" t="n">
        <v>11.17672653</v>
      </c>
      <c r="VM13" s="1533" t="n">
        <v>11.20665167</v>
      </c>
      <c r="VN13" s="1533" t="n">
        <v>11.22503688</v>
      </c>
      <c r="VO13" s="1533" t="n">
        <v>11.20603125</v>
      </c>
      <c r="VP13" s="1533" t="n">
        <v>11.22560824</v>
      </c>
      <c r="VQ13" s="1533" t="n">
        <v>10.77339445</v>
      </c>
      <c r="VR13" s="1533" t="n">
        <v>131.37114747</v>
      </c>
      <c r="VS13" s="1533" t="n">
        <v>7.95562508</v>
      </c>
      <c r="VT13" s="1533" t="n">
        <v>7.95352508</v>
      </c>
      <c r="VU13" s="1533" t="n">
        <v>7.95352508</v>
      </c>
      <c r="VV13" s="1533" t="n">
        <v>4.2626411</v>
      </c>
      <c r="VW13" s="1533" t="n">
        <v>4.2626411</v>
      </c>
      <c r="VX13" s="1533" t="n">
        <v>4.18816303</v>
      </c>
      <c r="VY13" s="1533" t="n">
        <v>4.18816303</v>
      </c>
      <c r="VZ13" s="1533" t="n">
        <v>4.18816303</v>
      </c>
      <c r="WA13" s="1533" t="n">
        <v>3.42430091</v>
      </c>
      <c r="WB13" s="1533" t="n">
        <v>4.27393071</v>
      </c>
      <c r="WC13" s="1533" t="n">
        <v>2.3265336</v>
      </c>
      <c r="WD13" s="1533" t="n">
        <v>2.3244336</v>
      </c>
      <c r="WE13" s="1533" t="n">
        <v>1.62658687</v>
      </c>
      <c r="WF13" s="1533" t="n">
        <v>1.62658687</v>
      </c>
      <c r="WG13" s="1533" t="n">
        <v>1.39455532</v>
      </c>
      <c r="WH13" s="1533" t="n">
        <v>1.39455532</v>
      </c>
      <c r="WI13" s="1533" t="n">
        <v>1.39455532</v>
      </c>
      <c r="WJ13" s="1533" t="n">
        <v>0.55396227</v>
      </c>
      <c r="WK13" s="1533" t="n">
        <v>3.62302369</v>
      </c>
      <c r="WL13" s="1533" t="n">
        <v>3.62302369</v>
      </c>
      <c r="WM13" s="1533" t="n">
        <v>3.13752194</v>
      </c>
      <c r="WN13" s="1533" t="n">
        <v>3.13752194</v>
      </c>
      <c r="WO13" s="1533" t="n">
        <v>3.14093495</v>
      </c>
      <c r="WP13" s="1533" t="n">
        <v>2.60962546</v>
      </c>
      <c r="WQ13" s="1533" t="n">
        <v>2.60962546</v>
      </c>
      <c r="WR13" s="1533" t="n">
        <v>2.60962546</v>
      </c>
      <c r="WS13" s="1533" t="n">
        <v>2.26307435</v>
      </c>
      <c r="WT13" s="1533" t="n">
        <v>1.20600242</v>
      </c>
      <c r="WU13" s="1533" t="n">
        <v>1.20600242</v>
      </c>
      <c r="WV13" s="1533" t="n">
        <v>5.079077149999989</v>
      </c>
      <c r="WW13" s="1533" t="n">
        <v>5.08054413</v>
      </c>
      <c r="WX13" s="1533" t="n">
        <v>4.279590349999999</v>
      </c>
      <c r="WY13" s="1533" t="n">
        <v>4.27665835</v>
      </c>
      <c r="WZ13" s="1533" t="n">
        <v>4.290236429999999</v>
      </c>
      <c r="XA13" s="1533" t="n">
        <v>4.0629909</v>
      </c>
      <c r="XB13" s="1533" t="n">
        <v>4.0629909</v>
      </c>
      <c r="XC13" s="1533" t="n">
        <v>4.0629909</v>
      </c>
      <c r="XD13" s="1533" t="n">
        <v>4.0629909</v>
      </c>
      <c r="XE13" s="1533" t="n">
        <v>4.04987001</v>
      </c>
      <c r="XF13" s="1533" t="n">
        <v>3.53518147</v>
      </c>
      <c r="XG13" s="1533" t="n">
        <v>4.517263229999983</v>
      </c>
      <c r="XH13" s="1533" t="n">
        <v>4.56142351</v>
      </c>
      <c r="XI13" s="1533" t="n">
        <v>4.02512458</v>
      </c>
      <c r="XJ13" s="1533" t="n">
        <v>4.02512458</v>
      </c>
      <c r="XK13" s="1533" t="n">
        <v>4.02512458</v>
      </c>
      <c r="XL13" s="1533" t="n">
        <v>3.44355646</v>
      </c>
      <c r="XM13" s="1533" t="n">
        <v>3.44355646</v>
      </c>
      <c r="XN13" s="1533" t="n">
        <v>3.44355646</v>
      </c>
      <c r="XO13" s="1533" t="n">
        <v>3.08265514</v>
      </c>
      <c r="XP13" s="1533" t="n">
        <v>2.71004035</v>
      </c>
      <c r="XQ13" s="1533" t="n">
        <v>5.174848239999999</v>
      </c>
      <c r="XR13" s="1533" t="n">
        <v>5.17387824</v>
      </c>
      <c r="XS13" s="1533" t="n">
        <v>5.171778239999999</v>
      </c>
      <c r="XT13" s="1533" t="n">
        <v>4.91112555</v>
      </c>
      <c r="XU13" s="1533" t="n">
        <v>4.91112555</v>
      </c>
      <c r="XV13" s="1533" t="n">
        <v>4.91112555</v>
      </c>
      <c r="XW13" s="1533" t="n">
        <v>4.91112555</v>
      </c>
      <c r="XX13" s="1533" t="n">
        <v>4.91112555</v>
      </c>
      <c r="XY13" s="1533" t="n">
        <v>4.267886989999999</v>
      </c>
      <c r="XZ13" s="1533" t="n">
        <v>4.267886989999999</v>
      </c>
      <c r="YA13" s="1533" t="n">
        <v>3.91266215</v>
      </c>
      <c r="YB13" s="1533" t="n">
        <v>3.91246215</v>
      </c>
      <c r="YC13" s="1533" t="n">
        <v>4.97197328</v>
      </c>
      <c r="YD13" s="1533" t="n">
        <v>4.489396279999999</v>
      </c>
      <c r="YE13" s="1533" t="n">
        <v>4.489396279999999</v>
      </c>
      <c r="YF13" s="1533" t="n">
        <v>4.487296279999999</v>
      </c>
      <c r="YG13" s="1533" t="n">
        <v>4.29615159</v>
      </c>
      <c r="YH13" s="1533" t="n">
        <v>4.29495159</v>
      </c>
      <c r="YI13" s="1533" t="n">
        <v>4.29495159</v>
      </c>
      <c r="YJ13" s="1543" t="n">
        <v>4.29495159</v>
      </c>
    </row>
    <row r="14">
      <c r="B14" s="917" t="inlineStr">
        <is>
          <t>Agro-Sojuz</t>
        </is>
      </c>
      <c r="C14" s="1532" t="n">
        <v>1.36488655</v>
      </c>
      <c r="D14" s="1533" t="n">
        <v>1.36288655</v>
      </c>
      <c r="E14" s="1533" t="n">
        <v>1.35997604</v>
      </c>
      <c r="F14" s="1533" t="n">
        <v>1.35717319</v>
      </c>
      <c r="G14" s="1533" t="n">
        <v>1.35717319</v>
      </c>
      <c r="H14" s="1533" t="n">
        <v>1.35717319</v>
      </c>
      <c r="I14" s="1533" t="n">
        <v>1.35717319</v>
      </c>
      <c r="J14" s="1533" t="n">
        <v>1.12913816</v>
      </c>
      <c r="K14" s="1533" t="n">
        <v>1.12913816</v>
      </c>
      <c r="L14" s="1533" t="n">
        <v>1.12913816</v>
      </c>
      <c r="M14" s="1533" t="n">
        <v>1.12913816</v>
      </c>
      <c r="N14" s="1533" t="n">
        <v>1.08413016</v>
      </c>
      <c r="O14" s="1533" t="n">
        <v>1.08413016</v>
      </c>
      <c r="P14" s="1533" t="n">
        <v>1.08413016</v>
      </c>
      <c r="Q14" s="1533" t="n">
        <v>1.08413016</v>
      </c>
      <c r="R14" s="1533" t="n">
        <v>1.08063016</v>
      </c>
      <c r="S14" s="1533" t="n">
        <v>1.08063016</v>
      </c>
      <c r="T14" s="1533" t="n">
        <v>1.08063016</v>
      </c>
      <c r="U14" s="1533" t="n">
        <v>1.05860916</v>
      </c>
      <c r="V14" s="1533" t="n">
        <v>1.54616436</v>
      </c>
      <c r="W14" s="1533" t="n">
        <v>1.81210356</v>
      </c>
      <c r="X14" s="1533" t="n">
        <v>1.81236899</v>
      </c>
      <c r="Y14" s="1533" t="n">
        <v>1.81236899</v>
      </c>
      <c r="Z14" s="1533" t="n">
        <v>1.80836899</v>
      </c>
      <c r="AA14" s="1533" t="n">
        <v>1.80836899</v>
      </c>
      <c r="AB14" s="1533" t="n">
        <v>1.6220003</v>
      </c>
      <c r="AC14" s="1533" t="n">
        <v>1.6220003</v>
      </c>
      <c r="AD14" s="1533" t="n">
        <v>1.6220003</v>
      </c>
      <c r="AE14" s="1533" t="n">
        <v>1.6220003</v>
      </c>
      <c r="AF14" s="1533" t="n">
        <v>1.6214003</v>
      </c>
      <c r="AG14" s="1533" t="n">
        <v>1.5041083</v>
      </c>
      <c r="AH14" s="1533" t="n">
        <v>1.5041083</v>
      </c>
      <c r="AI14" s="1533" t="n">
        <v>1.5041083</v>
      </c>
      <c r="AJ14" s="1533" t="n">
        <v>1.5041083</v>
      </c>
      <c r="AK14" s="1533" t="n">
        <v>1.5041083</v>
      </c>
      <c r="AL14" s="1533" t="n">
        <v>1.60409231</v>
      </c>
      <c r="AM14" s="1533" t="n">
        <v>1.60208731</v>
      </c>
      <c r="AN14" s="1533" t="n">
        <v>1.60208731</v>
      </c>
      <c r="AO14" s="1533" t="n">
        <v>1.60208731</v>
      </c>
      <c r="AP14" s="1533" t="n">
        <v>1.60208731</v>
      </c>
      <c r="AQ14" s="1533" t="n">
        <v>2.05439867</v>
      </c>
      <c r="AR14" s="1533" t="n">
        <v>2.05239867</v>
      </c>
      <c r="AS14" s="1533" t="n">
        <v>2.05239867</v>
      </c>
      <c r="AT14" s="1533" t="n">
        <v>2.04789867</v>
      </c>
      <c r="AU14" s="1533" t="n">
        <v>2.04789867</v>
      </c>
      <c r="AV14" s="1533" t="n">
        <v>2.25104535</v>
      </c>
      <c r="AW14" s="1533">
        <f>2.73860055+268.3281</f>
        <v/>
      </c>
      <c r="AX14" s="1533">
        <f>2.73860055+268.3281</f>
        <v/>
      </c>
      <c r="AY14" s="1533">
        <f>2.5286202+268.3281</f>
        <v/>
      </c>
      <c r="AZ14" s="1533">
        <f>2.5286202+268.3281</f>
        <v/>
      </c>
      <c r="BA14" s="1533">
        <f>2.5286202+268.3281</f>
        <v/>
      </c>
      <c r="BB14" s="1533" t="n">
        <v>270.8567202</v>
      </c>
      <c r="BC14" s="1533">
        <f>2.5286202+268.3281</f>
        <v/>
      </c>
      <c r="BD14" s="1533">
        <f>2.5286202+268.3281</f>
        <v/>
      </c>
      <c r="BE14" s="1533" t="n">
        <v>4.11315335</v>
      </c>
      <c r="BF14" s="1533" t="n">
        <v>3.03882816</v>
      </c>
      <c r="BG14" s="1533" t="n">
        <v>198.56880166</v>
      </c>
      <c r="BH14" s="1533" t="n">
        <v>3.03740666</v>
      </c>
      <c r="BI14" s="1533" t="n">
        <v>3.03740666</v>
      </c>
      <c r="BJ14" s="1533" t="n">
        <v>3.03740666</v>
      </c>
      <c r="BK14" s="1533" t="n">
        <v>3.08884155</v>
      </c>
      <c r="BL14" s="1533" t="n">
        <v>3.36604798</v>
      </c>
      <c r="BM14" s="1533" t="n">
        <v>3.36404798</v>
      </c>
      <c r="BN14" s="1533" t="n">
        <v>3.30274798</v>
      </c>
      <c r="BO14" s="1533" t="n">
        <v>3.30274798</v>
      </c>
      <c r="BP14" s="1533" t="n">
        <v>3.30106098</v>
      </c>
      <c r="BQ14" s="1533" t="n">
        <v>3.30106098</v>
      </c>
      <c r="BR14" s="1533" t="n">
        <v>3.15469336</v>
      </c>
      <c r="BS14" s="1533" t="n">
        <v>3.15469336</v>
      </c>
      <c r="BT14" s="1533" t="n">
        <v>3.14866202</v>
      </c>
      <c r="BU14" s="1533" t="n">
        <v>3.14866202</v>
      </c>
      <c r="BV14" s="1533" t="n">
        <v>3.14866202</v>
      </c>
      <c r="BW14" s="1533" t="n">
        <v>3.14866202</v>
      </c>
      <c r="BX14" s="1533" t="n">
        <v>3.14866202</v>
      </c>
      <c r="BY14" s="1533" t="n">
        <v>3.03347002</v>
      </c>
      <c r="BZ14" s="1533" t="n">
        <v>3.03347002</v>
      </c>
      <c r="CA14" s="1533" t="n">
        <v>3.03347002</v>
      </c>
      <c r="CB14" s="1533" t="n">
        <v>3.03347002</v>
      </c>
      <c r="CC14" s="1533" t="n">
        <v>3.03144902</v>
      </c>
      <c r="CD14" s="1533" t="n">
        <v>3.03144902</v>
      </c>
      <c r="CE14" s="1533" t="n">
        <v>3.03144902</v>
      </c>
      <c r="CF14" s="1533" t="n">
        <v>3.03144902</v>
      </c>
      <c r="CG14" s="1533" t="n">
        <v>3.03144902</v>
      </c>
      <c r="CH14" s="1533" t="n">
        <v>3.02144902</v>
      </c>
      <c r="CI14" s="1533" t="n">
        <v>2.96691102</v>
      </c>
      <c r="CJ14" s="1533" t="n">
        <v>2.96691102</v>
      </c>
      <c r="CK14" s="1533" t="n">
        <v>2.96691102</v>
      </c>
      <c r="CL14" s="1533">
        <f>0.73595879+220</f>
        <v/>
      </c>
      <c r="CM14" s="1533">
        <f>0.73595879+220</f>
        <v/>
      </c>
      <c r="CN14" s="1533">
        <f>0.73595879+220</f>
        <v/>
      </c>
      <c r="CO14" s="1533">
        <f>0.57569408+220</f>
        <v/>
      </c>
      <c r="CP14" s="1533">
        <f>0.57569408+220</f>
        <v/>
      </c>
      <c r="CQ14" s="1533">
        <f>201.20248431+220</f>
        <v/>
      </c>
      <c r="CR14" s="1533">
        <f>1.18407353+420.5</f>
        <v/>
      </c>
      <c r="CS14" s="1533">
        <f>1.1764445+420.5</f>
        <v/>
      </c>
      <c r="CT14" s="1533">
        <f>1.0588445+420.5</f>
        <v/>
      </c>
      <c r="CU14" s="1533">
        <f>1.0588445+420.5</f>
        <v/>
      </c>
      <c r="CV14" s="1533">
        <f>1.0588445+420.5</f>
        <v/>
      </c>
      <c r="CW14" s="1533">
        <f>1.25275724+420.5</f>
        <v/>
      </c>
      <c r="CX14" s="1533">
        <f>1.25275724+420.5</f>
        <v/>
      </c>
      <c r="CY14" s="1533">
        <f>3.38300933+330+90</f>
        <v/>
      </c>
      <c r="CZ14" s="1533" t="n">
        <v>423.38300933</v>
      </c>
      <c r="DA14" s="1533">
        <f>3.38300933+330+90</f>
        <v/>
      </c>
      <c r="DB14" s="1533">
        <f>3.38300933+330+90</f>
        <v/>
      </c>
      <c r="DC14" s="1533">
        <f>3.38300933+330+90</f>
        <v/>
      </c>
      <c r="DD14" s="1533">
        <f>3.38300933+330+90</f>
        <v/>
      </c>
      <c r="DE14" s="1533">
        <f>3.38100933+330+90</f>
        <v/>
      </c>
      <c r="DF14" s="1533">
        <f>3.38100933+330+90</f>
        <v/>
      </c>
      <c r="DG14" s="1533">
        <f>3.35100933+330+90</f>
        <v/>
      </c>
      <c r="DH14" s="1533">
        <f>3.35100933+330+90</f>
        <v/>
      </c>
      <c r="DI14" s="1533">
        <f>3.35100933+330+90</f>
        <v/>
      </c>
      <c r="DJ14" s="1533">
        <f>3.35100933+330+90</f>
        <v/>
      </c>
      <c r="DK14" s="1533">
        <f>3.20239029+330+90</f>
        <v/>
      </c>
      <c r="DL14" s="1533">
        <f>3.21006132+330+90</f>
        <v/>
      </c>
      <c r="DM14" s="1533">
        <f>3.21006132+330+90</f>
        <v/>
      </c>
      <c r="DN14" s="1533">
        <f>3.21006132+330+90</f>
        <v/>
      </c>
      <c r="DO14" s="1533">
        <f>2.65161853+330+90</f>
        <v/>
      </c>
      <c r="DP14" s="1533">
        <f>2.65161853+330+90</f>
        <v/>
      </c>
      <c r="DQ14" s="1533">
        <f>2.65161853+330+90</f>
        <v/>
      </c>
      <c r="DR14" s="1533" t="n">
        <v>422.65161853</v>
      </c>
      <c r="DS14" s="1533" t="n">
        <v>422.65161853</v>
      </c>
      <c r="DT14" s="1533">
        <f>5.24220614</f>
        <v/>
      </c>
      <c r="DU14" s="1533" t="n">
        <v>5.12601314</v>
      </c>
      <c r="DV14" s="1533" t="n">
        <v>5.12601314</v>
      </c>
      <c r="DW14" s="1533" t="n">
        <v>5.12601314</v>
      </c>
      <c r="DX14" s="1533" t="n">
        <v>5.64681074</v>
      </c>
      <c r="DY14" s="1533" t="n">
        <v>7.28676914</v>
      </c>
      <c r="DZ14" s="1533" t="n">
        <v>7.28676914</v>
      </c>
      <c r="EA14" s="1533" t="n">
        <v>7.28476914</v>
      </c>
      <c r="EB14" s="1533" t="n">
        <v>7.25476914</v>
      </c>
      <c r="EC14" s="1533" t="n">
        <v>7.16011926</v>
      </c>
      <c r="ED14" s="1533" t="n">
        <v>7.16011926</v>
      </c>
      <c r="EE14" s="1533" t="n">
        <v>7.16011926</v>
      </c>
      <c r="EF14" s="1533" t="n">
        <v>7.00685359</v>
      </c>
      <c r="EG14" s="1533" t="n">
        <v>7.00685359</v>
      </c>
      <c r="EH14" s="1533" t="n">
        <v>7.00685359</v>
      </c>
      <c r="EI14" s="1533" t="n">
        <v>7.00685359</v>
      </c>
      <c r="EJ14" s="1533" t="n">
        <v>7.00685359</v>
      </c>
      <c r="EK14" s="1533" t="n">
        <v>7.00685359</v>
      </c>
      <c r="EL14" s="1533" t="n">
        <v>7.00685359</v>
      </c>
      <c r="EM14" s="1533" t="n">
        <v>7.00685359</v>
      </c>
      <c r="EN14" s="1533" t="n">
        <v>9.85503302</v>
      </c>
      <c r="EO14" s="1533" t="n">
        <v>9.99819652</v>
      </c>
      <c r="EP14" s="1533" t="n">
        <v>9.99819652</v>
      </c>
      <c r="EQ14" s="1533" t="n">
        <v>9.99819652</v>
      </c>
      <c r="ER14" s="1533" t="n">
        <v>9.99819652</v>
      </c>
      <c r="ES14" s="1533" t="n">
        <v>9.99819652</v>
      </c>
      <c r="ET14" s="1533" t="n">
        <v>9.99819652</v>
      </c>
      <c r="EU14" s="1533" t="n">
        <v>9.877354520000001</v>
      </c>
      <c r="EV14" s="1533" t="n">
        <v>9.87535452</v>
      </c>
      <c r="EW14" s="1533" t="n">
        <v>9.87535452</v>
      </c>
      <c r="EX14" s="1533" t="n">
        <v>9.87535452</v>
      </c>
      <c r="EY14" s="1533" t="n">
        <v>9.87535452</v>
      </c>
      <c r="EZ14" s="1533" t="n">
        <v>9.87535452</v>
      </c>
      <c r="FA14" s="1533" t="n">
        <v>9.87535452</v>
      </c>
      <c r="FB14" s="1533" t="n">
        <v>10</v>
      </c>
      <c r="FC14" s="1533" t="n">
        <v>9.70342357</v>
      </c>
      <c r="FD14" s="1533" t="n">
        <v>9.70342357</v>
      </c>
      <c r="FE14" s="1533" t="n">
        <v>9.70342357</v>
      </c>
      <c r="FF14" s="1533" t="n">
        <v>9.70342357</v>
      </c>
      <c r="FG14" s="1533" t="n">
        <v>9.70342357</v>
      </c>
      <c r="FH14" s="1533" t="n">
        <v>10</v>
      </c>
      <c r="FI14" s="1533" t="n">
        <v>9.615423570000001</v>
      </c>
      <c r="FJ14" s="1533" t="n">
        <v>9.615423570000001</v>
      </c>
      <c r="FK14" s="1533" t="n">
        <v>9.615423570000001</v>
      </c>
      <c r="FL14" s="1533" t="n">
        <v>9.900944819999999</v>
      </c>
      <c r="FM14" s="1533" t="n">
        <v>10</v>
      </c>
      <c r="FN14" s="1533" t="n">
        <v>9.900944819999999</v>
      </c>
      <c r="FO14" s="1533">
        <f>0.28010282+9.5</f>
        <v/>
      </c>
      <c r="FP14" s="1533">
        <f>0.28010282+9.5</f>
        <v/>
      </c>
      <c r="FQ14" s="1533">
        <f>0.28010282+9.5</f>
        <v/>
      </c>
      <c r="FR14" s="1533" t="n">
        <v>9.74810282</v>
      </c>
      <c r="FS14" s="1533" t="n">
        <v>9.74810282</v>
      </c>
      <c r="FT14" s="1533">
        <f>0.12352932+9.5</f>
        <v/>
      </c>
      <c r="FU14" s="1533">
        <f>0.12352932+9.5</f>
        <v/>
      </c>
      <c r="FV14" s="1533">
        <f>0.36730692+9.5</f>
        <v/>
      </c>
      <c r="FW14" s="1533">
        <f>0.34186692+9.5</f>
        <v/>
      </c>
      <c r="FX14" s="1533">
        <f>0.34186692+9.5</f>
        <v/>
      </c>
      <c r="FY14" s="1533" t="n">
        <v>10</v>
      </c>
      <c r="FZ14" s="1533">
        <f>0.33482992+9.5</f>
        <v/>
      </c>
      <c r="GA14" s="1533">
        <f>0.34182992+9.5</f>
        <v/>
      </c>
      <c r="GB14" s="1533">
        <f>0.34182992+9.5</f>
        <v/>
      </c>
      <c r="GC14" s="1533">
        <f>0.34182992+9.5</f>
        <v/>
      </c>
      <c r="GD14" s="1533">
        <f>1150.24865323+9.5</f>
        <v/>
      </c>
      <c r="GE14" s="1533">
        <f>1150.24865323+9.5</f>
        <v/>
      </c>
      <c r="GF14" s="1533">
        <f>827.5052191</f>
        <v/>
      </c>
      <c r="GG14" s="1533">
        <f>13.87274702</f>
        <v/>
      </c>
      <c r="GH14" s="1533">
        <f>13.87922357</f>
        <v/>
      </c>
      <c r="GI14" s="1533" t="n">
        <v>13.73409385</v>
      </c>
      <c r="GJ14" s="1533" t="n">
        <v>13.73409385</v>
      </c>
      <c r="GK14" s="1533" t="n">
        <v>13.74701658</v>
      </c>
      <c r="GL14" s="1533" t="n">
        <v>13.74701658</v>
      </c>
      <c r="GM14" s="1533" t="n">
        <v>13.74701658</v>
      </c>
      <c r="GN14" s="1533" t="n">
        <v>13.70108616</v>
      </c>
      <c r="GO14" s="1533" t="n">
        <v>13.70108616</v>
      </c>
      <c r="GP14" s="1533" t="n">
        <v>22.92003249</v>
      </c>
      <c r="GQ14" s="1533" t="n">
        <v>22.90384735</v>
      </c>
      <c r="GR14" s="1533" t="n">
        <v>22.90623877</v>
      </c>
      <c r="GS14" s="1533" t="n">
        <v>22.90862288</v>
      </c>
      <c r="GT14" s="1533" t="n">
        <v>22.918198</v>
      </c>
      <c r="GU14" s="1533" t="n">
        <v>0.01090334</v>
      </c>
      <c r="GV14" s="1533" t="n">
        <v>22.77141577</v>
      </c>
      <c r="GW14" s="1533" t="n">
        <v>22.77141577</v>
      </c>
      <c r="GX14" s="1533" t="n">
        <v>22.76</v>
      </c>
      <c r="GY14" s="1533" t="n">
        <v>22.77132604</v>
      </c>
      <c r="GZ14" s="1533" t="n">
        <v>22.7842504</v>
      </c>
      <c r="HA14" s="1533" t="n">
        <v>22.79060794</v>
      </c>
      <c r="HB14" s="1533" t="n">
        <v>22.79372438</v>
      </c>
      <c r="HC14" s="1533" t="n">
        <v>22.58227671</v>
      </c>
      <c r="HD14" s="1533" t="n">
        <v>0.84733196</v>
      </c>
      <c r="HE14" s="1533" t="n">
        <v>0.84733196</v>
      </c>
      <c r="HF14" s="1533" t="n">
        <v>0.84733196</v>
      </c>
      <c r="HG14" s="1533" t="n">
        <v>0.81523196</v>
      </c>
      <c r="HH14" s="1533" t="n">
        <v>0.81523196</v>
      </c>
      <c r="HI14" s="1533" t="n">
        <v>200.74616104</v>
      </c>
      <c r="HJ14" s="1533" t="n">
        <v>200.74616104</v>
      </c>
      <c r="HK14" s="1533" t="n">
        <v>200.74616104</v>
      </c>
      <c r="HL14" s="1533" t="n">
        <v>200.74616104</v>
      </c>
      <c r="HM14" s="1533" t="n">
        <v>200.74616104</v>
      </c>
      <c r="HN14" s="1533" t="n">
        <v>200.74345304</v>
      </c>
      <c r="HO14" s="1533" t="n">
        <v>200.65914789</v>
      </c>
      <c r="HP14" s="1533" t="n">
        <v>200.65914789</v>
      </c>
      <c r="HQ14" s="1533" t="n">
        <v>2.30561123</v>
      </c>
      <c r="HR14" s="1533" t="n">
        <v>2.30561123</v>
      </c>
      <c r="HS14" s="1533" t="n">
        <v>2.21570062</v>
      </c>
      <c r="HT14" s="1544" t="n">
        <v>2.21570062</v>
      </c>
      <c r="HU14" s="1544" t="n">
        <v>2.21570062</v>
      </c>
      <c r="HV14" s="1544" t="n">
        <v>2.21570062</v>
      </c>
      <c r="HW14" s="1544" t="n">
        <v>2.21570062</v>
      </c>
      <c r="HX14" s="1544" t="n">
        <v>2.18360062</v>
      </c>
      <c r="HY14" s="1544" t="n">
        <v>2.18360062</v>
      </c>
      <c r="HZ14" s="1544" t="n">
        <v>2.07563576</v>
      </c>
      <c r="IA14" s="1544" t="n">
        <v>2.03062776</v>
      </c>
      <c r="IB14" s="1544" t="n">
        <v>2.03062776</v>
      </c>
      <c r="IC14" s="1544" t="n">
        <v>2.03062776</v>
      </c>
      <c r="ID14" s="1544" t="n">
        <v>2.03062776</v>
      </c>
      <c r="IE14" s="1544" t="n">
        <v>2.03062776</v>
      </c>
      <c r="IF14" s="1544" t="n">
        <v>2.03062776</v>
      </c>
      <c r="IG14" s="1544" t="n">
        <v>2.03062776</v>
      </c>
      <c r="IH14" s="1544" t="n">
        <v>2.03062776</v>
      </c>
      <c r="II14" s="1544" t="n">
        <v>2.03062776</v>
      </c>
      <c r="IJ14" s="1544" t="n">
        <v>2.03062776</v>
      </c>
      <c r="IK14" s="1544" t="n">
        <v>1.93405876</v>
      </c>
      <c r="IL14" s="1544" t="n">
        <v>1.93405876</v>
      </c>
      <c r="IM14" s="1544" t="n">
        <v>1.93405876</v>
      </c>
      <c r="IN14" s="1544" t="n">
        <v>1.93413175</v>
      </c>
      <c r="IO14" s="1544" t="n">
        <v>1.83733175</v>
      </c>
      <c r="IP14" s="1544" t="n">
        <v>1.83733175</v>
      </c>
      <c r="IQ14" s="1544" t="n">
        <v>1.83523175</v>
      </c>
      <c r="IR14" s="1544" t="n">
        <v>1.83523175</v>
      </c>
      <c r="IS14" s="1544" t="n">
        <v>1.83523175</v>
      </c>
      <c r="IT14" s="1544" t="n">
        <v>1.73909575</v>
      </c>
      <c r="IU14" s="1544" t="n">
        <v>1.70909575</v>
      </c>
      <c r="IV14" s="1544" t="n">
        <v>1.70909575</v>
      </c>
      <c r="IW14" s="1544" t="n">
        <v>1.70865575</v>
      </c>
      <c r="IX14" s="1544" t="n">
        <v>1.70865575</v>
      </c>
      <c r="IY14" s="1544" t="n">
        <v>1.70865575</v>
      </c>
      <c r="IZ14" s="1544" t="n">
        <v>1.70865575</v>
      </c>
      <c r="JA14" s="1544" t="n">
        <v>1.63579425</v>
      </c>
      <c r="JB14" s="1544" t="n">
        <v>1.63579425</v>
      </c>
      <c r="JC14" s="1544" t="n">
        <v>1.40341575</v>
      </c>
      <c r="JD14" s="1544" t="n">
        <v>1.40341575</v>
      </c>
      <c r="JE14" s="1544" t="n">
        <v>1.40341575</v>
      </c>
      <c r="JF14" s="1544" t="n">
        <v>1.40341575</v>
      </c>
      <c r="JG14" s="1544" t="n">
        <v>1.30212475</v>
      </c>
      <c r="JH14" s="1544" t="n">
        <v>1.30212475</v>
      </c>
      <c r="JI14" s="1544" t="n">
        <v>1.30212475</v>
      </c>
      <c r="JJ14" s="1544" t="n">
        <v>1.28678775</v>
      </c>
      <c r="JK14" s="1544" t="n">
        <v>1.25678775</v>
      </c>
      <c r="JL14" s="1544" t="n">
        <v>1.25678775</v>
      </c>
      <c r="JM14" s="1544" t="n">
        <v>1.14081704</v>
      </c>
      <c r="JN14" s="1544" t="n">
        <v>1.14081704</v>
      </c>
      <c r="JO14" s="1544" t="n">
        <v>1.14081704</v>
      </c>
      <c r="JP14" s="1544" t="n">
        <v>4.9145055</v>
      </c>
      <c r="JQ14" s="1544" t="n">
        <v>4.9145055</v>
      </c>
      <c r="JR14" s="1544" t="n">
        <v>4.9145055</v>
      </c>
      <c r="JS14" s="1544" t="n">
        <v>4.9145055</v>
      </c>
      <c r="JT14" s="1544" t="n">
        <v>4.9145055</v>
      </c>
      <c r="JU14" s="1544" t="n">
        <v>4.9145055</v>
      </c>
      <c r="JV14" s="1544" t="n">
        <v>4.9145055</v>
      </c>
      <c r="JW14" s="1544" t="n">
        <v>4.818349690000001</v>
      </c>
      <c r="JX14" s="1544" t="n">
        <v>4.818349690000001</v>
      </c>
      <c r="JY14" s="1544" t="n">
        <v>4.818349690000001</v>
      </c>
      <c r="JZ14" s="1544" t="n">
        <v>4.818349690000001</v>
      </c>
      <c r="KA14" s="1544" t="n">
        <v>4.81834969</v>
      </c>
      <c r="KB14" s="1544" t="n">
        <v>4.81834969</v>
      </c>
      <c r="KC14" s="1544" t="n">
        <v>4.69890841</v>
      </c>
      <c r="KD14" s="1544" t="n">
        <v>5.06465383</v>
      </c>
      <c r="KE14" s="1544" t="n">
        <v>5.06465383</v>
      </c>
      <c r="KF14" s="1544" t="n">
        <v>1.25678775</v>
      </c>
      <c r="KG14" s="1544" t="n">
        <v>705.03255383</v>
      </c>
      <c r="KH14" s="1544" t="n">
        <v>705.03255383</v>
      </c>
      <c r="KI14" s="1544" t="n">
        <v>704.9355646400001</v>
      </c>
      <c r="KJ14" s="1544" t="n">
        <v>704.9355646400001</v>
      </c>
      <c r="KK14" s="1544" t="n">
        <v>704.89948594</v>
      </c>
      <c r="KL14" s="1544" t="n">
        <v>704.89948594</v>
      </c>
      <c r="KM14" s="1544" t="n">
        <v>704.89948594</v>
      </c>
      <c r="KN14" s="1544" t="n">
        <v>704.89948594</v>
      </c>
      <c r="KO14" s="1544" t="n">
        <v>704.89868594</v>
      </c>
      <c r="KP14" s="1544" t="n">
        <v>704.91488758</v>
      </c>
      <c r="KQ14" s="1544" t="n">
        <v>704.91488758</v>
      </c>
      <c r="KR14" s="1544" t="n">
        <v>704.91488758</v>
      </c>
      <c r="KS14" s="1544" t="n">
        <v>704.8480221</v>
      </c>
      <c r="KT14" s="1544" t="n">
        <v>704.8480221</v>
      </c>
      <c r="KU14" s="1544" t="n">
        <v>705.22261926</v>
      </c>
      <c r="KV14" s="1544" t="n">
        <v>705.12698826</v>
      </c>
      <c r="KW14" s="1544" t="n">
        <v>705.12488826</v>
      </c>
      <c r="KX14" s="1544" t="n">
        <v>705.0948882599999</v>
      </c>
      <c r="KY14" s="1544" t="n">
        <v>705.0948882599999</v>
      </c>
      <c r="KZ14" s="1544" t="n">
        <v>705.0097009900001</v>
      </c>
      <c r="LA14" s="1544" t="n">
        <v>705.0097009900001</v>
      </c>
      <c r="LB14" s="1544" t="n">
        <v>705.0097009900001</v>
      </c>
      <c r="LC14" s="1544" t="n">
        <v>705.0097009900001</v>
      </c>
      <c r="LD14" s="1544" t="n">
        <v>705.0097009900001</v>
      </c>
      <c r="LE14" s="1544" t="n">
        <v>705.0097009900001</v>
      </c>
      <c r="LF14" s="1544" t="n">
        <v>705.0097009900001</v>
      </c>
      <c r="LG14" s="1544" t="n">
        <v>705.0097009900001</v>
      </c>
      <c r="LH14" s="1544" t="n">
        <v>705.0097009900001</v>
      </c>
      <c r="LI14" s="1544" t="n">
        <v>704.9265546</v>
      </c>
      <c r="LJ14" s="1544" t="n">
        <v>704.9265546</v>
      </c>
      <c r="LK14" s="1544" t="n">
        <v>704.9265546</v>
      </c>
      <c r="LL14" s="1544" t="n">
        <v>798.9265546</v>
      </c>
      <c r="LM14" s="1544" t="n">
        <v>798.9265546</v>
      </c>
      <c r="LN14" s="1544" t="n">
        <v>716.95554506</v>
      </c>
      <c r="LO14" s="1544" t="n">
        <v>716.95554506</v>
      </c>
      <c r="LP14" s="1544" t="n">
        <v>716.95554506</v>
      </c>
      <c r="LQ14" s="1544" t="n">
        <v>716.8783963</v>
      </c>
      <c r="LR14" s="1544" t="n">
        <v>716.8783963</v>
      </c>
      <c r="LS14" s="1544" t="n">
        <v>716.8783963</v>
      </c>
      <c r="LT14" s="1544" t="n">
        <v>716.8462962999999</v>
      </c>
      <c r="LU14" s="1544" t="n">
        <v>716.8462962999999</v>
      </c>
      <c r="LV14" s="1544" t="n">
        <v>716.77779571</v>
      </c>
      <c r="LW14" s="1544" t="n">
        <v>716.77779571</v>
      </c>
      <c r="LX14" s="1544" t="n">
        <v>716.77779571</v>
      </c>
      <c r="LY14" s="1544" t="n">
        <v>716.77779571</v>
      </c>
      <c r="LZ14" s="1544" t="n">
        <v>716.77779571</v>
      </c>
      <c r="MA14" s="1544" t="n">
        <v>716.77779571</v>
      </c>
      <c r="MB14" s="1544" t="n">
        <v>716.77779571</v>
      </c>
      <c r="MC14" s="1544" t="n">
        <v>716.77779571</v>
      </c>
      <c r="MD14" s="1544" t="n">
        <v>16.77779571</v>
      </c>
      <c r="ME14" s="1544" t="n">
        <v>16.77779571</v>
      </c>
      <c r="MF14" s="1544" t="n">
        <v>16.77779571</v>
      </c>
      <c r="MG14" s="1544" t="n">
        <v>16.77779571</v>
      </c>
      <c r="MH14" s="1544" t="n">
        <v>26.74779758</v>
      </c>
      <c r="MI14" s="1544" t="n">
        <v>26.74779758</v>
      </c>
      <c r="MJ14" s="1544" t="n">
        <v>26.74779758</v>
      </c>
      <c r="MK14" s="1544" t="n">
        <v>26.74779758</v>
      </c>
      <c r="ML14" s="1544" t="n">
        <v>26.74779758</v>
      </c>
      <c r="MM14" s="1544" t="n">
        <v>26.74779758</v>
      </c>
      <c r="MN14" s="1544" t="n">
        <v>26.74779758</v>
      </c>
      <c r="MO14" s="1544" t="n">
        <v>26.74779758</v>
      </c>
      <c r="MP14" s="1544" t="n">
        <v>26.74779758</v>
      </c>
      <c r="MQ14" s="1544" t="n">
        <v>13.56381378</v>
      </c>
      <c r="MR14" s="1544" t="n">
        <v>13.56381378</v>
      </c>
      <c r="MS14" s="1544" t="n">
        <v>13.45616561</v>
      </c>
      <c r="MT14" s="1544" t="n">
        <v>13.45572561</v>
      </c>
      <c r="MU14" s="1544" t="n">
        <v>13.45572561</v>
      </c>
      <c r="MV14" s="1544" t="n">
        <v>13.45572561</v>
      </c>
      <c r="MW14" s="1544" t="n">
        <v>13.45572561</v>
      </c>
      <c r="MX14" s="1544" t="n">
        <v>13.45572561</v>
      </c>
      <c r="MY14" s="1544" t="n">
        <v>13.45572561</v>
      </c>
      <c r="MZ14" s="1544" t="n">
        <v>13.45572561</v>
      </c>
      <c r="NA14" s="1544" t="n">
        <v>13.45572561</v>
      </c>
      <c r="NB14" s="1544" t="n">
        <v>13.45572561</v>
      </c>
      <c r="NC14" s="1544" t="n">
        <v>13.45572561</v>
      </c>
      <c r="ND14" s="1544" t="n">
        <v>13.45572561</v>
      </c>
      <c r="NE14" s="1544" t="n">
        <v>13.45572561</v>
      </c>
      <c r="NF14" s="1544" t="n">
        <v>2.37856317</v>
      </c>
      <c r="NG14" s="1544" t="n">
        <v>2.37856317</v>
      </c>
      <c r="NH14" s="1544" t="n">
        <v>2.37855517</v>
      </c>
      <c r="NI14" s="1544" t="n">
        <v>2.37855517</v>
      </c>
      <c r="NJ14" s="1544" t="n">
        <v>2.37855517</v>
      </c>
      <c r="NK14" s="1544" t="n">
        <v>2.34645517</v>
      </c>
      <c r="NL14" s="1544" t="n">
        <v>2.34645517</v>
      </c>
      <c r="NM14" s="1544" t="n">
        <v>2.23543736</v>
      </c>
      <c r="NN14" s="1544" t="n">
        <v>2.23543736</v>
      </c>
      <c r="NO14" s="1544" t="n">
        <v>2.23543736</v>
      </c>
      <c r="NP14" s="1544" t="n">
        <v>2.23543736</v>
      </c>
      <c r="NQ14" s="1544" t="n">
        <v>2.23543736</v>
      </c>
      <c r="NR14" s="1544" t="n">
        <v>2.24066476</v>
      </c>
      <c r="NS14" s="1544" t="n">
        <v>2.24066476</v>
      </c>
      <c r="NT14" s="1544" t="n">
        <v>2.24066476</v>
      </c>
      <c r="NU14" s="1544" t="n">
        <v>2.24066476</v>
      </c>
      <c r="NV14" s="1544" t="n">
        <v>2.15271368</v>
      </c>
      <c r="NW14" s="1544" t="n">
        <v>2.15271368</v>
      </c>
      <c r="NX14" s="1544" t="n">
        <v>2.15271368</v>
      </c>
      <c r="NY14" s="1544" t="n">
        <v>94.05065103</v>
      </c>
      <c r="NZ14" s="1544" t="n">
        <v>2.10952156</v>
      </c>
      <c r="OA14" s="1544" t="n">
        <v>2.10952156</v>
      </c>
      <c r="OB14" s="1544" t="n">
        <v>2.10952156</v>
      </c>
      <c r="OC14" s="1544" t="n">
        <v>2.03166759</v>
      </c>
      <c r="OD14" s="1544" t="n">
        <v>2.03166759</v>
      </c>
      <c r="OE14" s="1544" t="n">
        <v>2.03166759</v>
      </c>
      <c r="OF14" s="1544" t="n">
        <v>2.03166759</v>
      </c>
      <c r="OG14" s="1544" t="n">
        <v>1.99956759</v>
      </c>
      <c r="OH14" s="1544" t="n">
        <v>1.99956759</v>
      </c>
      <c r="OI14" s="1544" t="n">
        <v>705.0097009900001</v>
      </c>
      <c r="OJ14" s="1544" t="n">
        <v>1.90319417</v>
      </c>
      <c r="OK14" s="1544" t="n">
        <v>1.90319417</v>
      </c>
      <c r="OL14" s="1544" t="n">
        <v>1.90914091</v>
      </c>
      <c r="OM14" s="1544" t="n">
        <v>1.90914091</v>
      </c>
      <c r="ON14" s="1544" t="n">
        <v>1.90914091</v>
      </c>
      <c r="OO14" s="1544" t="n">
        <v>1.82651721</v>
      </c>
      <c r="OP14" s="1544" t="n">
        <v>1.82651721</v>
      </c>
      <c r="OQ14" s="1544" t="n">
        <v>1.82651721</v>
      </c>
      <c r="OR14" s="1544" t="n">
        <v>1.82651721</v>
      </c>
      <c r="OS14" s="1544" t="n">
        <v>1.73389679</v>
      </c>
      <c r="OT14" s="1544" t="n">
        <v>53.35287832</v>
      </c>
      <c r="OU14" s="1544" t="n">
        <v>53.35287832</v>
      </c>
      <c r="OV14" s="1544" t="n">
        <v>53.35287832</v>
      </c>
      <c r="OW14" s="1544" t="n">
        <v>53.29924302000001</v>
      </c>
      <c r="OX14" s="1544" t="n">
        <v>53.29924302000001</v>
      </c>
      <c r="OY14" s="1544" t="n">
        <v>54.05006032</v>
      </c>
      <c r="OZ14" s="1544" t="n">
        <v>54.05006032</v>
      </c>
      <c r="PA14" s="1544" t="n">
        <v>54.05006032</v>
      </c>
      <c r="PB14" s="1544" t="n">
        <v>24.27595886</v>
      </c>
      <c r="PC14" s="1544" t="n">
        <v>24.27595886</v>
      </c>
      <c r="PD14" s="1544" t="n">
        <v>24.27595886</v>
      </c>
      <c r="PE14" s="1544" t="n">
        <v>24.30797439</v>
      </c>
      <c r="PF14" s="1544" t="n">
        <v>24.32265261</v>
      </c>
      <c r="PG14" s="1544" t="n">
        <v>24.32265261</v>
      </c>
      <c r="PH14" s="1544" t="n">
        <v>24.32265261</v>
      </c>
      <c r="PI14" s="1544" t="n">
        <v>24.30621024</v>
      </c>
      <c r="PJ14" s="1544" t="n">
        <v>24.31457445</v>
      </c>
      <c r="PK14" s="1544" t="n">
        <v>24.31457445</v>
      </c>
      <c r="PL14" s="1544" t="n">
        <v>24.31457445</v>
      </c>
      <c r="PM14" s="1544" t="n">
        <v>24.31457445</v>
      </c>
      <c r="PN14" s="1544" t="n">
        <v>0.88608221</v>
      </c>
      <c r="PO14" s="1544" t="n">
        <v>0.88608221</v>
      </c>
      <c r="PP14" s="1544" t="n">
        <v>0.88608221</v>
      </c>
      <c r="PQ14" s="1544" t="n">
        <v>0.88608221</v>
      </c>
      <c r="PR14" s="1544" t="n">
        <v>0.88608221</v>
      </c>
      <c r="PS14" s="1544" t="n">
        <v>0.85398221</v>
      </c>
      <c r="PT14" s="1544" t="n">
        <v>0.85398221</v>
      </c>
      <c r="PU14" s="1544" t="n">
        <v>0.70883428</v>
      </c>
      <c r="PV14" s="1544" t="n">
        <v>0.70883428</v>
      </c>
      <c r="PW14" s="1544" t="n">
        <v>0.70883428</v>
      </c>
      <c r="PX14" s="1544" t="n">
        <v>0.70883428</v>
      </c>
      <c r="PY14" s="1544" t="n">
        <v>0.70883428</v>
      </c>
      <c r="PZ14" s="1544" t="n">
        <v>0.70883428</v>
      </c>
      <c r="QA14" s="1544" t="n">
        <v>0.70883428</v>
      </c>
      <c r="QB14" s="1544" t="n">
        <v>0.70883428</v>
      </c>
      <c r="QC14" s="1544" t="n">
        <v>0.70883428</v>
      </c>
      <c r="QD14" s="1544" t="n">
        <v>0.70883428</v>
      </c>
      <c r="QE14" s="1544" t="n">
        <v>0.56635138</v>
      </c>
      <c r="QF14" s="1544" t="n">
        <v>0.56635138</v>
      </c>
      <c r="QG14" s="1544" t="n">
        <v>0.56635138</v>
      </c>
      <c r="QH14" s="1544" t="n">
        <v>0.56635138</v>
      </c>
      <c r="QI14" s="1544" t="n">
        <v>1.65144535</v>
      </c>
      <c r="QJ14" s="1544" t="n">
        <v>1.65144535</v>
      </c>
      <c r="QK14" s="1544" t="n">
        <v>1.61934535</v>
      </c>
      <c r="QL14" s="1544" t="n">
        <v>1.61934535</v>
      </c>
      <c r="QM14" s="1544" t="n">
        <v>1.61934535</v>
      </c>
      <c r="QN14" s="1544" t="n">
        <v>1.50780974</v>
      </c>
      <c r="QO14" s="1544" t="n">
        <v>1.50780974</v>
      </c>
      <c r="QP14" s="1544" t="n">
        <v>1.50780974</v>
      </c>
      <c r="QQ14" s="1544" t="n">
        <v>1.50780974</v>
      </c>
      <c r="QR14" s="1544" t="n">
        <v>1.50780974</v>
      </c>
      <c r="QS14" s="1544" t="n">
        <v>1.50780974</v>
      </c>
      <c r="QT14" s="1544" t="n">
        <v>1.50780974</v>
      </c>
      <c r="QU14" s="1544" t="n">
        <v>1.50780974</v>
      </c>
      <c r="QV14" s="1544" t="n">
        <v>1.50780974</v>
      </c>
      <c r="QW14" s="1544" t="n">
        <v>1.50780974</v>
      </c>
      <c r="QX14" s="1544" t="n">
        <v>1.50780974</v>
      </c>
      <c r="QY14" s="1544" t="n">
        <v>29.47702498</v>
      </c>
      <c r="QZ14" s="1544" t="n">
        <v>29.47702498</v>
      </c>
      <c r="RA14" s="1544" t="n">
        <v>29.51879547</v>
      </c>
      <c r="RB14" s="1544" t="n">
        <v>29.51879547</v>
      </c>
      <c r="RC14" s="1544" t="n">
        <v>29.51879547</v>
      </c>
      <c r="RD14" s="1544" t="n">
        <v>29.51879547</v>
      </c>
      <c r="RE14" s="1544" t="n">
        <v>1.56265345</v>
      </c>
      <c r="RF14" s="1544" t="n">
        <v>1.56265345</v>
      </c>
      <c r="RG14" s="1544" t="n">
        <v>1.56265345</v>
      </c>
      <c r="RH14" s="1544" t="n">
        <v>1.55013735</v>
      </c>
      <c r="RI14" s="1544" t="n">
        <v>1.43050139</v>
      </c>
      <c r="RJ14" s="1544" t="n">
        <v>1.43050139</v>
      </c>
      <c r="RK14" s="1544" t="n">
        <v>1.43050139</v>
      </c>
      <c r="RL14" s="1544" t="n">
        <v>1.43050139</v>
      </c>
      <c r="RM14" s="1544" t="n">
        <v>1.38049339</v>
      </c>
      <c r="RN14" s="1544" t="n">
        <v>1.38049339</v>
      </c>
      <c r="RO14" s="1544" t="n">
        <v>1.38049339</v>
      </c>
      <c r="RP14" s="1544" t="n">
        <v>1.38049339</v>
      </c>
      <c r="RQ14" s="1544" t="n">
        <v>1.38049339</v>
      </c>
      <c r="RR14" s="1544" t="n">
        <v>1.38049339</v>
      </c>
      <c r="RS14" s="1544" t="n">
        <v>1.30360276</v>
      </c>
      <c r="RT14" s="1544" t="n">
        <v>1.30360276</v>
      </c>
      <c r="RU14" s="1544" t="n">
        <v>1.30360276</v>
      </c>
      <c r="RV14" s="1544" t="n">
        <v>1.30360276</v>
      </c>
      <c r="RW14" s="1544" t="n">
        <v>1.30360276</v>
      </c>
      <c r="RX14" s="1544" t="n">
        <v>1.30360276</v>
      </c>
      <c r="RY14" s="1544" t="n">
        <v>1.97609741</v>
      </c>
      <c r="RZ14" s="1544" t="n">
        <v>1.97609741</v>
      </c>
      <c r="SA14" s="1544" t="n">
        <v>1.84564712</v>
      </c>
      <c r="SB14" s="1544" t="n">
        <v>1.7283009</v>
      </c>
      <c r="SC14" s="1544" t="n">
        <v>1.7283009</v>
      </c>
      <c r="SD14" s="1544" t="n">
        <v>1.7283009</v>
      </c>
      <c r="SE14" s="1544" t="n">
        <v>1.69176902</v>
      </c>
      <c r="SF14" s="1544" t="n">
        <v>1.69176902</v>
      </c>
      <c r="SG14" s="1544" t="n">
        <v>1.69176902</v>
      </c>
      <c r="SH14" s="1544" t="n">
        <v>1.69176902</v>
      </c>
      <c r="SI14" s="1544" t="n">
        <v>69.71620795</v>
      </c>
      <c r="SJ14" s="1544" t="n">
        <v>69.71620795</v>
      </c>
      <c r="SK14" s="1544" t="n">
        <v>69.72878589</v>
      </c>
      <c r="SL14" s="1544" t="n">
        <v>69.72878589</v>
      </c>
      <c r="SM14" s="1544" t="n">
        <v>69.77766375</v>
      </c>
      <c r="SN14" s="1544" t="n">
        <v>69.77766375</v>
      </c>
      <c r="SO14" s="1544" t="n">
        <v>69.77766375</v>
      </c>
      <c r="SP14" s="1544" t="n">
        <v>255.24849099</v>
      </c>
      <c r="SQ14" s="1544" t="n">
        <v>255.24849099</v>
      </c>
      <c r="SR14" s="1544" t="n">
        <v>255.24849099</v>
      </c>
      <c r="SS14" s="1544" t="n">
        <v>255.24849099</v>
      </c>
      <c r="ST14" s="1544" t="n">
        <v>255.24849099</v>
      </c>
      <c r="SU14" s="1544" t="n">
        <v>255.24639099</v>
      </c>
      <c r="SV14" s="1544" t="n">
        <v>255.24639099</v>
      </c>
      <c r="SW14" s="1544" t="n">
        <v>255.24639099</v>
      </c>
      <c r="SX14" s="1544" t="n">
        <v>255.06361553</v>
      </c>
      <c r="SY14" s="1544" t="n">
        <v>255.06361553</v>
      </c>
      <c r="SZ14" s="1544" t="n">
        <v>255.06361553</v>
      </c>
      <c r="TA14" s="1544" t="n">
        <v>315.06356472</v>
      </c>
      <c r="TB14" s="1544" t="n">
        <v>315.06356472</v>
      </c>
      <c r="TC14" s="1544" t="n">
        <v>315.06356472</v>
      </c>
      <c r="TD14" s="1544" t="n">
        <v>315.06356472</v>
      </c>
      <c r="TE14" s="1544" t="n">
        <v>515.27273412</v>
      </c>
      <c r="TF14" s="1544" t="n">
        <v>229.24006827</v>
      </c>
      <c r="TG14" s="1544" t="n">
        <v>201.4587542</v>
      </c>
      <c r="TH14" s="1544" t="n">
        <v>202.49870195</v>
      </c>
      <c r="TI14" s="1544" t="n">
        <v>202.51669895</v>
      </c>
      <c r="TJ14" s="1544" t="n">
        <v>202.54096387</v>
      </c>
      <c r="TK14" s="1544" t="n">
        <v>202.54340261</v>
      </c>
      <c r="TL14" s="1544" t="n">
        <v>203.80750342</v>
      </c>
      <c r="TM14" s="1544" t="n">
        <v>89.45138118999999</v>
      </c>
      <c r="TN14" s="1544" t="n">
        <v>89.54920824</v>
      </c>
      <c r="TO14" s="1544" t="n">
        <v>89.54710824</v>
      </c>
      <c r="TP14" s="1544" t="n">
        <v>89.41046347</v>
      </c>
      <c r="TQ14" s="1544" t="n">
        <v>89.41046347</v>
      </c>
      <c r="TR14" s="1544" t="n">
        <v>89.25479244</v>
      </c>
      <c r="TS14" s="1544" t="n">
        <v>89.25479244</v>
      </c>
      <c r="TT14" s="1544" t="n">
        <v>90.08528423999999</v>
      </c>
      <c r="TU14" s="1544" t="n">
        <v>2.65993866</v>
      </c>
      <c r="TV14" s="1544" t="n">
        <v>2.65993866</v>
      </c>
      <c r="TW14" s="1544" t="n">
        <v>2.51899795</v>
      </c>
      <c r="TX14" s="1544" t="n">
        <v>2.51899795</v>
      </c>
      <c r="TY14" s="1544" t="n">
        <v>2.51899795</v>
      </c>
      <c r="TZ14" s="1544" t="n">
        <v>2.40379643</v>
      </c>
      <c r="UA14" s="1544" t="n">
        <v>2.37135943</v>
      </c>
      <c r="UB14" s="1544" t="n">
        <v>2.37082745</v>
      </c>
      <c r="UC14" s="1544" t="n">
        <v>2.37082745</v>
      </c>
      <c r="UD14" s="1544" t="n">
        <v>2.37082745</v>
      </c>
      <c r="UE14" s="1544" t="n">
        <v>256.32021936</v>
      </c>
      <c r="UF14" s="1544" t="n">
        <v>36.92666565</v>
      </c>
      <c r="UG14" s="1544" t="n">
        <v>36.92666565</v>
      </c>
      <c r="UH14" s="1544" t="n">
        <v>8.857953779999999</v>
      </c>
      <c r="UI14" s="1544" t="n">
        <v>8.855853779999999</v>
      </c>
      <c r="UJ14" s="1544" t="n">
        <v>8.698241380000001</v>
      </c>
      <c r="UK14" s="1544" t="n">
        <v>8.698241380000001</v>
      </c>
      <c r="UL14" s="1544" t="n">
        <v>8.697689890000001</v>
      </c>
      <c r="UM14" s="1544" t="n">
        <v>8.697689890000001</v>
      </c>
      <c r="UN14" s="1544" t="n">
        <v>8.58346229</v>
      </c>
      <c r="UO14" s="1544" t="n">
        <v>22.60873011</v>
      </c>
      <c r="UP14" s="1544" t="n">
        <v>204.30961748</v>
      </c>
      <c r="UQ14" s="1544" t="n">
        <v>204.75537456</v>
      </c>
      <c r="UR14" s="1544" t="n">
        <v>204.97542886</v>
      </c>
      <c r="US14" s="1544" t="n">
        <v>205.08706575</v>
      </c>
      <c r="UT14" s="1544" t="n">
        <v>205.15175235</v>
      </c>
      <c r="UU14" s="1544" t="n">
        <v>205.56087826</v>
      </c>
      <c r="UV14" s="1544" t="n">
        <v>206.01557006</v>
      </c>
      <c r="UW14" s="1544" t="n">
        <v>206.12898809</v>
      </c>
      <c r="UX14" s="1544" t="n">
        <v>206.24240612</v>
      </c>
      <c r="UY14" s="1544" t="n">
        <v>206.47059889</v>
      </c>
      <c r="UZ14" s="1544" t="n">
        <v>206.93511037</v>
      </c>
      <c r="VA14" s="1544" t="n">
        <v>206.93511037</v>
      </c>
      <c r="VB14" s="1544" t="n">
        <v>154.89931696</v>
      </c>
      <c r="VC14" s="1544" t="n">
        <v>154.90689773</v>
      </c>
      <c r="VD14" s="1544" t="n">
        <v>155.42188481</v>
      </c>
      <c r="VE14" s="1544" t="n">
        <v>155.42188481</v>
      </c>
      <c r="VF14" s="1544" t="n">
        <v>155.39188481</v>
      </c>
      <c r="VG14" s="1544" t="n">
        <v>156.04887216</v>
      </c>
      <c r="VH14" s="1544" t="n">
        <v>156.04832544</v>
      </c>
      <c r="VI14" s="1544" t="n">
        <v>156.58365331</v>
      </c>
      <c r="VJ14" s="1544" t="n">
        <v>156.47016722</v>
      </c>
      <c r="VK14" s="1544" t="n">
        <v>175.88987078</v>
      </c>
      <c r="VL14" s="1544" t="n">
        <v>170.74708419</v>
      </c>
      <c r="VM14" s="1544" t="n">
        <v>71.89541456000001</v>
      </c>
      <c r="VN14" s="1544" t="n">
        <v>72.03802278000001</v>
      </c>
      <c r="VO14" s="1544" t="n">
        <v>72.00752365999999</v>
      </c>
      <c r="VP14" s="1544" t="n">
        <v>72.00752365999999</v>
      </c>
      <c r="VQ14" s="1544" t="n">
        <v>72.18986281000001</v>
      </c>
      <c r="VR14" s="1544" t="n">
        <v>3.6666547</v>
      </c>
      <c r="VS14" s="1544" t="n">
        <v>3.61007994</v>
      </c>
      <c r="VT14" s="1544" t="n">
        <v>3.57677194</v>
      </c>
      <c r="VU14" s="1544" t="n">
        <v>3.57677194</v>
      </c>
      <c r="VV14" s="1544" t="n">
        <v>0.6842831700000001</v>
      </c>
      <c r="VW14" s="1544" t="n">
        <v>0.6842831700000001</v>
      </c>
      <c r="VX14" s="1544" t="n">
        <v>0.6842831700000001</v>
      </c>
      <c r="VY14" s="1544" t="n">
        <v>0.6774319</v>
      </c>
      <c r="VZ14" s="1544" t="n">
        <v>0.6774319</v>
      </c>
      <c r="WA14" s="1544" t="n">
        <v>0.55849015</v>
      </c>
      <c r="WB14" s="1544" t="n">
        <v>4.66933377</v>
      </c>
      <c r="WC14" s="1544" t="n">
        <v>4.66933377</v>
      </c>
      <c r="WD14" s="1544" t="n">
        <v>3.26107861</v>
      </c>
      <c r="WE14" s="1544" t="n">
        <v>3.11213686</v>
      </c>
      <c r="WF14" s="1544" t="n">
        <v>3.11213686</v>
      </c>
      <c r="WG14" s="1544" t="n">
        <v>3.11158031</v>
      </c>
      <c r="WH14" s="1544" t="n">
        <v>3.11158031</v>
      </c>
      <c r="WI14" s="1544" t="n">
        <v>3.11158031</v>
      </c>
      <c r="WJ14" s="1544" t="n">
        <v>2.9805204</v>
      </c>
      <c r="WK14" s="1544" t="n">
        <v>2.91434975</v>
      </c>
      <c r="WL14" s="1544" t="n">
        <v>2.91434975</v>
      </c>
      <c r="WM14" s="1544" t="n">
        <v>82.91434975</v>
      </c>
      <c r="WN14" s="1544" t="n">
        <v>102.86776151</v>
      </c>
      <c r="WO14" s="1544" t="n">
        <v>2.83444551</v>
      </c>
      <c r="WP14" s="1544" t="n">
        <v>2.70757044</v>
      </c>
      <c r="WQ14" s="1544" t="n">
        <v>2.70757044</v>
      </c>
      <c r="WR14" s="1544" t="n">
        <v>2.65756244</v>
      </c>
      <c r="WS14" s="1544" t="n">
        <v>2.42457932</v>
      </c>
      <c r="WT14" s="1544" t="n">
        <v>2.42457932</v>
      </c>
      <c r="WU14" s="1544" t="n">
        <v>2.42457932</v>
      </c>
      <c r="WV14" s="1544" t="n">
        <v>2.94442468</v>
      </c>
      <c r="WW14" s="1544" t="n">
        <v>2.94442468</v>
      </c>
      <c r="WX14" s="1544" t="n">
        <v>2.83845188</v>
      </c>
      <c r="WY14" s="1544" t="n">
        <v>2.80514388</v>
      </c>
      <c r="WZ14" s="1544" t="n">
        <v>2.80514388</v>
      </c>
      <c r="XA14" s="1544" t="n">
        <v>2.74552746</v>
      </c>
      <c r="XB14" s="1544" t="n">
        <v>2.74552746</v>
      </c>
      <c r="XC14" s="1544" t="n">
        <v>2.74552746</v>
      </c>
      <c r="XD14" s="1544" t="n">
        <v>2.74552746</v>
      </c>
      <c r="XE14" s="1544" t="n">
        <v>2.74484815</v>
      </c>
      <c r="XF14" s="1544" t="n">
        <v>2.63431419</v>
      </c>
      <c r="XG14" s="1544" t="n">
        <v>2.2973501</v>
      </c>
      <c r="XH14" s="1544" t="n">
        <v>2.2973501</v>
      </c>
      <c r="XI14" s="1544" t="n">
        <v>2.18423643</v>
      </c>
      <c r="XJ14" s="1544" t="n">
        <v>2.18423643</v>
      </c>
      <c r="XK14" s="1544" t="n">
        <v>2.18423643</v>
      </c>
      <c r="XL14" s="1544" t="n">
        <v>2.05299785</v>
      </c>
      <c r="XM14" s="1544" t="n">
        <v>2.0524413</v>
      </c>
      <c r="XN14" s="1544" t="n">
        <v>2.0524413</v>
      </c>
      <c r="XO14" s="1544" t="n">
        <v>1.92940172</v>
      </c>
      <c r="XP14" s="1544" t="n">
        <v>1.83034283</v>
      </c>
      <c r="XQ14" s="1544" t="n">
        <v>15.11698883</v>
      </c>
      <c r="XR14" s="1544" t="n">
        <v>15.08324383</v>
      </c>
      <c r="XS14" s="1544" t="n">
        <v>5.08113583</v>
      </c>
      <c r="XT14" s="1544" t="n">
        <v>5.01544078</v>
      </c>
      <c r="XU14" s="1544" t="n">
        <v>5.01544078</v>
      </c>
      <c r="XV14" s="1544" t="n">
        <v>5.01544078</v>
      </c>
      <c r="XW14" s="1544" t="n">
        <v>5.01544078</v>
      </c>
      <c r="XX14" s="1544" t="n">
        <v>5.01544078</v>
      </c>
      <c r="XY14" s="1544" t="n">
        <v>4.81409216</v>
      </c>
      <c r="XZ14" s="1544" t="n">
        <v>4.81342951</v>
      </c>
      <c r="YA14" s="1544" t="n">
        <v>4.736959349999999</v>
      </c>
      <c r="YB14" s="1544" t="n">
        <v>4.736959349999999</v>
      </c>
      <c r="YC14" s="1544" t="n">
        <v>2.44160273</v>
      </c>
      <c r="YD14" s="1544" t="n">
        <v>2.31927848</v>
      </c>
      <c r="YE14" s="1544" t="n">
        <v>2.31927848</v>
      </c>
      <c r="YF14" s="1544" t="n">
        <v>2.28927848</v>
      </c>
      <c r="YG14" s="1544" t="n">
        <v>2.24127075</v>
      </c>
      <c r="YH14" s="1544" t="n">
        <v>2.24127075</v>
      </c>
      <c r="YI14" s="1544" t="n">
        <v>2.23723075</v>
      </c>
      <c r="YJ14" s="1544" t="n">
        <v>2.23835195</v>
      </c>
    </row>
    <row r="15">
      <c r="B15" s="917" t="inlineStr">
        <is>
          <t>Mjaso-Sojuz</t>
        </is>
      </c>
      <c r="C15" s="1532" t="n">
        <v>2.99158691</v>
      </c>
      <c r="D15" s="1533" t="n">
        <v>2.98958691</v>
      </c>
      <c r="E15" s="1533" t="n">
        <v>2.9416684</v>
      </c>
      <c r="F15" s="1533" t="n">
        <v>2.9413684</v>
      </c>
      <c r="G15" s="1533" t="n">
        <v>2.9413684</v>
      </c>
      <c r="H15" s="1533" t="n">
        <v>2.9413684</v>
      </c>
      <c r="I15" s="1533" t="n">
        <v>2.9413684</v>
      </c>
      <c r="J15" s="1533" t="n">
        <v>2.7125774</v>
      </c>
      <c r="K15" s="1533" t="n">
        <v>2.7125774</v>
      </c>
      <c r="L15" s="1533" t="n">
        <v>2.7125774</v>
      </c>
      <c r="M15" s="1533" t="n">
        <v>2.7125774</v>
      </c>
      <c r="N15" s="1533" t="n">
        <v>2.6675694</v>
      </c>
      <c r="O15" s="1533" t="n">
        <v>2.6675694</v>
      </c>
      <c r="P15" s="1533" t="n">
        <v>2.6675694</v>
      </c>
      <c r="Q15" s="1533" t="n">
        <v>2.66756908</v>
      </c>
      <c r="R15" s="1533" t="n">
        <v>2.66406908</v>
      </c>
      <c r="S15" s="1533" t="n">
        <v>2.66406908</v>
      </c>
      <c r="T15" s="1533" t="n">
        <v>2.66406908</v>
      </c>
      <c r="U15" s="1533" t="n">
        <v>2.66203308</v>
      </c>
      <c r="V15" s="1533" t="n">
        <v>3.05985708</v>
      </c>
      <c r="W15" s="1533" t="n">
        <v>3.05985708</v>
      </c>
      <c r="X15" s="1533" t="n">
        <v>3.02559007</v>
      </c>
      <c r="Y15" s="1533" t="n">
        <v>3.02559007</v>
      </c>
      <c r="Z15" s="1533" t="n">
        <v>3.02159007</v>
      </c>
      <c r="AA15" s="1533" t="n">
        <v>3.02159007</v>
      </c>
      <c r="AB15" s="1533" t="n">
        <v>2.83513938</v>
      </c>
      <c r="AC15" s="1533" t="n">
        <v>2.83513938</v>
      </c>
      <c r="AD15" s="1533" t="n">
        <v>2.83513938</v>
      </c>
      <c r="AE15" s="1533" t="n">
        <v>2.83513938</v>
      </c>
      <c r="AF15" s="1533" t="n">
        <v>2.83453938</v>
      </c>
      <c r="AG15" s="1533" t="n">
        <v>2.83453938</v>
      </c>
      <c r="AH15" s="1533" t="n">
        <v>2.83453938</v>
      </c>
      <c r="AI15" s="1533" t="n">
        <v>2.83453938</v>
      </c>
      <c r="AJ15" s="1533" t="n">
        <v>2.83453938</v>
      </c>
      <c r="AK15" s="1533" t="n">
        <v>2.83453938</v>
      </c>
      <c r="AL15" s="1533" t="n">
        <v>2.83452338</v>
      </c>
      <c r="AM15" s="1533" t="n">
        <v>2.83251338</v>
      </c>
      <c r="AN15" s="1533" t="n">
        <v>2.83251338</v>
      </c>
      <c r="AO15" s="1533" t="n">
        <v>2.83251338</v>
      </c>
      <c r="AP15" s="1533" t="n">
        <v>2.83251338</v>
      </c>
      <c r="AQ15" s="1533" t="n">
        <v>3.06672138</v>
      </c>
      <c r="AR15" s="1533" t="n">
        <v>3.06472138</v>
      </c>
      <c r="AS15" s="1533" t="n">
        <v>3.06472138</v>
      </c>
      <c r="AT15" s="1533" t="n">
        <v>3.05802138</v>
      </c>
      <c r="AU15" s="1533" t="n">
        <v>3.05802138</v>
      </c>
      <c r="AV15" s="1533" t="n">
        <v>3.182234138</v>
      </c>
      <c r="AW15" s="1533">
        <f>3.44341338+268.3281</f>
        <v/>
      </c>
      <c r="AX15" s="1533">
        <f>3.56151738+268.3281</f>
        <v/>
      </c>
      <c r="AY15" s="1533">
        <f>3.36294539+268.3281</f>
        <v/>
      </c>
      <c r="AZ15" s="1533">
        <f>3.36294539+268.3281</f>
        <v/>
      </c>
      <c r="BA15" s="1533">
        <f>3.36294539+268.3281</f>
        <v/>
      </c>
      <c r="BB15" s="1533" t="n">
        <v>271.69104539</v>
      </c>
      <c r="BC15" s="1533">
        <f>3.36294539+268.3281</f>
        <v/>
      </c>
      <c r="BD15" s="1533">
        <f>3.36294539+268.3281</f>
        <v/>
      </c>
      <c r="BE15" s="1533" t="n">
        <v>3.27882816</v>
      </c>
      <c r="BF15" s="1533" t="n">
        <v>4.04915335</v>
      </c>
      <c r="BG15" s="1533" t="n">
        <v>199.56953206</v>
      </c>
      <c r="BH15" s="1533" t="n">
        <v>4.04712706</v>
      </c>
      <c r="BI15" s="1533" t="n">
        <v>4.04712706</v>
      </c>
      <c r="BJ15" s="1533" t="n">
        <v>4.04712706</v>
      </c>
      <c r="BK15" s="1533" t="n">
        <v>4.09856195</v>
      </c>
      <c r="BL15" s="1533" t="n">
        <v>4.37576838</v>
      </c>
      <c r="BM15" s="1533" t="n">
        <v>4.37376838</v>
      </c>
      <c r="BN15" s="1533" t="n">
        <v>4.31176838</v>
      </c>
      <c r="BO15" s="1533" t="n">
        <v>4.31176838</v>
      </c>
      <c r="BP15" s="1533" t="n">
        <v>4.31008138</v>
      </c>
      <c r="BQ15" s="1533" t="n">
        <v>4.31008138</v>
      </c>
      <c r="BR15" s="1533" t="n">
        <v>4.15768242</v>
      </c>
      <c r="BS15" s="1533" t="n">
        <v>4.15768242</v>
      </c>
      <c r="BT15" s="1533" t="n">
        <v>4.15768242</v>
      </c>
      <c r="BU15" s="1533" t="n">
        <v>4.15768242</v>
      </c>
      <c r="BV15" s="1533" t="n">
        <v>4.15768242</v>
      </c>
      <c r="BW15" s="1533" t="n">
        <v>4.15768242</v>
      </c>
      <c r="BX15" s="1533" t="n">
        <v>4.15768242</v>
      </c>
      <c r="BY15" s="1533" t="n">
        <v>4.09408342</v>
      </c>
      <c r="BZ15" s="1533" t="n">
        <v>4.09408342</v>
      </c>
      <c r="CA15" s="1533" t="n">
        <v>4.09408342</v>
      </c>
      <c r="CB15" s="1533" t="n">
        <v>4.09408342</v>
      </c>
      <c r="CC15" s="1533" t="n">
        <v>4.09206242</v>
      </c>
      <c r="CD15" s="1533" t="n">
        <v>4.09206242</v>
      </c>
      <c r="CE15" s="1533" t="n">
        <v>4.09206242</v>
      </c>
      <c r="CF15" s="1533" t="n">
        <v>4.09206242</v>
      </c>
      <c r="CG15" s="1533" t="n">
        <v>4.09206242</v>
      </c>
      <c r="CH15" s="1533" t="n">
        <v>4.08206242</v>
      </c>
      <c r="CI15" s="1533" t="n">
        <v>4.05206242</v>
      </c>
      <c r="CJ15" s="1533" t="n">
        <v>4.05206242</v>
      </c>
      <c r="CK15" s="1533" t="n">
        <v>4.05206242</v>
      </c>
      <c r="CL15" s="1533">
        <f>0.43168895+263</f>
        <v/>
      </c>
      <c r="CM15" s="1533">
        <f>0.43168895+263</f>
        <v/>
      </c>
      <c r="CN15" s="1533">
        <f>20.43168895+263</f>
        <v/>
      </c>
      <c r="CO15" s="1533">
        <f>263+20+0.27142424</f>
        <v/>
      </c>
      <c r="CP15" s="1533">
        <f>263+20+0.27142424</f>
        <v/>
      </c>
      <c r="CQ15" s="1533">
        <f>263+20+0.27142424</f>
        <v/>
      </c>
      <c r="CR15" s="1533">
        <f>0.73912552+283</f>
        <v/>
      </c>
      <c r="CS15" s="1533">
        <f>0.73149649+283</f>
        <v/>
      </c>
      <c r="CT15" s="1533">
        <f>0.66548949+283</f>
        <v/>
      </c>
      <c r="CU15" s="1533">
        <f>0.66548949+283</f>
        <v/>
      </c>
      <c r="CV15" s="1533">
        <f>0.66548949+283</f>
        <v/>
      </c>
      <c r="CW15" s="1533">
        <f>1.10060949+283</f>
        <v/>
      </c>
      <c r="CX15" s="1533">
        <f>1.10060949+283</f>
        <v/>
      </c>
      <c r="CY15" s="1533">
        <f>4.20865079+170+105</f>
        <v/>
      </c>
      <c r="CZ15" s="1533" t="n">
        <v>279.20865079</v>
      </c>
      <c r="DA15" s="1533">
        <f>4.20865079+170+105</f>
        <v/>
      </c>
      <c r="DB15" s="1533">
        <f>4.20865079+170+105</f>
        <v/>
      </c>
      <c r="DC15" s="1533">
        <f>4.20865079+170+105</f>
        <v/>
      </c>
      <c r="DD15" s="1533">
        <f>4.20865079+170+105</f>
        <v/>
      </c>
      <c r="DE15" s="1533">
        <f>4.20665079+170+105</f>
        <v/>
      </c>
      <c r="DF15" s="1533">
        <f>4.20665079+170+105</f>
        <v/>
      </c>
      <c r="DG15" s="1533">
        <f>4.17665079+170+105</f>
        <v/>
      </c>
      <c r="DH15" s="1533">
        <f>170+105+578.56527558</f>
        <v/>
      </c>
      <c r="DI15" s="1533">
        <f>170+105+578.56527558</f>
        <v/>
      </c>
      <c r="DJ15" s="1533">
        <f>170+105+0.65724095+578.0075</f>
        <v/>
      </c>
      <c r="DK15" s="1533">
        <f>170+105+578+0.0075+0.50862191</f>
        <v/>
      </c>
      <c r="DL15" s="1533">
        <f>170+105+578+0.0075+0.51629294</f>
        <v/>
      </c>
      <c r="DM15" s="1533">
        <f>170+105+578+0.0075+0.51629294</f>
        <v/>
      </c>
      <c r="DN15" s="1533">
        <f>170+105+578+0.0075+0.51629294</f>
        <v/>
      </c>
      <c r="DO15" s="1533">
        <f>170+105+577+1.79001079+0.02694715</f>
        <v/>
      </c>
      <c r="DP15" s="1533">
        <f>170+105+577+1.79001079+0.02694715</f>
        <v/>
      </c>
      <c r="DQ15" s="1533">
        <f>170+105+0.10300553+0.02694715</f>
        <v/>
      </c>
      <c r="DR15" s="1533" t="n">
        <v>275.12995268</v>
      </c>
      <c r="DS15" s="1533" t="n">
        <v>275.12995268</v>
      </c>
      <c r="DT15" s="1533">
        <f>147.21321472+0.10300553</f>
        <v/>
      </c>
      <c r="DU15" s="1533">
        <f>0.14686572+147.10300553</f>
        <v/>
      </c>
      <c r="DV15" s="1533">
        <f>0.14686572+147.17851923</f>
        <v/>
      </c>
      <c r="DW15" s="1533">
        <f>0.14686572+147.17851923</f>
        <v/>
      </c>
      <c r="DX15" s="1533">
        <f>0.26496972+147.20453622</f>
        <v/>
      </c>
      <c r="DY15" s="1533">
        <f>0.95494572+138.00975266</f>
        <v/>
      </c>
      <c r="DZ15" s="1533">
        <f>0.95494572+138.03440362</f>
        <v/>
      </c>
      <c r="EA15" s="1533">
        <f>0.95294572+138.11226755</f>
        <v/>
      </c>
      <c r="EB15" s="1533">
        <f>0.92294572+138.11226755</f>
        <v/>
      </c>
      <c r="EC15" s="1533">
        <f>0.92294572+138.04400781</f>
        <v/>
      </c>
      <c r="ED15" s="1533">
        <f>0.92294572+138.07133274</f>
        <v/>
      </c>
      <c r="EE15" s="1533">
        <f>0.92294572+138.09791192</f>
        <v/>
      </c>
      <c r="EF15" s="1533">
        <f>0.75497205+138.17470041</f>
        <v/>
      </c>
      <c r="EG15" s="1533">
        <f>0.75497205+138.17470041</f>
        <v/>
      </c>
      <c r="EH15" s="1533">
        <f>0.75497205+138.17470041</f>
        <v/>
      </c>
      <c r="EI15" s="1533">
        <f>0.90497205+0.04968364+138</f>
        <v/>
      </c>
      <c r="EJ15" s="1533">
        <f>138.92969863+0.04968364</f>
        <v/>
      </c>
      <c r="EK15" s="1533">
        <f>138.92969863+0.04968364</f>
        <v/>
      </c>
      <c r="EL15" s="1533">
        <f>138.92969863+0.04968364</f>
        <v/>
      </c>
      <c r="EM15" s="1533">
        <f>138.92969863+0.04968364</f>
        <v/>
      </c>
      <c r="EN15" s="1533">
        <f>138.92969863+0.04968364</f>
        <v/>
      </c>
      <c r="EO15" s="1533" t="n">
        <v>42.76337329</v>
      </c>
      <c r="EP15" s="1533">
        <f>42.76337329+0.04968364</f>
        <v/>
      </c>
      <c r="EQ15" s="1533">
        <f>42.76337329+0.04968364</f>
        <v/>
      </c>
      <c r="ER15" s="1533" t="n">
        <v>42.81305692999999</v>
      </c>
      <c r="ES15" s="1533">
        <f>42.76337329+0.04968364</f>
        <v/>
      </c>
      <c r="ET15" s="1533">
        <f>42.76337329+0.04968364</f>
        <v/>
      </c>
      <c r="EU15" s="1533">
        <f>42.74142964+0.04968364*0</f>
        <v/>
      </c>
      <c r="EV15" s="1533">
        <f>42.73943+0.04888364</f>
        <v/>
      </c>
      <c r="EW15" s="1533">
        <f>42.73943+0.04888364</f>
        <v/>
      </c>
      <c r="EX15" s="1533">
        <f>42.73943+0.04888364</f>
        <v/>
      </c>
      <c r="EY15" s="1533" t="n">
        <v>42.78831364</v>
      </c>
      <c r="EZ15" s="1533" t="n">
        <v>42.78831364</v>
      </c>
      <c r="FA15" s="1533" t="n">
        <v>42.78831364</v>
      </c>
      <c r="FB15" s="1533" t="n">
        <v>43</v>
      </c>
      <c r="FC15" s="1533" t="n">
        <v>42.6714666</v>
      </c>
      <c r="FD15" s="1533" t="n">
        <v>42.55395553</v>
      </c>
      <c r="FE15" s="1533" t="n">
        <v>42.55395553</v>
      </c>
      <c r="FF15" s="1533">
        <f>0.00707189+0.04688364+42.5</f>
        <v/>
      </c>
      <c r="FG15" s="1533">
        <f>42.62258296+0.04688364</f>
        <v/>
      </c>
      <c r="FH15" s="1533" t="n">
        <v>43</v>
      </c>
      <c r="FI15" s="1533" t="n">
        <v>42.60163322</v>
      </c>
      <c r="FJ15" s="1533">
        <f>42.55474958+0.04688364</f>
        <v/>
      </c>
      <c r="FK15" s="1533">
        <f>42.55474958+0.04688364</f>
        <v/>
      </c>
      <c r="FL15" s="1533">
        <f>36.98838839+0.04688364</f>
        <v/>
      </c>
      <c r="FM15" s="1533" t="n">
        <v>37</v>
      </c>
      <c r="FN15" s="1533" t="n">
        <v>37.03527202999999</v>
      </c>
      <c r="FO15" s="1533">
        <f>0.23221739+36.7</f>
        <v/>
      </c>
      <c r="FP15" s="1533">
        <f>0.23221739+36.7</f>
        <v/>
      </c>
      <c r="FQ15" s="1533">
        <f>0.20021739+36.7</f>
        <v/>
      </c>
      <c r="FR15" s="1533" t="n">
        <v>36.94710103000001</v>
      </c>
      <c r="FS15" s="1533" t="n">
        <v>36.94710103000001</v>
      </c>
      <c r="FT15" s="1533">
        <f>0.08365189+0.04688364+36.7</f>
        <v/>
      </c>
      <c r="FU15" s="1533">
        <f>0.08365189+0.04688364+36.7</f>
        <v/>
      </c>
      <c r="FV15" s="1533">
        <f>0.12417189+0.04688364+36.7</f>
        <v/>
      </c>
      <c r="FW15" s="1533">
        <f>0.09873189+0.04688364+36.7</f>
        <v/>
      </c>
      <c r="FX15" s="1533">
        <f>0.09873189+0.04688364+36.7</f>
        <v/>
      </c>
      <c r="FY15" s="1533" t="n">
        <v>37</v>
      </c>
      <c r="FZ15" s="1533">
        <f>0.09169489+0.04688364+36.7</f>
        <v/>
      </c>
      <c r="GA15" s="1533">
        <f>0.09169489+0.04688364+36.7</f>
        <v/>
      </c>
      <c r="GB15" s="1533">
        <f>0.09169489+0.04688364+36.7</f>
        <v/>
      </c>
      <c r="GC15" s="1533">
        <f>0.09169489+0.04688364+36.7</f>
        <v/>
      </c>
      <c r="GD15" s="1533">
        <f>0.0385182+450.00687564+36.7</f>
        <v/>
      </c>
      <c r="GE15" s="1533">
        <f>64.82744953+450.00687564+36.7</f>
        <v/>
      </c>
      <c r="GF15" s="1533">
        <f>406.43703008+450.00687564</f>
        <v/>
      </c>
      <c r="GG15" s="1533">
        <f>42.78866618+0.17577975</f>
        <v/>
      </c>
      <c r="GH15" s="1533">
        <f>42.80937276+0.17577975</f>
        <v/>
      </c>
      <c r="GI15" s="1533" t="n">
        <v>42.90284119</v>
      </c>
      <c r="GJ15" s="1533" t="n">
        <v>42.90284119</v>
      </c>
      <c r="GK15" s="1533" t="n">
        <v>42.94568422</v>
      </c>
      <c r="GL15" s="1533" t="n">
        <v>42.94568422</v>
      </c>
      <c r="GM15" s="1533" t="n">
        <v>42.94568422</v>
      </c>
      <c r="GN15" s="1533" t="n">
        <v>42.91223395999999</v>
      </c>
      <c r="GO15" s="1533" t="n">
        <v>42.90777596</v>
      </c>
      <c r="GP15" s="1533" t="n">
        <v>2.11563521</v>
      </c>
      <c r="GQ15" s="1533" t="n">
        <v>2.09703586</v>
      </c>
      <c r="GR15" s="1533" t="n">
        <v>2.09703586</v>
      </c>
      <c r="GS15" s="1533" t="n">
        <v>2.09703586</v>
      </c>
      <c r="GT15" s="1533" t="n">
        <v>2.09703586</v>
      </c>
      <c r="GU15" s="1533" t="n">
        <v>2.06292786</v>
      </c>
      <c r="GV15" s="1533" t="n">
        <v>1.93366611</v>
      </c>
      <c r="GW15" s="1533" t="n">
        <v>1.93366611</v>
      </c>
      <c r="GX15" s="1533" t="n">
        <v>0</v>
      </c>
      <c r="GY15" s="1533" t="n">
        <v>1.92138346</v>
      </c>
      <c r="GZ15" s="1533" t="n">
        <v>1.92138346</v>
      </c>
      <c r="HA15" s="1533" t="n">
        <v>1.92138346</v>
      </c>
      <c r="HB15" s="1533" t="n">
        <v>1.92138346</v>
      </c>
      <c r="HC15" s="1533" t="n">
        <v>1.69653112</v>
      </c>
      <c r="HD15" s="1533" t="n">
        <v>0.95213285</v>
      </c>
      <c r="HE15" s="1533" t="n">
        <v>0.95213285</v>
      </c>
      <c r="HF15" s="1533" t="n">
        <v>0.95213285</v>
      </c>
      <c r="HG15" s="1533" t="n">
        <v>0.92003285</v>
      </c>
      <c r="HH15" s="1533" t="n">
        <v>0.92003285</v>
      </c>
      <c r="HI15" s="1533" t="n">
        <v>200.85096293</v>
      </c>
      <c r="HJ15" s="1533" t="n">
        <v>200.85096293</v>
      </c>
      <c r="HK15" s="1533" t="n">
        <v>200.85096293</v>
      </c>
      <c r="HL15" s="1533" t="n">
        <v>200.85541293</v>
      </c>
      <c r="HM15" s="1533" t="n">
        <v>200.85541293</v>
      </c>
      <c r="HN15" s="1533" t="n">
        <v>200.85270493</v>
      </c>
      <c r="HO15" s="1533" t="n">
        <v>200.76839978</v>
      </c>
      <c r="HP15" s="1533" t="n">
        <v>200.76839978</v>
      </c>
      <c r="HQ15" s="1533" t="n">
        <v>2.41549876</v>
      </c>
      <c r="HR15" s="1533" t="n">
        <v>2.41549876</v>
      </c>
      <c r="HS15" s="1533" t="n">
        <v>2.32558015</v>
      </c>
      <c r="HT15" s="1544" t="n">
        <v>2.32558015</v>
      </c>
      <c r="HU15" s="1544" t="n">
        <v>2.32558015</v>
      </c>
      <c r="HV15" s="1544" t="n">
        <v>2.32558015</v>
      </c>
      <c r="HW15" s="1544" t="n">
        <v>2.32558015</v>
      </c>
      <c r="HX15" s="1544" t="n">
        <v>2.29138015</v>
      </c>
      <c r="HY15" s="1544" t="n">
        <v>2.29138015</v>
      </c>
      <c r="HZ15" s="1544" t="n">
        <v>2.18341529</v>
      </c>
      <c r="IA15" s="1544" t="n">
        <v>2.13840729</v>
      </c>
      <c r="IB15" s="1544" t="n">
        <v>2.13840729</v>
      </c>
      <c r="IC15" s="1544" t="n">
        <v>2.13840729</v>
      </c>
      <c r="ID15" s="1544" t="n">
        <v>2.13840729</v>
      </c>
      <c r="IE15" s="1544" t="n">
        <v>2.13840729</v>
      </c>
      <c r="IF15" s="1544" t="n">
        <v>2.13840729</v>
      </c>
      <c r="IG15" s="1544" t="n">
        <v>2.13840729</v>
      </c>
      <c r="IH15" s="1544" t="n">
        <v>2.13840729</v>
      </c>
      <c r="II15" s="1544" t="n">
        <v>2.13840729</v>
      </c>
      <c r="IJ15" s="1544" t="n">
        <v>2.13840729</v>
      </c>
      <c r="IK15" s="1544" t="n">
        <v>2.04183729</v>
      </c>
      <c r="IL15" s="1544" t="n">
        <v>2.04183729</v>
      </c>
      <c r="IM15" s="1544" t="n">
        <v>2.04183729</v>
      </c>
      <c r="IN15" s="1544" t="n">
        <v>2.04229232</v>
      </c>
      <c r="IO15" s="1544" t="n">
        <v>1.94549232</v>
      </c>
      <c r="IP15" s="1544" t="n">
        <v>1.94549232</v>
      </c>
      <c r="IQ15" s="1544" t="n">
        <v>1.94339232</v>
      </c>
      <c r="IR15" s="1544" t="n">
        <v>1.94339232</v>
      </c>
      <c r="IS15" s="1544" t="n">
        <v>1.94339232</v>
      </c>
      <c r="IT15" s="1544" t="n">
        <v>1.84725732</v>
      </c>
      <c r="IU15" s="1544" t="n">
        <v>1.81725732</v>
      </c>
      <c r="IV15" s="1544" t="n">
        <v>1.81725732</v>
      </c>
      <c r="IW15" s="1544" t="n">
        <v>1.81953332</v>
      </c>
      <c r="IX15" s="1544" t="n">
        <v>1.81953332</v>
      </c>
      <c r="IY15" s="1544" t="n">
        <v>1.81953332</v>
      </c>
      <c r="IZ15" s="1544" t="n">
        <v>1.81953332</v>
      </c>
      <c r="JA15" s="1544" t="n">
        <v>1.74667082</v>
      </c>
      <c r="JB15" s="1544" t="n">
        <v>1.74667082</v>
      </c>
      <c r="JC15" s="1544" t="n">
        <v>1.67588722</v>
      </c>
      <c r="JD15" s="1544" t="n">
        <v>1.67588722</v>
      </c>
      <c r="JE15" s="1544" t="n">
        <v>1.67588722</v>
      </c>
      <c r="JF15" s="1544" t="n">
        <v>1.67588722</v>
      </c>
      <c r="JG15" s="1544" t="n">
        <v>1.57458822</v>
      </c>
      <c r="JH15" s="1544" t="n">
        <v>1.57458822</v>
      </c>
      <c r="JI15" s="1544" t="n">
        <v>1.57458822</v>
      </c>
      <c r="JJ15" s="1544" t="n">
        <v>1.55715122</v>
      </c>
      <c r="JK15" s="1544" t="n">
        <v>1.52715122</v>
      </c>
      <c r="JL15" s="1544" t="n">
        <v>2.94490445</v>
      </c>
      <c r="JM15" s="1544" t="n">
        <v>2.82893374</v>
      </c>
      <c r="JN15" s="1544" t="n">
        <v>2.82893374</v>
      </c>
      <c r="JO15" s="1544" t="n">
        <v>2.82893374</v>
      </c>
      <c r="JP15" s="1544" t="n">
        <v>2.82893374</v>
      </c>
      <c r="JQ15" s="1544" t="n">
        <v>2.82893374</v>
      </c>
      <c r="JR15" s="1544" t="n">
        <v>2.82893374</v>
      </c>
      <c r="JS15" s="1544" t="n">
        <v>2.82893374</v>
      </c>
      <c r="JT15" s="1544" t="n">
        <v>602.82892574</v>
      </c>
      <c r="JU15" s="1544" t="n">
        <v>602.82892574</v>
      </c>
      <c r="JV15" s="1544" t="n">
        <v>602.82892574</v>
      </c>
      <c r="JW15" s="1544" t="n">
        <v>602.7327699299999</v>
      </c>
      <c r="JX15" s="1544" t="n">
        <v>602.7327699299999</v>
      </c>
      <c r="JY15" s="1544" t="n">
        <v>27.33488832</v>
      </c>
      <c r="JZ15" s="1544" t="n">
        <v>27.33488832</v>
      </c>
      <c r="KA15" s="1544" t="n">
        <v>27.33488832</v>
      </c>
      <c r="KB15" s="1544" t="n">
        <v>27.33488832</v>
      </c>
      <c r="KC15" s="1544" t="n">
        <v>27.52789539</v>
      </c>
      <c r="KD15" s="1544" t="n">
        <v>28.03029272</v>
      </c>
      <c r="KE15" s="1544" t="n">
        <v>28.03029272</v>
      </c>
      <c r="KF15" s="1544" t="n">
        <v>1.52715122</v>
      </c>
      <c r="KG15" s="1544" t="n">
        <v>28.02301875</v>
      </c>
      <c r="KH15" s="1544" t="n">
        <v>28.02301875</v>
      </c>
      <c r="KI15" s="1544" t="n">
        <v>27.92988353</v>
      </c>
      <c r="KJ15" s="1544" t="n">
        <v>27.92988353</v>
      </c>
      <c r="KK15" s="1544" t="n">
        <v>27.89380483</v>
      </c>
      <c r="KL15" s="1544" t="n">
        <v>27.89380483</v>
      </c>
      <c r="KM15" s="1544" t="n">
        <v>27.89380483</v>
      </c>
      <c r="KN15" s="1544" t="n">
        <v>27.89380483</v>
      </c>
      <c r="KO15" s="1544" t="n">
        <v>27.89300483</v>
      </c>
      <c r="KP15" s="1544" t="n">
        <v>27.89300483</v>
      </c>
      <c r="KQ15" s="1544" t="n">
        <v>27.89300483</v>
      </c>
      <c r="KR15" s="1544" t="n">
        <v>27.89300483</v>
      </c>
      <c r="KS15" s="1544" t="n">
        <v>27.88550286</v>
      </c>
      <c r="KT15" s="1544" t="n">
        <v>27.88550286</v>
      </c>
      <c r="KU15" s="1544" t="n">
        <v>4.341420070000001</v>
      </c>
      <c r="KV15" s="1544" t="n">
        <v>4.245789070000001</v>
      </c>
      <c r="KW15" s="1544" t="n">
        <v>4.241589070000001</v>
      </c>
      <c r="KX15" s="1544" t="n">
        <v>4.21158907</v>
      </c>
      <c r="KY15" s="1544" t="n">
        <v>4.21158907</v>
      </c>
      <c r="KZ15" s="1544" t="n">
        <v>4.12446207</v>
      </c>
      <c r="LA15" s="1544" t="n">
        <v>4.12446207</v>
      </c>
      <c r="LB15" s="1544" t="n">
        <v>4.12446207</v>
      </c>
      <c r="LC15" s="1544" t="n">
        <v>4.12446207</v>
      </c>
      <c r="LD15" s="1544" t="n">
        <v>4.12446207</v>
      </c>
      <c r="LE15" s="1544" t="n">
        <v>4.12446207</v>
      </c>
      <c r="LF15" s="1544" t="n">
        <v>4.12446207</v>
      </c>
      <c r="LG15" s="1544" t="n">
        <v>4.12446207</v>
      </c>
      <c r="LH15" s="1544" t="n">
        <v>4.12446207</v>
      </c>
      <c r="LI15" s="1544" t="n">
        <v>4.038646089999999</v>
      </c>
      <c r="LJ15" s="1544" t="n">
        <v>4.038646089999999</v>
      </c>
      <c r="LK15" s="1544" t="n">
        <v>4.038646089999999</v>
      </c>
      <c r="LL15" s="1544" t="n">
        <v>74.03864609</v>
      </c>
      <c r="LM15" s="1544" t="n">
        <v>74.03864609</v>
      </c>
      <c r="LN15" s="1544" t="n">
        <v>4.05723009</v>
      </c>
      <c r="LO15" s="1544" t="n">
        <v>4.05723009</v>
      </c>
      <c r="LP15" s="1544" t="n">
        <v>4.05723009</v>
      </c>
      <c r="LQ15" s="1544" t="n">
        <v>3.96387509</v>
      </c>
      <c r="LR15" s="1544" t="n">
        <v>3.96387509</v>
      </c>
      <c r="LS15" s="1544" t="n">
        <v>3.96387509</v>
      </c>
      <c r="LT15" s="1544" t="n">
        <v>3.92967509</v>
      </c>
      <c r="LU15" s="1544" t="n">
        <v>3.92967509</v>
      </c>
      <c r="LV15" s="1544" t="n">
        <v>3.83520189</v>
      </c>
      <c r="LW15" s="1544" t="n">
        <v>3.83520189</v>
      </c>
      <c r="LX15" s="1544" t="n">
        <v>3.83520189</v>
      </c>
      <c r="LY15" s="1544" t="n">
        <v>3.83520189</v>
      </c>
      <c r="LZ15" s="1544" t="n">
        <v>3.83520189</v>
      </c>
      <c r="MA15" s="1544" t="n">
        <v>3.83520189</v>
      </c>
      <c r="MB15" s="1544" t="n">
        <v>3.83520189</v>
      </c>
      <c r="MC15" s="1544" t="n">
        <v>3.83520189</v>
      </c>
      <c r="MD15" s="1544" t="n">
        <v>3.83520189</v>
      </c>
      <c r="ME15" s="1544" t="n">
        <v>3.83520189</v>
      </c>
      <c r="MF15" s="1544" t="n">
        <v>3.83520189</v>
      </c>
      <c r="MG15" s="1544" t="n">
        <v>3.83520189</v>
      </c>
      <c r="MH15" s="1544" t="n">
        <v>26.74696415</v>
      </c>
      <c r="MI15" s="1544" t="n">
        <v>26.74696415</v>
      </c>
      <c r="MJ15" s="1544" t="n">
        <v>26.74696415</v>
      </c>
      <c r="MK15" s="1544" t="n">
        <v>26.74696415</v>
      </c>
      <c r="ML15" s="1544" t="n">
        <v>26.74696415</v>
      </c>
      <c r="MM15" s="1544" t="n">
        <v>26.74696415</v>
      </c>
      <c r="MN15" s="1544" t="n">
        <v>26.74696415</v>
      </c>
      <c r="MO15" s="1544" t="n">
        <v>26.74696415</v>
      </c>
      <c r="MP15" s="1544" t="n">
        <v>26.74696415</v>
      </c>
      <c r="MQ15" s="1544" t="n">
        <v>14.57043624</v>
      </c>
      <c r="MR15" s="1544" t="n">
        <v>14.57043624</v>
      </c>
      <c r="MS15" s="1544" t="n">
        <v>14.46278807</v>
      </c>
      <c r="MT15" s="1544" t="n">
        <v>14.46234807</v>
      </c>
      <c r="MU15" s="1544" t="n">
        <v>14.46234807</v>
      </c>
      <c r="MV15" s="1544" t="n">
        <v>14.46234807</v>
      </c>
      <c r="MW15" s="1544" t="n">
        <v>14.46234807</v>
      </c>
      <c r="MX15" s="1544" t="n">
        <v>14.46234807</v>
      </c>
      <c r="MY15" s="1544" t="n">
        <v>14.46234807</v>
      </c>
      <c r="MZ15" s="1544" t="n">
        <v>14.46234807</v>
      </c>
      <c r="NA15" s="1544" t="n">
        <v>14.46234807</v>
      </c>
      <c r="NB15" s="1544" t="n">
        <v>14.46234807</v>
      </c>
      <c r="NC15" s="1544" t="n">
        <v>14.46234807</v>
      </c>
      <c r="ND15" s="1544" t="n">
        <v>14.46234807</v>
      </c>
      <c r="NE15" s="1544" t="n">
        <v>14.46234807</v>
      </c>
      <c r="NF15" s="1544" t="n">
        <v>3.37764957</v>
      </c>
      <c r="NG15" s="1544" t="n">
        <v>3.37764957</v>
      </c>
      <c r="NH15" s="1544" t="n">
        <v>3.37764157</v>
      </c>
      <c r="NI15" s="1544" t="n">
        <v>3.37764157</v>
      </c>
      <c r="NJ15" s="1544" t="n">
        <v>3.37764157</v>
      </c>
      <c r="NK15" s="1544" t="n">
        <v>3.34554157</v>
      </c>
      <c r="NL15" s="1544" t="n">
        <v>3.34554157</v>
      </c>
      <c r="NM15" s="1544" t="n">
        <v>3.23564294</v>
      </c>
      <c r="NN15" s="1544" t="n">
        <v>3.23564294</v>
      </c>
      <c r="NO15" s="1544" t="n">
        <v>3.23564294</v>
      </c>
      <c r="NP15" s="1544" t="n">
        <v>3.23564294</v>
      </c>
      <c r="NQ15" s="1544" t="n">
        <v>3.23564294</v>
      </c>
      <c r="NR15" s="1544" t="n">
        <v>3.24316047</v>
      </c>
      <c r="NS15" s="1544" t="n">
        <v>3.24316047</v>
      </c>
      <c r="NT15" s="1544" t="n">
        <v>3.24316047</v>
      </c>
      <c r="NU15" s="1544" t="n">
        <v>3.24316047</v>
      </c>
      <c r="NV15" s="1544" t="n">
        <v>3.15520839</v>
      </c>
      <c r="NW15" s="1544" t="n">
        <v>3.15520839</v>
      </c>
      <c r="NX15" s="1544" t="n">
        <v>3.15520839</v>
      </c>
      <c r="NY15" s="1544" t="n">
        <v>59.61212954</v>
      </c>
      <c r="NZ15" s="1544" t="n">
        <v>3.22242425</v>
      </c>
      <c r="OA15" s="1544" t="n">
        <v>3.22242425</v>
      </c>
      <c r="OB15" s="1544" t="n">
        <v>3.22242425</v>
      </c>
      <c r="OC15" s="1544" t="n">
        <v>3.14663791</v>
      </c>
      <c r="OD15" s="1544" t="n">
        <v>3.14663791</v>
      </c>
      <c r="OE15" s="1544" t="n">
        <v>3.14663791</v>
      </c>
      <c r="OF15" s="1544" t="n">
        <v>3.14663791</v>
      </c>
      <c r="OG15" s="1544" t="n">
        <v>3.11243791</v>
      </c>
      <c r="OH15" s="1544" t="n">
        <v>3.11243791</v>
      </c>
      <c r="OI15" s="1544" t="n">
        <v>4.12446207</v>
      </c>
      <c r="OJ15" s="1544" t="n">
        <v>3.01606549</v>
      </c>
      <c r="OK15" s="1544" t="n">
        <v>3.01606549</v>
      </c>
      <c r="OL15" s="1544" t="n">
        <v>3.02461393</v>
      </c>
      <c r="OM15" s="1544" t="n">
        <v>3.02461393</v>
      </c>
      <c r="ON15" s="1544" t="n">
        <v>3.02461393</v>
      </c>
      <c r="OO15" s="1544" t="n">
        <v>2.95299823</v>
      </c>
      <c r="OP15" s="1544" t="n">
        <v>2.95299823</v>
      </c>
      <c r="OQ15" s="1544" t="n">
        <v>2.95299823</v>
      </c>
      <c r="OR15" s="1544" t="n">
        <v>2.95299823</v>
      </c>
      <c r="OS15" s="1544" t="n">
        <v>2.862211230000001</v>
      </c>
      <c r="OT15" s="1544" t="n">
        <v>39.43379836</v>
      </c>
      <c r="OU15" s="1544" t="n">
        <v>39.43379836</v>
      </c>
      <c r="OV15" s="1544" t="n">
        <v>39.43379836</v>
      </c>
      <c r="OW15" s="1544" t="n">
        <v>39.44697009</v>
      </c>
      <c r="OX15" s="1544" t="n">
        <v>39.44697009</v>
      </c>
      <c r="OY15" s="1544" t="n">
        <v>1.65544429</v>
      </c>
      <c r="OZ15" s="1544" t="n">
        <v>1.65544429</v>
      </c>
      <c r="PA15" s="1544" t="n">
        <v>1.65544429</v>
      </c>
      <c r="PB15" s="1544" t="n">
        <v>1.63794166</v>
      </c>
      <c r="PC15" s="1544" t="n">
        <v>1.63794166</v>
      </c>
      <c r="PD15" s="1544" t="n">
        <v>1.63794166</v>
      </c>
      <c r="PE15" s="1544" t="n">
        <v>1.63748784</v>
      </c>
      <c r="PF15" s="1544" t="n">
        <v>1.63597984</v>
      </c>
      <c r="PG15" s="1544" t="n">
        <v>1.63597984</v>
      </c>
      <c r="PH15" s="1544" t="n">
        <v>1.63597984</v>
      </c>
      <c r="PI15" s="1544" t="n">
        <v>1.57790157</v>
      </c>
      <c r="PJ15" s="1544" t="n">
        <v>1.57790157</v>
      </c>
      <c r="PK15" s="1544" t="n">
        <v>1.57790157</v>
      </c>
      <c r="PL15" s="1544" t="n">
        <v>1.57790157</v>
      </c>
      <c r="PM15" s="1544" t="n">
        <v>1.57790157</v>
      </c>
      <c r="PN15" s="1544" t="n">
        <v>0.6442143200000001</v>
      </c>
      <c r="PO15" s="1544" t="n">
        <v>0.6442143200000001</v>
      </c>
      <c r="PP15" s="1544" t="n">
        <v>0.6442143200000001</v>
      </c>
      <c r="PQ15" s="1544" t="n">
        <v>0.6442143200000001</v>
      </c>
      <c r="PR15" s="1544" t="n">
        <v>0.6442143200000001</v>
      </c>
      <c r="PS15" s="1544" t="n">
        <v>0.6121143200000001</v>
      </c>
      <c r="PT15" s="1544" t="n">
        <v>0.6121143200000001</v>
      </c>
      <c r="PU15" s="1544" t="n">
        <v>0.46696639</v>
      </c>
      <c r="PV15" s="1544" t="n">
        <v>0.46696639</v>
      </c>
      <c r="PW15" s="1544" t="n">
        <v>0.46696639</v>
      </c>
      <c r="PX15" s="1544" t="n">
        <v>0.46696639</v>
      </c>
      <c r="PY15" s="1544" t="n">
        <v>0.46696639</v>
      </c>
      <c r="PZ15" s="1544" t="n">
        <v>200.46696639</v>
      </c>
      <c r="QA15" s="1544" t="n">
        <v>200.46696639</v>
      </c>
      <c r="QB15" s="1544" t="n">
        <v>50.56872635</v>
      </c>
      <c r="QC15" s="1544" t="n">
        <v>50.62241487000001</v>
      </c>
      <c r="QD15" s="1544" t="n">
        <v>50.62241487000001</v>
      </c>
      <c r="QE15" s="1544" t="n">
        <v>50.51571066</v>
      </c>
      <c r="QF15" s="1544" t="n">
        <v>50.51571066</v>
      </c>
      <c r="QG15" s="1544" t="n">
        <v>50.51571066</v>
      </c>
      <c r="QH15" s="1544" t="n">
        <v>50.51571066</v>
      </c>
      <c r="QI15" s="1544" t="n">
        <v>141.0288633</v>
      </c>
      <c r="QJ15" s="1544" t="n">
        <v>141.0288633</v>
      </c>
      <c r="QK15" s="1544" t="n">
        <v>141.10924008</v>
      </c>
      <c r="QL15" s="1544" t="n">
        <v>141.10924008</v>
      </c>
      <c r="QM15" s="1544" t="n">
        <v>141.10924008</v>
      </c>
      <c r="QN15" s="1544" t="n">
        <v>41.20271328</v>
      </c>
      <c r="QO15" s="1544" t="n">
        <v>41.21773306</v>
      </c>
      <c r="QP15" s="1544" t="n">
        <v>41.21773306</v>
      </c>
      <c r="QQ15" s="1544" t="n">
        <v>41.29349863</v>
      </c>
      <c r="QR15" s="1544" t="n">
        <v>41.29349863</v>
      </c>
      <c r="QS15" s="1544" t="n">
        <v>41.30878961</v>
      </c>
      <c r="QT15" s="1544" t="n">
        <v>41.30878961</v>
      </c>
      <c r="QU15" s="1544" t="n">
        <v>41.30878961</v>
      </c>
      <c r="QV15" s="1544" t="n">
        <v>41.30878961</v>
      </c>
      <c r="QW15" s="1544" t="n">
        <v>41.30878961</v>
      </c>
      <c r="QX15" s="1544" t="n">
        <v>41.30878961</v>
      </c>
      <c r="QY15" s="1544" t="n">
        <v>35.51361021</v>
      </c>
      <c r="QZ15" s="1544" t="n">
        <v>35.51361021</v>
      </c>
      <c r="RA15" s="1544" t="n">
        <v>35.56635611</v>
      </c>
      <c r="RB15" s="1544" t="n">
        <v>35.56635611</v>
      </c>
      <c r="RC15" s="1544" t="n">
        <v>35.56635611</v>
      </c>
      <c r="RD15" s="1544" t="n">
        <v>35.56635611</v>
      </c>
      <c r="RE15" s="1544" t="n">
        <v>1.82700714</v>
      </c>
      <c r="RF15" s="1544" t="n">
        <v>1.82700714</v>
      </c>
      <c r="RG15" s="1544" t="n">
        <v>1.82700714</v>
      </c>
      <c r="RH15" s="1544" t="n">
        <v>1.81449104</v>
      </c>
      <c r="RI15" s="1544" t="n">
        <v>1.69485508</v>
      </c>
      <c r="RJ15" s="1544" t="n">
        <v>1.69485508</v>
      </c>
      <c r="RK15" s="1544" t="n">
        <v>1.69485508</v>
      </c>
      <c r="RL15" s="1544" t="n">
        <v>1.69485508</v>
      </c>
      <c r="RM15" s="1544" t="n">
        <v>1.64484708</v>
      </c>
      <c r="RN15" s="1544" t="n">
        <v>1.64484708</v>
      </c>
      <c r="RO15" s="1544" t="n">
        <v>1.64484708</v>
      </c>
      <c r="RP15" s="1544" t="n">
        <v>1.64484708</v>
      </c>
      <c r="RQ15" s="1544" t="n">
        <v>1.64484708</v>
      </c>
      <c r="RR15" s="1544" t="n">
        <v>1.64484708</v>
      </c>
      <c r="RS15" s="1544" t="n">
        <v>1.56795645</v>
      </c>
      <c r="RT15" s="1544" t="n">
        <v>1.56795645</v>
      </c>
      <c r="RU15" s="1544" t="n">
        <v>1.56795645</v>
      </c>
      <c r="RV15" s="1544" t="n">
        <v>1.56795645</v>
      </c>
      <c r="RW15" s="1544" t="n">
        <v>1.56795645</v>
      </c>
      <c r="RX15" s="1544" t="n">
        <v>1.56795645</v>
      </c>
      <c r="RY15" s="1544" t="n">
        <v>601.1625800099999</v>
      </c>
      <c r="RZ15" s="1544" t="n">
        <v>601.1625800099999</v>
      </c>
      <c r="SA15" s="1544" t="n">
        <v>5</v>
      </c>
      <c r="SB15" s="1544" t="n">
        <v>5.01847069</v>
      </c>
      <c r="SC15" s="1544" t="n">
        <v>5.01847069</v>
      </c>
      <c r="SD15" s="1544" t="n">
        <v>5.01847069</v>
      </c>
      <c r="SE15" s="1544" t="n">
        <v>5.011938809999999</v>
      </c>
      <c r="SF15" s="1544" t="n">
        <v>5.011938809999999</v>
      </c>
      <c r="SG15" s="1544" t="n">
        <v>4.98193881</v>
      </c>
      <c r="SH15" s="1544" t="n">
        <v>4.98193881</v>
      </c>
      <c r="SI15" s="1544" t="n">
        <v>73.00743265999999</v>
      </c>
      <c r="SJ15" s="1544" t="n">
        <v>73.00743265999999</v>
      </c>
      <c r="SK15" s="1544" t="n">
        <v>73.02424502</v>
      </c>
      <c r="SL15" s="1544" t="n">
        <v>73.02424502</v>
      </c>
      <c r="SM15" s="1544" t="n">
        <v>73.07523272</v>
      </c>
      <c r="SN15" s="1544" t="n">
        <v>73.07523272</v>
      </c>
      <c r="SO15" s="1544" t="n">
        <v>73.07523272</v>
      </c>
      <c r="SP15" s="1544" t="n">
        <v>255.03377244</v>
      </c>
      <c r="SQ15" s="1544" t="n">
        <v>255.03377244</v>
      </c>
      <c r="SR15" s="1544" t="n">
        <v>255.03377244</v>
      </c>
      <c r="SS15" s="1544" t="n">
        <v>254.93474994</v>
      </c>
      <c r="ST15" s="1544" t="n">
        <v>254.93474994</v>
      </c>
      <c r="SU15" s="1544" t="n">
        <v>254.93264994</v>
      </c>
      <c r="SV15" s="1544" t="n">
        <v>254.93264994</v>
      </c>
      <c r="SW15" s="1544" t="n">
        <v>254.93264994</v>
      </c>
      <c r="SX15" s="1544" t="n">
        <v>254.74987448</v>
      </c>
      <c r="SY15" s="1544" t="n">
        <v>254.74987448</v>
      </c>
      <c r="SZ15" s="1544" t="n">
        <v>254.74987448</v>
      </c>
      <c r="TA15" s="1544" t="n">
        <v>315.24982367</v>
      </c>
      <c r="TB15" s="1544" t="n">
        <v>315.24982367</v>
      </c>
      <c r="TC15" s="1544" t="n">
        <v>314.74982367</v>
      </c>
      <c r="TD15" s="1544" t="n">
        <v>314.74982367</v>
      </c>
      <c r="TE15" s="1544" t="n">
        <v>514.95777285</v>
      </c>
      <c r="TF15" s="1544" t="n">
        <v>238.41239056</v>
      </c>
      <c r="TG15" s="1544" t="n">
        <v>202.01348373</v>
      </c>
      <c r="TH15" s="1544" t="n">
        <v>203.05540852</v>
      </c>
      <c r="TI15" s="1544" t="n">
        <v>203.07393803</v>
      </c>
      <c r="TJ15" s="1544" t="n">
        <v>203.09876076</v>
      </c>
      <c r="TK15" s="1544" t="n">
        <v>203.10133917</v>
      </c>
      <c r="TL15" s="1544" t="n">
        <v>204.36613272</v>
      </c>
      <c r="TM15" s="1544" t="n">
        <v>190.03926225</v>
      </c>
      <c r="TN15" s="1544" t="n">
        <v>190.27452135</v>
      </c>
      <c r="TO15" s="1544" t="n">
        <v>190.27242135</v>
      </c>
      <c r="TP15" s="1544" t="n">
        <v>190.13577658</v>
      </c>
      <c r="TQ15" s="1544" t="n">
        <v>190.13577658</v>
      </c>
      <c r="TR15" s="1544" t="n">
        <v>189.98010555</v>
      </c>
      <c r="TS15" s="1544" t="n">
        <v>189.98010555</v>
      </c>
      <c r="TT15" s="1544" t="n">
        <v>191.99387604</v>
      </c>
      <c r="TU15" s="1544" t="n">
        <v>148.74123822</v>
      </c>
      <c r="TV15" s="1544" t="n">
        <v>148.80795953</v>
      </c>
      <c r="TW15" s="1544" t="n">
        <v>148.73396554</v>
      </c>
      <c r="TX15" s="1544" t="n">
        <v>148.73396554</v>
      </c>
      <c r="TY15" s="1544" t="n">
        <v>148.73396554</v>
      </c>
      <c r="TZ15" s="1544" t="n">
        <v>148.61876402</v>
      </c>
      <c r="UA15" s="1544" t="n">
        <v>148.58632702</v>
      </c>
      <c r="UB15" s="1544" t="n">
        <v>148.58579504</v>
      </c>
      <c r="UC15" s="1544" t="n">
        <v>148.58579504</v>
      </c>
      <c r="UD15" s="1544" t="n">
        <v>148.58579504</v>
      </c>
      <c r="UE15" s="1544" t="n">
        <v>388.22580897</v>
      </c>
      <c r="UF15" s="1544" t="n">
        <v>65.85084363999999</v>
      </c>
      <c r="UG15" s="1544" t="n">
        <v>65.84083563999999</v>
      </c>
      <c r="UH15" s="1544" t="n">
        <v>24.82473189</v>
      </c>
      <c r="UI15" s="1544" t="n">
        <v>24.83267287</v>
      </c>
      <c r="UJ15" s="1544" t="n">
        <v>24.67506047</v>
      </c>
      <c r="UK15" s="1544" t="n">
        <v>24.67506047</v>
      </c>
      <c r="UL15" s="1544" t="n">
        <v>24.67450898</v>
      </c>
      <c r="UM15" s="1544" t="n">
        <v>24.67450898</v>
      </c>
      <c r="UN15" s="1544" t="n">
        <v>24.77465433</v>
      </c>
      <c r="UO15" s="1544" t="n">
        <v>38.51126636</v>
      </c>
      <c r="UP15" s="1544" t="n">
        <v>21.64518562</v>
      </c>
      <c r="UQ15" s="1544" t="n">
        <v>21.59401839</v>
      </c>
      <c r="UR15" s="1544" t="n">
        <v>21.61283499</v>
      </c>
      <c r="US15" s="1544" t="n">
        <v>21.62284729</v>
      </c>
      <c r="UT15" s="1544" t="n">
        <v>21.58580575</v>
      </c>
      <c r="UU15" s="1544" t="n">
        <v>21.48054368</v>
      </c>
      <c r="UV15" s="1544" t="n">
        <v>21.52129286</v>
      </c>
      <c r="UW15" s="1544" t="n">
        <v>21.53145843</v>
      </c>
      <c r="UX15" s="1544" t="n">
        <v>21.541624</v>
      </c>
      <c r="UY15" s="1544" t="n">
        <v>21.56200607</v>
      </c>
      <c r="UZ15" s="1544" t="n">
        <v>21.60381681</v>
      </c>
      <c r="VA15" s="1544" t="n">
        <v>21.60381681</v>
      </c>
      <c r="VB15" s="1544" t="n">
        <v>64.64562352</v>
      </c>
      <c r="VC15" s="1544" t="n">
        <v>64.59954834</v>
      </c>
      <c r="VD15" s="1544" t="n">
        <v>64.78630591</v>
      </c>
      <c r="VE15" s="1544" t="n">
        <v>64.78630591</v>
      </c>
      <c r="VF15" s="1544" t="n">
        <v>64.75630590999999</v>
      </c>
      <c r="VG15" s="1544" t="n">
        <v>64.9248264</v>
      </c>
      <c r="VH15" s="1544" t="n">
        <v>64.92427968</v>
      </c>
      <c r="VI15" s="1544" t="n">
        <v>65.12467312</v>
      </c>
      <c r="VJ15" s="1544" t="n">
        <v>65.01118703</v>
      </c>
      <c r="VK15" s="1544" t="n">
        <v>137.61074771</v>
      </c>
      <c r="VL15" s="1544" t="n">
        <v>123.80466289</v>
      </c>
      <c r="VM15" s="1544" t="n">
        <v>124.65871583</v>
      </c>
      <c r="VN15" s="1544" t="n">
        <v>124.94902542</v>
      </c>
      <c r="VO15" s="1544" t="n">
        <v>124.9185263</v>
      </c>
      <c r="VP15" s="1544" t="n">
        <v>124.9185263</v>
      </c>
      <c r="VQ15" s="1544" t="n">
        <v>125.35504696</v>
      </c>
      <c r="VR15" s="1544" t="n">
        <v>103.98467869</v>
      </c>
      <c r="VS15" s="1544" t="n">
        <v>104.21976311</v>
      </c>
      <c r="VT15" s="1544" t="n">
        <v>104.21645511</v>
      </c>
      <c r="VU15" s="1544" t="n">
        <v>104.56151922</v>
      </c>
      <c r="VV15" s="1544" t="n">
        <v>101.71754798</v>
      </c>
      <c r="VW15" s="1544" t="n">
        <v>101.71754798</v>
      </c>
      <c r="VX15" s="1544" t="n">
        <v>2.0130071</v>
      </c>
      <c r="VY15" s="1544" t="n">
        <v>2.00615583</v>
      </c>
      <c r="VZ15" s="1544" t="n">
        <v>2.00615583</v>
      </c>
      <c r="WA15" s="1544" t="n">
        <v>1.88721408</v>
      </c>
      <c r="WB15" s="1544" t="n">
        <v>6.13305823</v>
      </c>
      <c r="WC15" s="1544" t="n">
        <v>6.13305823</v>
      </c>
      <c r="WD15" s="1544" t="n">
        <v>4.722703070000001</v>
      </c>
      <c r="WE15" s="1544" t="n">
        <v>4.57376132</v>
      </c>
      <c r="WF15" s="1544" t="n">
        <v>4.57376132</v>
      </c>
      <c r="WG15" s="1544" t="n">
        <v>4.573204769999999</v>
      </c>
      <c r="WH15" s="1544" t="n">
        <v>4.573204769999999</v>
      </c>
      <c r="WI15" s="1544" t="n">
        <v>4.573204769999999</v>
      </c>
      <c r="WJ15" s="1544" t="n">
        <v>4.44214486</v>
      </c>
      <c r="WK15" s="1544" t="n">
        <v>2.89522373</v>
      </c>
      <c r="WL15" s="1544" t="n">
        <v>2.89522373</v>
      </c>
      <c r="WM15" s="1544" t="n">
        <v>2.89522373</v>
      </c>
      <c r="WN15" s="1544" t="n">
        <v>2.81040393</v>
      </c>
      <c r="WO15" s="1544" t="n">
        <v>2.80830393</v>
      </c>
      <c r="WP15" s="1544" t="n">
        <v>2.68142886</v>
      </c>
      <c r="WQ15" s="1544" t="n">
        <v>2.68142886</v>
      </c>
      <c r="WR15" s="1544" t="n">
        <v>2.59932086</v>
      </c>
      <c r="WS15" s="1544" t="n">
        <v>2.36633774</v>
      </c>
      <c r="WT15" s="1544" t="n">
        <v>2.36633774</v>
      </c>
      <c r="WU15" s="1544" t="n">
        <v>2.36633774</v>
      </c>
      <c r="WV15" s="1544" t="n">
        <v>2.60039308</v>
      </c>
      <c r="WW15" s="1544" t="n">
        <v>2.60039308</v>
      </c>
      <c r="WX15" s="1544" t="n">
        <v>2.49442028</v>
      </c>
      <c r="WY15" s="1544" t="n">
        <v>2.45901228</v>
      </c>
      <c r="WZ15" s="1544" t="n">
        <v>2.45900428</v>
      </c>
      <c r="XA15" s="1544" t="n">
        <v>2.39367186</v>
      </c>
      <c r="XB15" s="1544" t="n">
        <v>2.3971757</v>
      </c>
      <c r="XC15" s="1544" t="n">
        <v>2.3971757</v>
      </c>
      <c r="XD15" s="1544" t="n">
        <v>2.3971757</v>
      </c>
      <c r="XE15" s="1544" t="n">
        <v>2.40055995</v>
      </c>
      <c r="XF15" s="1544" t="n">
        <v>2.29002599</v>
      </c>
      <c r="XG15" s="1544" t="n">
        <v>5.3685448</v>
      </c>
      <c r="XH15" s="1544" t="n">
        <v>5.3685448</v>
      </c>
      <c r="XI15" s="1544" t="n">
        <v>5.25123113</v>
      </c>
      <c r="XJ15" s="1544" t="n">
        <v>5.25123113</v>
      </c>
      <c r="XK15" s="1544" t="n">
        <v>5.25123113</v>
      </c>
      <c r="XL15" s="1544" t="n">
        <v>5.13369597</v>
      </c>
      <c r="XM15" s="1544" t="n">
        <v>5.13313942</v>
      </c>
      <c r="XN15" s="1544" t="n">
        <v>5.13313942</v>
      </c>
      <c r="XO15" s="1544" t="n">
        <v>5.02652299</v>
      </c>
      <c r="XP15" s="1544" t="n">
        <v>4.941517849999999</v>
      </c>
      <c r="XQ15" s="1544" t="n">
        <v>6.91479192</v>
      </c>
      <c r="XR15" s="1544" t="n">
        <v>6.88104692</v>
      </c>
      <c r="XS15" s="1544" t="n">
        <v>6.89259404</v>
      </c>
      <c r="XT15" s="1544" t="n">
        <v>6.82689899</v>
      </c>
      <c r="XU15" s="1544" t="n">
        <v>6.82689899</v>
      </c>
      <c r="XV15" s="1544" t="n">
        <v>6.82689899</v>
      </c>
      <c r="XW15" s="1544" t="n">
        <v>6.84054611</v>
      </c>
      <c r="XX15" s="1544" t="n">
        <v>6.84054611</v>
      </c>
      <c r="XY15" s="1544" t="n">
        <v>6.63022982</v>
      </c>
      <c r="XZ15" s="1544" t="n">
        <v>6.62956717</v>
      </c>
      <c r="YA15" s="1544" t="n">
        <v>6.56170523</v>
      </c>
      <c r="YB15" s="1544" t="n">
        <v>6.56170523</v>
      </c>
      <c r="YC15" s="1544" t="n">
        <v>5.87676832</v>
      </c>
      <c r="YD15" s="1544" t="n">
        <v>5.75444407</v>
      </c>
      <c r="YE15" s="1544" t="n">
        <v>5.75444407</v>
      </c>
      <c r="YF15" s="1544" t="n">
        <v>5.72234407</v>
      </c>
      <c r="YG15" s="1544" t="n">
        <v>5.686752230000001</v>
      </c>
      <c r="YH15" s="1544" t="n">
        <v>5.686752230000001</v>
      </c>
      <c r="YI15" s="1544" t="n">
        <v>5.686752230000001</v>
      </c>
      <c r="YJ15" s="1544" t="n">
        <v>5.69498849</v>
      </c>
    </row>
    <row r="16">
      <c r="B16" s="917" t="inlineStr">
        <is>
          <t>Alekseevsky
Bekon</t>
        </is>
      </c>
      <c r="C16" s="1532" t="n">
        <v>767.54650617</v>
      </c>
      <c r="D16" s="1533" t="n">
        <v>609.89822639</v>
      </c>
      <c r="E16" s="1533" t="n">
        <v>649.68386472</v>
      </c>
      <c r="F16" s="1533" t="n">
        <v>704.68642296</v>
      </c>
      <c r="G16" s="1533" t="n">
        <v>721.9065842799999</v>
      </c>
      <c r="H16" s="1533" t="n">
        <v>732.11154431</v>
      </c>
      <c r="I16" s="1533" t="n">
        <v>774.2885184100001</v>
      </c>
      <c r="J16" s="1533" t="n">
        <v>818.0338779799999</v>
      </c>
      <c r="K16" s="1533" t="n">
        <v>861.3879223599999</v>
      </c>
      <c r="L16" s="1533" t="n">
        <v>884.13741479</v>
      </c>
      <c r="M16" s="1533" t="n">
        <v>909.01338326</v>
      </c>
      <c r="N16" s="1533" t="n">
        <v>936.34086804</v>
      </c>
      <c r="O16" s="1533" t="n">
        <v>927.97084597</v>
      </c>
      <c r="P16" s="1533" t="n">
        <v>968.7044634599999</v>
      </c>
      <c r="Q16" s="1533" t="n">
        <v>1007.19149692</v>
      </c>
      <c r="R16" s="1533" t="n">
        <v>1027.36949401</v>
      </c>
      <c r="S16" s="1533">
        <f>800+257.99397625</f>
        <v/>
      </c>
      <c r="T16" s="1533" t="n">
        <v>1281.97042835</v>
      </c>
      <c r="U16" s="1533" t="n">
        <v>1152.54651972</v>
      </c>
      <c r="V16" s="1533" t="n">
        <v>1149.01542093</v>
      </c>
      <c r="W16" s="1533" t="n">
        <v>1169.79882474</v>
      </c>
      <c r="X16" s="1533" t="n">
        <v>1211.02084452</v>
      </c>
      <c r="Y16" s="1533" t="n">
        <v>1308.85945922</v>
      </c>
      <c r="Z16" s="1533" t="n">
        <v>1341.63390718</v>
      </c>
      <c r="AA16" s="1533" t="n">
        <v>1352.779274</v>
      </c>
      <c r="AB16" s="1533" t="n">
        <v>1451.54051962</v>
      </c>
      <c r="AC16" s="1533" t="n">
        <v>1498.1578236</v>
      </c>
      <c r="AD16" s="1533" t="n">
        <v>1491.53355854</v>
      </c>
      <c r="AE16" s="1533" t="n">
        <v>1516.79801675</v>
      </c>
      <c r="AF16" s="1533">
        <f>0.89853053+142.11809735+0.46791372+1000+385</f>
        <v/>
      </c>
      <c r="AG16" s="1533">
        <f>0.85094745+558.55604639+0.46791372+1000</f>
        <v/>
      </c>
      <c r="AH16" s="1533">
        <f>0.7205083+581.00009628+0.46791372+1000</f>
        <v/>
      </c>
      <c r="AI16" s="1533" t="n">
        <v>1620.40523675</v>
      </c>
      <c r="AJ16" s="1533">
        <f>670.14429348+0.46791372+0.40958804+1000</f>
        <v/>
      </c>
      <c r="AK16" s="1533">
        <f>814.52203378+0.46791372+0.38383338+1000</f>
        <v/>
      </c>
      <c r="AL16" s="1533">
        <f>640.12990875+0.46791372+8.91035513+1000</f>
        <v/>
      </c>
      <c r="AM16" s="1533">
        <f>655.49314095+0.46791372+0.10705701+1000</f>
        <v/>
      </c>
      <c r="AN16" s="1533">
        <f>17.37066574+0.46791372+0.33622382+1000+670</f>
        <v/>
      </c>
      <c r="AO16" s="1533">
        <f>27.30078534+0.46791372+0.28753112+1000+670+24</f>
        <v/>
      </c>
      <c r="AP16" s="1533">
        <f>57.93663484+0.52548641+0.28753112+1000+670+24</f>
        <v/>
      </c>
      <c r="AQ16" s="1533">
        <f>789.96750233+0.20092611+0.46771392+1000</f>
        <v/>
      </c>
      <c r="AR16" s="1533">
        <f>301.87413647+0.94379104+0.46771372+1000+500</f>
        <v/>
      </c>
      <c r="AS16" s="1533">
        <f>326.289475+0.930563+0.46771372+1000+500</f>
        <v/>
      </c>
      <c r="AT16" s="1533">
        <f>41.67004151+0.0322978+0.46771372+1000+500+327</f>
        <v/>
      </c>
      <c r="AU16" s="1533">
        <f>412.46209358+0.09316001+0.46771372+1000+500</f>
        <v/>
      </c>
      <c r="AV16" s="1533">
        <f>423.80730925+0.75879506+0.46771372+1000+500</f>
        <v/>
      </c>
      <c r="AW16" s="1533">
        <f>437.12101973+0.41638683+0.46771372+1000+500</f>
        <v/>
      </c>
      <c r="AX16" s="1533">
        <f>469.45767649+0.34699893+0.46771372+1000+500</f>
        <v/>
      </c>
      <c r="AY16" s="1533">
        <f>86.94594439+0.21362493+0.46771372+1000+500+471.5</f>
        <v/>
      </c>
      <c r="AZ16" s="1533">
        <f>510.60653201+1.07089742+0.46771372+1000+500</f>
        <v/>
      </c>
      <c r="BA16" s="1533">
        <f>461.52402832+0.43239258+0.46771372+1000+500</f>
        <v/>
      </c>
      <c r="BB16" s="1533" t="n">
        <v>1973.08899513</v>
      </c>
      <c r="BC16" s="1533">
        <f>41.39824975+0.27713822+0.46771372+1000+500+473.5</f>
        <v/>
      </c>
      <c r="BD16" s="1533">
        <f>93.19287575+0.15828536+0.46771372+1000+500+473.5</f>
        <v/>
      </c>
      <c r="BE16" s="1533">
        <f>0.99146396+0.46771372+1000+666.48672548</f>
        <v/>
      </c>
      <c r="BF16" s="1533">
        <f>0.99146396+0.46771372+1000+686.37098073</f>
        <v/>
      </c>
      <c r="BG16" s="1533">
        <f>0.64562449+0.46771372+1724.60021333</f>
        <v/>
      </c>
      <c r="BH16" s="1533">
        <f>0.64562449+0.46771372+52.2581241+790</f>
        <v/>
      </c>
      <c r="BI16" s="1533">
        <f>0.90997427+0.46771372+864.6987876</f>
        <v/>
      </c>
      <c r="BJ16" s="1533">
        <f>0.75495666+0.46771372+281.77665352</f>
        <v/>
      </c>
      <c r="BK16" s="1533">
        <f>0.62654232+0.46771372+284.75628939</f>
        <v/>
      </c>
      <c r="BL16" s="1533">
        <f>1.02153717+0.46511372+119.99831118</f>
        <v/>
      </c>
      <c r="BM16" s="1533">
        <f>0.84184269+0.46511372+180.07958986</f>
        <v/>
      </c>
      <c r="BN16" s="1533">
        <f>0.84110038+0.46511372+225.71808997</f>
        <v/>
      </c>
      <c r="BO16" s="1533">
        <f>0.13660669+0.46511372+396.19921002</f>
        <v/>
      </c>
      <c r="BP16" s="1533">
        <f>0.44221549+0.46511372+398.60656652</f>
        <v/>
      </c>
      <c r="BQ16" s="1533">
        <f>0.10497093+0.46511372+438.97743075</f>
        <v/>
      </c>
      <c r="BR16" s="1533">
        <f>0.062442293+0.46511372+470.6816463</f>
        <v/>
      </c>
      <c r="BS16" s="1533">
        <f>0.062442293+0.46511372+470.6816463</f>
        <v/>
      </c>
      <c r="BT16" s="1533">
        <f>0.05600491+571.7262163+0.46511372</f>
        <v/>
      </c>
      <c r="BU16" s="1533">
        <f>0.82297341+602.1791124+0.46511372</f>
        <v/>
      </c>
      <c r="BV16" s="1533">
        <f>0.71083493+586.36024472+0.46511372</f>
        <v/>
      </c>
      <c r="BW16" s="1533">
        <f>3.37619034+555.42514404+0.46511372</f>
        <v/>
      </c>
      <c r="BX16" s="1533">
        <f>3.10691644+599.414455+0.46511372</f>
        <v/>
      </c>
      <c r="BY16" s="1533">
        <f>3.070436+622.41102614+0.46511372</f>
        <v/>
      </c>
      <c r="BZ16" s="1533">
        <f>2.99669813+632.99026284+0.46511372</f>
        <v/>
      </c>
      <c r="CA16" s="1533">
        <f>1.82694574+652.8849386+0.46511372</f>
        <v/>
      </c>
      <c r="CB16" s="1533">
        <f>1.77601745+689.63831584+0.46511372</f>
        <v/>
      </c>
      <c r="CC16" s="1533">
        <f>0.42953829+709.57974015+0.46491372</f>
        <v/>
      </c>
      <c r="CD16" s="1533">
        <f>0.17969089+734.01536179+0.46491372</f>
        <v/>
      </c>
      <c r="CE16" s="1533">
        <f>0.035205+764.8588394+0.46491372</f>
        <v/>
      </c>
      <c r="CF16" s="1533">
        <f>0.035205+764.8588394+0.46491372</f>
        <v/>
      </c>
      <c r="CG16" s="1533">
        <f>0.416205+787.52372148+0.46491372</f>
        <v/>
      </c>
      <c r="CH16" s="1533">
        <f>0.30863698+850.30223447+0.46491372</f>
        <v/>
      </c>
      <c r="CI16" s="1533">
        <f>0.26433045+778.92131101+0.46491372</f>
        <v/>
      </c>
      <c r="CJ16" s="1533">
        <f>0.17813186+793.25343225+0.46491372</f>
        <v/>
      </c>
      <c r="CK16" s="1533">
        <f>1.17813186+833.49294648+0.46491372</f>
        <v/>
      </c>
      <c r="CL16" s="1533">
        <f>0.95434273+413.52911305+0.46491372</f>
        <v/>
      </c>
      <c r="CM16" s="1533">
        <f>0.79503969+476.18072308+0.46491372</f>
        <v/>
      </c>
      <c r="CN16" s="1533">
        <f>0.39634534+431.84346959+0.46491372</f>
        <v/>
      </c>
      <c r="CO16" s="1533">
        <f>0.05578993+476.05213343+0.46491372</f>
        <v/>
      </c>
      <c r="CP16" s="1533">
        <f>1.97453707+281.15624+0.46491372</f>
        <v/>
      </c>
      <c r="CQ16" s="1533">
        <f>1.84466191+366.36708863+0.46491372</f>
        <v/>
      </c>
      <c r="CR16" s="1533">
        <f>1.98710417+362.0472973+0.46491372</f>
        <v/>
      </c>
      <c r="CS16" s="1533">
        <f>1.72895164+360.95169749+0.46491372</f>
        <v/>
      </c>
      <c r="CT16" s="1533">
        <f>1.68579711+399.46740181+0.46491372</f>
        <v/>
      </c>
      <c r="CU16" s="1533">
        <f>392.31717173+1.60707687+0.46491372</f>
        <v/>
      </c>
      <c r="CV16" s="1533">
        <f>425.47895282+1.55671562+0.46491372</f>
        <v/>
      </c>
      <c r="CW16" s="1533">
        <f>209.95082948+1.53088229+0.46491372</f>
        <v/>
      </c>
      <c r="CX16" s="1533">
        <f>209.95082948+1.53088229+0.46491372</f>
        <v/>
      </c>
      <c r="CY16" s="1533">
        <f>107.2459138+1.28135474+0.46491372</f>
        <v/>
      </c>
      <c r="CZ16" s="1533" t="n">
        <v>108.99218226</v>
      </c>
      <c r="DA16" s="1533">
        <f>1.075842+157.793947+0.46491372</f>
        <v/>
      </c>
      <c r="DB16" s="1533">
        <f>0.99671941+243.22723883+0.46491372</f>
        <v/>
      </c>
      <c r="DC16" s="1533">
        <f>1.03144+250.399195+0.46491372</f>
        <v/>
      </c>
      <c r="DD16" s="1533">
        <f>0.92444177+260.21289369+0.46491372</f>
        <v/>
      </c>
      <c r="DE16" s="1533">
        <f>0.85268865+262.39701546+0.46491372</f>
        <v/>
      </c>
      <c r="DF16" s="1533">
        <f>0.73432462+354.50526739+0.46471372</f>
        <v/>
      </c>
      <c r="DG16" s="1533">
        <f>0.72104958+373.8552467+0.46471372</f>
        <v/>
      </c>
      <c r="DH16" s="1533">
        <f>0.87775237+238.68964621+0.46471372</f>
        <v/>
      </c>
      <c r="DI16" s="1533">
        <f>0.57052058+222.18319573+0.46471372</f>
        <v/>
      </c>
      <c r="DJ16" s="1533">
        <f>0.15233593+219.59794799+0.46471372</f>
        <v/>
      </c>
      <c r="DK16" s="1533">
        <f>0.96452966+251.96685412+0.46471372</f>
        <v/>
      </c>
      <c r="DL16" s="1533">
        <f>0.81487122+335.24931629+0.46471372</f>
        <v/>
      </c>
      <c r="DM16" s="1533">
        <f>0.81487122+335.24931629+0.46471372</f>
        <v/>
      </c>
      <c r="DN16" s="1533">
        <f>0.74577947+220.48823026+0.46471372</f>
        <v/>
      </c>
      <c r="DO16" s="1533">
        <f>0.79194865+75.10749342+0.46471372+156</f>
        <v/>
      </c>
      <c r="DP16" s="1533">
        <f>0.79194865+75.10749342+0.46471372+156</f>
        <v/>
      </c>
      <c r="DQ16" s="1533">
        <f>0.76887261+31.25785934+0.46471372+241</f>
        <v/>
      </c>
      <c r="DR16" s="1533" t="n">
        <v>263.07628755</v>
      </c>
      <c r="DS16" s="1533" t="n">
        <v>263.07628755</v>
      </c>
      <c r="DT16" s="1533">
        <f>0.52332858+33.11399511+0.46471372+102.8</f>
        <v/>
      </c>
      <c r="DU16" s="1533">
        <f>10.47169382+39.11977713+0.46397372+108</f>
        <v/>
      </c>
      <c r="DV16" s="1533">
        <f>2.10315518+30.54740756+0.46397372+160</f>
        <v/>
      </c>
      <c r="DW16" s="1533">
        <f>2.10315518+30.29462454+0.46397372+204</f>
        <v/>
      </c>
      <c r="DX16" s="1533">
        <f>1.83665389+30.77936615+0.46397372+115</f>
        <v/>
      </c>
      <c r="DY16" s="1533">
        <f>1.78329983+34.27823213+0.46397372+123</f>
        <v/>
      </c>
      <c r="DZ16" s="1533">
        <f>1.09072343+52.89276415+0.46397372+150</f>
        <v/>
      </c>
      <c r="EA16" s="1533">
        <f>0.95201135+33.44733116+0.46397372+191</f>
        <v/>
      </c>
      <c r="EB16" s="1533">
        <f>0.8493577+207.92329811+0.46397372</f>
        <v/>
      </c>
      <c r="EC16" s="1533">
        <f>0.72103381+222.0620083+0.46397372</f>
        <v/>
      </c>
      <c r="ED16" s="1533">
        <f>0.18066603+252.99023771+0.46397372</f>
        <v/>
      </c>
      <c r="EE16" s="1533">
        <f>0.61029447+45.53807689+0.46397372+255</f>
        <v/>
      </c>
      <c r="EF16" s="1533">
        <f>0.45961126+109.71679444+0.46397372+239</f>
        <v/>
      </c>
      <c r="EG16" s="1533">
        <f>0.29844242+103.32693796+0.46397372+282.8</f>
        <v/>
      </c>
      <c r="EH16" s="1533">
        <f>0.13723836+102.83261643+0.46397372+220</f>
        <v/>
      </c>
      <c r="EI16" s="1533">
        <f>1.01287256+133.02106248+0.46397372+210</f>
        <v/>
      </c>
      <c r="EJ16" s="1533">
        <f>0.75952922+156.94438559+0.46397372+207</f>
        <v/>
      </c>
      <c r="EK16" s="1533">
        <f>0.70992922+167.02462483+0.46397372+235</f>
        <v/>
      </c>
      <c r="EL16" s="1533">
        <f>0.62281935+218.78531797+0.46397372+220</f>
        <v/>
      </c>
      <c r="EM16" s="1533">
        <f>0.62281935+333.56395852+0.46397372</f>
        <v/>
      </c>
      <c r="EN16" s="1533">
        <f>0.62281935+102.059849+0.46397372+145</f>
        <v/>
      </c>
      <c r="EO16" s="1533">
        <f>0.62237038+138.56657145+0.46397372+149</f>
        <v/>
      </c>
      <c r="EP16" s="1533">
        <f>0.62237038+161.97663999+0.46397372+160</f>
        <v/>
      </c>
      <c r="EQ16" s="1533">
        <f>0.47108344+106.64671776+0.46397372+205</f>
        <v/>
      </c>
      <c r="ER16" s="1533" t="n">
        <v>312.58177492</v>
      </c>
      <c r="ES16" s="1533">
        <f>0.47108344+102.70685908+0.46397372+172</f>
        <v/>
      </c>
      <c r="ET16" s="1533">
        <f>1.45116514+136.62760781+0.46397372+178.5</f>
        <v/>
      </c>
      <c r="EU16" s="1533">
        <f>1.35393724+163.48773851+0.46377372+200</f>
        <v/>
      </c>
      <c r="EV16" s="1533">
        <f>1.00972981+158.35168951+0.46377372+200</f>
        <v/>
      </c>
      <c r="EW16" s="1533">
        <f>1.00972981+374.92644311+0.46377372</f>
        <v/>
      </c>
      <c r="EX16" s="1533">
        <f>0.56187619+243.62249732+0.46377372+200</f>
        <v/>
      </c>
      <c r="EY16" s="1533" t="n">
        <v>472.40199695</v>
      </c>
      <c r="EZ16" s="1533" t="n">
        <v>507.11173361</v>
      </c>
      <c r="FA16" s="1533" t="n">
        <v>481.70426929</v>
      </c>
      <c r="FB16" s="1533" t="n">
        <v>494</v>
      </c>
      <c r="FC16" s="1533" t="n">
        <v>555.9731586600001</v>
      </c>
      <c r="FD16" s="1533" t="n">
        <v>320.48701565</v>
      </c>
      <c r="FE16" s="1533" t="n">
        <v>296.7428285</v>
      </c>
      <c r="FF16" s="1533">
        <f>2.46893231+102.3850506+0.46377372+120.5</f>
        <v/>
      </c>
      <c r="FG16" s="1533">
        <f>2.31870194+108.01972594+0.46377372+162</f>
        <v/>
      </c>
      <c r="FH16" s="1533" t="n">
        <v>301</v>
      </c>
      <c r="FI16" s="1533" t="n">
        <v>352.20156693</v>
      </c>
      <c r="FJ16" s="1533">
        <f>2.15305993+131.494864+0.46377372+255</f>
        <v/>
      </c>
      <c r="FK16" s="1533">
        <f>2.15305993+131.494864+0.46377372+255</f>
        <v/>
      </c>
      <c r="FL16" s="1533">
        <f>11.00769656+319.0352455+0.46377372</f>
        <v/>
      </c>
      <c r="FM16" s="1533" t="n">
        <v>356</v>
      </c>
      <c r="FN16" s="1533" t="n">
        <v>390.18960097</v>
      </c>
      <c r="FO16" s="1533">
        <f>1.38084121+202.79028572+0.46377372+207</f>
        <v/>
      </c>
      <c r="FP16" s="1533">
        <f>1.38084121+460.84833413+0.46377372</f>
        <v/>
      </c>
      <c r="FQ16" s="1533">
        <f>1.37957485+207.57178068+0.46357372+240</f>
        <v/>
      </c>
      <c r="FR16" s="1533" t="n">
        <v>480.74085426</v>
      </c>
      <c r="FS16" s="1533" t="n">
        <v>512.00153142</v>
      </c>
      <c r="FT16" s="1533">
        <f>1.37957485+222.46415076+0.46357372+329</f>
        <v/>
      </c>
      <c r="FU16" s="1533">
        <f>1.37957485+257.59741967+0.46357372+300</f>
        <v/>
      </c>
      <c r="FV16" s="1533">
        <f>1.34862988+241.86125354+0.46357372+300</f>
        <v/>
      </c>
      <c r="FW16" s="1533">
        <f>1.34862988+281.81051803+0.46357372+300</f>
        <v/>
      </c>
      <c r="FX16" s="1533">
        <f>1.34862988+308.92174111+0.46357372+312</f>
        <v/>
      </c>
      <c r="FY16" s="1533" t="n">
        <v>654</v>
      </c>
      <c r="FZ16" s="1533">
        <f>1.34862988+304.78073156+0.46357372+330</f>
        <v/>
      </c>
      <c r="GA16" s="1533">
        <f>1.34862988+109.85284016+0.46357372+500</f>
        <v/>
      </c>
      <c r="GB16" s="1533">
        <f>1.32819406+152.83796575+0.46357372+500</f>
        <v/>
      </c>
      <c r="GC16" s="1533">
        <f>1.32819406+204.12258173+0.46357372+500</f>
        <v/>
      </c>
      <c r="GD16" s="1533">
        <f>1.32819406+108.05270812+0.46357372+500+125.5</f>
        <v/>
      </c>
      <c r="GE16" s="1533">
        <f>1.32819406+1054.38138329+0.46357372</f>
        <v/>
      </c>
      <c r="GF16" s="1533">
        <f>1.32819406+1036.39135626+0.46357372</f>
        <v/>
      </c>
      <c r="GG16" s="1533">
        <f>1.32819406+137.82773336+0.46357372+145</f>
        <v/>
      </c>
      <c r="GH16" s="1533">
        <f>1.32819406+307.16324832+0.46357372</f>
        <v/>
      </c>
      <c r="GI16" s="1533" t="n">
        <v>520.66379642</v>
      </c>
      <c r="GJ16" s="1533" t="n">
        <v>421.13743134</v>
      </c>
      <c r="GK16" s="1533" t="n">
        <v>490.5407699899999</v>
      </c>
      <c r="GL16" s="1533" t="n">
        <v>499.05716199</v>
      </c>
      <c r="GM16" s="1533" t="n">
        <v>413.32071876</v>
      </c>
      <c r="GN16" s="1533" t="n">
        <v>440.81700749</v>
      </c>
      <c r="GO16" s="1533" t="n">
        <v>476.20282665</v>
      </c>
      <c r="GP16" s="1533" t="n">
        <v>457.87429184</v>
      </c>
      <c r="GQ16" s="1533" t="n">
        <v>439.69614152</v>
      </c>
      <c r="GR16" s="1533" t="n">
        <v>400.1663443</v>
      </c>
      <c r="GS16" s="1533" t="n">
        <v>422.96110165</v>
      </c>
      <c r="GT16" s="1533" t="n">
        <v>467.15818493</v>
      </c>
      <c r="GU16" s="1533" t="n">
        <v>499.73712422</v>
      </c>
      <c r="GV16" s="1533" t="n">
        <v>570.95814319</v>
      </c>
      <c r="GW16" s="1533" t="n">
        <v>570.95814319</v>
      </c>
      <c r="GX16" s="1533" t="n">
        <v>504.7</v>
      </c>
      <c r="GY16" s="1533" t="n">
        <v>555.99711252</v>
      </c>
      <c r="GZ16" s="1533" t="n">
        <v>633.28683944</v>
      </c>
      <c r="HA16" s="1533" t="n">
        <v>878.17105428</v>
      </c>
      <c r="HB16" s="1533" t="n">
        <v>928.2829829300001</v>
      </c>
      <c r="HC16" s="1533" t="n">
        <v>300.2548522000001</v>
      </c>
      <c r="HD16" s="1533" t="n">
        <v>224.7833549</v>
      </c>
      <c r="HE16" s="1533" t="n">
        <v>280.67417126</v>
      </c>
      <c r="HF16" s="1533" t="n">
        <v>210.80853623</v>
      </c>
      <c r="HG16" s="1533" t="n">
        <v>264.50383048</v>
      </c>
      <c r="HH16" s="1533" t="n">
        <v>321.6785019600001</v>
      </c>
      <c r="HI16" s="1533" t="n">
        <v>379.20073425</v>
      </c>
      <c r="HJ16" s="1533" t="n">
        <v>251.12311182</v>
      </c>
      <c r="HK16" s="1533" t="n">
        <v>293.46156452</v>
      </c>
      <c r="HL16" s="1533" t="n">
        <v>246.18484192</v>
      </c>
      <c r="HM16" s="1533" t="n">
        <v>238.34595822</v>
      </c>
      <c r="HN16" s="1533" t="n">
        <v>308.05193803</v>
      </c>
      <c r="HO16" s="1533" t="n">
        <v>359.3483810000001</v>
      </c>
      <c r="HP16" s="1533" t="n">
        <v>340.17390665</v>
      </c>
      <c r="HQ16" s="1533" t="n">
        <v>403.05488306</v>
      </c>
      <c r="HR16" s="1533" t="n">
        <v>449.7666188700001</v>
      </c>
      <c r="HS16" s="1533" t="n">
        <v>743.63778962</v>
      </c>
      <c r="HT16" s="1544" t="n">
        <v>131.41007166</v>
      </c>
      <c r="HU16" s="1544" t="n">
        <v>131.41007166</v>
      </c>
      <c r="HV16" s="1544" t="n">
        <v>90.45923934999999</v>
      </c>
      <c r="HW16" s="1544" t="n">
        <v>90.45923934999999</v>
      </c>
      <c r="HX16" s="1544" t="n">
        <v>118.90691131</v>
      </c>
      <c r="HY16" s="1544" t="n">
        <v>118.90691131</v>
      </c>
      <c r="HZ16" s="1544" t="n">
        <v>150.56079095</v>
      </c>
      <c r="IA16" s="1544" t="n">
        <v>198.12342715</v>
      </c>
      <c r="IB16" s="1544" t="n">
        <v>278.88857438</v>
      </c>
      <c r="IC16" s="1544" t="n">
        <v>278.88857438</v>
      </c>
      <c r="ID16" s="1544" t="n">
        <v>278.88857438</v>
      </c>
      <c r="IE16" s="1544" t="n">
        <v>225.71692632</v>
      </c>
      <c r="IF16" s="1544" t="n">
        <v>225.71692632</v>
      </c>
      <c r="IG16" s="1544" t="n">
        <v>296.9377463800001</v>
      </c>
      <c r="IH16" s="1544" t="n">
        <v>288.67110655</v>
      </c>
      <c r="II16" s="1544" t="n">
        <v>288.67110655</v>
      </c>
      <c r="IJ16" s="1544" t="n">
        <v>288.67110655</v>
      </c>
      <c r="IK16" s="1544" t="n">
        <v>469.23168748</v>
      </c>
      <c r="IL16" s="1544" t="n">
        <v>469.23168748</v>
      </c>
      <c r="IM16" s="1544" t="n">
        <v>469.23168748</v>
      </c>
      <c r="IN16" s="1544" t="n">
        <v>515.8375828700001</v>
      </c>
      <c r="IO16" s="1544" t="n">
        <v>519.2089887100001</v>
      </c>
      <c r="IP16" s="1544" t="n">
        <v>551.4525742999999</v>
      </c>
      <c r="IQ16" s="1544" t="n">
        <v>583.49830275</v>
      </c>
      <c r="IR16" s="1544" t="n">
        <v>583.49830275</v>
      </c>
      <c r="IS16" s="1544" t="n">
        <v>616.16837957</v>
      </c>
      <c r="IT16" s="1544" t="n">
        <v>713.39277197</v>
      </c>
      <c r="IU16" s="1544" t="n">
        <v>767.2692545799999</v>
      </c>
      <c r="IV16" s="1544" t="n">
        <v>767.2692545799999</v>
      </c>
      <c r="IW16" s="1544" t="n">
        <v>655.9410656599999</v>
      </c>
      <c r="IX16" s="1544" t="n">
        <v>662.6611949099999</v>
      </c>
      <c r="IY16" s="1544" t="n">
        <v>691.6472530499999</v>
      </c>
      <c r="IZ16" s="1544" t="n">
        <v>716.25360735</v>
      </c>
      <c r="JA16" s="1544" t="n">
        <v>771.0044622</v>
      </c>
      <c r="JB16" s="1544" t="n">
        <v>771.0044622</v>
      </c>
      <c r="JC16" s="1544" t="n">
        <v>703.17298714</v>
      </c>
      <c r="JD16" s="1544" t="n">
        <v>731.66575957</v>
      </c>
      <c r="JE16" s="1544" t="n">
        <v>731.66575957</v>
      </c>
      <c r="JF16" s="1544" t="n">
        <v>731.66575957</v>
      </c>
      <c r="JG16" s="1544" t="n">
        <v>802.9936744099999</v>
      </c>
      <c r="JH16" s="1544" t="n">
        <v>802.9936744099999</v>
      </c>
      <c r="JI16" s="1544" t="n">
        <v>802.9936744099999</v>
      </c>
      <c r="JJ16" s="1544" t="n">
        <v>897.40863925</v>
      </c>
      <c r="JK16" s="1544" t="n">
        <v>951.8317360799999</v>
      </c>
      <c r="JL16" s="1544" t="n">
        <v>824.36823466</v>
      </c>
      <c r="JM16" s="1544" t="n">
        <v>849.00194921</v>
      </c>
      <c r="JN16" s="1544" t="n">
        <v>849.00194921</v>
      </c>
      <c r="JO16" s="1544" t="n">
        <v>849.00194921</v>
      </c>
      <c r="JP16" s="1544" t="n">
        <v>920.04249945</v>
      </c>
      <c r="JQ16" s="1544" t="n">
        <v>920.04249945</v>
      </c>
      <c r="JR16" s="1544" t="n">
        <v>909.90090086</v>
      </c>
      <c r="JS16" s="1544" t="n">
        <v>909.90090086</v>
      </c>
      <c r="JT16" s="1544" t="n">
        <v>959.30262871</v>
      </c>
      <c r="JU16" s="1544" t="n">
        <v>1006.33328706</v>
      </c>
      <c r="JV16" s="1544" t="n">
        <v>1006.33328706</v>
      </c>
      <c r="JW16" s="1544" t="n">
        <v>727.26720171</v>
      </c>
      <c r="JX16" s="1544" t="n">
        <v>727.26720171</v>
      </c>
      <c r="JY16" s="1544" t="n">
        <v>757.40751698</v>
      </c>
      <c r="JZ16" s="1544" t="n">
        <v>757.40751698</v>
      </c>
      <c r="KA16" s="1544" t="n">
        <v>822.3468461699999</v>
      </c>
      <c r="KB16" s="1544" t="n">
        <v>833.1375684</v>
      </c>
      <c r="KC16" s="1544" t="n">
        <v>689.05823538</v>
      </c>
      <c r="KD16" s="1544" t="n">
        <v>473.64476228</v>
      </c>
      <c r="KE16" s="1544" t="n">
        <v>473.64476228</v>
      </c>
      <c r="KF16" s="1544" t="n">
        <v>951.8317360799999</v>
      </c>
      <c r="KG16" s="1544" t="n">
        <v>546.7169082200001</v>
      </c>
      <c r="KH16" s="1544" t="n">
        <v>546.7169082200001</v>
      </c>
      <c r="KI16" s="1544" t="n">
        <v>564.30147775</v>
      </c>
      <c r="KJ16" s="1544" t="n">
        <v>564.30147775</v>
      </c>
      <c r="KK16" s="1544" t="n">
        <v>653.07805078</v>
      </c>
      <c r="KL16" s="1544" t="n">
        <v>664.78062338</v>
      </c>
      <c r="KM16" s="1544" t="n">
        <v>664.78062338</v>
      </c>
      <c r="KN16" s="1544" t="n">
        <v>709.8726262500001</v>
      </c>
      <c r="KO16" s="1544" t="n">
        <v>758.27497097</v>
      </c>
      <c r="KP16" s="1544" t="n">
        <v>786.0891884800001</v>
      </c>
      <c r="KQ16" s="1544" t="n">
        <v>776.1384155</v>
      </c>
      <c r="KR16" s="1544" t="n">
        <v>776.1384155</v>
      </c>
      <c r="KS16" s="1544" t="n">
        <v>835.9683238000001</v>
      </c>
      <c r="KT16" s="1544" t="n">
        <v>835.9683238000001</v>
      </c>
      <c r="KU16" s="1544" t="n">
        <v>830.3219752</v>
      </c>
      <c r="KV16" s="1544" t="n">
        <v>920.4607441600001</v>
      </c>
      <c r="KW16" s="1544" t="n">
        <v>633.7023870500001</v>
      </c>
      <c r="KX16" s="1544" t="n">
        <v>643.5576970500001</v>
      </c>
      <c r="KY16" s="1544" t="n">
        <v>643.5576970500001</v>
      </c>
      <c r="KZ16" s="1544" t="n">
        <v>538.4426242200001</v>
      </c>
      <c r="LA16" s="1544" t="n">
        <v>538.4426242200001</v>
      </c>
      <c r="LB16" s="1544" t="n">
        <v>578.84786569</v>
      </c>
      <c r="LC16" s="1544" t="n">
        <v>578.84786569</v>
      </c>
      <c r="LD16" s="1544" t="n">
        <v>578.84786569</v>
      </c>
      <c r="LE16" s="1544" t="n">
        <v>671.92242437</v>
      </c>
      <c r="LF16" s="1544" t="n">
        <v>615.732603</v>
      </c>
      <c r="LG16" s="1544" t="n">
        <v>615.732603</v>
      </c>
      <c r="LH16" s="1544" t="n">
        <v>615.732603</v>
      </c>
      <c r="LI16" s="1544" t="n">
        <v>727.8421733600001</v>
      </c>
      <c r="LJ16" s="1544" t="n">
        <v>727.8421733600001</v>
      </c>
      <c r="LK16" s="1544" t="n">
        <v>727.8421733600001</v>
      </c>
      <c r="LL16" s="1544" t="n">
        <v>651.46197081</v>
      </c>
      <c r="LM16" s="1544" t="n">
        <v>651.46197081</v>
      </c>
      <c r="LN16" s="1544" t="n">
        <v>698.8202015400001</v>
      </c>
      <c r="LO16" s="1544" t="n">
        <v>698.8202015400001</v>
      </c>
      <c r="LP16" s="1544" t="n">
        <v>698.8202015400001</v>
      </c>
      <c r="LQ16" s="1544" t="n">
        <v>623.5249663000001</v>
      </c>
      <c r="LR16" s="1544" t="n">
        <v>655.6112592100001</v>
      </c>
      <c r="LS16" s="1544" t="n">
        <v>655.6112592100001</v>
      </c>
      <c r="LT16" s="1544" t="n">
        <v>763.83930293</v>
      </c>
      <c r="LU16" s="1544" t="n">
        <v>643.33920099</v>
      </c>
      <c r="LV16" s="1544" t="n">
        <v>689.09666587</v>
      </c>
      <c r="LW16" s="1544" t="n">
        <v>689.09666587</v>
      </c>
      <c r="LX16" s="1544" t="n">
        <v>764.00651389</v>
      </c>
      <c r="LY16" s="1544" t="n">
        <v>764.00651389</v>
      </c>
      <c r="LZ16" s="1544" t="n">
        <v>749.0242018600001</v>
      </c>
      <c r="MA16" s="1544" t="n">
        <v>749.0242018600001</v>
      </c>
      <c r="MB16" s="1544" t="n">
        <v>749.0242018600001</v>
      </c>
      <c r="MC16" s="1544" t="n">
        <v>749.0242018600001</v>
      </c>
      <c r="MD16" s="1544" t="n">
        <v>883.1554972</v>
      </c>
      <c r="ME16" s="1544" t="n">
        <v>692.8455664300001</v>
      </c>
      <c r="MF16" s="1544" t="n">
        <v>692.8455664300001</v>
      </c>
      <c r="MG16" s="1544" t="n">
        <v>692.8455664300001</v>
      </c>
      <c r="MH16" s="1544" t="n">
        <v>646.4254349500001</v>
      </c>
      <c r="MI16" s="1544" t="n">
        <v>646.4254349500001</v>
      </c>
      <c r="MJ16" s="1544" t="n">
        <v>527.21065694</v>
      </c>
      <c r="MK16" s="1544" t="n">
        <v>545.85941459</v>
      </c>
      <c r="ML16" s="1544" t="n">
        <v>545.85941459</v>
      </c>
      <c r="MM16" s="1544" t="n">
        <v>545.85941459</v>
      </c>
      <c r="MN16" s="1544" t="n">
        <v>545.85941459</v>
      </c>
      <c r="MO16" s="1544" t="n">
        <v>545.85941459</v>
      </c>
      <c r="MP16" s="1544" t="n">
        <v>545.85941459</v>
      </c>
      <c r="MQ16" s="1544" t="n">
        <v>477.01481979</v>
      </c>
      <c r="MR16" s="1544" t="n">
        <v>477.01481979</v>
      </c>
      <c r="MS16" s="1544" t="n">
        <v>637.97375849</v>
      </c>
      <c r="MT16" s="1544" t="n">
        <v>683.4708866</v>
      </c>
      <c r="MU16" s="1544" t="n">
        <v>683.4708866</v>
      </c>
      <c r="MV16" s="1544" t="n">
        <v>683.4708866</v>
      </c>
      <c r="MW16" s="1544" t="n">
        <v>786.6866311499999</v>
      </c>
      <c r="MX16" s="1544" t="n">
        <v>831.46856029</v>
      </c>
      <c r="MY16" s="1544" t="n">
        <v>831.46856029</v>
      </c>
      <c r="MZ16" s="1544" t="n">
        <v>831.46856029</v>
      </c>
      <c r="NA16" s="1544" t="n">
        <v>831.46856029</v>
      </c>
      <c r="NB16" s="1544" t="n">
        <v>831.46856029</v>
      </c>
      <c r="NC16" s="1544" t="n">
        <v>831.46856029</v>
      </c>
      <c r="ND16" s="1544" t="n">
        <v>831.46856029</v>
      </c>
      <c r="NE16" s="1544" t="n">
        <v>831.46856029</v>
      </c>
      <c r="NF16" s="1544" t="n">
        <v>845.64768225</v>
      </c>
      <c r="NG16" s="1544" t="n">
        <v>824.88602717</v>
      </c>
      <c r="NH16" s="1544" t="n">
        <v>847.6985767900001</v>
      </c>
      <c r="NI16" s="1544" t="n">
        <v>805.55676054</v>
      </c>
      <c r="NJ16" s="1544" t="n">
        <v>805.55676054</v>
      </c>
      <c r="NK16" s="1544" t="n">
        <v>866.33843088</v>
      </c>
      <c r="NL16" s="1544" t="n">
        <v>866.33843088</v>
      </c>
      <c r="NM16" s="1544" t="n">
        <v>944.30228402</v>
      </c>
      <c r="NN16" s="1544" t="n">
        <v>944.30228402</v>
      </c>
      <c r="NO16" s="1544" t="n">
        <v>944.30228402</v>
      </c>
      <c r="NP16" s="1544" t="n">
        <v>1032.96288586</v>
      </c>
      <c r="NQ16" s="1544" t="n">
        <v>1032.96288586</v>
      </c>
      <c r="NR16" s="1544" t="n">
        <v>1111.56453587</v>
      </c>
      <c r="NS16" s="1544" t="n">
        <v>1111.56453587</v>
      </c>
      <c r="NT16" s="1544" t="n">
        <v>1111.56453587</v>
      </c>
      <c r="NU16" s="1544" t="n">
        <v>1213.84289274</v>
      </c>
      <c r="NV16" s="1544" t="n">
        <v>1253.96483698</v>
      </c>
      <c r="NW16" s="1544" t="n">
        <v>1253.96483698</v>
      </c>
      <c r="NX16" s="1544" t="n">
        <v>1253.96483698</v>
      </c>
      <c r="NY16" s="1544" t="n">
        <v>1143.5583596</v>
      </c>
      <c r="NZ16" s="1544" t="n">
        <v>1268.59056428</v>
      </c>
      <c r="OA16" s="1544" t="n">
        <v>1268.59056428</v>
      </c>
      <c r="OB16" s="1544" t="n">
        <v>1268.59056428</v>
      </c>
      <c r="OC16" s="1544" t="n">
        <v>1262.17520532</v>
      </c>
      <c r="OD16" s="1544" t="n">
        <v>1262.17520532</v>
      </c>
      <c r="OE16" s="1544" t="n">
        <v>1262.17520532</v>
      </c>
      <c r="OF16" s="1544" t="n">
        <v>1262.17520532</v>
      </c>
      <c r="OG16" s="1544" t="n">
        <v>1392.50920039</v>
      </c>
      <c r="OH16" s="1544" t="n">
        <v>1392.50920039</v>
      </c>
      <c r="OI16" s="1544" t="n">
        <v>733.6486893000001</v>
      </c>
      <c r="OJ16" s="1544" t="n">
        <v>1386.0297313</v>
      </c>
      <c r="OK16" s="1544" t="n">
        <v>1386.0297313</v>
      </c>
      <c r="OL16" s="1544" t="n">
        <v>1394.03822676</v>
      </c>
      <c r="OM16" s="1544" t="n">
        <v>1394.03822676</v>
      </c>
      <c r="ON16" s="1544" t="n">
        <v>1394.03822676</v>
      </c>
      <c r="OO16" s="1544" t="n">
        <v>1392.40479628</v>
      </c>
      <c r="OP16" s="1544" t="n">
        <v>1419.93541818</v>
      </c>
      <c r="OQ16" s="1544" t="n">
        <v>1419.93541818</v>
      </c>
      <c r="OR16" s="1544" t="n">
        <v>1419.93541818</v>
      </c>
      <c r="OS16" s="1544" t="n">
        <v>1318.16497288</v>
      </c>
      <c r="OT16" s="1544" t="n">
        <v>488.63416609</v>
      </c>
      <c r="OU16" s="1544" t="n">
        <v>488.63416609</v>
      </c>
      <c r="OV16" s="1544" t="n">
        <v>488.63416609</v>
      </c>
      <c r="OW16" s="1544" t="n">
        <v>352.62100865</v>
      </c>
      <c r="OX16" s="1544" t="n">
        <v>352.62100865</v>
      </c>
      <c r="OY16" s="1544" t="n">
        <v>280.38302285</v>
      </c>
      <c r="OZ16" s="1544" t="n">
        <v>280.38302285</v>
      </c>
      <c r="PA16" s="1544" t="n">
        <v>280.38302285</v>
      </c>
      <c r="PB16" s="1544" t="n">
        <v>309.90428411</v>
      </c>
      <c r="PC16" s="1544" t="n">
        <v>309.90428411</v>
      </c>
      <c r="PD16" s="1544" t="n">
        <v>309.90428411</v>
      </c>
      <c r="PE16" s="1544" t="n">
        <v>416.2847255</v>
      </c>
      <c r="PF16" s="1544" t="n">
        <v>448.43644226</v>
      </c>
      <c r="PG16" s="1544" t="n">
        <v>448.43644226</v>
      </c>
      <c r="PH16" s="1544" t="n">
        <v>448.43644226</v>
      </c>
      <c r="PI16" s="1544" t="n">
        <v>524.58914709</v>
      </c>
      <c r="PJ16" s="1544" t="n">
        <v>556.06561822</v>
      </c>
      <c r="PK16" s="1544" t="n">
        <v>556.06561822</v>
      </c>
      <c r="PL16" s="1544" t="n">
        <v>556.06561822</v>
      </c>
      <c r="PM16" s="1544" t="n">
        <v>556.06561822</v>
      </c>
      <c r="PN16" s="1544" t="n">
        <v>528.13463442</v>
      </c>
      <c r="PO16" s="1544" t="n">
        <v>528.13463442</v>
      </c>
      <c r="PP16" s="1544" t="n">
        <v>537.4217594600001</v>
      </c>
      <c r="PQ16" s="1544" t="n">
        <v>537.4217594600001</v>
      </c>
      <c r="PR16" s="1544" t="n">
        <v>537.4217594600001</v>
      </c>
      <c r="PS16" s="1544" t="n">
        <v>680.32843113</v>
      </c>
      <c r="PT16" s="1544" t="n">
        <v>680.32843113</v>
      </c>
      <c r="PU16" s="1544" t="n">
        <v>717.4252475500001</v>
      </c>
      <c r="PV16" s="1544" t="n">
        <v>717.4252475500001</v>
      </c>
      <c r="PW16" s="1544" t="n">
        <v>717.4252475500001</v>
      </c>
      <c r="PX16" s="1544" t="n">
        <v>853.81992804</v>
      </c>
      <c r="PY16" s="1544" t="n">
        <v>876.7317675099999</v>
      </c>
      <c r="PZ16" s="1544" t="n">
        <v>876.7317675099999</v>
      </c>
      <c r="QA16" s="1544" t="n">
        <v>876.7317675099999</v>
      </c>
      <c r="QB16" s="1544" t="n">
        <v>387.86864345</v>
      </c>
      <c r="QC16" s="1544" t="n">
        <v>422.32770098</v>
      </c>
      <c r="QD16" s="1544" t="n">
        <v>422.32770098</v>
      </c>
      <c r="QE16" s="1544" t="n">
        <v>452.15874498</v>
      </c>
      <c r="QF16" s="1544" t="n">
        <v>452.15874498</v>
      </c>
      <c r="QG16" s="1544" t="n">
        <v>452.15874498</v>
      </c>
      <c r="QH16" s="1544" t="n">
        <v>452.15874498</v>
      </c>
      <c r="QI16" s="1544" t="n">
        <v>535.4550102100001</v>
      </c>
      <c r="QJ16" s="1544" t="n">
        <v>535.4550102100001</v>
      </c>
      <c r="QK16" s="1544" t="n">
        <v>596.6603811900001</v>
      </c>
      <c r="QL16" s="1544" t="n">
        <v>596.6603811900001</v>
      </c>
      <c r="QM16" s="1544" t="n">
        <v>596.6603811900001</v>
      </c>
      <c r="QN16" s="1544" t="n">
        <v>683.3032451399999</v>
      </c>
      <c r="QO16" s="1544" t="n">
        <v>832.37327437</v>
      </c>
      <c r="QP16" s="1544" t="n">
        <v>832.37327437</v>
      </c>
      <c r="QQ16" s="1544" t="n">
        <v>842.31308314</v>
      </c>
      <c r="QR16" s="1544" t="n">
        <v>842.31308314</v>
      </c>
      <c r="QS16" s="1544" t="n">
        <v>855.76640647</v>
      </c>
      <c r="QT16" s="1544" t="n">
        <v>898.6355617</v>
      </c>
      <c r="QU16" s="1544" t="n">
        <v>898.6355617</v>
      </c>
      <c r="QV16" s="1544" t="n">
        <v>944.8316264745761</v>
      </c>
      <c r="QW16" s="1544" t="n">
        <v>898.6355617</v>
      </c>
      <c r="QX16" s="1544" t="n">
        <v>898.6355617</v>
      </c>
      <c r="QY16" s="1544" t="n">
        <v>443.63275895</v>
      </c>
      <c r="QZ16" s="1544" t="n">
        <v>443.63275895</v>
      </c>
      <c r="RA16" s="1544" t="n">
        <v>259.67484097</v>
      </c>
      <c r="RB16" s="1544" t="n">
        <v>259.67484097</v>
      </c>
      <c r="RC16" s="1544" t="n">
        <v>259.67484097</v>
      </c>
      <c r="RD16" s="1544" t="n">
        <v>259.67484097</v>
      </c>
      <c r="RE16" s="1544" t="n">
        <v>128.29682911</v>
      </c>
      <c r="RF16" s="1544" t="n">
        <v>128.29682911</v>
      </c>
      <c r="RG16" s="1544" t="n">
        <v>128.29682911</v>
      </c>
      <c r="RH16" s="1544" t="n">
        <v>177.98922952</v>
      </c>
      <c r="RI16" s="1544" t="n">
        <v>234.85366395</v>
      </c>
      <c r="RJ16" s="1544" t="n">
        <v>234.85366395</v>
      </c>
      <c r="RK16" s="1544" t="n">
        <v>293.04293502</v>
      </c>
      <c r="RL16" s="1544" t="n">
        <v>293.04293502</v>
      </c>
      <c r="RM16" s="1544" t="n">
        <v>345.6093622300001</v>
      </c>
      <c r="RN16" s="1544" t="n">
        <v>345.6093622300001</v>
      </c>
      <c r="RO16" s="1544" t="n">
        <v>345.6093622300001</v>
      </c>
      <c r="RP16" s="1544" t="n">
        <v>345.6093622300001</v>
      </c>
      <c r="RQ16" s="1544" t="n">
        <v>183.59133021</v>
      </c>
      <c r="RR16" s="1544" t="n">
        <v>183.59133021</v>
      </c>
      <c r="RS16" s="1544" t="n">
        <v>295.85997738</v>
      </c>
      <c r="RT16" s="1544" t="n">
        <v>295.85997738</v>
      </c>
      <c r="RU16" s="1544" t="n">
        <v>295.85997738</v>
      </c>
      <c r="RV16" s="1544" t="n">
        <v>295.85997738</v>
      </c>
      <c r="RW16" s="1544" t="n">
        <v>295.85997738</v>
      </c>
      <c r="RX16" s="1544" t="n">
        <v>295.85997738</v>
      </c>
      <c r="RY16" s="1544" t="n">
        <v>268.9293458808</v>
      </c>
      <c r="RZ16" s="1544" t="n">
        <v>268.9293458808</v>
      </c>
      <c r="SA16" s="1544" t="n">
        <v>327.34270393</v>
      </c>
      <c r="SB16" s="1544" t="n">
        <v>414.7416618940001</v>
      </c>
      <c r="SC16" s="1544" t="n">
        <v>414.7416618940001</v>
      </c>
      <c r="SD16" s="1544" t="n">
        <v>414.7416618940001</v>
      </c>
      <c r="SE16" s="1544" t="n">
        <v>577.1112972000001</v>
      </c>
      <c r="SF16" s="1544" t="n">
        <v>577.1112972000001</v>
      </c>
      <c r="SG16" s="1544" t="n">
        <v>607.1975788900002</v>
      </c>
      <c r="SH16" s="1544" t="n">
        <v>607.1975788900002</v>
      </c>
      <c r="SI16" s="1544" t="n">
        <v>859.3811910300001</v>
      </c>
      <c r="SJ16" s="1544" t="n">
        <v>859.3811910300001</v>
      </c>
      <c r="SK16" s="1544" t="n">
        <v>885.7092162800001</v>
      </c>
      <c r="SL16" s="1544" t="n">
        <v>885.7092162800001</v>
      </c>
      <c r="SM16" s="1544" t="n">
        <v>887.44052327</v>
      </c>
      <c r="SN16" s="1544" t="n">
        <v>887.44052327</v>
      </c>
      <c r="SO16" s="1544" t="n">
        <v>887.44052327</v>
      </c>
      <c r="SP16" s="1544" t="n">
        <v>534.88309069</v>
      </c>
      <c r="SQ16" s="1544" t="n">
        <v>534.88309069</v>
      </c>
      <c r="SR16" s="1544" t="n">
        <v>534.88309069</v>
      </c>
      <c r="SS16" s="1544" t="n">
        <v>640.9523030800001</v>
      </c>
      <c r="ST16" s="1544" t="n">
        <v>640.9523030800001</v>
      </c>
      <c r="SU16" s="1544" t="n">
        <v>653.37648032</v>
      </c>
      <c r="SV16" s="1544" t="n">
        <v>653.37648032</v>
      </c>
      <c r="SW16" s="1544" t="n">
        <v>653.37648032</v>
      </c>
      <c r="SX16" s="1544" t="n">
        <v>918.91854441</v>
      </c>
      <c r="SY16" s="1544" t="n">
        <v>918.91854441</v>
      </c>
      <c r="SZ16" s="1544" t="n">
        <v>918.91854441</v>
      </c>
      <c r="TA16" s="1544" t="n">
        <v>706.9943887100001</v>
      </c>
      <c r="TB16" s="1544" t="n">
        <v>706.9943887100001</v>
      </c>
      <c r="TC16" s="1544" t="n">
        <v>757.50136407</v>
      </c>
      <c r="TD16" s="1544" t="n">
        <v>757.50136407</v>
      </c>
      <c r="TE16" s="1544" t="n">
        <v>335.54648229</v>
      </c>
      <c r="TF16" s="1544" t="n">
        <v>449.0894129</v>
      </c>
      <c r="TG16" s="1544" t="n">
        <v>158.09089622</v>
      </c>
      <c r="TH16" s="1544" t="n">
        <v>265.62175769</v>
      </c>
      <c r="TI16" s="1544" t="n">
        <v>389.40008173</v>
      </c>
      <c r="TJ16" s="1544" t="n">
        <v>400.56234338</v>
      </c>
      <c r="TK16" s="1544" t="n">
        <v>350.45869285</v>
      </c>
      <c r="TL16" s="1544" t="n">
        <v>492.83565536</v>
      </c>
      <c r="TM16" s="1544" t="n">
        <v>177.20169251</v>
      </c>
      <c r="TN16" s="1544" t="n">
        <v>118.78202468</v>
      </c>
      <c r="TO16" s="1544" t="n">
        <v>206.92655673</v>
      </c>
      <c r="TP16" s="1544" t="n">
        <v>231.46942499</v>
      </c>
      <c r="TQ16" s="1544" t="n">
        <v>351.36902499</v>
      </c>
      <c r="TR16" s="1544" t="n">
        <v>463.55106247</v>
      </c>
      <c r="TS16" s="1544" t="n">
        <v>488.97502188</v>
      </c>
      <c r="TT16" s="1544" t="n">
        <v>497.6164014899999</v>
      </c>
      <c r="TU16" s="1544" t="n">
        <v>554.19629022</v>
      </c>
      <c r="TV16" s="1544" t="n">
        <v>470.2008921099999</v>
      </c>
      <c r="TW16" s="1544" t="n">
        <v>521.5764404199999</v>
      </c>
      <c r="TX16" s="1544" t="n">
        <v>632.68594921</v>
      </c>
      <c r="TY16" s="1544" t="n">
        <v>664.6149768600001</v>
      </c>
      <c r="TZ16" s="1544" t="n">
        <v>821.57523525</v>
      </c>
      <c r="UA16" s="1544" t="n">
        <v>815.64147538</v>
      </c>
      <c r="UB16" s="1544" t="n">
        <v>793.7785654699999</v>
      </c>
      <c r="UC16" s="1544" t="n">
        <v>545.5223109799999</v>
      </c>
      <c r="UD16" s="1544" t="n">
        <v>571.16231893</v>
      </c>
      <c r="UE16" s="1544" t="n">
        <v>466.14747035</v>
      </c>
      <c r="UF16" s="1544" t="n">
        <v>503.23577244</v>
      </c>
      <c r="UG16" s="1544" t="n">
        <v>424.12250302</v>
      </c>
      <c r="UH16" s="1544" t="n">
        <v>327.30280932</v>
      </c>
      <c r="UI16" s="1544" t="n">
        <v>362.51460677</v>
      </c>
      <c r="UJ16" s="1544" t="n">
        <v>306.68892752</v>
      </c>
      <c r="UK16" s="1544" t="n">
        <v>320.84870482</v>
      </c>
      <c r="UL16" s="1544" t="n">
        <v>251.49606566</v>
      </c>
      <c r="UM16" s="1544" t="n">
        <v>164.65196941</v>
      </c>
      <c r="UN16" s="1544" t="n">
        <v>238.95677207</v>
      </c>
      <c r="UO16" s="1544" t="n">
        <v>245.49234392</v>
      </c>
      <c r="UP16" s="1544" t="n">
        <v>268.72150843</v>
      </c>
      <c r="UQ16" s="1544" t="n">
        <v>298.24623137</v>
      </c>
      <c r="UR16" s="1544" t="n">
        <v>261.26914963</v>
      </c>
      <c r="US16" s="1544" t="n">
        <v>265.04232188</v>
      </c>
      <c r="UT16" s="1544" t="n">
        <v>291.32784607</v>
      </c>
      <c r="UU16" s="1544" t="n">
        <v>272.12734025</v>
      </c>
      <c r="UV16" s="1544" t="n">
        <v>351.98524808</v>
      </c>
      <c r="UW16" s="1544" t="n">
        <v>364.85908888</v>
      </c>
      <c r="UX16" s="1544" t="n">
        <v>352.56916876</v>
      </c>
      <c r="UY16" s="1544" t="n">
        <v>328.27417267</v>
      </c>
      <c r="UZ16" s="1544" t="n">
        <v>259.59378001</v>
      </c>
      <c r="VA16" s="1544" t="n">
        <v>259.59378001</v>
      </c>
      <c r="VB16" s="1544" t="n">
        <v>369.49269498</v>
      </c>
      <c r="VC16" s="1544" t="n">
        <v>204.35573897</v>
      </c>
      <c r="VD16" s="1544" t="n">
        <v>317.6018415299999</v>
      </c>
      <c r="VE16" s="1544" t="n">
        <v>317.6018415299999</v>
      </c>
      <c r="VF16" s="1544" t="n">
        <v>337.7380608</v>
      </c>
      <c r="VG16" s="1544" t="n">
        <v>547.9217756999999</v>
      </c>
      <c r="VH16" s="1544" t="n">
        <v>638.1093731099999</v>
      </c>
      <c r="VI16" s="1544" t="n">
        <v>625.1331951699999</v>
      </c>
      <c r="VJ16" s="1544" t="n">
        <v>740.9419293999999</v>
      </c>
      <c r="VK16" s="1544" t="n">
        <v>214.1209343</v>
      </c>
      <c r="VL16" s="1544" t="n">
        <v>301.8176210399999</v>
      </c>
      <c r="VM16" s="1544" t="n">
        <v>175.16725528</v>
      </c>
      <c r="VN16" s="1544" t="n">
        <v>219.70962954</v>
      </c>
      <c r="VO16" s="1544" t="n">
        <v>173.98712226</v>
      </c>
      <c r="VP16" s="1544" t="n">
        <v>245.52445323</v>
      </c>
      <c r="VQ16" s="1544" t="n">
        <v>330.04089171</v>
      </c>
      <c r="VR16" s="1544" t="n">
        <v>226.89363018</v>
      </c>
      <c r="VS16" s="1544" t="n">
        <v>67.02609468999999</v>
      </c>
      <c r="VT16" s="1544" t="n">
        <v>139.67009012</v>
      </c>
      <c r="VU16" s="1544" t="n">
        <v>166.18961464</v>
      </c>
      <c r="VV16" s="1544" t="n">
        <v>125.88837199</v>
      </c>
      <c r="VW16" s="1544" t="n">
        <v>269.95664714</v>
      </c>
      <c r="VX16" s="1544" t="n">
        <v>310.21923803</v>
      </c>
      <c r="VY16" s="1544" t="n">
        <v>542.0079361099999</v>
      </c>
      <c r="VZ16" s="1544" t="n">
        <v>545.2328913499999</v>
      </c>
      <c r="WA16" s="1544" t="n">
        <v>617.81494042</v>
      </c>
      <c r="WB16" s="1544" t="n">
        <v>351.45865493</v>
      </c>
      <c r="WC16" s="1544" t="n">
        <v>168.56661771</v>
      </c>
      <c r="WD16" s="1544" t="n">
        <v>216.96384734</v>
      </c>
      <c r="WE16" s="1544" t="n">
        <v>558.1454356330498</v>
      </c>
      <c r="WF16" s="1544" t="n">
        <v>388.64609888</v>
      </c>
      <c r="WG16" s="1544" t="n">
        <v>201.94158191</v>
      </c>
      <c r="WH16" s="1544" t="n">
        <v>257.01210846</v>
      </c>
      <c r="WI16" s="1544" t="n">
        <v>181.16742274</v>
      </c>
      <c r="WJ16" s="1544" t="n">
        <v>311.06834488</v>
      </c>
      <c r="WK16" s="1544" t="n">
        <v>46.99558266000003</v>
      </c>
      <c r="WL16" s="1544" t="n">
        <v>64.21781795000004</v>
      </c>
      <c r="WM16" s="1544" t="n">
        <v>182.14963702</v>
      </c>
      <c r="WN16" s="1544" t="n">
        <v>354.29424612</v>
      </c>
      <c r="WO16" s="1544" t="n">
        <v>127.38770722</v>
      </c>
      <c r="WP16" s="1544" t="n">
        <v>135.3149383</v>
      </c>
      <c r="WQ16" s="1544" t="n">
        <v>199.59240014</v>
      </c>
      <c r="WR16" s="1544" t="n">
        <v>252.08946406</v>
      </c>
      <c r="WS16" s="1544" t="n">
        <v>242.7916038</v>
      </c>
      <c r="WT16" s="1544" t="n">
        <v>328.77038699</v>
      </c>
      <c r="WU16" s="1544" t="n">
        <v>165.39080645</v>
      </c>
      <c r="WV16" s="1544" t="n">
        <v>212.2120488</v>
      </c>
      <c r="WW16" s="1544" t="n">
        <v>181.86951197</v>
      </c>
      <c r="WX16" s="1544" t="n">
        <v>101.84910957</v>
      </c>
      <c r="WY16" s="1544" t="n">
        <v>211.14236147</v>
      </c>
      <c r="WZ16" s="1544" t="n">
        <v>235.096546</v>
      </c>
      <c r="XA16" s="1544" t="n">
        <v>268.07693085</v>
      </c>
      <c r="XB16" s="1544" t="n">
        <v>146.62561524</v>
      </c>
      <c r="XC16" s="1544" t="n">
        <v>210.03417286</v>
      </c>
      <c r="XD16" s="1544" t="n">
        <v>111.8307835</v>
      </c>
      <c r="XE16" s="1544" t="n">
        <v>240.91218163</v>
      </c>
      <c r="XF16" s="1544" t="n">
        <v>216.2574083</v>
      </c>
      <c r="XG16" s="1544" t="n">
        <v>248.52585905</v>
      </c>
      <c r="XH16" s="1544" t="n">
        <v>287.65251378</v>
      </c>
      <c r="XI16" s="1544" t="n">
        <v>143.27872461</v>
      </c>
      <c r="XJ16" s="1544" t="n">
        <v>173.32673421</v>
      </c>
      <c r="XK16" s="1544" t="n">
        <v>200.45630393</v>
      </c>
      <c r="XL16" s="1544" t="n">
        <v>244.27286263</v>
      </c>
      <c r="XM16" s="1544" t="n">
        <v>380.89960356</v>
      </c>
      <c r="XN16" s="1544" t="n">
        <v>448.95084801</v>
      </c>
      <c r="XO16" s="1544" t="n">
        <v>500.12977293</v>
      </c>
      <c r="XP16" s="1544" t="n">
        <v>504.79681699</v>
      </c>
      <c r="XQ16" s="1544" t="n">
        <v>103.64869911</v>
      </c>
      <c r="XR16" s="1544" t="n">
        <v>207.00579772</v>
      </c>
      <c r="XS16" s="1544" t="n">
        <v>109.16704468</v>
      </c>
      <c r="XT16" s="1544" t="n">
        <v>121.06715649</v>
      </c>
      <c r="XU16" s="1544" t="n">
        <v>228.12445467</v>
      </c>
      <c r="XV16" s="1544" t="n">
        <v>289.1802709</v>
      </c>
      <c r="XW16" s="1544" t="n">
        <v>322.1495959600001</v>
      </c>
      <c r="XX16" s="1544" t="n">
        <v>174.12367516</v>
      </c>
      <c r="XY16" s="1544" t="n">
        <v>293.2823480600001</v>
      </c>
      <c r="XZ16" s="1544" t="n">
        <v>231.19786357</v>
      </c>
      <c r="YA16" s="1544" t="n">
        <v>250.67529174</v>
      </c>
      <c r="YB16" s="1544" t="n">
        <v>377.57355809</v>
      </c>
      <c r="YC16" s="1544" t="n">
        <v>256.68766276</v>
      </c>
      <c r="YD16" s="1544" t="n">
        <v>198.25307442</v>
      </c>
      <c r="YE16" s="1544" t="n">
        <v>176.2737812</v>
      </c>
      <c r="YF16" s="1544" t="n">
        <v>101.12456063</v>
      </c>
      <c r="YG16" s="1544" t="n">
        <v>114.3921087</v>
      </c>
      <c r="YH16" s="1544" t="n">
        <v>129.38589663</v>
      </c>
      <c r="YI16" s="1544" t="n">
        <v>147.97777972</v>
      </c>
      <c r="YJ16" s="1544" t="n">
        <v>172.55262733</v>
      </c>
    </row>
    <row r="17">
      <c r="B17" s="917" t="inlineStr">
        <is>
          <t>Donskoy 
Bekon</t>
        </is>
      </c>
      <c r="C17" s="1532" t="n">
        <v>130.03033862</v>
      </c>
      <c r="D17" s="1533" t="n">
        <v>132.82537533</v>
      </c>
      <c r="E17" s="1533" t="n">
        <v>150.42361021</v>
      </c>
      <c r="F17" s="1533" t="n">
        <v>171.60437021</v>
      </c>
      <c r="G17" s="1533" t="n">
        <v>179.54767638</v>
      </c>
      <c r="H17" s="1533" t="n">
        <v>179.43204135</v>
      </c>
      <c r="I17" s="1533" t="n">
        <v>179.43450568</v>
      </c>
      <c r="J17" s="1533" t="n">
        <v>196.84450568</v>
      </c>
      <c r="K17" s="1533" t="n">
        <v>217.0421441</v>
      </c>
      <c r="L17" s="1533" t="n">
        <v>230.9465305</v>
      </c>
      <c r="M17" s="1533" t="n">
        <v>216.02910524</v>
      </c>
      <c r="N17" s="1533" t="n">
        <v>210.16539407</v>
      </c>
      <c r="O17" s="1533" t="n">
        <v>235.60015047</v>
      </c>
      <c r="P17" s="1533" t="n">
        <v>257.42742023</v>
      </c>
      <c r="Q17" s="1533" t="n">
        <v>271.24504509</v>
      </c>
      <c r="R17" s="1533" t="n">
        <v>272.36511654</v>
      </c>
      <c r="S17" s="1533">
        <f>200+70.30590704</f>
        <v/>
      </c>
      <c r="T17" s="1533" t="n">
        <v>287.91500739</v>
      </c>
      <c r="U17" s="1533" t="n">
        <v>257.73509858</v>
      </c>
      <c r="V17" s="1533" t="n">
        <v>278.55058124</v>
      </c>
      <c r="W17" s="1533" t="n">
        <v>278.16115287</v>
      </c>
      <c r="X17" s="1533" t="n">
        <v>278.15148965</v>
      </c>
      <c r="Y17" s="1533" t="n">
        <v>338.76353181</v>
      </c>
      <c r="Z17" s="1533" t="n">
        <v>339.8097785</v>
      </c>
      <c r="AA17" s="1533" t="n">
        <v>334.8049829</v>
      </c>
      <c r="AB17" s="1533" t="n">
        <v>388.08586431</v>
      </c>
      <c r="AC17" s="1533" t="n">
        <v>391.67815474</v>
      </c>
      <c r="AD17" s="1533" t="n">
        <v>377.11857142</v>
      </c>
      <c r="AE17" s="1533" t="n">
        <v>387.36637285</v>
      </c>
      <c r="AF17" s="1533">
        <f>0.11101204+35.00739279+70+300</f>
        <v/>
      </c>
      <c r="AG17" s="1533">
        <f>0.11101204+113.83129531+300</f>
        <v/>
      </c>
      <c r="AH17" s="1533">
        <f>0.11101204+114.43612102+300</f>
        <v/>
      </c>
      <c r="AI17" s="1533" t="n">
        <v>414.53242236</v>
      </c>
      <c r="AJ17" s="1533">
        <f>0.11101204+132.69659725+300</f>
        <v/>
      </c>
      <c r="AK17" s="1533">
        <f>0.11101204+147.92303939+300</f>
        <v/>
      </c>
      <c r="AL17" s="1533">
        <f>0.11101204+160.51109559+300</f>
        <v/>
      </c>
      <c r="AM17" s="1533">
        <f>0.11101204+389.62105492</f>
        <v/>
      </c>
      <c r="AN17" s="1533">
        <f>0.11101204+14.72966655+375</f>
        <v/>
      </c>
      <c r="AO17" s="1533">
        <f>0.11101204+17.93758513+375+14</f>
        <v/>
      </c>
      <c r="AP17" s="1533">
        <f>0.11101204+34.36587836+375+14</f>
        <v/>
      </c>
      <c r="AQ17" s="1533">
        <f>0.11081204+441.14471159</f>
        <v/>
      </c>
      <c r="AR17" s="1533">
        <f>0.11081204+43.27858238+400</f>
        <v/>
      </c>
      <c r="AS17" s="1533">
        <f>0.11081204+43.285431+400</f>
        <v/>
      </c>
      <c r="AT17" s="1533">
        <f>0.11081204+0.1931291+400+61.1</f>
        <v/>
      </c>
      <c r="AU17" s="1533">
        <f>0.11081204+80.33429693+400</f>
        <v/>
      </c>
      <c r="AV17" s="1533">
        <f>0.11081204+90.66901062+400</f>
        <v/>
      </c>
      <c r="AW17" s="1533">
        <f>0.11081204+87.54665267+400</f>
        <v/>
      </c>
      <c r="AX17" s="1533">
        <f>0.11081204+88.06190577+400</f>
        <v/>
      </c>
      <c r="AY17" s="1533">
        <f>0.11081204+38.83709481+400+88</f>
        <v/>
      </c>
      <c r="AZ17" s="1533">
        <f>0.11081204+105.61264138+400</f>
        <v/>
      </c>
      <c r="BA17" s="1533">
        <f>0.11081204+115.22950741+400</f>
        <v/>
      </c>
      <c r="BB17" s="1533" t="n">
        <v>518.33469604</v>
      </c>
      <c r="BC17" s="1533">
        <f>0.10841204+20.67109405+400+118.2</f>
        <v/>
      </c>
      <c r="BD17" s="1533">
        <f>0.10841204+39.68001705+400+118.2</f>
        <v/>
      </c>
      <c r="BE17" s="1533">
        <f>0.10841204+577.41984331</f>
        <v/>
      </c>
      <c r="BF17" s="1533">
        <f>0.10841204+575.8006438</f>
        <v/>
      </c>
      <c r="BG17" s="1533">
        <f>0.10841204+0.00738961+338.2</f>
        <v/>
      </c>
      <c r="BH17" s="1533">
        <f>0.10841204+14.27591701+338.2</f>
        <v/>
      </c>
      <c r="BI17" s="1533">
        <f>0.10821204+366.56075589</f>
        <v/>
      </c>
      <c r="BJ17" s="1533">
        <f>0.10821204+381.0311637</f>
        <v/>
      </c>
      <c r="BK17" s="1533">
        <f>0.10821204+370.5451278</f>
        <v/>
      </c>
      <c r="BL17" s="1533">
        <f>0.10821204+337.53143003</f>
        <v/>
      </c>
      <c r="BM17" s="1533">
        <f>0.10821204+353.5817951</f>
        <v/>
      </c>
      <c r="BN17" s="1533">
        <f>0.10821204+373.58706152</f>
        <v/>
      </c>
      <c r="BO17" s="1533">
        <f>0.10821204+369.26837449</f>
        <v/>
      </c>
      <c r="BP17" s="1533">
        <f>0.10821204+371.03106895</f>
        <v/>
      </c>
      <c r="BQ17" s="1533">
        <f>0.10821204+372.09084761</f>
        <v/>
      </c>
      <c r="BR17" s="1533">
        <f>0.10821204+395.19460779</f>
        <v/>
      </c>
      <c r="BS17" s="1533">
        <f>0.10821204+395.19460779</f>
        <v/>
      </c>
      <c r="BT17" s="1533">
        <f>0.10821204+431.08427983</f>
        <v/>
      </c>
      <c r="BU17" s="1533">
        <f>0.10821204+283.67241828</f>
        <v/>
      </c>
      <c r="BV17" s="1533">
        <f>0.10821204+278.59906353</f>
        <v/>
      </c>
      <c r="BW17" s="1533">
        <f>0.10821204+297.314560052</f>
        <v/>
      </c>
      <c r="BX17" s="1533">
        <f>0.10821204+315.97512879</f>
        <v/>
      </c>
      <c r="BY17" s="1533">
        <f>236.16032466+0.10821204</f>
        <v/>
      </c>
      <c r="BZ17" s="1533">
        <f>235.87806176+0.10821204</f>
        <v/>
      </c>
      <c r="CA17" s="1533">
        <f>234.4342329+0.10821204</f>
        <v/>
      </c>
      <c r="CB17" s="1533">
        <f>253.37590458+0.10821204</f>
        <v/>
      </c>
      <c r="CC17" s="1533">
        <f>184.31291212+0.10821204</f>
        <v/>
      </c>
      <c r="CD17" s="1533">
        <f>185.33330939+0.10821204</f>
        <v/>
      </c>
      <c r="CE17" s="1533">
        <f>185.69450539+0.10821204</f>
        <v/>
      </c>
      <c r="CF17" s="1533">
        <f>185.69450539+0.10821204</f>
        <v/>
      </c>
      <c r="CG17" s="1533">
        <f>200.30675456+0.10801204</f>
        <v/>
      </c>
      <c r="CH17" s="1533">
        <f>243.09100308+0.10801204</f>
        <v/>
      </c>
      <c r="CI17" s="1533">
        <f>138.01943462+0.10801204</f>
        <v/>
      </c>
      <c r="CJ17" s="1533">
        <f>139.040228859+0.10801204</f>
        <v/>
      </c>
      <c r="CK17" s="1533">
        <f>139.76089904+0.10801204</f>
        <v/>
      </c>
      <c r="CL17" s="1533">
        <f>164.48973696+0.10801204</f>
        <v/>
      </c>
      <c r="CM17" s="1533">
        <f>208.43730765+0.10801204</f>
        <v/>
      </c>
      <c r="CN17" s="1533">
        <f>161.71815699+0.10801204</f>
        <v/>
      </c>
      <c r="CO17" s="1533">
        <f>160.44662109+0.10801204</f>
        <v/>
      </c>
      <c r="CP17" s="1533">
        <f>160.97261561+0.10801204</f>
        <v/>
      </c>
      <c r="CQ17" s="1533">
        <f>169.45234091+0.10801204</f>
        <v/>
      </c>
      <c r="CR17" s="1533">
        <f>219.75170365+0.10801204</f>
        <v/>
      </c>
      <c r="CS17" s="1533">
        <f>201.60481313+0.10801204</f>
        <v/>
      </c>
      <c r="CT17" s="1533">
        <f>5.06902945+202.9975+0.10801204</f>
        <v/>
      </c>
      <c r="CU17" s="1533">
        <f>209.0975+0.54308645+0.10801204</f>
        <v/>
      </c>
      <c r="CV17" s="1533">
        <f>20.52763931+209.13311589+0.10801204</f>
        <v/>
      </c>
      <c r="CW17" s="1533">
        <f>280.89709336+2.78327372+0.10801204</f>
        <v/>
      </c>
      <c r="CX17" s="1533">
        <f>280.89709336+2.78327372+0.10801204</f>
        <v/>
      </c>
      <c r="CY17" s="1533">
        <f>282.99292294+2.47875224+0.10801204</f>
        <v/>
      </c>
      <c r="CZ17" s="1533" t="n">
        <v>285.57968722</v>
      </c>
      <c r="DA17" s="1533">
        <f>283.041296+0.107812+21.996597</f>
        <v/>
      </c>
      <c r="DB17" s="1533">
        <f>332.70844546+0.107812+3.62658936</f>
        <v/>
      </c>
      <c r="DC17" s="1533">
        <f>334.764934+0.107812+3.314581</f>
        <v/>
      </c>
      <c r="DD17" s="1533">
        <f>336.24586698+0.107812+3.31207336</f>
        <v/>
      </c>
      <c r="DE17" s="1533">
        <f>337.30468922+0.107812+5.97605379</f>
        <v/>
      </c>
      <c r="DF17" s="1533">
        <f>340.2156063+0.107812+2.95378179</f>
        <v/>
      </c>
      <c r="DG17" s="1533">
        <f>362.13041178+0.107812+2.67377379</f>
        <v/>
      </c>
      <c r="DH17" s="1533">
        <f>186.23482002+0.10781204+1.74874157</f>
        <v/>
      </c>
      <c r="DI17" s="1533">
        <f>4.21486322+180.311237+1.74874157</f>
        <v/>
      </c>
      <c r="DJ17" s="1533">
        <f>4.12486322+180.99978151+1.74874157</f>
        <v/>
      </c>
      <c r="DK17" s="1533">
        <f>5.83822322+194.74044128+0.10781204</f>
        <v/>
      </c>
      <c r="DL17" s="1533">
        <f>5.83271622+234.5615532+0.10781204</f>
        <v/>
      </c>
      <c r="DM17" s="1533">
        <f>5.83271622+234.5615532+0.10781204</f>
        <v/>
      </c>
      <c r="DN17" s="1533">
        <f>0.97214353+218.04009375+0.10781204</f>
        <v/>
      </c>
      <c r="DO17" s="1533">
        <f>0.98523307+235.24595918+0.10781204</f>
        <v/>
      </c>
      <c r="DP17" s="1533">
        <f>0.98523307+235.24595918+0.10781204</f>
        <v/>
      </c>
      <c r="DQ17" s="1533">
        <f>0.98523307+262.05662165+0.10781204</f>
        <v/>
      </c>
      <c r="DR17" s="1533" t="n">
        <v>234.20398613</v>
      </c>
      <c r="DS17" s="1533" t="n">
        <v>234.20398613</v>
      </c>
      <c r="DT17" s="1533">
        <f>1.5926228+242.21490251+0.10667204</f>
        <v/>
      </c>
      <c r="DU17" s="1533">
        <f>3.7926228+257.23563226+0.10667204</f>
        <v/>
      </c>
      <c r="DV17" s="1533">
        <f>3.7926228+283.3569987+0.10647204</f>
        <v/>
      </c>
      <c r="DW17" s="1533">
        <f>4.0304058+303.34784697+0.10647204</f>
        <v/>
      </c>
      <c r="DX17" s="1533">
        <f>4.0304058+269.33135859+0.10647204</f>
        <v/>
      </c>
      <c r="DY17" s="1533">
        <f>3.70427139+143.21987605+0.10647204</f>
        <v/>
      </c>
      <c r="DZ17" s="1533">
        <f>17.46228239+145.48304001+0.10647204</f>
        <v/>
      </c>
      <c r="EA17" s="1533">
        <f>6.26160672+181.82289669+0.10647204</f>
        <v/>
      </c>
      <c r="EB17" s="1533">
        <f>6.26160672+202.27765861+0.10647204</f>
        <v/>
      </c>
      <c r="EC17" s="1533">
        <f>6.26160672+207.25533665+0.10647204</f>
        <v/>
      </c>
      <c r="ED17" s="1533">
        <f>4.2068122+204.40803489+0.10647204</f>
        <v/>
      </c>
      <c r="EE17" s="1533">
        <f>4.2068122+16.24749587+0.10647204+204</f>
        <v/>
      </c>
      <c r="EF17" s="1533">
        <f>8.7468122+21.06151231+0.10647204+220</f>
        <v/>
      </c>
      <c r="EG17" s="1533">
        <f>3.7468042+263.47544676+0.10647204</f>
        <v/>
      </c>
      <c r="EH17" s="1533">
        <f>3.7468042+262.14979533+0.10647204</f>
        <v/>
      </c>
      <c r="EI17" s="1533">
        <f>3.7468042+262.48501934+0.10647204</f>
        <v/>
      </c>
      <c r="EJ17" s="1533">
        <f>3.7468042+271.94350536+0.10647204</f>
        <v/>
      </c>
      <c r="EK17" s="1533">
        <f>3.7468042+292.24204372+0.10647204</f>
        <v/>
      </c>
      <c r="EL17" s="1533">
        <f>3.7468042+309.87197249+0.10647204</f>
        <v/>
      </c>
      <c r="EM17" s="1533">
        <f>3.7468042+316.53617249+0.10647204</f>
        <v/>
      </c>
      <c r="EN17" s="1533">
        <f>3.7468042+275.681044+0.10647204</f>
        <v/>
      </c>
      <c r="EO17" s="1533">
        <f>3.76928188+294.13152345+0.10627204</f>
        <v/>
      </c>
      <c r="EP17" s="1533">
        <f>3.76928188+310.33872116+0.10627204</f>
        <v/>
      </c>
      <c r="EQ17" s="1533">
        <f>5.26928188+318.88717711+0.10627204</f>
        <v/>
      </c>
      <c r="ER17" s="1533" t="n">
        <v>324.26273103</v>
      </c>
      <c r="ES17" s="1533">
        <f>5.26928188+100.68717711+0.10627204+219</f>
        <v/>
      </c>
      <c r="ET17" s="1533">
        <f>5.26928188+115.95531503+0.10627204+219</f>
        <v/>
      </c>
      <c r="EU17" s="1533">
        <f>6.76928188+117.94904791+0.10627204+236</f>
        <v/>
      </c>
      <c r="EV17" s="1533">
        <f>8.16976005+169.68953558+0.10627204+200</f>
        <v/>
      </c>
      <c r="EW17" s="1533">
        <f>8.16976005+310.15149383+0.10627204</f>
        <v/>
      </c>
      <c r="EX17" s="1533">
        <f>8.18490005+112.16012275+0.10627204+200</f>
        <v/>
      </c>
      <c r="EY17" s="1533" t="n">
        <v>346.05528772</v>
      </c>
      <c r="EZ17" s="1533" t="n">
        <v>361.26766087</v>
      </c>
      <c r="FA17" s="1533" t="n">
        <v>324.72681491</v>
      </c>
      <c r="FB17" s="1533" t="n">
        <v>325</v>
      </c>
      <c r="FC17" s="1533" t="n">
        <v>340.34949924</v>
      </c>
      <c r="FD17" s="1533" t="n">
        <v>356.50665974</v>
      </c>
      <c r="FE17" s="1533" t="n">
        <v>375.35754057</v>
      </c>
      <c r="FF17" s="1533">
        <f>11.15338438+98.93676422+0.10627204+253</f>
        <v/>
      </c>
      <c r="FG17" s="1533">
        <f>4.07615638+100.67919815+0.10627204+228</f>
        <v/>
      </c>
      <c r="FH17" s="1533" t="n">
        <v>350</v>
      </c>
      <c r="FI17" s="1533" t="n">
        <v>369.21243301</v>
      </c>
      <c r="FJ17" s="1533">
        <f>4.07615638+100.64055659+0.10627204+257</f>
        <v/>
      </c>
      <c r="FK17" s="1533">
        <f>4.07615638+100.64055659+0.10627204+257</f>
        <v/>
      </c>
      <c r="FL17" s="1533">
        <f>15.59340495+326.75192246</f>
        <v/>
      </c>
      <c r="FM17" s="1533" t="n">
        <v>357</v>
      </c>
      <c r="FN17" s="1533" t="n">
        <v>383.97598055</v>
      </c>
      <c r="FO17" s="1533">
        <f>15.59340495+104.79792151+0.10627204+281</f>
        <v/>
      </c>
      <c r="FP17" s="1533">
        <f>15.59340495+341.55101145+0.10627204</f>
        <v/>
      </c>
      <c r="FQ17" s="1533">
        <f>15.59541478+100.53537445+0.10627204+242</f>
        <v/>
      </c>
      <c r="FR17" s="1533" t="n">
        <v>370.03350435</v>
      </c>
      <c r="FS17" s="1533" t="n">
        <v>387.03061888</v>
      </c>
      <c r="FT17" s="1533">
        <f>15.59541478+100.04164597+0.10627204+239</f>
        <v/>
      </c>
      <c r="FU17" s="1533">
        <f>15.59541478+100.75399256+0.10627204+242</f>
        <v/>
      </c>
      <c r="FV17" s="1533">
        <f>15.59541478+100.84927919+0.10627204+244</f>
        <v/>
      </c>
      <c r="FW17" s="1533">
        <f>15.59541478+114.88259409+0.10607204+246.5</f>
        <v/>
      </c>
      <c r="FX17" s="1533">
        <f>15.59541478+100.03974244+0.10607204+282.9</f>
        <v/>
      </c>
      <c r="FY17" s="1533" t="n">
        <v>417</v>
      </c>
      <c r="FZ17" s="1533">
        <f>15.59491478+100.42289833+0.10607204+266</f>
        <v/>
      </c>
      <c r="GA17" s="1533">
        <f>15.59491478+367.18953395+0.10607204</f>
        <v/>
      </c>
      <c r="GB17" s="1533">
        <f>15.59491478+83.66721768+0.10607204+300</f>
        <v/>
      </c>
      <c r="GC17" s="1533">
        <f>15.59491478+99.11271001+0.10607204+300</f>
        <v/>
      </c>
      <c r="GD17" s="1533">
        <f>15.59541478+115.37881439+0.10607204+300</f>
        <v/>
      </c>
      <c r="GE17" s="1533">
        <f>15.59541478+166.02110877+0.10607204</f>
        <v/>
      </c>
      <c r="GF17" s="1533">
        <f>3.79539878+179.47281944+0.10607204</f>
        <v/>
      </c>
      <c r="GG17" s="1533">
        <f>3.83954602+176.145498+0.10587204+175</f>
        <v/>
      </c>
      <c r="GH17" s="1533">
        <f>3.74708026+191.34330622+0.10587204</f>
        <v/>
      </c>
      <c r="GI17" s="1533" t="n">
        <v>279.1530762100001</v>
      </c>
      <c r="GJ17" s="1533" t="n">
        <v>281.85183079</v>
      </c>
      <c r="GK17" s="1533" t="n">
        <v>329.09400766</v>
      </c>
      <c r="GL17" s="1533" t="n">
        <v>295.42400766</v>
      </c>
      <c r="GM17" s="1533" t="n">
        <v>319.14702809</v>
      </c>
      <c r="GN17" s="1533" t="n">
        <v>331.84950323</v>
      </c>
      <c r="GO17" s="1533" t="n">
        <v>340.44085723</v>
      </c>
      <c r="GP17" s="1533" t="n">
        <v>329.84531876</v>
      </c>
      <c r="GQ17" s="1533" t="n">
        <v>325.29516465</v>
      </c>
      <c r="GR17" s="1533" t="n">
        <v>326.32988903</v>
      </c>
      <c r="GS17" s="1533" t="n">
        <v>338.61170606</v>
      </c>
      <c r="GT17" s="1533" t="n">
        <v>368.15549764</v>
      </c>
      <c r="GU17" s="1533" t="n">
        <v>379.94121305</v>
      </c>
      <c r="GV17" s="1533" t="n">
        <v>397.74587647</v>
      </c>
      <c r="GW17" s="1533" t="n">
        <v>397.74587647</v>
      </c>
      <c r="GX17" s="1533" t="n">
        <v>389.2</v>
      </c>
      <c r="GY17" s="1533" t="n">
        <v>401.8884824100001</v>
      </c>
      <c r="GZ17" s="1533" t="n">
        <v>429.41865576</v>
      </c>
      <c r="HA17" s="1533" t="n">
        <v>78.17756938000001</v>
      </c>
      <c r="HB17" s="1533" t="n">
        <v>92.71705651000001</v>
      </c>
      <c r="HC17" s="1533" t="n">
        <v>129.13981257</v>
      </c>
      <c r="HD17" s="1533" t="n">
        <v>132.63698316</v>
      </c>
      <c r="HE17" s="1533" t="n">
        <v>164.35840995</v>
      </c>
      <c r="HF17" s="1533" t="n">
        <v>158.56803204</v>
      </c>
      <c r="HG17" s="1533" t="n">
        <v>163.90106037</v>
      </c>
      <c r="HH17" s="1533" t="n">
        <v>180.49711947</v>
      </c>
      <c r="HI17" s="1533" t="n">
        <v>211.41518994</v>
      </c>
      <c r="HJ17" s="1533" t="n">
        <v>212.44788505</v>
      </c>
      <c r="HK17" s="1533" t="n">
        <v>228.50977487</v>
      </c>
      <c r="HL17" s="1533" t="n">
        <v>260.89570485</v>
      </c>
      <c r="HM17" s="1533" t="n">
        <v>262.00869562</v>
      </c>
      <c r="HN17" s="1533" t="n">
        <v>275.17865943</v>
      </c>
      <c r="HO17" s="1533" t="n">
        <v>309.92208369</v>
      </c>
      <c r="HP17" s="1533" t="n">
        <v>313.99459818</v>
      </c>
      <c r="HQ17" s="1533" t="n">
        <v>247.77156596</v>
      </c>
      <c r="HR17" s="1533" t="n">
        <v>259.14893571</v>
      </c>
      <c r="HS17" s="1533" t="n">
        <v>61.78456064</v>
      </c>
      <c r="HT17" s="1544" t="n">
        <v>65.16815803</v>
      </c>
      <c r="HU17" s="1544" t="n">
        <v>65.16815803</v>
      </c>
      <c r="HV17" s="1544" t="n">
        <v>73.67435781</v>
      </c>
      <c r="HW17" s="1544" t="n">
        <v>73.67435781</v>
      </c>
      <c r="HX17" s="1544" t="n">
        <v>106.57148819</v>
      </c>
      <c r="HY17" s="1544" t="n">
        <v>106.57148819</v>
      </c>
      <c r="HZ17" s="1544" t="n">
        <v>103.25744267</v>
      </c>
      <c r="IA17" s="1544" t="n">
        <v>117.43057325</v>
      </c>
      <c r="IB17" s="1544" t="n">
        <v>150.0902544</v>
      </c>
      <c r="IC17" s="1544" t="n">
        <v>150.0902544</v>
      </c>
      <c r="ID17" s="1544" t="n">
        <v>150.0902544</v>
      </c>
      <c r="IE17" s="1544" t="n">
        <v>257.91247606</v>
      </c>
      <c r="IF17" s="1544" t="n">
        <v>257.91247606</v>
      </c>
      <c r="IG17" s="1544" t="n">
        <v>84.19214171</v>
      </c>
      <c r="IH17" s="1544" t="n">
        <v>87.15143484000001</v>
      </c>
      <c r="II17" s="1544" t="n">
        <v>87.15143484000001</v>
      </c>
      <c r="IJ17" s="1544" t="n">
        <v>87.15143484000001</v>
      </c>
      <c r="IK17" s="1544" t="n">
        <v>118.74865773</v>
      </c>
      <c r="IL17" s="1544" t="n">
        <v>118.74865773</v>
      </c>
      <c r="IM17" s="1544" t="n">
        <v>118.74865773</v>
      </c>
      <c r="IN17" s="1544" t="n">
        <v>149.79864197</v>
      </c>
      <c r="IO17" s="1544" t="n">
        <v>146.16121223</v>
      </c>
      <c r="IP17" s="1544" t="n">
        <v>176.4729091</v>
      </c>
      <c r="IQ17" s="1544" t="n">
        <v>196.92021844</v>
      </c>
      <c r="IR17" s="1544" t="n">
        <v>196.92021844</v>
      </c>
      <c r="IS17" s="1544" t="n">
        <v>204.71118055</v>
      </c>
      <c r="IT17" s="1544" t="n">
        <v>254.34927209</v>
      </c>
      <c r="IU17" s="1544" t="n">
        <v>258.64138825</v>
      </c>
      <c r="IV17" s="1544" t="n">
        <v>258.64138825</v>
      </c>
      <c r="IW17" s="1544" t="n">
        <v>267.0536279</v>
      </c>
      <c r="IX17" s="1544" t="n">
        <v>81.33638231</v>
      </c>
      <c r="IY17" s="1544" t="n">
        <v>100.07566094</v>
      </c>
      <c r="IZ17" s="1544" t="n">
        <v>101.96517727</v>
      </c>
      <c r="JA17" s="1544" t="n">
        <v>118.55545846</v>
      </c>
      <c r="JB17" s="1544" t="n">
        <v>118.55545846</v>
      </c>
      <c r="JC17" s="1544" t="n">
        <v>162.80674962</v>
      </c>
      <c r="JD17" s="1544" t="n">
        <v>163.82959523</v>
      </c>
      <c r="JE17" s="1544" t="n">
        <v>163.82959523</v>
      </c>
      <c r="JF17" s="1544" t="n">
        <v>163.82959523</v>
      </c>
      <c r="JG17" s="1544" t="n">
        <v>85.86915880000001</v>
      </c>
      <c r="JH17" s="1544" t="n">
        <v>85.86915880000001</v>
      </c>
      <c r="JI17" s="1544" t="n">
        <v>85.86915880000001</v>
      </c>
      <c r="JJ17" s="1544" t="n">
        <v>108.48803032</v>
      </c>
      <c r="JK17" s="1544" t="n">
        <v>115.78555693</v>
      </c>
      <c r="JL17" s="1544" t="n">
        <v>143.78025293</v>
      </c>
      <c r="JM17" s="1544" t="n">
        <v>155.54012461</v>
      </c>
      <c r="JN17" s="1544" t="n">
        <v>155.54012461</v>
      </c>
      <c r="JO17" s="1544" t="n">
        <v>155.54012461</v>
      </c>
      <c r="JP17" s="1544" t="n">
        <v>190.57903111</v>
      </c>
      <c r="JQ17" s="1544" t="n">
        <v>190.57903111</v>
      </c>
      <c r="JR17" s="1544" t="n">
        <v>209.76514729</v>
      </c>
      <c r="JS17" s="1544" t="n">
        <v>209.76514729</v>
      </c>
      <c r="JT17" s="1544" t="n">
        <v>217.88010909</v>
      </c>
      <c r="JU17" s="1544" t="n">
        <v>239.99490257</v>
      </c>
      <c r="JV17" s="1544" t="n">
        <v>239.99490257</v>
      </c>
      <c r="JW17" s="1544" t="n">
        <v>97.24254607</v>
      </c>
      <c r="JX17" s="1544" t="n">
        <v>97.24254607</v>
      </c>
      <c r="JY17" s="1544" t="n">
        <v>107.54095579</v>
      </c>
      <c r="JZ17" s="1544" t="n">
        <v>107.54095579</v>
      </c>
      <c r="KA17" s="1544" t="n">
        <v>144.59660306</v>
      </c>
      <c r="KB17" s="1544" t="n">
        <v>146.19603079</v>
      </c>
      <c r="KC17" s="1544" t="n">
        <v>142.80960916</v>
      </c>
      <c r="KD17" s="1544" t="n">
        <v>156.79061688</v>
      </c>
      <c r="KE17" s="1544" t="n">
        <v>156.79061688</v>
      </c>
      <c r="KF17" s="1544" t="n">
        <v>115.78555693</v>
      </c>
      <c r="KG17" s="1544" t="n">
        <v>198.29262139</v>
      </c>
      <c r="KH17" s="1544" t="n">
        <v>198.29262139</v>
      </c>
      <c r="KI17" s="1544" t="n">
        <v>209.43287838</v>
      </c>
      <c r="KJ17" s="1544" t="n">
        <v>209.43287838</v>
      </c>
      <c r="KK17" s="1544" t="n">
        <v>252.54331861</v>
      </c>
      <c r="KL17" s="1544" t="n">
        <v>252.09335095</v>
      </c>
      <c r="KM17" s="1544" t="n">
        <v>252.09335095</v>
      </c>
      <c r="KN17" s="1544" t="n">
        <v>252.28163917</v>
      </c>
      <c r="KO17" s="1544" t="n">
        <v>296.48066588</v>
      </c>
      <c r="KP17" s="1544" t="n">
        <v>299.18277081</v>
      </c>
      <c r="KQ17" s="1544" t="n">
        <v>293.26048168</v>
      </c>
      <c r="KR17" s="1544" t="n">
        <v>293.26048168</v>
      </c>
      <c r="KS17" s="1544" t="n">
        <v>313.34371055</v>
      </c>
      <c r="KT17" s="1544" t="n">
        <v>313.34371055</v>
      </c>
      <c r="KU17" s="1544" t="n">
        <v>109.15431238</v>
      </c>
      <c r="KV17" s="1544" t="n">
        <v>150.59701731</v>
      </c>
      <c r="KW17" s="1544" t="n">
        <v>58.21405305</v>
      </c>
      <c r="KX17" s="1544" t="n">
        <v>52.84167123</v>
      </c>
      <c r="KY17" s="1544" t="n">
        <v>52.84167123</v>
      </c>
      <c r="KZ17" s="1544" t="n">
        <v>112.42250883</v>
      </c>
      <c r="LA17" s="1544" t="n">
        <v>112.42250883</v>
      </c>
      <c r="LB17" s="1544" t="n">
        <v>116.63938375</v>
      </c>
      <c r="LC17" s="1544" t="n">
        <v>116.63938375</v>
      </c>
      <c r="LD17" s="1544" t="n">
        <v>116.63938375</v>
      </c>
      <c r="LE17" s="1544" t="n">
        <v>152.31117533</v>
      </c>
      <c r="LF17" s="1544" t="n">
        <v>164.21298706</v>
      </c>
      <c r="LG17" s="1544" t="n">
        <v>164.21298706</v>
      </c>
      <c r="LH17" s="1544" t="n">
        <v>164.21298706</v>
      </c>
      <c r="LI17" s="1544" t="n">
        <v>179.86982128</v>
      </c>
      <c r="LJ17" s="1544" t="n">
        <v>179.86982128</v>
      </c>
      <c r="LK17" s="1544" t="n">
        <v>179.86982128</v>
      </c>
      <c r="LL17" s="1544" t="n">
        <v>42.15856212</v>
      </c>
      <c r="LM17" s="1544" t="n">
        <v>42.15856212</v>
      </c>
      <c r="LN17" s="1544" t="n">
        <v>48.24539073</v>
      </c>
      <c r="LO17" s="1544" t="n">
        <v>48.24539073</v>
      </c>
      <c r="LP17" s="1544" t="n">
        <v>48.24539073</v>
      </c>
      <c r="LQ17" s="1544" t="n">
        <v>94.38256142</v>
      </c>
      <c r="LR17" s="1544" t="n">
        <v>102.24117327</v>
      </c>
      <c r="LS17" s="1544" t="n">
        <v>102.24117327</v>
      </c>
      <c r="LT17" s="1544" t="n">
        <v>141.65726747</v>
      </c>
      <c r="LU17" s="1544" t="n">
        <v>156.29570817</v>
      </c>
      <c r="LV17" s="1544" t="n">
        <v>162.45807873</v>
      </c>
      <c r="LW17" s="1544" t="n">
        <v>162.45807873</v>
      </c>
      <c r="LX17" s="1544" t="n">
        <v>173.12323389</v>
      </c>
      <c r="LY17" s="1544" t="n">
        <v>173.12323389</v>
      </c>
      <c r="LZ17" s="1544" t="n">
        <v>211.8809459</v>
      </c>
      <c r="MA17" s="1544" t="n">
        <v>211.8809459</v>
      </c>
      <c r="MB17" s="1544" t="n">
        <v>211.8809459</v>
      </c>
      <c r="MC17" s="1544" t="n">
        <v>211.8809459</v>
      </c>
      <c r="MD17" s="1544" t="n">
        <v>245.24709231</v>
      </c>
      <c r="ME17" s="1544" t="n">
        <v>263.84373968</v>
      </c>
      <c r="MF17" s="1544" t="n">
        <v>263.84373968</v>
      </c>
      <c r="MG17" s="1544" t="n">
        <v>263.84373968</v>
      </c>
      <c r="MH17" s="1544" t="n">
        <v>89.85982907</v>
      </c>
      <c r="MI17" s="1544" t="n">
        <v>89.85982907</v>
      </c>
      <c r="MJ17" s="1544" t="n">
        <v>138.50470692</v>
      </c>
      <c r="MK17" s="1544" t="n">
        <v>135.65415911</v>
      </c>
      <c r="ML17" s="1544" t="n">
        <v>135.65415911</v>
      </c>
      <c r="MM17" s="1544" t="n">
        <v>135.65415911</v>
      </c>
      <c r="MN17" s="1544" t="n">
        <v>135.65415911</v>
      </c>
      <c r="MO17" s="1544" t="n">
        <v>135.65415911</v>
      </c>
      <c r="MP17" s="1544" t="n">
        <v>135.65415911</v>
      </c>
      <c r="MQ17" s="1544" t="n">
        <v>197.88995491</v>
      </c>
      <c r="MR17" s="1544" t="n">
        <v>197.88995491</v>
      </c>
      <c r="MS17" s="1544" t="n">
        <v>242.77013833</v>
      </c>
      <c r="MT17" s="1544" t="n">
        <v>261.3482034</v>
      </c>
      <c r="MU17" s="1544" t="n">
        <v>261.3482034</v>
      </c>
      <c r="MV17" s="1544" t="n">
        <v>261.3482034</v>
      </c>
      <c r="MW17" s="1544" t="n">
        <v>280.44096156</v>
      </c>
      <c r="MX17" s="1544" t="n">
        <v>299.93943888</v>
      </c>
      <c r="MY17" s="1544" t="n">
        <v>299.93943888</v>
      </c>
      <c r="MZ17" s="1544" t="n">
        <v>299.93943888</v>
      </c>
      <c r="NA17" s="1544" t="n">
        <v>299.93943888</v>
      </c>
      <c r="NB17" s="1544" t="n">
        <v>299.93943888</v>
      </c>
      <c r="NC17" s="1544" t="n">
        <v>299.93943888</v>
      </c>
      <c r="ND17" s="1544" t="n">
        <v>299.93943888</v>
      </c>
      <c r="NE17" s="1544" t="n">
        <v>299.93943888</v>
      </c>
      <c r="NF17" s="1544" t="n">
        <v>225.05081733</v>
      </c>
      <c r="NG17" s="1544" t="n">
        <v>211.98409987</v>
      </c>
      <c r="NH17" s="1544" t="n">
        <v>201.19890129</v>
      </c>
      <c r="NI17" s="1544" t="n">
        <v>178.86361568</v>
      </c>
      <c r="NJ17" s="1544" t="n">
        <v>178.86361568</v>
      </c>
      <c r="NK17" s="1544" t="n">
        <v>179.69264779</v>
      </c>
      <c r="NL17" s="1544" t="n">
        <v>179.69264779</v>
      </c>
      <c r="NM17" s="1544" t="n">
        <v>209.54341944</v>
      </c>
      <c r="NN17" s="1544" t="n">
        <v>209.54341944</v>
      </c>
      <c r="NO17" s="1544" t="n">
        <v>209.54341944</v>
      </c>
      <c r="NP17" s="1544" t="n">
        <v>242.01838488</v>
      </c>
      <c r="NQ17" s="1544" t="n">
        <v>242.01838488</v>
      </c>
      <c r="NR17" s="1544" t="n">
        <v>208.80664112</v>
      </c>
      <c r="NS17" s="1544" t="n">
        <v>208.80664112</v>
      </c>
      <c r="NT17" s="1544" t="n">
        <v>208.80664112</v>
      </c>
      <c r="NU17" s="1544" t="n">
        <v>215.26246712</v>
      </c>
      <c r="NV17" s="1544" t="n">
        <v>227.99536226</v>
      </c>
      <c r="NW17" s="1544" t="n">
        <v>227.99536226</v>
      </c>
      <c r="NX17" s="1544" t="n">
        <v>227.99536226</v>
      </c>
      <c r="NY17" s="1544" t="n">
        <v>219.07311535</v>
      </c>
      <c r="NZ17" s="1544" t="n">
        <v>282.52919761</v>
      </c>
      <c r="OA17" s="1544" t="n">
        <v>282.52919761</v>
      </c>
      <c r="OB17" s="1544" t="n">
        <v>282.52919761</v>
      </c>
      <c r="OC17" s="1544" t="n">
        <v>195.98267436</v>
      </c>
      <c r="OD17" s="1544" t="n">
        <v>195.98267436</v>
      </c>
      <c r="OE17" s="1544" t="n">
        <v>195.98267436</v>
      </c>
      <c r="OF17" s="1544" t="n">
        <v>195.98267436</v>
      </c>
      <c r="OG17" s="1544" t="n">
        <v>263.46327931</v>
      </c>
      <c r="OH17" s="1544" t="n">
        <v>263.46327931</v>
      </c>
      <c r="OI17" s="1544" t="n">
        <v>96.68461066000002</v>
      </c>
      <c r="OJ17" s="1544" t="n">
        <v>300.58549687</v>
      </c>
      <c r="OK17" s="1544" t="n">
        <v>300.58549687</v>
      </c>
      <c r="OL17" s="1544" t="n">
        <v>312.74426155</v>
      </c>
      <c r="OM17" s="1544" t="n">
        <v>312.74426155</v>
      </c>
      <c r="ON17" s="1544" t="n">
        <v>312.74426155</v>
      </c>
      <c r="OO17" s="1544" t="n">
        <v>83.00551983</v>
      </c>
      <c r="OP17" s="1544" t="n">
        <v>93.29093468000001</v>
      </c>
      <c r="OQ17" s="1544" t="n">
        <v>93.29093468000001</v>
      </c>
      <c r="OR17" s="1544" t="n">
        <v>93.29093468000001</v>
      </c>
      <c r="OS17" s="1544" t="n">
        <v>107.94663162</v>
      </c>
      <c r="OT17" s="1544" t="n">
        <v>86.71883876999999</v>
      </c>
      <c r="OU17" s="1544" t="n">
        <v>86.71883876999999</v>
      </c>
      <c r="OV17" s="1544" t="n">
        <v>86.71883876999999</v>
      </c>
      <c r="OW17" s="1544" t="n">
        <v>122.40509616</v>
      </c>
      <c r="OX17" s="1544" t="n">
        <v>122.40509616</v>
      </c>
      <c r="OY17" s="1544" t="n">
        <v>207.16875812</v>
      </c>
      <c r="OZ17" s="1544" t="n">
        <v>207.16875812</v>
      </c>
      <c r="PA17" s="1544" t="n">
        <v>207.16875812</v>
      </c>
      <c r="PB17" s="1544" t="n">
        <v>231.04375267</v>
      </c>
      <c r="PC17" s="1544" t="n">
        <v>231.04375267</v>
      </c>
      <c r="PD17" s="1544" t="n">
        <v>231.04375267</v>
      </c>
      <c r="PE17" s="1544" t="n">
        <v>303.7370359</v>
      </c>
      <c r="PF17" s="1544" t="n">
        <v>301.40861953</v>
      </c>
      <c r="PG17" s="1544" t="n">
        <v>301.40861953</v>
      </c>
      <c r="PH17" s="1544" t="n">
        <v>301.40861953</v>
      </c>
      <c r="PI17" s="1544" t="n">
        <v>364.1797208999999</v>
      </c>
      <c r="PJ17" s="1544" t="n">
        <v>383.75656983</v>
      </c>
      <c r="PK17" s="1544" t="n">
        <v>383.75656983</v>
      </c>
      <c r="PL17" s="1544" t="n">
        <v>383.75656983</v>
      </c>
      <c r="PM17" s="1544" t="n">
        <v>383.75656983</v>
      </c>
      <c r="PN17" s="1544" t="n">
        <v>404.33127459</v>
      </c>
      <c r="PO17" s="1544" t="n">
        <v>404.33127459</v>
      </c>
      <c r="PP17" s="1544" t="n">
        <v>418.25222586</v>
      </c>
      <c r="PQ17" s="1544" t="n">
        <v>418.25222586</v>
      </c>
      <c r="PR17" s="1544" t="n">
        <v>418.25222586</v>
      </c>
      <c r="PS17" s="1544" t="n">
        <v>464.93661967</v>
      </c>
      <c r="PT17" s="1544" t="n">
        <v>464.93661967</v>
      </c>
      <c r="PU17" s="1544" t="n">
        <v>176.51711076</v>
      </c>
      <c r="PV17" s="1544" t="n">
        <v>176.51711076</v>
      </c>
      <c r="PW17" s="1544" t="n">
        <v>176.51711076</v>
      </c>
      <c r="PX17" s="1544" t="n">
        <v>228.11811167</v>
      </c>
      <c r="PY17" s="1544" t="n">
        <v>240.30775502</v>
      </c>
      <c r="PZ17" s="1544" t="n">
        <v>240.30775502</v>
      </c>
      <c r="QA17" s="1544" t="n">
        <v>240.30775502</v>
      </c>
      <c r="QB17" s="1544" t="n">
        <v>132.75605841</v>
      </c>
      <c r="QC17" s="1544" t="n">
        <v>143.85138628</v>
      </c>
      <c r="QD17" s="1544" t="n">
        <v>143.85138628</v>
      </c>
      <c r="QE17" s="1544" t="n">
        <v>144.43408596</v>
      </c>
      <c r="QF17" s="1544" t="n">
        <v>144.43408596</v>
      </c>
      <c r="QG17" s="1544" t="n">
        <v>144.43408596</v>
      </c>
      <c r="QH17" s="1544" t="n">
        <v>144.43408596</v>
      </c>
      <c r="QI17" s="1544" t="n">
        <v>204.15458262</v>
      </c>
      <c r="QJ17" s="1544" t="n">
        <v>204.15458262</v>
      </c>
      <c r="QK17" s="1544" t="n">
        <v>255.38465668</v>
      </c>
      <c r="QL17" s="1544" t="n">
        <v>255.38465668</v>
      </c>
      <c r="QM17" s="1544" t="n">
        <v>255.38465668</v>
      </c>
      <c r="QN17" s="1544" t="n">
        <v>264.58177824</v>
      </c>
      <c r="QO17" s="1544" t="n">
        <v>312.7480633</v>
      </c>
      <c r="QP17" s="1544" t="n">
        <v>312.7480633</v>
      </c>
      <c r="QQ17" s="1544" t="n">
        <v>328.70234285</v>
      </c>
      <c r="QR17" s="1544" t="n">
        <v>328.70234285</v>
      </c>
      <c r="QS17" s="1544" t="n">
        <v>328.55705752</v>
      </c>
      <c r="QT17" s="1544" t="n">
        <v>357.68150182</v>
      </c>
      <c r="QU17" s="1544" t="n">
        <v>357.68150182</v>
      </c>
      <c r="QV17" s="1544" t="n">
        <v>365.98646996</v>
      </c>
      <c r="QW17" s="1544" t="n">
        <v>357.68150182</v>
      </c>
      <c r="QX17" s="1544" t="n">
        <v>357.68150182</v>
      </c>
      <c r="QY17" s="1544" t="n">
        <v>87.15224014</v>
      </c>
      <c r="QZ17" s="1544" t="n">
        <v>87.15224014</v>
      </c>
      <c r="RA17" s="1544" t="n">
        <v>77.43970883</v>
      </c>
      <c r="RB17" s="1544" t="n">
        <v>77.43970883</v>
      </c>
      <c r="RC17" s="1544" t="n">
        <v>77.43970883</v>
      </c>
      <c r="RD17" s="1544" t="n">
        <v>77.43970883</v>
      </c>
      <c r="RE17" s="1544" t="n">
        <v>129.67763853</v>
      </c>
      <c r="RF17" s="1544" t="n">
        <v>129.67763853</v>
      </c>
      <c r="RG17" s="1544" t="n">
        <v>129.67763853</v>
      </c>
      <c r="RH17" s="1544" t="n">
        <v>121.59345935</v>
      </c>
      <c r="RI17" s="1544" t="n">
        <v>146.25710744</v>
      </c>
      <c r="RJ17" s="1544" t="n">
        <v>146.25710744</v>
      </c>
      <c r="RK17" s="1544" t="n">
        <v>167.22752295</v>
      </c>
      <c r="RL17" s="1544" t="n">
        <v>167.22752295</v>
      </c>
      <c r="RM17" s="1544" t="n">
        <v>167.26510557</v>
      </c>
      <c r="RN17" s="1544" t="n">
        <v>167.26510557</v>
      </c>
      <c r="RO17" s="1544" t="n">
        <v>167.26510557</v>
      </c>
      <c r="RP17" s="1544" t="n">
        <v>167.26510557</v>
      </c>
      <c r="RQ17" s="1544" t="n">
        <v>113.71764778</v>
      </c>
      <c r="RR17" s="1544" t="n">
        <v>113.71764778</v>
      </c>
      <c r="RS17" s="1544" t="n">
        <v>114.90343277</v>
      </c>
      <c r="RT17" s="1544" t="n">
        <v>114.90343277</v>
      </c>
      <c r="RU17" s="1544" t="n">
        <v>114.90343277</v>
      </c>
      <c r="RV17" s="1544" t="n">
        <v>114.90343277</v>
      </c>
      <c r="RW17" s="1544" t="n">
        <v>114.90343277</v>
      </c>
      <c r="RX17" s="1544" t="n">
        <v>114.90343277</v>
      </c>
      <c r="RY17" s="1544" t="n">
        <v>41.81463416</v>
      </c>
      <c r="RZ17" s="1544" t="n">
        <v>41.81463416</v>
      </c>
      <c r="SA17" s="1544" t="n">
        <v>107.57698148</v>
      </c>
      <c r="SB17" s="1544" t="n">
        <v>125.12250123</v>
      </c>
      <c r="SC17" s="1544" t="n">
        <v>125.12250123</v>
      </c>
      <c r="SD17" s="1544" t="n">
        <v>125.12250123</v>
      </c>
      <c r="SE17" s="1544" t="n">
        <v>191.07994628</v>
      </c>
      <c r="SF17" s="1544" t="n">
        <v>191.07994628</v>
      </c>
      <c r="SG17" s="1544" t="n">
        <v>202.4282707</v>
      </c>
      <c r="SH17" s="1544" t="n">
        <v>202.4282707</v>
      </c>
      <c r="SI17" s="1544" t="n">
        <v>103.39125635</v>
      </c>
      <c r="SJ17" s="1544" t="n">
        <v>103.39125635</v>
      </c>
      <c r="SK17" s="1544" t="n">
        <v>123.95451469</v>
      </c>
      <c r="SL17" s="1544" t="n">
        <v>123.95451469</v>
      </c>
      <c r="SM17" s="1544" t="n">
        <v>133.59528179</v>
      </c>
      <c r="SN17" s="1544" t="n">
        <v>133.59528179</v>
      </c>
      <c r="SO17" s="1544" t="n">
        <v>133.59528179</v>
      </c>
      <c r="SP17" s="1544" t="n">
        <v>195.42104851</v>
      </c>
      <c r="SQ17" s="1544" t="n">
        <v>195.42104851</v>
      </c>
      <c r="SR17" s="1544" t="n">
        <v>195.42104851</v>
      </c>
      <c r="SS17" s="1544" t="n">
        <v>268.53394573</v>
      </c>
      <c r="ST17" s="1544" t="n">
        <v>268.53394573</v>
      </c>
      <c r="SU17" s="1544" t="n">
        <v>278.23230091</v>
      </c>
      <c r="SV17" s="1544" t="n">
        <v>278.23230091</v>
      </c>
      <c r="SW17" s="1544" t="n">
        <v>278.23230091</v>
      </c>
      <c r="SX17" s="1544" t="n">
        <v>93.80122245</v>
      </c>
      <c r="SY17" s="1544" t="n">
        <v>93.80122245</v>
      </c>
      <c r="SZ17" s="1544" t="n">
        <v>93.80122245</v>
      </c>
      <c r="TA17" s="1544" t="n">
        <v>88.29069936</v>
      </c>
      <c r="TB17" s="1544" t="n">
        <v>88.29069936</v>
      </c>
      <c r="TC17" s="1544" t="n">
        <v>127.58111369</v>
      </c>
      <c r="TD17" s="1544" t="n">
        <v>127.58111369</v>
      </c>
      <c r="TE17" s="1544" t="n">
        <v>33.34888565</v>
      </c>
      <c r="TF17" s="1544" t="n">
        <v>66.71183175</v>
      </c>
      <c r="TG17" s="1544" t="n">
        <v>80.0806772</v>
      </c>
      <c r="TH17" s="1544" t="n">
        <v>124.82235769</v>
      </c>
      <c r="TI17" s="1544" t="n">
        <v>135.11161682</v>
      </c>
      <c r="TJ17" s="1544" t="n">
        <v>151.019966</v>
      </c>
      <c r="TK17" s="1544" t="n">
        <v>59.29152955000001</v>
      </c>
      <c r="TL17" s="1544" t="n">
        <v>39.7943257</v>
      </c>
      <c r="TM17" s="1544" t="n">
        <v>52.19045649</v>
      </c>
      <c r="TN17" s="1544" t="n">
        <v>21.41120474</v>
      </c>
      <c r="TO17" s="1544" t="n">
        <v>60.1777115</v>
      </c>
      <c r="TP17" s="1544" t="n">
        <v>46.47261702</v>
      </c>
      <c r="TQ17" s="1544" t="n">
        <v>90.30382401999999</v>
      </c>
      <c r="TR17" s="1544" t="n">
        <v>44.13984148</v>
      </c>
      <c r="TS17" s="1544" t="n">
        <v>22.52255106</v>
      </c>
      <c r="TT17" s="1544" t="n">
        <v>21.54265425</v>
      </c>
      <c r="TU17" s="1544" t="n">
        <v>74.61722804</v>
      </c>
      <c r="TV17" s="1544" t="n">
        <v>9.832043989999999</v>
      </c>
      <c r="TW17" s="1544" t="n">
        <v>69.16245965</v>
      </c>
      <c r="TX17" s="1544" t="n">
        <v>66.75802487999999</v>
      </c>
      <c r="TY17" s="1544" t="n">
        <v>62.13854489</v>
      </c>
      <c r="TZ17" s="1544" t="n">
        <v>82.37113282000001</v>
      </c>
      <c r="UA17" s="1544" t="n">
        <v>75.91945025</v>
      </c>
      <c r="UB17" s="1544" t="n">
        <v>169.09600227</v>
      </c>
      <c r="UC17" s="1544" t="n">
        <v>167.67789619</v>
      </c>
      <c r="UD17" s="1544" t="n">
        <v>24.19416256</v>
      </c>
      <c r="UE17" s="1544" t="n">
        <v>94.76646124000001</v>
      </c>
      <c r="UF17" s="1544" t="n">
        <v>44.80717730000001</v>
      </c>
      <c r="UG17" s="1544" t="n">
        <v>85.5425785</v>
      </c>
      <c r="UH17" s="1544" t="n">
        <v>50.34470287000001</v>
      </c>
      <c r="UI17" s="1544" t="n">
        <v>61.81660822000001</v>
      </c>
      <c r="UJ17" s="1544" t="n">
        <v>54.711067</v>
      </c>
      <c r="UK17" s="1544" t="n">
        <v>75.78223646000001</v>
      </c>
      <c r="UL17" s="1544" t="n">
        <v>82.54442838000001</v>
      </c>
      <c r="UM17" s="1544" t="n">
        <v>121.66542461</v>
      </c>
      <c r="UN17" s="1544" t="n">
        <v>158.72286481</v>
      </c>
      <c r="UO17" s="1544" t="n">
        <v>104.80035966</v>
      </c>
      <c r="UP17" s="1544" t="n">
        <v>104.84233038</v>
      </c>
      <c r="UQ17" s="1544" t="n">
        <v>80.24910431000001</v>
      </c>
      <c r="UR17" s="1544" t="n">
        <v>89.32651956000001</v>
      </c>
      <c r="US17" s="1544" t="n">
        <v>129.66822244</v>
      </c>
      <c r="UT17" s="1544" t="n">
        <v>130.6307206</v>
      </c>
      <c r="UU17" s="1544" t="n">
        <v>108.49395473</v>
      </c>
      <c r="UV17" s="1544" t="n">
        <v>134.60150326</v>
      </c>
      <c r="UW17" s="1544" t="n">
        <v>137.2348663</v>
      </c>
      <c r="UX17" s="1544" t="n">
        <v>22.48693272</v>
      </c>
      <c r="UY17" s="1544" t="n">
        <v>62.71616712</v>
      </c>
      <c r="UZ17" s="1544" t="n">
        <v>97.78713181000001</v>
      </c>
      <c r="VA17" s="1544" t="n">
        <v>97.78713181000001</v>
      </c>
      <c r="VB17" s="1544" t="n">
        <v>155.18791174</v>
      </c>
      <c r="VC17" s="1544" t="n">
        <v>102.07965908</v>
      </c>
      <c r="VD17" s="1544" t="n">
        <v>162.90413838</v>
      </c>
      <c r="VE17" s="1544" t="n">
        <v>162.90413838</v>
      </c>
      <c r="VF17" s="1544" t="n">
        <v>88.64239398000001</v>
      </c>
      <c r="VG17" s="1544" t="n">
        <v>147.57046882</v>
      </c>
      <c r="VH17" s="1544" t="n">
        <v>158.222906</v>
      </c>
      <c r="VI17" s="1544" t="n">
        <v>163.77362174</v>
      </c>
      <c r="VJ17" s="1544" t="n">
        <v>217.17614211</v>
      </c>
      <c r="VK17" s="1544" t="n">
        <v>49.8813531</v>
      </c>
      <c r="VL17" s="1544" t="n">
        <v>59.20284315000001</v>
      </c>
      <c r="VM17" s="1544" t="n">
        <v>106.99649457</v>
      </c>
      <c r="VN17" s="1544" t="n">
        <v>123.17147608</v>
      </c>
      <c r="VO17" s="1544" t="n">
        <v>75.92330609</v>
      </c>
      <c r="VP17" s="1544" t="n">
        <v>113.57984443</v>
      </c>
      <c r="VQ17" s="1544" t="n">
        <v>124.62220936</v>
      </c>
      <c r="VR17" s="1544" t="n">
        <v>58.44766125</v>
      </c>
      <c r="VS17" s="1544" t="n">
        <v>28.50645596</v>
      </c>
      <c r="VT17" s="1544" t="n">
        <v>97.01717806000001</v>
      </c>
      <c r="VU17" s="1544" t="n">
        <v>99.06199107</v>
      </c>
      <c r="VV17" s="1544" t="n">
        <v>97.79115044</v>
      </c>
      <c r="VW17" s="1544" t="n">
        <v>137.62528895</v>
      </c>
      <c r="VX17" s="1544" t="n">
        <v>13.3144358</v>
      </c>
      <c r="VY17" s="1544" t="n">
        <v>94.98649450000001</v>
      </c>
      <c r="VZ17" s="1544" t="n">
        <v>91.08629464000001</v>
      </c>
      <c r="WA17" s="1544" t="n">
        <v>101.665314</v>
      </c>
      <c r="WB17" s="1544" t="n">
        <v>49.20942459</v>
      </c>
      <c r="WC17" s="1544" t="n">
        <v>27.38833309</v>
      </c>
      <c r="WD17" s="1544" t="n">
        <v>69.34675731</v>
      </c>
      <c r="WE17" s="1544" t="n">
        <v>68.44221197</v>
      </c>
      <c r="WF17" s="1544" t="n">
        <v>68.98491301999999</v>
      </c>
      <c r="WG17" s="1544" t="n">
        <v>57.00536956000001</v>
      </c>
      <c r="WH17" s="1544" t="n">
        <v>71.34312024</v>
      </c>
      <c r="WI17" s="1544" t="n">
        <v>70.01332065999999</v>
      </c>
      <c r="WJ17" s="1544" t="n">
        <v>112.6402369</v>
      </c>
      <c r="WK17" s="1544" t="n">
        <v>23.92883618</v>
      </c>
      <c r="WL17" s="1544" t="n">
        <v>22.42656762</v>
      </c>
      <c r="WM17" s="1544" t="n">
        <v>128.323862</v>
      </c>
      <c r="WN17" s="1544" t="n">
        <v>22.55329432</v>
      </c>
      <c r="WO17" s="1544" t="n">
        <v>25.05879059</v>
      </c>
      <c r="WP17" s="1544" t="n">
        <v>62.0513911</v>
      </c>
      <c r="WQ17" s="1544" t="n">
        <v>75.02708477</v>
      </c>
      <c r="WR17" s="1544" t="n">
        <v>96.33277209000001</v>
      </c>
      <c r="WS17" s="1544" t="n">
        <v>169.31786255</v>
      </c>
      <c r="WT17" s="1544" t="n">
        <v>191.12459168</v>
      </c>
      <c r="WU17" s="1544" t="n">
        <v>192.07000431</v>
      </c>
      <c r="WV17" s="1544" t="n">
        <v>109.49893883</v>
      </c>
      <c r="WW17" s="1544" t="n">
        <v>91.51090532000001</v>
      </c>
      <c r="WX17" s="1544" t="n">
        <v>22.63972342</v>
      </c>
      <c r="WY17" s="1544" t="n">
        <v>98.56322778000001</v>
      </c>
      <c r="WZ17" s="1544" t="n">
        <v>114.07056642</v>
      </c>
      <c r="XA17" s="1544" t="n">
        <v>33.38865439</v>
      </c>
      <c r="XB17" s="1544" t="n">
        <v>89.84585788000001</v>
      </c>
      <c r="XC17" s="1544" t="n">
        <v>120.47762707</v>
      </c>
      <c r="XD17" s="1544" t="n">
        <v>57.41439890000001</v>
      </c>
      <c r="XE17" s="1544" t="n">
        <v>130.31347058</v>
      </c>
      <c r="XF17" s="1544" t="n">
        <v>121.02367358</v>
      </c>
      <c r="XG17" s="1544" t="n">
        <v>105.3001234</v>
      </c>
      <c r="XH17" s="1544" t="n">
        <v>98.76474438000001</v>
      </c>
      <c r="XI17" s="1544" t="n">
        <v>73.88157916</v>
      </c>
      <c r="XJ17" s="1544" t="n">
        <v>73.10887536</v>
      </c>
      <c r="XK17" s="1544" t="n">
        <v>18.07390049</v>
      </c>
      <c r="XL17" s="1544" t="n">
        <v>82.12007012000001</v>
      </c>
      <c r="XM17" s="1544" t="n">
        <v>125.7391813</v>
      </c>
      <c r="XN17" s="1544" t="n">
        <v>132.94393253</v>
      </c>
      <c r="XO17" s="1544" t="n">
        <v>134.33815116</v>
      </c>
      <c r="XP17" s="1544" t="n">
        <v>195.50285033</v>
      </c>
      <c r="XQ17" s="1544" t="n">
        <v>56.69304834</v>
      </c>
      <c r="XR17" s="1544" t="n">
        <v>81.96857215999999</v>
      </c>
      <c r="XS17" s="1544" t="n">
        <v>102.47247434</v>
      </c>
      <c r="XT17" s="1544" t="n">
        <v>162.845899491553</v>
      </c>
      <c r="XU17" s="1544" t="n">
        <v>184.77268164</v>
      </c>
      <c r="XV17" s="1544" t="n">
        <v>55.9385997</v>
      </c>
      <c r="XW17" s="1544" t="n">
        <v>57.65296737</v>
      </c>
      <c r="XX17" s="1544" t="n">
        <v>59.28359055999999</v>
      </c>
      <c r="XY17" s="1544" t="n">
        <v>136.96828616</v>
      </c>
      <c r="XZ17" s="1544" t="n">
        <v>143.45675229</v>
      </c>
      <c r="YA17" s="1544" t="n">
        <v>214.78996124</v>
      </c>
      <c r="YB17" s="1544" t="n">
        <v>215.29844616</v>
      </c>
      <c r="YC17" s="1544" t="n">
        <v>71.56606204000001</v>
      </c>
      <c r="YD17" s="1544" t="n">
        <v>11.63213373</v>
      </c>
      <c r="YE17" s="1544" t="n">
        <v>14.02720864</v>
      </c>
      <c r="YF17" s="1544" t="n">
        <v>58.39260082</v>
      </c>
      <c r="YG17" s="1544" t="n">
        <v>57.52187864</v>
      </c>
      <c r="YH17" s="1544" t="n">
        <v>120.17073487</v>
      </c>
      <c r="YI17" s="1544" t="n">
        <v>123.51418821</v>
      </c>
      <c r="YJ17" s="1544" t="n">
        <v>120.28490813</v>
      </c>
    </row>
    <row r="18">
      <c r="B18" s="917" t="inlineStr">
        <is>
          <t>Alekseevskiy
Kombikormovy Zavod</t>
        </is>
      </c>
      <c r="C18" s="1532" t="n">
        <v>181.05439872</v>
      </c>
      <c r="D18" s="1533" t="n">
        <v>380.3870576</v>
      </c>
      <c r="E18" s="1533" t="n">
        <v>380.56803861</v>
      </c>
      <c r="F18" s="1533" t="n">
        <v>380.56803861</v>
      </c>
      <c r="G18" s="1533" t="n">
        <v>293.43357779</v>
      </c>
      <c r="H18" s="1533" t="n">
        <v>293.41121171</v>
      </c>
      <c r="I18" s="1533" t="n">
        <v>293.30190395</v>
      </c>
      <c r="J18" s="1533" t="n">
        <v>293.30190396</v>
      </c>
      <c r="K18" s="1533" t="n">
        <v>292.89393344</v>
      </c>
      <c r="L18" s="1533" t="n">
        <v>169.64508212</v>
      </c>
      <c r="M18" s="1533" t="n">
        <v>169.64508212</v>
      </c>
      <c r="N18" s="1533" t="n">
        <v>169.64508212</v>
      </c>
      <c r="O18" s="1533" t="n">
        <v>163.37227887</v>
      </c>
      <c r="P18" s="1533" t="n">
        <v>164.94128709</v>
      </c>
      <c r="Q18" s="1533" t="n">
        <v>199.84577656</v>
      </c>
      <c r="R18" s="1533" t="n">
        <v>199.84577656</v>
      </c>
      <c r="S18" s="1533">
        <f>193.33075175</f>
        <v/>
      </c>
      <c r="T18" s="1533" t="n">
        <v>193.40018738</v>
      </c>
      <c r="U18" s="1533" t="n">
        <v>139.05140955</v>
      </c>
      <c r="V18" s="1533" t="n">
        <v>72.80552417</v>
      </c>
      <c r="W18" s="1533" t="n">
        <v>72.81206005999999</v>
      </c>
      <c r="X18" s="1533" t="n">
        <v>23.23233459</v>
      </c>
      <c r="Y18" s="1533" t="n">
        <v>338.75866821</v>
      </c>
      <c r="Z18" s="1533" t="n">
        <v>348.19729787</v>
      </c>
      <c r="AA18" s="1533" t="n">
        <v>341.10142614</v>
      </c>
      <c r="AB18" s="1533" t="n">
        <v>340.696793</v>
      </c>
      <c r="AC18" s="1533" t="n">
        <v>341.89634343</v>
      </c>
      <c r="AD18" s="1533" t="n">
        <v>338.90659734</v>
      </c>
      <c r="AE18" s="1533" t="n">
        <v>331.53723859</v>
      </c>
      <c r="AF18" s="1533">
        <f>1.30226947+322+3.01836449+8.23405861</f>
        <v/>
      </c>
      <c r="AG18" s="1533">
        <f>323.690415+3.01836449+8.23405861</f>
        <v/>
      </c>
      <c r="AH18" s="1533">
        <f>318.11031228+3.01836449+8.23405861</f>
        <v/>
      </c>
      <c r="AI18" s="1533" t="n">
        <v>329.46229702</v>
      </c>
      <c r="AJ18" s="1533">
        <f>318.2228804+3.01836449+8.23405861</f>
        <v/>
      </c>
      <c r="AK18" s="1533">
        <f>318.51466873+3.01836449+8.23405861</f>
        <v/>
      </c>
      <c r="AL18" s="1533">
        <f>273.75224719+3.01836449+8.23405861</f>
        <v/>
      </c>
      <c r="AM18" s="1533">
        <f>265.57721461+3.01836449+8.23405861</f>
        <v/>
      </c>
      <c r="AN18" s="1533">
        <f>2.21126978+3.01836449+8.23405861+263</f>
        <v/>
      </c>
      <c r="AO18" s="1533">
        <f>2.21126978+3.01836449+8.23405861+263</f>
        <v/>
      </c>
      <c r="AP18" s="1533">
        <f>2.05941975+3.01836449+8.94009117+263</f>
        <v/>
      </c>
      <c r="AQ18" s="1533">
        <f>3.01836449+8.94009117+169.85311965</f>
        <v/>
      </c>
      <c r="AR18" s="1533">
        <f>3.01836449+7.87475355+169.88926309+0.00129434</f>
        <v/>
      </c>
      <c r="AS18" s="1533">
        <f>3.01836449+7.87475355+669.454384+0.00129434</f>
        <v/>
      </c>
      <c r="AT18" s="1533">
        <f>3.01836449+7.87475355+101.60590339+0.00129434+568</f>
        <v/>
      </c>
      <c r="AU18" s="1533">
        <f>3.01836449+7.87475355+669.78685857+0.00129434</f>
        <v/>
      </c>
      <c r="AV18" s="1533">
        <f>3.01836449+7.87475355+570.14550479+0.00129434</f>
        <v/>
      </c>
      <c r="AW18" s="1533">
        <f>3.01836449+7.87475355+33.61362632+0.00129434</f>
        <v/>
      </c>
      <c r="AX18" s="1533">
        <f>3.01836449+7.87475355+32+1.49864338+0.00129434</f>
        <v/>
      </c>
      <c r="AY18" s="1533">
        <f>3.01836449+7.87475355+32+1.55374388+0.00129434</f>
        <v/>
      </c>
      <c r="AZ18" s="1533">
        <f>3.01836449+7.87475355+105.95338359+0.00129434</f>
        <v/>
      </c>
      <c r="BA18" s="1533">
        <f>3.01836449+7.87475355+2.8219072+0.00129434</f>
        <v/>
      </c>
      <c r="BB18" s="1533" t="n">
        <v>13.91371958</v>
      </c>
      <c r="BC18" s="1533">
        <f>3.01576449+7.87475355+3.0219072+0.00129434</f>
        <v/>
      </c>
      <c r="BD18" s="1533">
        <f>3.01576449+7.87475355+3.001286232+0.00129434</f>
        <v/>
      </c>
      <c r="BE18" s="1533">
        <f>8.693678639+3.01576449+0.00129434+7.87475355</f>
        <v/>
      </c>
      <c r="BF18" s="1533">
        <f>8.38644839+3.01576449+0.00129434+7.87475355</f>
        <v/>
      </c>
      <c r="BG18" s="1533">
        <f>8.09699505+3.01576449+0.00129434+7.87475355</f>
        <v/>
      </c>
      <c r="BH18" s="1533">
        <f>6.71713705+3.01556449+0.00129434+7.87475355</f>
        <v/>
      </c>
      <c r="BI18" s="1533">
        <f>0.53507932+3.01556449+0.00129434+7.87475355</f>
        <v/>
      </c>
      <c r="BJ18" s="1533">
        <f>2.77454673+3.01556449+0.00129434+7.87475355</f>
        <v/>
      </c>
      <c r="BK18" s="1533">
        <f>2.60522859+3.01556449+0.00129434+7.87475355</f>
        <v/>
      </c>
      <c r="BL18" s="1533">
        <f>1.43773703+3.01556449+0.00107716+6.34120187+91</f>
        <v/>
      </c>
      <c r="BM18" s="1533">
        <f>1.43703009+3.01556449+0.00107716+6.34120187+91</f>
        <v/>
      </c>
      <c r="BN18" s="1533">
        <f>1.43703009+3.01556449+0.00107716+6.34120187+91</f>
        <v/>
      </c>
      <c r="BO18" s="1533">
        <f>2.39757146+3.01556449+0.00107716+6.34120187</f>
        <v/>
      </c>
      <c r="BP18" s="1533">
        <f>2.15202467+3.01556449+0.00107716+6.34120187</f>
        <v/>
      </c>
      <c r="BQ18" s="1533">
        <f>1.85974905+3.01556449+0.00107716+6.34120187</f>
        <v/>
      </c>
      <c r="BR18" s="1533">
        <f>1.85974905+3.01556449+0.00107716+6.34120187</f>
        <v/>
      </c>
      <c r="BS18" s="1533">
        <f>1.85974905+3.01556449+0.00107716+6.34120187</f>
        <v/>
      </c>
      <c r="BT18" s="1533">
        <f>1.61337719+3.01556449+0.00107716+6.34120187</f>
        <v/>
      </c>
      <c r="BU18" s="1533">
        <f>11.08898332+26.71779959</f>
        <v/>
      </c>
      <c r="BV18" s="1533">
        <f>10.96406617+4.91821528</f>
        <v/>
      </c>
      <c r="BW18" s="1533">
        <f>0.0011577+4.91821528+7.06100636+5.10689068</f>
        <v/>
      </c>
      <c r="BX18" s="1533">
        <f>0.0011577+4.91821528+7.06100636+5.10689068</f>
        <v/>
      </c>
      <c r="BY18" s="1533">
        <f>0.0011577+4.91821528+7.06100636+11.99376601</f>
        <v/>
      </c>
      <c r="BZ18" s="1533">
        <f>0.0011577+4.91821528+7.06100636+12.22303781</f>
        <v/>
      </c>
      <c r="CA18" s="1533">
        <f>0.0011577+4.91821528+7.06100636+8.19673474</f>
        <v/>
      </c>
      <c r="CB18" s="1533">
        <f>0.0011577+4.91821528+7.06100636+8.18969974</f>
        <v/>
      </c>
      <c r="CC18" s="1533">
        <f>0.001077+2.42082499+4.91821528+6.34120187</f>
        <v/>
      </c>
      <c r="CD18" s="1533">
        <f>0.001077+1.95219178+4.91821528+6.34120187</f>
        <v/>
      </c>
      <c r="CE18" s="1533">
        <f>0.00122006+1.95219178+4.91801528+7.44727928</f>
        <v/>
      </c>
      <c r="CF18" s="1533">
        <f>0.00122006+1.95219178+4.91801528+7.44727928</f>
        <v/>
      </c>
      <c r="CG18" s="1533">
        <f>0.00122434+1.81627778+4.91801528+7.45074705</f>
        <v/>
      </c>
      <c r="CH18" s="1533">
        <f>0.00125139+1.32217062+4.91801528+7.59149223</f>
        <v/>
      </c>
      <c r="CI18" s="1533">
        <f>0.00125139+28.83374576+4.91801528+7.59149223</f>
        <v/>
      </c>
      <c r="CJ18" s="1533">
        <f>28.84312196+4.91801528+7.37353365</f>
        <v/>
      </c>
      <c r="CK18" s="1533">
        <f>28.84312196+4.91801528+7.3676854</f>
        <v/>
      </c>
      <c r="CL18" s="1533">
        <f>12.42816643+2.52615658+7.3676854*0</f>
        <v/>
      </c>
      <c r="CM18" s="1533">
        <f>12.40445674+2.52615658+7.3676854*0</f>
        <v/>
      </c>
      <c r="CN18" s="1533">
        <f>5.5040337+2.52615658+7.3676854*0</f>
        <v/>
      </c>
      <c r="CO18" s="1533">
        <f>3.49978528+2.52615658+7.3676854*0</f>
        <v/>
      </c>
      <c r="CP18" s="1533">
        <f>203.49978528+2.52615658+7.3676854*0</f>
        <v/>
      </c>
      <c r="CQ18" s="1533">
        <f>3.53468139+2.52615658+7.3676854*0</f>
        <v/>
      </c>
      <c r="CR18" s="1533">
        <f>3.67865997+2.52615658+7.3676854*0</f>
        <v/>
      </c>
      <c r="CS18" s="1533">
        <f>7.08172724+2.52615658+7.3676854*0</f>
        <v/>
      </c>
      <c r="CT18" s="1533">
        <f>7.08172724+2.52615658+7.3676854*0</f>
        <v/>
      </c>
      <c r="CU18" s="1533">
        <f>4.38520024+2.52615658+7.3676854*0</f>
        <v/>
      </c>
      <c r="CV18" s="1533">
        <f>4.36785198+2.52615658+7.3676854*0</f>
        <v/>
      </c>
      <c r="CW18" s="1533">
        <f>384.40155989+2.52615658+7.3676854*0</f>
        <v/>
      </c>
      <c r="CX18" s="1533">
        <f>384.40155989+2.52615658+7.3676854*0</f>
        <v/>
      </c>
      <c r="CY18" s="1533">
        <f>377.74934124+2.52615658+7.3676854*0</f>
        <v/>
      </c>
      <c r="CZ18" s="1533" t="n">
        <v>380.275498</v>
      </c>
      <c r="DA18" s="1533">
        <f>417.813467+2.525956+7.3676854*0</f>
        <v/>
      </c>
      <c r="DB18" s="1533">
        <f>417.88722453+2.525956+7.3676854*0</f>
        <v/>
      </c>
      <c r="DC18" s="1533">
        <f>387.957903+2.525956+7.3676854*0</f>
        <v/>
      </c>
      <c r="DD18" s="1533">
        <f>421.28719327+2.525956+7.3676854*0</f>
        <v/>
      </c>
      <c r="DE18" s="1533">
        <f>418.37609804+1.19071876+7.3676854*0</f>
        <v/>
      </c>
      <c r="DF18" s="1533">
        <f>428.44841612+1.19071876+7.3676854*0</f>
        <v/>
      </c>
      <c r="DG18" s="1533">
        <f>428.41198855+1.19071876+7.3676854*0</f>
        <v/>
      </c>
      <c r="DH18" s="1533">
        <f>8.81720865+1.19071876</f>
        <v/>
      </c>
      <c r="DI18" s="1533">
        <f>17.01717165+1.65422294</f>
        <v/>
      </c>
      <c r="DJ18" s="1533">
        <f>16.95815411+1.65422294</f>
        <v/>
      </c>
      <c r="DK18" s="1533">
        <f>26.93854617+1.65422294</f>
        <v/>
      </c>
      <c r="DL18" s="1533">
        <f>0.75210292+1.65422294</f>
        <v/>
      </c>
      <c r="DM18" s="1533">
        <f>0.75210292+1.65422294</f>
        <v/>
      </c>
      <c r="DN18" s="1533">
        <f>7.31125639+1.65422294</f>
        <v/>
      </c>
      <c r="DO18" s="1533">
        <f>11.86850551+1.65422294</f>
        <v/>
      </c>
      <c r="DP18" s="1533">
        <f>11.86850551+1.65422294</f>
        <v/>
      </c>
      <c r="DQ18" s="1533">
        <f>11.82002729+1.65422294</f>
        <v/>
      </c>
      <c r="DR18" s="1533" t="n">
        <v>10.47593702</v>
      </c>
      <c r="DS18" s="1533" t="n">
        <v>10.47593702</v>
      </c>
      <c r="DT18" s="1533">
        <f>26.30418706+1.65348294</f>
        <v/>
      </c>
      <c r="DU18" s="1533">
        <f>26.30418706+1.65348294</f>
        <v/>
      </c>
      <c r="DV18" s="1533">
        <f>20.0845884+1.65348294</f>
        <v/>
      </c>
      <c r="DW18" s="1533">
        <f>20.08742539+1.65348294</f>
        <v/>
      </c>
      <c r="DX18" s="1533">
        <f>171.09793553+1.65348294</f>
        <v/>
      </c>
      <c r="DY18" s="1533">
        <f>131.43376514+1.65348294</f>
        <v/>
      </c>
      <c r="DZ18" s="1533">
        <f>131.15684306+1.65348294+52</f>
        <v/>
      </c>
      <c r="EA18" s="1533">
        <f>31.26856014+1.65348294+152</f>
        <v/>
      </c>
      <c r="EB18" s="1533">
        <f>206.17691774+1.65348294</f>
        <v/>
      </c>
      <c r="EC18" s="1533">
        <f>112.66880259+1.65348294</f>
        <v/>
      </c>
      <c r="ED18" s="1533">
        <f>112.69264977+1.65348294</f>
        <v/>
      </c>
      <c r="EE18" s="1533">
        <f>107.36426262+1.65348294</f>
        <v/>
      </c>
      <c r="EF18" s="1533">
        <f>103.42324509+1.65348294</f>
        <v/>
      </c>
      <c r="EG18" s="1533">
        <f>99.82486276+1.65348294</f>
        <v/>
      </c>
      <c r="EH18" s="1533">
        <f>11.54468625+1.65348294</f>
        <v/>
      </c>
      <c r="EI18" s="1533">
        <f>11.93444101+1.65348294</f>
        <v/>
      </c>
      <c r="EJ18" s="1533">
        <f>6.36999563+1.65348294</f>
        <v/>
      </c>
      <c r="EK18" s="1533">
        <f>6.36990871+1.65348294</f>
        <v/>
      </c>
      <c r="EL18" s="1533">
        <f>6.36990871+1.65348294</f>
        <v/>
      </c>
      <c r="EM18" s="1533">
        <f>6.36990871+1.65348294</f>
        <v/>
      </c>
      <c r="EN18" s="1533">
        <f>13.25093832+1.65348294</f>
        <v/>
      </c>
      <c r="EO18" s="1533">
        <f>163.25275311+1.65348294</f>
        <v/>
      </c>
      <c r="EP18" s="1533">
        <f>163.25867256+1.65348294</f>
        <v/>
      </c>
      <c r="EQ18" s="1533">
        <f>76.81358325+1.65348294</f>
        <v/>
      </c>
      <c r="ER18" s="1533" t="n">
        <v>78.46706619</v>
      </c>
      <c r="ES18" s="1533">
        <f>159.82550106+1.65348294</f>
        <v/>
      </c>
      <c r="ET18" s="1533">
        <f>153.67019085+1.65348294+100</f>
        <v/>
      </c>
      <c r="EU18" s="1533">
        <f>253.80703927+1.65328294</f>
        <v/>
      </c>
      <c r="EV18" s="1533">
        <f>270.01809786+1.65328294</f>
        <v/>
      </c>
      <c r="EW18" s="1533">
        <f>261.43704751+1.65328294</f>
        <v/>
      </c>
      <c r="EX18" s="1533">
        <f>301.48210507+1.65328294</f>
        <v/>
      </c>
      <c r="EY18" s="1533" t="n">
        <v>303.35596883</v>
      </c>
      <c r="EZ18" s="1533" t="n">
        <v>303.35687562</v>
      </c>
      <c r="FA18" s="1533" t="n">
        <v>297.78172088</v>
      </c>
      <c r="FB18" s="1533" t="n">
        <v>298</v>
      </c>
      <c r="FC18" s="1533" t="n">
        <v>456.96513457</v>
      </c>
      <c r="FD18" s="1533" t="n">
        <v>757.22683977</v>
      </c>
      <c r="FE18" s="1533" t="n">
        <v>738.13342875</v>
      </c>
      <c r="FF18" s="1533">
        <f>34.08819981+2.03539579+700</f>
        <v/>
      </c>
      <c r="FG18" s="1533">
        <f>60.09321282+2.03539579+700</f>
        <v/>
      </c>
      <c r="FH18" s="1533" t="n">
        <v>762</v>
      </c>
      <c r="FI18" s="1533" t="n">
        <v>762.07887928</v>
      </c>
      <c r="FJ18" s="1533">
        <f>1.45481644+2.03539579+700</f>
        <v/>
      </c>
      <c r="FK18" s="1533">
        <f>1.45481644+2.03539579+700</f>
        <v/>
      </c>
      <c r="FL18" s="1533">
        <f>54.19424582+1.63055251+500</f>
        <v/>
      </c>
      <c r="FM18" s="1533" t="n">
        <v>552</v>
      </c>
      <c r="FN18" s="1533" t="n">
        <v>548.8922974</v>
      </c>
      <c r="FO18" s="1533">
        <f>0.63365523+1.20979504+500</f>
        <v/>
      </c>
      <c r="FP18" s="1533">
        <f>13.62220179+6.30979504+500</f>
        <v/>
      </c>
      <c r="FQ18" s="1533">
        <f>13.64988903+1.07061142+500</f>
        <v/>
      </c>
      <c r="FR18" s="1533" t="n">
        <v>514.7224486699999</v>
      </c>
      <c r="FS18" s="1533" t="n">
        <v>514.72411963</v>
      </c>
      <c r="FT18" s="1533">
        <f>0.43174515+1.07061142+500</f>
        <v/>
      </c>
      <c r="FU18" s="1533">
        <f>17.51607606+1.08786201+500</f>
        <v/>
      </c>
      <c r="FV18" s="1533">
        <f>19.32054806+1.08786201+500</f>
        <v/>
      </c>
      <c r="FW18" s="1533">
        <f>19.33933326+1.08786201+500</f>
        <v/>
      </c>
      <c r="FX18" s="1533">
        <f>19.33854926+1.08786201+500</f>
        <v/>
      </c>
      <c r="FY18" s="1533" t="n">
        <v>520</v>
      </c>
      <c r="FZ18" s="1533">
        <f>14.73389916+1.08786201+500</f>
        <v/>
      </c>
      <c r="GA18" s="1533">
        <f>18.06041182+1.08786201+500</f>
        <v/>
      </c>
      <c r="GB18" s="1533">
        <f>18.00692581+1.08786201+500</f>
        <v/>
      </c>
      <c r="GC18" s="1533">
        <f>18.01506992+1.08786201+500</f>
        <v/>
      </c>
      <c r="GD18" s="1533">
        <f>68.00533986+1.08786201+500</f>
        <v/>
      </c>
      <c r="GE18" s="1533" t="n">
        <v>6.75575109</v>
      </c>
      <c r="GF18" s="1533" t="n">
        <v>11.2495037</v>
      </c>
      <c r="GG18" s="1533" t="n">
        <v>55.8704387</v>
      </c>
      <c r="GH18" s="1533">
        <f>51.90310005+1.08786201</f>
        <v/>
      </c>
      <c r="GI18" s="1533" t="n">
        <v>9.19509957</v>
      </c>
      <c r="GJ18" s="1533" t="n">
        <v>14.04764338</v>
      </c>
      <c r="GK18" s="1533" t="n">
        <v>10.46981464</v>
      </c>
      <c r="GL18" s="1533" t="n">
        <v>6.2449693</v>
      </c>
      <c r="GM18" s="1533" t="n">
        <v>9.31165532</v>
      </c>
      <c r="GN18" s="1533" t="n">
        <v>6.220272</v>
      </c>
      <c r="GO18" s="1533" t="n">
        <v>4.712614</v>
      </c>
      <c r="GP18" s="1533" t="n">
        <v>4.42223467</v>
      </c>
      <c r="GQ18" s="1533" t="n">
        <v>19.0800074</v>
      </c>
      <c r="GR18" s="1533" t="n">
        <v>18.98308813</v>
      </c>
      <c r="GS18" s="1533" t="n">
        <v>17.34764812</v>
      </c>
      <c r="GT18" s="1533" t="n">
        <v>14.505145317</v>
      </c>
      <c r="GU18" s="1533" t="n">
        <v>12.40615126</v>
      </c>
      <c r="GV18" s="1533" t="n">
        <v>10.37938798</v>
      </c>
      <c r="GW18" s="1533" t="n">
        <v>10.37938798</v>
      </c>
      <c r="GX18" s="1533" t="n">
        <v>11.1</v>
      </c>
      <c r="GY18" s="1533" t="n">
        <v>12.27812658</v>
      </c>
      <c r="GZ18" s="1533" t="n">
        <v>12.25390527</v>
      </c>
      <c r="HA18" s="1533" t="n">
        <v>137.54422661</v>
      </c>
      <c r="HB18" s="1533" t="n">
        <v>137.54422661</v>
      </c>
      <c r="HC18" s="1533" t="n">
        <v>35.8603944</v>
      </c>
      <c r="HD18" s="1533" t="n">
        <v>16.36169228</v>
      </c>
      <c r="HE18" s="1533" t="n">
        <v>14.36882012</v>
      </c>
      <c r="HF18" s="1533" t="n">
        <v>12.67569922</v>
      </c>
      <c r="HG18" s="1533" t="n">
        <v>5.33281209</v>
      </c>
      <c r="HH18" s="1533" t="n">
        <v>5.20484992</v>
      </c>
      <c r="HI18" s="1533" t="n">
        <v>4.34471247</v>
      </c>
      <c r="HJ18" s="1533" t="n">
        <v>12.34097046</v>
      </c>
      <c r="HK18" s="1533" t="n">
        <v>12.20218118</v>
      </c>
      <c r="HL18" s="1533" t="n">
        <v>125.32425201</v>
      </c>
      <c r="HM18" s="1533" t="n">
        <v>18.2118425</v>
      </c>
      <c r="HN18" s="1533" t="n">
        <v>18.14689608</v>
      </c>
      <c r="HO18" s="1533" t="n">
        <v>18.10254407</v>
      </c>
      <c r="HP18" s="1533" t="n">
        <v>10.66365081</v>
      </c>
      <c r="HQ18" s="1533" t="n">
        <v>9.91430516</v>
      </c>
      <c r="HR18" s="1533" t="n">
        <v>206.55922712</v>
      </c>
      <c r="HS18" s="1533" t="n">
        <v>192.27547359</v>
      </c>
      <c r="HT18" s="1544" t="n">
        <v>151.79722742</v>
      </c>
      <c r="HU18" s="1544" t="n">
        <v>151.79722742</v>
      </c>
      <c r="HV18" s="1544" t="n">
        <v>238.35863681</v>
      </c>
      <c r="HW18" s="1544" t="n">
        <v>238.35863681</v>
      </c>
      <c r="HX18" s="1544" t="n">
        <v>207.98498272</v>
      </c>
      <c r="HY18" s="1544" t="n">
        <v>207.98498272</v>
      </c>
      <c r="HZ18" s="1544" t="n">
        <v>171.03297337</v>
      </c>
      <c r="IA18" s="1544" t="n">
        <v>171.08993995</v>
      </c>
      <c r="IB18" s="1544" t="n">
        <v>170.87944137</v>
      </c>
      <c r="IC18" s="1544" t="n">
        <v>170.87944137</v>
      </c>
      <c r="ID18" s="1544" t="n">
        <v>170.87944137</v>
      </c>
      <c r="IE18" s="1544" t="n">
        <v>29.15751425</v>
      </c>
      <c r="IF18" s="1544" t="n">
        <v>29.15751425</v>
      </c>
      <c r="IG18" s="1544" t="n">
        <v>302.15877392</v>
      </c>
      <c r="IH18" s="1544" t="n">
        <v>312.32749155</v>
      </c>
      <c r="II18" s="1544" t="n">
        <v>312.32749155</v>
      </c>
      <c r="IJ18" s="1544" t="n">
        <v>312.32749155</v>
      </c>
      <c r="IK18" s="1544" t="n">
        <v>312.31713102</v>
      </c>
      <c r="IL18" s="1544" t="n">
        <v>312.31713102</v>
      </c>
      <c r="IM18" s="1544" t="n">
        <v>312.31713102</v>
      </c>
      <c r="IN18" s="1544" t="n">
        <v>49.82951936</v>
      </c>
      <c r="IO18" s="1544" t="n">
        <v>33.92637446</v>
      </c>
      <c r="IP18" s="1544" t="n">
        <v>20.22578165</v>
      </c>
      <c r="IQ18" s="1544" t="n">
        <v>17.22384897</v>
      </c>
      <c r="IR18" s="1544" t="n">
        <v>17.22384897</v>
      </c>
      <c r="IS18" s="1544" t="n">
        <v>9.510919150000001</v>
      </c>
      <c r="IT18" s="1544" t="n">
        <v>6.600503</v>
      </c>
      <c r="IU18" s="1544" t="n">
        <v>1.41225426</v>
      </c>
      <c r="IV18" s="1544" t="n">
        <v>1.41225426</v>
      </c>
      <c r="IW18" s="1544" t="n">
        <v>137.7408969</v>
      </c>
      <c r="IX18" s="1544" t="n">
        <v>34.31123846</v>
      </c>
      <c r="IY18" s="1544" t="n">
        <v>27.38962559</v>
      </c>
      <c r="IZ18" s="1544" t="n">
        <v>27.26129933</v>
      </c>
      <c r="JA18" s="1544" t="n">
        <v>27.26532362</v>
      </c>
      <c r="JB18" s="1544" t="n">
        <v>27.26532362</v>
      </c>
      <c r="JC18" s="1544" t="n">
        <v>21.45825135</v>
      </c>
      <c r="JD18" s="1544" t="n">
        <v>19.79797113</v>
      </c>
      <c r="JE18" s="1544" t="n">
        <v>19.79797113</v>
      </c>
      <c r="JF18" s="1544" t="n">
        <v>19.79797113</v>
      </c>
      <c r="JG18" s="1544" t="n">
        <v>9.992361619999999</v>
      </c>
      <c r="JH18" s="1544" t="n">
        <v>9.992361619999999</v>
      </c>
      <c r="JI18" s="1544" t="n">
        <v>9.992361619999999</v>
      </c>
      <c r="JJ18" s="1544" t="n">
        <v>7.11441305</v>
      </c>
      <c r="JK18" s="1544" t="n">
        <v>6.41437605</v>
      </c>
      <c r="JL18" s="1544" t="n">
        <v>6.41688605</v>
      </c>
      <c r="JM18" s="1544" t="n">
        <v>4.59524959</v>
      </c>
      <c r="JN18" s="1544" t="n">
        <v>4.59524959</v>
      </c>
      <c r="JO18" s="1544" t="n">
        <v>4.59524959</v>
      </c>
      <c r="JP18" s="1544" t="n">
        <v>11.95358238</v>
      </c>
      <c r="JQ18" s="1544" t="n">
        <v>11.95358238</v>
      </c>
      <c r="JR18" s="1544" t="n">
        <v>9.25991164</v>
      </c>
      <c r="JS18" s="1544" t="n">
        <v>9.25991164</v>
      </c>
      <c r="JT18" s="1544" t="n">
        <v>156.15981089</v>
      </c>
      <c r="JU18" s="1544" t="n">
        <v>156.05186813</v>
      </c>
      <c r="JV18" s="1544" t="n">
        <v>156.05186813</v>
      </c>
      <c r="JW18" s="1544" t="n">
        <v>407.01755613</v>
      </c>
      <c r="JX18" s="1544" t="n">
        <v>407.01755613</v>
      </c>
      <c r="JY18" s="1544" t="n">
        <v>371.2108816699999</v>
      </c>
      <c r="JZ18" s="1544" t="n">
        <v>371.2108816699999</v>
      </c>
      <c r="KA18" s="1544" t="n">
        <v>246.47589923</v>
      </c>
      <c r="KB18" s="1544" t="n">
        <v>238.06666448</v>
      </c>
      <c r="KC18" s="1544" t="n">
        <v>228.07976169</v>
      </c>
      <c r="KD18" s="1544" t="n">
        <v>516.8228649499999</v>
      </c>
      <c r="KE18" s="1544" t="n">
        <v>516.8228649499999</v>
      </c>
      <c r="KF18" s="1544" t="n">
        <v>6.41437605</v>
      </c>
      <c r="KG18" s="1544" t="n">
        <v>391.44114581</v>
      </c>
      <c r="KH18" s="1544" t="n">
        <v>391.44114581</v>
      </c>
      <c r="KI18" s="1544" t="n">
        <v>322.60979407</v>
      </c>
      <c r="KJ18" s="1544" t="n">
        <v>322.60979407</v>
      </c>
      <c r="KK18" s="1544" t="n">
        <v>254.17124822</v>
      </c>
      <c r="KL18" s="1544" t="n">
        <v>253.66501893</v>
      </c>
      <c r="KM18" s="1544" t="n">
        <v>253.66501893</v>
      </c>
      <c r="KN18" s="1544" t="n">
        <v>242.54252267</v>
      </c>
      <c r="KO18" s="1544" t="n">
        <v>192.14367132</v>
      </c>
      <c r="KP18" s="1544" t="n">
        <v>129.46586392</v>
      </c>
      <c r="KQ18" s="1544" t="n">
        <v>39.65148044</v>
      </c>
      <c r="KR18" s="1544" t="n">
        <v>39.65148044</v>
      </c>
      <c r="KS18" s="1544" t="n">
        <v>39.66402812</v>
      </c>
      <c r="KT18" s="1544" t="n">
        <v>39.66402812</v>
      </c>
      <c r="KU18" s="1544" t="n">
        <v>61.51455911999999</v>
      </c>
      <c r="KV18" s="1544" t="n">
        <v>7.34873206</v>
      </c>
      <c r="KW18" s="1544" t="n">
        <v>47.81093848</v>
      </c>
      <c r="KX18" s="1544" t="n">
        <v>45.12468387</v>
      </c>
      <c r="KY18" s="1544" t="n">
        <v>45.12468387</v>
      </c>
      <c r="KZ18" s="1544" t="n">
        <v>38.32701932</v>
      </c>
      <c r="LA18" s="1544" t="n">
        <v>38.32701932</v>
      </c>
      <c r="LB18" s="1544" t="n">
        <v>43.55874141</v>
      </c>
      <c r="LC18" s="1544" t="n">
        <v>43.55874141</v>
      </c>
      <c r="LD18" s="1544" t="n">
        <v>43.55874141</v>
      </c>
      <c r="LE18" s="1544" t="n">
        <v>25.36795694</v>
      </c>
      <c r="LF18" s="1544" t="n">
        <v>67.60088462</v>
      </c>
      <c r="LG18" s="1544" t="n">
        <v>67.60088462</v>
      </c>
      <c r="LH18" s="1544" t="n">
        <v>67.60088462</v>
      </c>
      <c r="LI18" s="1544" t="n">
        <v>23.6079333</v>
      </c>
      <c r="LJ18" s="1544" t="n">
        <v>23.6079333</v>
      </c>
      <c r="LK18" s="1544" t="n">
        <v>23.6079333</v>
      </c>
      <c r="LL18" s="1544" t="n">
        <v>37.35747201</v>
      </c>
      <c r="LM18" s="1544" t="n">
        <v>37.35747201</v>
      </c>
      <c r="LN18" s="1544" t="n">
        <v>25.50676543</v>
      </c>
      <c r="LO18" s="1544" t="n">
        <v>25.50676543</v>
      </c>
      <c r="LP18" s="1544" t="n">
        <v>25.50676543</v>
      </c>
      <c r="LQ18" s="1544" t="n">
        <v>4.113201630000001</v>
      </c>
      <c r="LR18" s="1544" t="n">
        <v>3.60014361</v>
      </c>
      <c r="LS18" s="1544" t="n">
        <v>3.60014361</v>
      </c>
      <c r="LT18" s="1544" t="n">
        <v>3.40089967</v>
      </c>
      <c r="LU18" s="1544" t="n">
        <v>12.87982546</v>
      </c>
      <c r="LV18" s="1544" t="n">
        <v>12.678614</v>
      </c>
      <c r="LW18" s="1544" t="n">
        <v>12.678614</v>
      </c>
      <c r="LX18" s="1544" t="n">
        <v>9.87693032</v>
      </c>
      <c r="LY18" s="1544" t="n">
        <v>9.87693032</v>
      </c>
      <c r="LZ18" s="1544" t="n">
        <v>16.12831613</v>
      </c>
      <c r="MA18" s="1544" t="n">
        <v>16.12831613</v>
      </c>
      <c r="MB18" s="1544" t="n">
        <v>16.12831613</v>
      </c>
      <c r="MC18" s="1544" t="n">
        <v>16.12831613</v>
      </c>
      <c r="MD18" s="1544" t="n">
        <v>7.884485059999999</v>
      </c>
      <c r="ME18" s="1544" t="n">
        <v>184.61866485</v>
      </c>
      <c r="MF18" s="1544" t="n">
        <v>184.61866485</v>
      </c>
      <c r="MG18" s="1544" t="n">
        <v>184.61866485</v>
      </c>
      <c r="MH18" s="1544" t="n">
        <v>10.39504345</v>
      </c>
      <c r="MI18" s="1544" t="n">
        <v>10.39504345</v>
      </c>
      <c r="MJ18" s="1544" t="n">
        <v>56.22345882</v>
      </c>
      <c r="MK18" s="1544" t="n">
        <v>35.88139254</v>
      </c>
      <c r="ML18" s="1544" t="n">
        <v>35.88139254</v>
      </c>
      <c r="MM18" s="1544" t="n">
        <v>35.88139254</v>
      </c>
      <c r="MN18" s="1544" t="n">
        <v>35.88139254</v>
      </c>
      <c r="MO18" s="1544" t="n">
        <v>35.88139254</v>
      </c>
      <c r="MP18" s="1544" t="n">
        <v>35.88139254</v>
      </c>
      <c r="MQ18" s="1544" t="n">
        <v>136.54343972</v>
      </c>
      <c r="MR18" s="1544" t="n">
        <v>136.54343972</v>
      </c>
      <c r="MS18" s="1544" t="n">
        <v>136.63259489</v>
      </c>
      <c r="MT18" s="1544" t="n">
        <v>38.04835722</v>
      </c>
      <c r="MU18" s="1544" t="n">
        <v>38.04835722</v>
      </c>
      <c r="MV18" s="1544" t="n">
        <v>38.04835722</v>
      </c>
      <c r="MW18" s="1544" t="n">
        <v>83.55009813000001</v>
      </c>
      <c r="MX18" s="1544" t="n">
        <v>83.45016744000002</v>
      </c>
      <c r="MY18" s="1544" t="n">
        <v>83.45016744000002</v>
      </c>
      <c r="MZ18" s="1544" t="n">
        <v>83.45016744000002</v>
      </c>
      <c r="NA18" s="1544" t="n">
        <v>83.45016744000002</v>
      </c>
      <c r="NB18" s="1544" t="n">
        <v>83.45016744000002</v>
      </c>
      <c r="NC18" s="1544" t="n">
        <v>83.45016744000002</v>
      </c>
      <c r="ND18" s="1544" t="n">
        <v>83.45016744000002</v>
      </c>
      <c r="NE18" s="1544" t="n">
        <v>83.45016744000002</v>
      </c>
      <c r="NF18" s="1544" t="n">
        <v>44.8711394</v>
      </c>
      <c r="NG18" s="1544" t="n">
        <v>45.02349577</v>
      </c>
      <c r="NH18" s="1544" t="n">
        <v>41.32096652000001</v>
      </c>
      <c r="NI18" s="1544" t="n">
        <v>42.94482149</v>
      </c>
      <c r="NJ18" s="1544" t="n">
        <v>42.94482149</v>
      </c>
      <c r="NK18" s="1544" t="n">
        <v>41.52515771</v>
      </c>
      <c r="NL18" s="1544" t="n">
        <v>41.52515771</v>
      </c>
      <c r="NM18" s="1544" t="n">
        <v>47.28702704</v>
      </c>
      <c r="NN18" s="1544" t="n">
        <v>47.28702704</v>
      </c>
      <c r="NO18" s="1544" t="n">
        <v>47.28702704</v>
      </c>
      <c r="NP18" s="1544" t="n">
        <v>102.97867022</v>
      </c>
      <c r="NQ18" s="1544" t="n">
        <v>102.97867022</v>
      </c>
      <c r="NR18" s="1544" t="n">
        <v>148.11649085</v>
      </c>
      <c r="NS18" s="1544" t="n">
        <v>148.11649085</v>
      </c>
      <c r="NT18" s="1544" t="n">
        <v>148.11649085</v>
      </c>
      <c r="NU18" s="1544" t="n">
        <v>44.28172476</v>
      </c>
      <c r="NV18" s="1544" t="n">
        <v>44.31159139</v>
      </c>
      <c r="NW18" s="1544" t="n">
        <v>44.31159139</v>
      </c>
      <c r="NX18" s="1544" t="n">
        <v>44.31159139</v>
      </c>
      <c r="NY18" s="1544" t="n">
        <v>23.58084049</v>
      </c>
      <c r="NZ18" s="1544" t="n">
        <v>23.58857715</v>
      </c>
      <c r="OA18" s="1544" t="n">
        <v>23.58857715</v>
      </c>
      <c r="OB18" s="1544" t="n">
        <v>23.58857715</v>
      </c>
      <c r="OC18" s="1544" t="n">
        <v>64.51609632</v>
      </c>
      <c r="OD18" s="1544" t="n">
        <v>64.51609632</v>
      </c>
      <c r="OE18" s="1544" t="n">
        <v>64.51609632</v>
      </c>
      <c r="OF18" s="1544" t="n">
        <v>64.51609632</v>
      </c>
      <c r="OG18" s="1544" t="n">
        <v>16.03750429</v>
      </c>
      <c r="OH18" s="1544" t="n">
        <v>16.03750429</v>
      </c>
      <c r="OI18" s="1544" t="n">
        <v>39.4240757</v>
      </c>
      <c r="OJ18" s="1544" t="n">
        <v>48.49190863</v>
      </c>
      <c r="OK18" s="1544" t="n">
        <v>48.49190863</v>
      </c>
      <c r="OL18" s="1544" t="n">
        <v>17.0785971</v>
      </c>
      <c r="OM18" s="1544" t="n">
        <v>17.0785971</v>
      </c>
      <c r="ON18" s="1544" t="n">
        <v>17.0785971</v>
      </c>
      <c r="OO18" s="1544" t="n">
        <v>25.37692879</v>
      </c>
      <c r="OP18" s="1544" t="n">
        <v>25.27541652</v>
      </c>
      <c r="OQ18" s="1544" t="n">
        <v>25.27541652</v>
      </c>
      <c r="OR18" s="1544" t="n">
        <v>25.27541652</v>
      </c>
      <c r="OS18" s="1544" t="n">
        <v>47.70501328</v>
      </c>
      <c r="OT18" s="1544" t="n">
        <v>19.66203976</v>
      </c>
      <c r="OU18" s="1544" t="n">
        <v>19.66203976</v>
      </c>
      <c r="OV18" s="1544" t="n">
        <v>19.66203976</v>
      </c>
      <c r="OW18" s="1544" t="n">
        <v>14.9239798</v>
      </c>
      <c r="OX18" s="1544" t="n">
        <v>14.9239798</v>
      </c>
      <c r="OY18" s="1544" t="n">
        <v>196.34159306</v>
      </c>
      <c r="OZ18" s="1544" t="n">
        <v>196.34159306</v>
      </c>
      <c r="PA18" s="1544" t="n">
        <v>196.34159306</v>
      </c>
      <c r="PB18" s="1544" t="n">
        <v>61.95620007</v>
      </c>
      <c r="PC18" s="1544" t="n">
        <v>61.95620007</v>
      </c>
      <c r="PD18" s="1544" t="n">
        <v>61.95620007</v>
      </c>
      <c r="PE18" s="1544" t="n">
        <v>44.49240486</v>
      </c>
      <c r="PF18" s="1544" t="n">
        <v>42.31343107</v>
      </c>
      <c r="PG18" s="1544" t="n">
        <v>42.31343107</v>
      </c>
      <c r="PH18" s="1544" t="n">
        <v>42.31343107</v>
      </c>
      <c r="PI18" s="1544" t="n">
        <v>42.26609612999999</v>
      </c>
      <c r="PJ18" s="1544" t="n">
        <v>74.98951511</v>
      </c>
      <c r="PK18" s="1544" t="n">
        <v>74.98951511</v>
      </c>
      <c r="PL18" s="1544" t="n">
        <v>74.98951511</v>
      </c>
      <c r="PM18" s="1544" t="n">
        <v>74.98951511</v>
      </c>
      <c r="PN18" s="1544" t="n">
        <v>49.5524362</v>
      </c>
      <c r="PO18" s="1544" t="n">
        <v>49.5524362</v>
      </c>
      <c r="PP18" s="1544" t="n">
        <v>16.30648908</v>
      </c>
      <c r="PQ18" s="1544" t="n">
        <v>16.30648908</v>
      </c>
      <c r="PR18" s="1544" t="n">
        <v>16.30648908</v>
      </c>
      <c r="PS18" s="1544" t="n">
        <v>10.82562702</v>
      </c>
      <c r="PT18" s="1544" t="n">
        <v>10.82562702</v>
      </c>
      <c r="PU18" s="1544" t="n">
        <v>67.0362241</v>
      </c>
      <c r="PV18" s="1544" t="n">
        <v>67.0362241</v>
      </c>
      <c r="PW18" s="1544" t="n">
        <v>67.0362241</v>
      </c>
      <c r="PX18" s="1544" t="n">
        <v>63.52202644</v>
      </c>
      <c r="PY18" s="1544" t="n">
        <v>52.16693425</v>
      </c>
      <c r="PZ18" s="1544" t="n">
        <v>52.16693425</v>
      </c>
      <c r="QA18" s="1544" t="n">
        <v>52.16693425</v>
      </c>
      <c r="QB18" s="1544" t="n">
        <v>145.29635141</v>
      </c>
      <c r="QC18" s="1544" t="n">
        <v>143.82039638</v>
      </c>
      <c r="QD18" s="1544" t="n">
        <v>143.82039638</v>
      </c>
      <c r="QE18" s="1544" t="n">
        <v>121.24926236</v>
      </c>
      <c r="QF18" s="1544" t="n">
        <v>121.24926236</v>
      </c>
      <c r="QG18" s="1544" t="n">
        <v>121.24926236</v>
      </c>
      <c r="QH18" s="1544" t="n">
        <v>121.24926236</v>
      </c>
      <c r="QI18" s="1544" t="n">
        <v>52.50522271</v>
      </c>
      <c r="QJ18" s="1544" t="n">
        <v>52.50522271</v>
      </c>
      <c r="QK18" s="1544" t="n">
        <v>48.69755099</v>
      </c>
      <c r="QL18" s="1544" t="n">
        <v>48.69755099</v>
      </c>
      <c r="QM18" s="1544" t="n">
        <v>48.69755099</v>
      </c>
      <c r="QN18" s="1544" t="n">
        <v>74.19042456999999</v>
      </c>
      <c r="QO18" s="1544" t="n">
        <v>74.14356135999999</v>
      </c>
      <c r="QP18" s="1544" t="n">
        <v>74.14356135999999</v>
      </c>
      <c r="QQ18" s="1544" t="n">
        <v>113.78681555</v>
      </c>
      <c r="QR18" s="1544" t="n">
        <v>113.78681555</v>
      </c>
      <c r="QS18" s="1544" t="n">
        <v>105.82429975</v>
      </c>
      <c r="QT18" s="1544" t="n">
        <v>102.45343545</v>
      </c>
      <c r="QU18" s="1544" t="n">
        <v>102.45343545</v>
      </c>
      <c r="QV18" s="1544" t="n">
        <v>110.53091497</v>
      </c>
      <c r="QW18" s="1544" t="n">
        <v>102.45343545</v>
      </c>
      <c r="QX18" s="1544" t="n">
        <v>102.45343545</v>
      </c>
      <c r="QY18" s="1544" t="n">
        <v>66.51071649000001</v>
      </c>
      <c r="QZ18" s="1544" t="n">
        <v>66.51071649000001</v>
      </c>
      <c r="RA18" s="1544" t="n">
        <v>72.56739206</v>
      </c>
      <c r="RB18" s="1544" t="n">
        <v>72.56739206</v>
      </c>
      <c r="RC18" s="1544" t="n">
        <v>72.56739206</v>
      </c>
      <c r="RD18" s="1544" t="n">
        <v>72.56739206</v>
      </c>
      <c r="RE18" s="1544" t="n">
        <v>275.24867714</v>
      </c>
      <c r="RF18" s="1544" t="n">
        <v>275.24867714</v>
      </c>
      <c r="RG18" s="1544" t="n">
        <v>275.24867714</v>
      </c>
      <c r="RH18" s="1544" t="n">
        <v>195.53631303</v>
      </c>
      <c r="RI18" s="1544" t="n">
        <v>195.55726265</v>
      </c>
      <c r="RJ18" s="1544" t="n">
        <v>195.55726265</v>
      </c>
      <c r="RK18" s="1544" t="n">
        <v>164.40151644</v>
      </c>
      <c r="RL18" s="1544" t="n">
        <v>164.40151644</v>
      </c>
      <c r="RM18" s="1544" t="n">
        <v>142.85312253</v>
      </c>
      <c r="RN18" s="1544" t="n">
        <v>142.85312253</v>
      </c>
      <c r="RO18" s="1544" t="n">
        <v>142.85312253</v>
      </c>
      <c r="RP18" s="1544" t="n">
        <v>142.85312253</v>
      </c>
      <c r="RQ18" s="1544" t="n">
        <v>48.20713568</v>
      </c>
      <c r="RR18" s="1544" t="n">
        <v>48.20713568</v>
      </c>
      <c r="RS18" s="1544" t="n">
        <v>50.56378657</v>
      </c>
      <c r="RT18" s="1544" t="n">
        <v>50.56378657</v>
      </c>
      <c r="RU18" s="1544" t="n">
        <v>50.56378657</v>
      </c>
      <c r="RV18" s="1544" t="n">
        <v>50.56378657</v>
      </c>
      <c r="RW18" s="1544" t="n">
        <v>50.56378657</v>
      </c>
      <c r="RX18" s="1544" t="n">
        <v>50.56378657</v>
      </c>
      <c r="RY18" s="1544" t="n">
        <v>283.30405173</v>
      </c>
      <c r="RZ18" s="1544" t="n">
        <v>283.30405173</v>
      </c>
      <c r="SA18" s="1544" t="n">
        <v>294.89596027</v>
      </c>
      <c r="SB18" s="1544" t="n">
        <v>274.6369865</v>
      </c>
      <c r="SC18" s="1544" t="n">
        <v>274.6369865</v>
      </c>
      <c r="SD18" s="1544" t="n">
        <v>274.6369865</v>
      </c>
      <c r="SE18" s="1544" t="n">
        <v>135.12149623</v>
      </c>
      <c r="SF18" s="1544" t="n">
        <v>135.12149623</v>
      </c>
      <c r="SG18" s="1544" t="n">
        <v>83.09198047999999</v>
      </c>
      <c r="SH18" s="1544" t="n">
        <v>83.09198047999999</v>
      </c>
      <c r="SI18" s="1544" t="n">
        <v>94.22197673999997</v>
      </c>
      <c r="SJ18" s="1544" t="n">
        <v>94.22197673999997</v>
      </c>
      <c r="SK18" s="1544" t="n">
        <v>95.57450664000001</v>
      </c>
      <c r="SL18" s="1544" t="n">
        <v>95.57450664000001</v>
      </c>
      <c r="SM18" s="1544" t="n">
        <v>57.78780076</v>
      </c>
      <c r="SN18" s="1544" t="n">
        <v>57.78780076</v>
      </c>
      <c r="SO18" s="1544" t="n">
        <v>57.78780076</v>
      </c>
      <c r="SP18" s="1544" t="n">
        <v>32.24534359</v>
      </c>
      <c r="SQ18" s="1544" t="n">
        <v>32.24534359</v>
      </c>
      <c r="SR18" s="1544" t="n">
        <v>32.24534359</v>
      </c>
      <c r="SS18" s="1544" t="n">
        <v>46.803342756</v>
      </c>
      <c r="ST18" s="1544" t="n">
        <v>46.803342756</v>
      </c>
      <c r="SU18" s="1544" t="n">
        <v>27.58090338</v>
      </c>
      <c r="SV18" s="1544" t="n">
        <v>27.58090338</v>
      </c>
      <c r="SW18" s="1544" t="n">
        <v>27.58090338</v>
      </c>
      <c r="SX18" s="1544" t="n">
        <v>58.32963865999999</v>
      </c>
      <c r="SY18" s="1544" t="n">
        <v>58.32963865999999</v>
      </c>
      <c r="SZ18" s="1544" t="n">
        <v>58.32963865999999</v>
      </c>
      <c r="TA18" s="1544" t="n">
        <v>34.67023268</v>
      </c>
      <c r="TB18" s="1544" t="n">
        <v>34.67023268</v>
      </c>
      <c r="TC18" s="1544" t="n">
        <v>120.30966028</v>
      </c>
      <c r="TD18" s="1544" t="n">
        <v>120.30966028</v>
      </c>
      <c r="TE18" s="1544" t="n">
        <v>20.9476445</v>
      </c>
      <c r="TF18" s="1544" t="n">
        <v>27.107319354</v>
      </c>
      <c r="TG18" s="1544" t="n">
        <v>324.9506458819999</v>
      </c>
      <c r="TH18" s="1544" t="n">
        <v>199.45604227</v>
      </c>
      <c r="TI18" s="1544" t="n">
        <v>74.29037068000001</v>
      </c>
      <c r="TJ18" s="1544" t="n">
        <v>69.58519659000001</v>
      </c>
      <c r="TK18" s="1544" t="n">
        <v>5.962771060000001</v>
      </c>
      <c r="TL18" s="1544" t="n">
        <v>5.50498563</v>
      </c>
      <c r="TM18" s="1544" t="n">
        <v>5.649345970000001</v>
      </c>
      <c r="TN18" s="1544" t="n">
        <v>6.877230480000001</v>
      </c>
      <c r="TO18" s="1544" t="n">
        <v>5.857855870000001</v>
      </c>
      <c r="TP18" s="1544" t="n">
        <v>15.8071217</v>
      </c>
      <c r="TQ18" s="1544" t="n">
        <v>15.09893614</v>
      </c>
      <c r="TR18" s="1544" t="n">
        <v>29.68791884</v>
      </c>
      <c r="TS18" s="1544" t="n">
        <v>29.85082876</v>
      </c>
      <c r="TT18" s="1544" t="n">
        <v>25.98628805</v>
      </c>
      <c r="TU18" s="1544" t="n">
        <v>11.93589476</v>
      </c>
      <c r="TV18" s="1544" t="n">
        <v>6.842625040000001</v>
      </c>
      <c r="TW18" s="1544" t="n">
        <v>103.21066955</v>
      </c>
      <c r="TX18" s="1544" t="n">
        <v>8.155253460000001</v>
      </c>
      <c r="TY18" s="1544" t="n">
        <v>5.759099480000001</v>
      </c>
      <c r="TZ18" s="1544" t="n">
        <v>3.5822965</v>
      </c>
      <c r="UA18" s="1544" t="n">
        <v>35.67173393</v>
      </c>
      <c r="UB18" s="1544" t="n">
        <v>32.79545538</v>
      </c>
      <c r="UC18" s="1544" t="n">
        <v>299.88055927</v>
      </c>
      <c r="UD18" s="1544" t="n">
        <v>414.49131675</v>
      </c>
      <c r="UE18" s="1544" t="n">
        <v>212.41108262</v>
      </c>
      <c r="UF18" s="1544" t="n">
        <v>10.62346313</v>
      </c>
      <c r="UG18" s="1544" t="n">
        <v>5.45362964</v>
      </c>
      <c r="UH18" s="1544" t="n">
        <v>186.39592663</v>
      </c>
      <c r="UI18" s="1544" t="n">
        <v>131.306491</v>
      </c>
      <c r="UJ18" s="1544" t="n">
        <v>19.39290033</v>
      </c>
      <c r="UK18" s="1544" t="n">
        <v>19.13666992</v>
      </c>
      <c r="UL18" s="1544" t="n">
        <v>15.11020188</v>
      </c>
      <c r="UM18" s="1544" t="n">
        <v>47.4990040041</v>
      </c>
      <c r="UN18" s="1544" t="n">
        <v>35.4844582109</v>
      </c>
      <c r="UO18" s="1544" t="n">
        <v>62.7240300409</v>
      </c>
      <c r="UP18" s="1544" t="n">
        <v>62.0173301864</v>
      </c>
      <c r="UQ18" s="1544" t="n">
        <v>9.3735523222</v>
      </c>
      <c r="UR18" s="1544" t="n">
        <v>17.2844845764</v>
      </c>
      <c r="US18" s="1544" t="n">
        <v>16.3157803862</v>
      </c>
      <c r="UT18" s="1544" t="n">
        <v>12.5167554404</v>
      </c>
      <c r="UU18" s="1544" t="n">
        <v>24.82442657</v>
      </c>
      <c r="UV18" s="1544" t="n">
        <v>14.38841464</v>
      </c>
      <c r="UW18" s="1544" t="n">
        <v>14.3947551</v>
      </c>
      <c r="UX18" s="1544" t="n">
        <v>20.5508287</v>
      </c>
      <c r="UY18" s="1544" t="n">
        <v>49.83503456</v>
      </c>
      <c r="UZ18" s="1544" t="n">
        <v>78.33162678000001</v>
      </c>
      <c r="VA18" s="1544" t="n">
        <v>78.33162678000001</v>
      </c>
      <c r="VB18" s="1544" t="n">
        <v>7.01909582</v>
      </c>
      <c r="VC18" s="1544" t="n">
        <v>14.78967821</v>
      </c>
      <c r="VD18" s="1544" t="n">
        <v>17.56183892</v>
      </c>
      <c r="VE18" s="1544" t="n">
        <v>17.56183892</v>
      </c>
      <c r="VF18" s="1544" t="n">
        <v>34.558226042</v>
      </c>
      <c r="VG18" s="1544" t="n">
        <v>31.2820081068</v>
      </c>
      <c r="VH18" s="1544" t="n">
        <v>15.75634732</v>
      </c>
      <c r="VI18" s="1544" t="n">
        <v>10.74189914</v>
      </c>
      <c r="VJ18" s="1544" t="n">
        <v>10.52892907</v>
      </c>
      <c r="VK18" s="1544" t="n">
        <v>49.10941657</v>
      </c>
      <c r="VL18" s="1544" t="n">
        <v>86.03803544999998</v>
      </c>
      <c r="VM18" s="1544" t="n">
        <v>52.56826913</v>
      </c>
      <c r="VN18" s="1544" t="n">
        <v>52.62478708</v>
      </c>
      <c r="VO18" s="1544" t="n">
        <v>19.7140281</v>
      </c>
      <c r="VP18" s="1544" t="n">
        <v>20.68214034</v>
      </c>
      <c r="VQ18" s="1544" t="n">
        <v>3.12436932</v>
      </c>
      <c r="VR18" s="1544" t="n">
        <v>34.57231533</v>
      </c>
      <c r="VS18" s="1544" t="n">
        <v>13.18565485</v>
      </c>
      <c r="VT18" s="1544" t="n">
        <v>8.22796557</v>
      </c>
      <c r="VU18" s="1544" t="n">
        <v>1.43932429</v>
      </c>
      <c r="VV18" s="1544" t="n">
        <v>38.89458826</v>
      </c>
      <c r="VW18" s="1544" t="n">
        <v>9.505856100000001</v>
      </c>
      <c r="VX18" s="1544" t="n">
        <v>298.56053481</v>
      </c>
      <c r="VY18" s="1544" t="n">
        <v>244.08228147</v>
      </c>
      <c r="VZ18" s="1544" t="n">
        <v>35.943517528072</v>
      </c>
      <c r="WA18" s="1544" t="n">
        <v>36.38176141987</v>
      </c>
      <c r="WB18" s="1544" t="n">
        <v>35.99542218987</v>
      </c>
      <c r="WC18" s="1544" t="n">
        <v>13.560493922667</v>
      </c>
      <c r="WD18" s="1544" t="n">
        <v>8.792476976353999</v>
      </c>
      <c r="WE18" s="1544" t="n">
        <v>6.445853034883</v>
      </c>
      <c r="WF18" s="1544" t="n">
        <v>204.196117554883</v>
      </c>
      <c r="WG18" s="1544" t="n">
        <v>3.564681562903</v>
      </c>
      <c r="WH18" s="1544" t="n">
        <v>3.660170262903</v>
      </c>
      <c r="WI18" s="1544" t="n">
        <v>37.719190372903</v>
      </c>
      <c r="WJ18" s="1544" t="n">
        <v>37.531267629811</v>
      </c>
      <c r="WK18" s="1544" t="n">
        <v>8.909883709811</v>
      </c>
      <c r="WL18" s="1544" t="n">
        <v>8.267966299811</v>
      </c>
      <c r="WM18" s="1544" t="n">
        <v>2.255444559811</v>
      </c>
      <c r="WN18" s="1544" t="n">
        <v>233.234840289811</v>
      </c>
      <c r="WO18" s="1544" t="n">
        <v>25.303277049424</v>
      </c>
      <c r="WP18" s="1544" t="n">
        <v>24.173996079424</v>
      </c>
      <c r="WQ18" s="1544" t="n">
        <v>24.066353149424</v>
      </c>
      <c r="WR18" s="1544" t="n">
        <v>3.023608219734</v>
      </c>
      <c r="WS18" s="1544" t="n">
        <v>63.997141639734</v>
      </c>
      <c r="WT18" s="1544" t="n">
        <v>63.0787829908</v>
      </c>
      <c r="WU18" s="1544" t="n">
        <v>96.46629388000001</v>
      </c>
      <c r="WV18" s="1544" t="n">
        <v>88.87141307</v>
      </c>
      <c r="WW18" s="1544" t="n">
        <v>5.59644962</v>
      </c>
      <c r="WX18" s="1544" t="n">
        <v>107.14490342152</v>
      </c>
      <c r="WY18" s="1544" t="n">
        <v>6.196033730000001</v>
      </c>
      <c r="WZ18" s="1544" t="n">
        <v>5.6539953</v>
      </c>
      <c r="XA18" s="1544" t="n">
        <v>78.50621758</v>
      </c>
      <c r="XB18" s="1544" t="n">
        <v>8.714752449999999</v>
      </c>
      <c r="XC18" s="1544" t="n">
        <v>8.64460311</v>
      </c>
      <c r="XD18" s="1544" t="n">
        <v>13.65907912</v>
      </c>
      <c r="XE18" s="1544" t="n">
        <v>10.08725473</v>
      </c>
      <c r="XF18" s="1544" t="n">
        <v>35.87787530000001</v>
      </c>
      <c r="XG18" s="1544" t="n">
        <v>28.18878455</v>
      </c>
      <c r="XH18" s="1544" t="n">
        <v>54.67536051</v>
      </c>
      <c r="XI18" s="1544" t="n">
        <v>6.475415180000001</v>
      </c>
      <c r="XJ18" s="1544" t="n">
        <v>81.38274109000001</v>
      </c>
      <c r="XK18" s="1544" t="n">
        <v>14.539159</v>
      </c>
      <c r="XL18" s="1544" t="n">
        <v>7.348976060000001</v>
      </c>
      <c r="XM18" s="1544" t="n">
        <v>3.37765361</v>
      </c>
      <c r="XN18" s="1544" t="n">
        <v>3.34881859</v>
      </c>
      <c r="XO18" s="1544" t="n">
        <v>3.34881859</v>
      </c>
      <c r="XP18" s="1544" t="n">
        <v>6.9584779</v>
      </c>
      <c r="XQ18" s="1544" t="n">
        <v>10.82098586</v>
      </c>
      <c r="XR18" s="1544" t="n">
        <v>6.79265125</v>
      </c>
      <c r="XS18" s="1544" t="n">
        <v>11.31715664</v>
      </c>
      <c r="XT18" s="1544" t="n">
        <v>10.49601822</v>
      </c>
      <c r="XU18" s="1544" t="n">
        <v>10.49665451</v>
      </c>
      <c r="XV18" s="1544" t="n">
        <v>129.96484657</v>
      </c>
      <c r="XW18" s="1544" t="n">
        <v>50.53610920000001</v>
      </c>
      <c r="XX18" s="1544" t="n">
        <v>44.01218591000001</v>
      </c>
      <c r="XY18" s="1544" t="n">
        <v>38.234704</v>
      </c>
      <c r="XZ18" s="1544" t="n">
        <v>7.83107451</v>
      </c>
      <c r="YA18" s="1544" t="n">
        <v>7.21069132</v>
      </c>
      <c r="YB18" s="1544" t="n">
        <v>5.83898771</v>
      </c>
      <c r="YC18" s="1544" t="n">
        <v>42.28761206</v>
      </c>
      <c r="YD18" s="1544" t="n">
        <v>124.21293693</v>
      </c>
      <c r="YE18" s="1544" t="n">
        <v>13.10194559</v>
      </c>
      <c r="YF18" s="1544" t="n">
        <v>84.22429374000001</v>
      </c>
      <c r="YG18" s="1544" t="n">
        <v>10.37210398</v>
      </c>
      <c r="YH18" s="1544" t="n">
        <v>8.5161639</v>
      </c>
      <c r="YI18" s="1544" t="n">
        <v>105.30352929</v>
      </c>
      <c r="YJ18" s="1544" t="n">
        <v>12.34216055</v>
      </c>
    </row>
    <row r="19">
      <c r="B19" s="917" t="inlineStr">
        <is>
          <t>Agro-Oskol</t>
        </is>
      </c>
      <c r="C19" s="1532" t="n">
        <v>166.47928496</v>
      </c>
      <c r="D19" s="1533" t="n">
        <v>162.45470936</v>
      </c>
      <c r="E19" s="1533" t="n">
        <v>162.38378346</v>
      </c>
      <c r="F19" s="1533" t="n">
        <v>162.35251707</v>
      </c>
      <c r="G19" s="1533" t="n">
        <v>152.99229888</v>
      </c>
      <c r="H19" s="1533" t="n">
        <v>153.06070687</v>
      </c>
      <c r="I19" s="1533" t="n">
        <v>153.59192784</v>
      </c>
      <c r="J19" s="1533" t="n">
        <v>154.89407756</v>
      </c>
      <c r="K19" s="1533" t="n">
        <v>154.70620886</v>
      </c>
      <c r="L19" s="1533" t="n">
        <v>153.8416134</v>
      </c>
      <c r="M19" s="1533" t="n">
        <v>153.72001243</v>
      </c>
      <c r="N19" s="1533" t="n">
        <v>144.58665506</v>
      </c>
      <c r="O19" s="1533" t="n">
        <v>134.28197126</v>
      </c>
      <c r="P19" s="1533" t="n">
        <v>134.30039331</v>
      </c>
      <c r="Q19" s="1533" t="n">
        <v>131.257009</v>
      </c>
      <c r="R19" s="1533" t="n">
        <v>130.75328468</v>
      </c>
      <c r="S19" s="1533">
        <f>128+0.45888139</f>
        <v/>
      </c>
      <c r="T19" s="1533" t="n">
        <v>128.45888139</v>
      </c>
      <c r="U19" s="1533" t="n">
        <v>75.3324056</v>
      </c>
      <c r="V19" s="1533" t="n">
        <v>126.07182664</v>
      </c>
      <c r="W19" s="1533" t="n">
        <v>123.80530314</v>
      </c>
      <c r="X19" s="1533" t="n">
        <v>70.97192026</v>
      </c>
      <c r="Y19" s="1533" t="n">
        <v>70.67944589</v>
      </c>
      <c r="Z19" s="1533" t="n">
        <v>70.83136622000001</v>
      </c>
      <c r="AA19" s="1533" t="n">
        <v>69.02735270000001</v>
      </c>
      <c r="AB19" s="1533" t="n">
        <v>67.75172861</v>
      </c>
      <c r="AC19" s="1533" t="n">
        <v>67.8469451</v>
      </c>
      <c r="AD19" s="1533" t="n">
        <v>62.96935235</v>
      </c>
      <c r="AE19" s="1533" t="n">
        <v>54.99001141</v>
      </c>
      <c r="AF19" s="1533">
        <f>0.93412023+0.0319059+54</f>
        <v/>
      </c>
      <c r="AG19" s="1533">
        <f>53.69238576+0.17192201</f>
        <v/>
      </c>
      <c r="AH19" s="1533">
        <f>53.65824266+0.00408016</f>
        <v/>
      </c>
      <c r="AI19" s="1533" t="n">
        <v>53.66462935</v>
      </c>
      <c r="AJ19" s="1533">
        <f>53+0.00408016+0.67547631</f>
        <v/>
      </c>
      <c r="AK19" s="1533">
        <f>0.00399793+53.04469425</f>
        <v/>
      </c>
      <c r="AL19" s="1533">
        <f>0.00399793+49.5478276</f>
        <v/>
      </c>
      <c r="AM19" s="1533">
        <f>0.02176517+46.53072596</f>
        <v/>
      </c>
      <c r="AN19" s="1533">
        <f>0.02176517+0.50857975+46</f>
        <v/>
      </c>
      <c r="AO19" s="1533">
        <f>0.02176517+0.56555995+46</f>
        <v/>
      </c>
      <c r="AP19" s="1533">
        <f>0.02176517+0.35790195+46</f>
        <v/>
      </c>
      <c r="AQ19" s="1533">
        <f>145.16521156+0.16189305</f>
        <v/>
      </c>
      <c r="AR19" s="1533">
        <f>145+0.23452801+0.15989305</f>
        <v/>
      </c>
      <c r="AS19" s="1533">
        <f>145+0.873557+0.15989305</f>
        <v/>
      </c>
      <c r="AT19" s="1533">
        <f>145+0.83692315+0.15989305</f>
        <v/>
      </c>
      <c r="AU19" s="1533">
        <f>146.01463548+0.15989305</f>
        <v/>
      </c>
      <c r="AV19" s="1533">
        <f>144.40277028+0.15989305</f>
        <v/>
      </c>
      <c r="AW19" s="1533">
        <f>140.69809222+0.15989305</f>
        <v/>
      </c>
      <c r="AX19" s="1533">
        <f>140+0.63038071+0.15989305</f>
        <v/>
      </c>
      <c r="AY19" s="1533">
        <f>140+0.50099115+0.15989305</f>
        <v/>
      </c>
      <c r="AZ19" s="1533">
        <f>136.1517756+0.16409737</f>
        <v/>
      </c>
      <c r="BA19" s="1533">
        <f>124.74676739+0.16409737</f>
        <v/>
      </c>
      <c r="BB19" s="1533" t="n">
        <v>118.36970612</v>
      </c>
      <c r="BC19" s="1533">
        <f>1.17587646+0.16409737+117</f>
        <v/>
      </c>
      <c r="BD19" s="1533">
        <f>1.17685746+0.16409737+117</f>
        <v/>
      </c>
      <c r="BE19" s="1533">
        <f>3.15329877+105.22232743</f>
        <v/>
      </c>
      <c r="BF19" s="1533">
        <f>0.3969489+105.2400298</f>
        <v/>
      </c>
      <c r="BG19" s="1533">
        <f>0.3969489+0.69920732+86</f>
        <v/>
      </c>
      <c r="BH19" s="1533">
        <f>0.26443094+0.69920732+86</f>
        <v/>
      </c>
      <c r="BI19" s="1533">
        <f>0.3318087+0.21227693+86</f>
        <v/>
      </c>
      <c r="BJ19" s="1533">
        <f>86.27754268+0.2929657</f>
        <v/>
      </c>
      <c r="BK19" s="1533">
        <f>81.69397112+0.53829993</f>
        <v/>
      </c>
      <c r="BL19" s="1533">
        <f>0.71619301+231+0.20800996</f>
        <v/>
      </c>
      <c r="BM19" s="1533">
        <f>0.71432176+231+0.07023905</f>
        <v/>
      </c>
      <c r="BN19" s="1533">
        <f>0.61382176+231+0.07023905</f>
        <v/>
      </c>
      <c r="BO19" s="1533">
        <f>80.0923907+0.07023905</f>
        <v/>
      </c>
      <c r="BP19" s="1533">
        <f>91.305642+0.07023905</f>
        <v/>
      </c>
      <c r="BQ19" s="1533">
        <f>91.23103351+0.07023905</f>
        <v/>
      </c>
      <c r="BR19" s="1533">
        <f>91.22214445+0.07023905</f>
        <v/>
      </c>
      <c r="BS19" s="1533">
        <f>91.22214445+0.07023905</f>
        <v/>
      </c>
      <c r="BT19" s="1533">
        <f>91.20113477+0.06874464</f>
        <v/>
      </c>
      <c r="BU19" s="1533">
        <f>82.10661017+0.06874464</f>
        <v/>
      </c>
      <c r="BV19" s="1533">
        <f>74.86122975+0.06874464</f>
        <v/>
      </c>
      <c r="BW19" s="1533">
        <f>64.24926556+0.06874464</f>
        <v/>
      </c>
      <c r="BX19" s="1533">
        <f>64.12658961+0.06874464</f>
        <v/>
      </c>
      <c r="BY19" s="1533">
        <f>56.63004799+0.06874464</f>
        <v/>
      </c>
      <c r="BZ19" s="1533">
        <f>42.39357073+0.13780913</f>
        <v/>
      </c>
      <c r="CA19" s="1533">
        <f>41.74752084+0.13780913</f>
        <v/>
      </c>
      <c r="CB19" s="1533">
        <f>41.75375152+0.13780913</f>
        <v/>
      </c>
      <c r="CC19" s="1533">
        <f>38.56495823+0.26806728</f>
        <v/>
      </c>
      <c r="CD19" s="1533">
        <f>2.99488932+0.26806728</f>
        <v/>
      </c>
      <c r="CE19" s="1533">
        <f>2.96671868+0.26816728</f>
        <v/>
      </c>
      <c r="CF19" s="1533">
        <f>2.96671868+0.26816728</f>
        <v/>
      </c>
      <c r="CG19" s="1533">
        <f>2.74166868+0.26816728</f>
        <v/>
      </c>
      <c r="CH19" s="1533">
        <f>2.69175575+0.26619349</f>
        <v/>
      </c>
      <c r="CI19" s="1533">
        <f>2.69175575+2.40812702</f>
        <v/>
      </c>
      <c r="CJ19" s="1533">
        <f>3.19848317+1.01155302</f>
        <v/>
      </c>
      <c r="CK19" s="1533">
        <f>3.20214317+0.87931609</f>
        <v/>
      </c>
      <c r="CL19" s="1533">
        <f>3.20214317+0.85982864</f>
        <v/>
      </c>
      <c r="CM19" s="1533">
        <f>3.73255868+0.85982864</f>
        <v/>
      </c>
      <c r="CN19" s="1533">
        <f>12.67232306+0.85982864</f>
        <v/>
      </c>
      <c r="CO19" s="1533">
        <f>38.00983486+0.85982864</f>
        <v/>
      </c>
      <c r="CP19" s="1533">
        <f>38.0148576+0.85982864</f>
        <v/>
      </c>
      <c r="CQ19" s="1533">
        <f>38.74190632+0.90967864</f>
        <v/>
      </c>
      <c r="CR19" s="1533">
        <f>25.84403911+0.90967864</f>
        <v/>
      </c>
      <c r="CS19" s="1533">
        <f>52.96407462+0.90967864</f>
        <v/>
      </c>
      <c r="CT19" s="1533">
        <f>41.87068173+0.90967864</f>
        <v/>
      </c>
      <c r="CU19" s="1533">
        <f>41.856923+0.90967864</f>
        <v/>
      </c>
      <c r="CV19" s="1533">
        <f>41.6830533+0.90967864</f>
        <v/>
      </c>
      <c r="CW19" s="1533">
        <f>34.62939746+0.77836851</f>
        <v/>
      </c>
      <c r="CX19" s="1533">
        <f>34.62939746+0.77836851</f>
        <v/>
      </c>
      <c r="CY19" s="1533">
        <f>32.32426378+0.846654</f>
        <v/>
      </c>
      <c r="CZ19" s="1533" t="n">
        <v>33.17092</v>
      </c>
      <c r="DA19" s="1533">
        <f>59.188826+0.846654</f>
        <v/>
      </c>
      <c r="DB19" s="1533">
        <f>31.4021447+0.842291</f>
        <v/>
      </c>
      <c r="DC19" s="1533">
        <f>31.406595+1.403172</f>
        <v/>
      </c>
      <c r="DD19" s="1533">
        <f>3.64569234+0.27137874</f>
        <v/>
      </c>
      <c r="DE19" s="1533">
        <f>3.90165958+0.26511242</f>
        <v/>
      </c>
      <c r="DF19" s="1533">
        <f>38.94165958+0.26511242</f>
        <v/>
      </c>
      <c r="DG19" s="1533">
        <f>38.84096739+0.26511242</f>
        <v/>
      </c>
      <c r="DH19" s="1533">
        <f>38.75884699+0.26511242</f>
        <v/>
      </c>
      <c r="DI19" s="1533">
        <f>29.11237025+0.26511242</f>
        <v/>
      </c>
      <c r="DJ19" s="1533">
        <f>29.03736154+0.26511242</f>
        <v/>
      </c>
      <c r="DK19" s="1533">
        <f>29.04145332+0.26511242</f>
        <v/>
      </c>
      <c r="DL19" s="1533">
        <f>29.01681727+0.26511242+0.05831967</f>
        <v/>
      </c>
      <c r="DM19" s="1533">
        <f>29.01681727+0.26511242+0.05831967</f>
        <v/>
      </c>
      <c r="DN19" s="1533">
        <f>17.64496916+0.26511242+0.05831967</f>
        <v/>
      </c>
      <c r="DO19" s="1533">
        <f>14.2211167+0.33437111</f>
        <v/>
      </c>
      <c r="DP19" s="1533">
        <f>14.2211167+0.33437111</f>
        <v/>
      </c>
      <c r="DQ19" s="1533">
        <f>14.22168677+0.33437111</f>
        <v/>
      </c>
      <c r="DR19" s="1533" t="n">
        <v>19.45088075</v>
      </c>
      <c r="DS19" s="1533" t="n">
        <v>19.45088075</v>
      </c>
      <c r="DT19" s="1533">
        <f>21.50160612+0.33437111</f>
        <v/>
      </c>
      <c r="DU19" s="1533">
        <f>21.50452311+0.33437111</f>
        <v/>
      </c>
      <c r="DV19" s="1533">
        <f>18.16407989+0.33437111</f>
        <v/>
      </c>
      <c r="DW19" s="1533">
        <f>18.16676756+0.33437111</f>
        <v/>
      </c>
      <c r="DX19" s="1533">
        <f>16.68733856+0.33437111</f>
        <v/>
      </c>
      <c r="DY19" s="1533">
        <f>69.33803741+0.33437111</f>
        <v/>
      </c>
      <c r="DZ19" s="1533">
        <f>16.94989675+0.33437111</f>
        <v/>
      </c>
      <c r="EA19" s="1533">
        <f>16.83115887+0.33243274</f>
        <v/>
      </c>
      <c r="EB19" s="1533">
        <f>16.83382599+0.33243274</f>
        <v/>
      </c>
      <c r="EC19" s="1533">
        <f>12.07133667+0.33243274</f>
        <v/>
      </c>
      <c r="ED19" s="1533">
        <f>11.58425115+0.33243274</f>
        <v/>
      </c>
      <c r="EE19" s="1533">
        <f>11.58604129+0.33243274</f>
        <v/>
      </c>
      <c r="EF19" s="1533">
        <f>11.59113361+0.33243274</f>
        <v/>
      </c>
      <c r="EG19" s="1533">
        <f>11.59293095+0.33243274</f>
        <v/>
      </c>
      <c r="EH19" s="1533">
        <f>24.42035521+10.97856537</f>
        <v/>
      </c>
      <c r="EI19" s="1533">
        <f>22.31069036+0.98463316</f>
        <v/>
      </c>
      <c r="EJ19" s="1533">
        <f>16.20635259+0.98463316</f>
        <v/>
      </c>
      <c r="EK19" s="1533">
        <f>24.97926501+0.95236739</f>
        <v/>
      </c>
      <c r="EL19" s="1533">
        <f>27.38393461+0.95236739</f>
        <v/>
      </c>
      <c r="EM19" s="1533">
        <f>27.38393461+0.95236739</f>
        <v/>
      </c>
      <c r="EN19" s="1533">
        <f>117.20136651+0.95236739</f>
        <v/>
      </c>
      <c r="EO19" s="1533">
        <f>20.08211628+0.95225323</f>
        <v/>
      </c>
      <c r="EP19" s="1533">
        <f>21.31400451+0.95225323</f>
        <v/>
      </c>
      <c r="EQ19" s="1533">
        <f>22.41711425+0.0462746</f>
        <v/>
      </c>
      <c r="ER19" s="1533" t="n">
        <v>22.46338885</v>
      </c>
      <c r="ES19" s="1533">
        <f>16.33879282+3.7037746</f>
        <v/>
      </c>
      <c r="ET19" s="1533">
        <f>21.98278941+47.90514279</f>
        <v/>
      </c>
      <c r="EU19" s="1533">
        <f>73.89269027+0.90503453</f>
        <v/>
      </c>
      <c r="EV19" s="1533">
        <f>74.61452213+0.90543108</f>
        <v/>
      </c>
      <c r="EW19" s="1533">
        <f>46.08540605+0.90543108</f>
        <v/>
      </c>
      <c r="EX19" s="1533">
        <f>51.19209043+0.81197888</f>
        <v/>
      </c>
      <c r="EY19" s="1533" t="n">
        <v>62.27156498999999</v>
      </c>
      <c r="EZ19" s="1533" t="n">
        <v>63.93031721</v>
      </c>
      <c r="FA19" s="1533" t="n">
        <v>52.84478231</v>
      </c>
      <c r="FB19" s="1533" t="n">
        <v>57</v>
      </c>
      <c r="FC19" s="1533" t="n">
        <v>59.515082</v>
      </c>
      <c r="FD19" s="1533" t="n">
        <v>60.33606687</v>
      </c>
      <c r="FE19" s="1533" t="n">
        <v>48.29193385</v>
      </c>
      <c r="FF19" s="1533">
        <f>42.60204451+0.8175245</f>
        <v/>
      </c>
      <c r="FG19" s="1533">
        <f>46.44213419+0.8175245</f>
        <v/>
      </c>
      <c r="FH19" s="1533" t="n">
        <v>47</v>
      </c>
      <c r="FI19" s="1533" t="n">
        <v>47.43068277</v>
      </c>
      <c r="FJ19" s="1533">
        <f>45.54547087+27.99050015</f>
        <v/>
      </c>
      <c r="FK19" s="1533">
        <f>45.54547087+27.99050015</f>
        <v/>
      </c>
      <c r="FL19" s="1533">
        <f>77.06307298+0.87483479</f>
        <v/>
      </c>
      <c r="FM19" s="1533" t="n">
        <v>86</v>
      </c>
      <c r="FN19" s="1533" t="n">
        <v>85.60831292</v>
      </c>
      <c r="FO19" s="1533">
        <f>102.85947807+0.91748469</f>
        <v/>
      </c>
      <c r="FP19" s="1533">
        <f>49.67292984+0.91597736</f>
        <v/>
      </c>
      <c r="FQ19" s="1533">
        <f>44.49466984+0.91532626</f>
        <v/>
      </c>
      <c r="FR19" s="1533" t="n">
        <v>45.30932464</v>
      </c>
      <c r="FS19" s="1533" t="n">
        <v>45.33001067</v>
      </c>
      <c r="FT19" s="1533">
        <f>84.29705672+0.91532626</f>
        <v/>
      </c>
      <c r="FU19" s="1533">
        <f>87.76437455+0.01031598</f>
        <v/>
      </c>
      <c r="FV19" s="1533">
        <f>92.471471+0.01031598</f>
        <v/>
      </c>
      <c r="FW19" s="1533">
        <f>97.63225681+0.0096022</f>
        <v/>
      </c>
      <c r="FX19" s="1533">
        <f>98.27781931+0.0096022</f>
        <v/>
      </c>
      <c r="FY19" s="1533" t="n">
        <v>98</v>
      </c>
      <c r="FZ19" s="1533">
        <f>94.94402504+0.0096022</f>
        <v/>
      </c>
      <c r="GA19" s="1533">
        <f>66.67670027+0.0096022</f>
        <v/>
      </c>
      <c r="GB19" s="1533">
        <f>66.68712164+0.0096022</f>
        <v/>
      </c>
      <c r="GC19" s="1533">
        <f>64.64293471+0.0096022</f>
        <v/>
      </c>
      <c r="GD19" s="1533">
        <f>66.66017706+0.0096022</f>
        <v/>
      </c>
      <c r="GE19" s="1533">
        <f>466.6708998+0.0096022</f>
        <v/>
      </c>
      <c r="GF19" s="1533">
        <f>50.30068449+0.0096022</f>
        <v/>
      </c>
      <c r="GG19" s="1533">
        <f>50.30618739+0.0096022</f>
        <v/>
      </c>
      <c r="GH19" s="1533">
        <f>48.50458733+0.0096022</f>
        <v/>
      </c>
      <c r="GI19" s="1533" t="n">
        <v>55.70337624</v>
      </c>
      <c r="GJ19" s="1533" t="n">
        <v>48.19340153</v>
      </c>
      <c r="GK19" s="1533" t="n">
        <v>54.69275788</v>
      </c>
      <c r="GL19" s="1533" t="n">
        <v>59.99192827</v>
      </c>
      <c r="GM19" s="1533" t="n">
        <v>63.74368665</v>
      </c>
      <c r="GN19" s="1533" t="n">
        <v>82.0350641</v>
      </c>
      <c r="GO19" s="1533" t="n">
        <v>84.42716428</v>
      </c>
      <c r="GP19" s="1533" t="n">
        <v>35.12428883</v>
      </c>
      <c r="GQ19" s="1533" t="n">
        <v>27.13688224</v>
      </c>
      <c r="GR19" s="1533" t="n">
        <v>6.43257816</v>
      </c>
      <c r="GS19" s="1533" t="n">
        <v>10.09623699</v>
      </c>
      <c r="GT19" s="1533" t="n">
        <v>21.13379757</v>
      </c>
      <c r="GU19" s="1533" t="n">
        <v>26.00658256</v>
      </c>
      <c r="GV19" s="1533" t="n">
        <v>25.03136121</v>
      </c>
      <c r="GW19" s="1533" t="n">
        <v>25.03136121</v>
      </c>
      <c r="GX19" s="1533" t="n">
        <v>24.8</v>
      </c>
      <c r="GY19" s="1533" t="n">
        <v>24.8804732</v>
      </c>
      <c r="GZ19" s="1533" t="n">
        <v>24.63570832</v>
      </c>
      <c r="HA19" s="1533" t="n">
        <v>15.79687302</v>
      </c>
      <c r="HB19" s="1533" t="n">
        <v>15.79899584</v>
      </c>
      <c r="HC19" s="1533" t="n">
        <v>14.24550118</v>
      </c>
      <c r="HD19" s="1533" t="n">
        <v>16.31863546</v>
      </c>
      <c r="HE19" s="1533" t="n">
        <v>2.18825381</v>
      </c>
      <c r="HF19" s="1533" t="n">
        <v>9.749730509999999</v>
      </c>
      <c r="HG19" s="1533" t="n">
        <v>8.585864039999999</v>
      </c>
      <c r="HH19" s="1533" t="n">
        <v>28.65994217</v>
      </c>
      <c r="HI19" s="1533" t="n">
        <v>35.93199477</v>
      </c>
      <c r="HJ19" s="1533" t="n">
        <v>85.38459225</v>
      </c>
      <c r="HK19" s="1533" t="n">
        <v>92.87917456</v>
      </c>
      <c r="HL19" s="1533" t="n">
        <v>115.29892244</v>
      </c>
      <c r="HM19" s="1533" t="n">
        <v>111.38648665</v>
      </c>
      <c r="HN19" s="1533" t="n">
        <v>122.37131926</v>
      </c>
      <c r="HO19" s="1533" t="n">
        <v>122.42701221</v>
      </c>
      <c r="HP19" s="1533" t="n">
        <v>114.29481179</v>
      </c>
      <c r="HQ19" s="1533" t="n">
        <v>33.71627</v>
      </c>
      <c r="HR19" s="1533" t="n">
        <v>25.44310683</v>
      </c>
      <c r="HS19" s="1533" t="n">
        <v>24.60761645</v>
      </c>
      <c r="HT19" s="1544" t="n">
        <v>224.5622226</v>
      </c>
      <c r="HU19" s="1544" t="n">
        <v>224.5622226</v>
      </c>
      <c r="HV19" s="1544" t="n">
        <v>21.8836961</v>
      </c>
      <c r="HW19" s="1544" t="n">
        <v>21.8836961</v>
      </c>
      <c r="HX19" s="1544" t="n">
        <v>19.31967682</v>
      </c>
      <c r="HY19" s="1544" t="n">
        <v>19.31967682</v>
      </c>
      <c r="HZ19" s="1544" t="n">
        <v>17.30022545</v>
      </c>
      <c r="IA19" s="1544" t="n">
        <v>17.29911033</v>
      </c>
      <c r="IB19" s="1544" t="n">
        <v>17.27235893</v>
      </c>
      <c r="IC19" s="1544" t="n">
        <v>17.27235893</v>
      </c>
      <c r="ID19" s="1544" t="n">
        <v>17.27235893</v>
      </c>
      <c r="IE19" s="1544" t="n">
        <v>11.91377729</v>
      </c>
      <c r="IF19" s="1544" t="n">
        <v>11.91377729</v>
      </c>
      <c r="IG19" s="1544" t="n">
        <v>13.67063024</v>
      </c>
      <c r="IH19" s="1544" t="n">
        <v>13.4214013</v>
      </c>
      <c r="II19" s="1544" t="n">
        <v>13.4214013</v>
      </c>
      <c r="IJ19" s="1544" t="n">
        <v>13.4214013</v>
      </c>
      <c r="IK19" s="1544" t="n">
        <v>10.83307549</v>
      </c>
      <c r="IL19" s="1544" t="n">
        <v>10.83307549</v>
      </c>
      <c r="IM19" s="1544" t="n">
        <v>10.83307549</v>
      </c>
      <c r="IN19" s="1544" t="n">
        <v>16.95187986</v>
      </c>
      <c r="IO19" s="1544" t="n">
        <v>13.10232687</v>
      </c>
      <c r="IP19" s="1544" t="n">
        <v>7.36441377</v>
      </c>
      <c r="IQ19" s="1544" t="n">
        <v>7.487896839999999</v>
      </c>
      <c r="IR19" s="1544" t="n">
        <v>7.487896839999999</v>
      </c>
      <c r="IS19" s="1544" t="n">
        <v>3.92619451</v>
      </c>
      <c r="IT19" s="1544" t="n">
        <v>4.93972007</v>
      </c>
      <c r="IU19" s="1544" t="n">
        <v>7.79972007</v>
      </c>
      <c r="IV19" s="1544" t="n">
        <v>7.79972007</v>
      </c>
      <c r="IW19" s="1544" t="n">
        <v>6.6125961</v>
      </c>
      <c r="IX19" s="1544" t="n">
        <v>2.43193562</v>
      </c>
      <c r="IY19" s="1544" t="n">
        <v>2.36676146</v>
      </c>
      <c r="IZ19" s="1544" t="n">
        <v>0.58549963</v>
      </c>
      <c r="JA19" s="1544" t="n">
        <v>0.59291763</v>
      </c>
      <c r="JB19" s="1544" t="n">
        <v>0.59291763</v>
      </c>
      <c r="JC19" s="1544" t="n">
        <v>47.98482878</v>
      </c>
      <c r="JD19" s="1544" t="n">
        <v>51.54346688</v>
      </c>
      <c r="JE19" s="1544" t="n">
        <v>51.54346688</v>
      </c>
      <c r="JF19" s="1544" t="n">
        <v>51.54346688</v>
      </c>
      <c r="JG19" s="1544" t="n">
        <v>19.14342216</v>
      </c>
      <c r="JH19" s="1544" t="n">
        <v>19.14342216</v>
      </c>
      <c r="JI19" s="1544" t="n">
        <v>19.14342216</v>
      </c>
      <c r="JJ19" s="1544" t="n">
        <v>23.17793311</v>
      </c>
      <c r="JK19" s="1544" t="n">
        <v>28.1862931</v>
      </c>
      <c r="JL19" s="1544" t="n">
        <v>28.2096758</v>
      </c>
      <c r="JM19" s="1544" t="n">
        <v>28.1908857</v>
      </c>
      <c r="JN19" s="1544" t="n">
        <v>28.1908857</v>
      </c>
      <c r="JO19" s="1544" t="n">
        <v>28.1908857</v>
      </c>
      <c r="JP19" s="1544" t="n">
        <v>18.9401792</v>
      </c>
      <c r="JQ19" s="1544" t="n">
        <v>18.9401792</v>
      </c>
      <c r="JR19" s="1544" t="n">
        <v>20.14992016</v>
      </c>
      <c r="JS19" s="1544" t="n">
        <v>20.14992016</v>
      </c>
      <c r="JT19" s="1544" t="n">
        <v>0.62019464</v>
      </c>
      <c r="JU19" s="1544" t="n">
        <v>0.62019464</v>
      </c>
      <c r="JV19" s="1544" t="n">
        <v>0.62019464</v>
      </c>
      <c r="JW19" s="1544" t="n">
        <v>18.13605551</v>
      </c>
      <c r="JX19" s="1544" t="n">
        <v>18.13605551</v>
      </c>
      <c r="JY19" s="1544" t="n">
        <v>12.48148859</v>
      </c>
      <c r="JZ19" s="1544" t="n">
        <v>12.48148859</v>
      </c>
      <c r="KA19" s="1544" t="n">
        <v>11.85084264</v>
      </c>
      <c r="KB19" s="1544" t="n">
        <v>12.85247524</v>
      </c>
      <c r="KC19" s="1544" t="n">
        <v>2.99457769</v>
      </c>
      <c r="KD19" s="1544" t="n">
        <v>47.86050298999999</v>
      </c>
      <c r="KE19" s="1544" t="n">
        <v>47.86050298999999</v>
      </c>
      <c r="KF19" s="1544" t="n">
        <v>28.1862931</v>
      </c>
      <c r="KG19" s="1544" t="n">
        <v>44.61670719999999</v>
      </c>
      <c r="KH19" s="1544" t="n">
        <v>44.61670719999999</v>
      </c>
      <c r="KI19" s="1544" t="n">
        <v>36.9902445</v>
      </c>
      <c r="KJ19" s="1544" t="n">
        <v>36.9902445</v>
      </c>
      <c r="KK19" s="1544" t="n">
        <v>36.99202259999999</v>
      </c>
      <c r="KL19" s="1544" t="n">
        <v>37.04248347999999</v>
      </c>
      <c r="KM19" s="1544" t="n">
        <v>37.04248347999999</v>
      </c>
      <c r="KN19" s="1544" t="n">
        <v>2.273450860000001</v>
      </c>
      <c r="KO19" s="1544" t="n">
        <v>33.33454367</v>
      </c>
      <c r="KP19" s="1544" t="n">
        <v>21.77718771</v>
      </c>
      <c r="KQ19" s="1544" t="n">
        <v>21.75304818</v>
      </c>
      <c r="KR19" s="1544" t="n">
        <v>21.75304818</v>
      </c>
      <c r="KS19" s="1544" t="n">
        <v>1.40833624</v>
      </c>
      <c r="KT19" s="1544" t="n">
        <v>1.40833624</v>
      </c>
      <c r="KU19" s="1544" t="n">
        <v>27.53643718</v>
      </c>
      <c r="KV19" s="1544" t="n">
        <v>5.74451961</v>
      </c>
      <c r="KW19" s="1544" t="n">
        <v>208.78052772</v>
      </c>
      <c r="KX19" s="1544" t="n">
        <v>5.33800483</v>
      </c>
      <c r="KY19" s="1544" t="n">
        <v>5.33800483</v>
      </c>
      <c r="KZ19" s="1544" t="n">
        <v>4.32673677</v>
      </c>
      <c r="LA19" s="1544" t="n">
        <v>4.32673677</v>
      </c>
      <c r="LB19" s="1544" t="n">
        <v>2.78312729</v>
      </c>
      <c r="LC19" s="1544" t="n">
        <v>2.78312729</v>
      </c>
      <c r="LD19" s="1544" t="n">
        <v>2.78312729</v>
      </c>
      <c r="LE19" s="1544" t="n">
        <v>0.9087317499999999</v>
      </c>
      <c r="LF19" s="1544" t="n">
        <v>5.64303208</v>
      </c>
      <c r="LG19" s="1544" t="n">
        <v>5.64303208</v>
      </c>
      <c r="LH19" s="1544" t="n">
        <v>5.64303208</v>
      </c>
      <c r="LI19" s="1544" t="n">
        <v>1.94110411</v>
      </c>
      <c r="LJ19" s="1544" t="n">
        <v>1.94110411</v>
      </c>
      <c r="LK19" s="1544" t="n">
        <v>1.94110411</v>
      </c>
      <c r="LL19" s="1544" t="n">
        <v>14.46303288</v>
      </c>
      <c r="LM19" s="1544" t="n">
        <v>14.46303288</v>
      </c>
      <c r="LN19" s="1544" t="n">
        <v>5.82712519</v>
      </c>
      <c r="LO19" s="1544" t="n">
        <v>5.82712519</v>
      </c>
      <c r="LP19" s="1544" t="n">
        <v>5.82712519</v>
      </c>
      <c r="LQ19" s="1544" t="n">
        <v>10.43172197</v>
      </c>
      <c r="LR19" s="1544" t="n">
        <v>3.71102724</v>
      </c>
      <c r="LS19" s="1544" t="n">
        <v>3.71102724</v>
      </c>
      <c r="LT19" s="1544" t="n">
        <v>3.54959122</v>
      </c>
      <c r="LU19" s="1544" t="n">
        <v>14.15366169</v>
      </c>
      <c r="LV19" s="1544" t="n">
        <v>14.01575857</v>
      </c>
      <c r="LW19" s="1544" t="n">
        <v>14.01575857</v>
      </c>
      <c r="LX19" s="1544" t="n">
        <v>3.40646746</v>
      </c>
      <c r="LY19" s="1544" t="n">
        <v>3.40646746</v>
      </c>
      <c r="LZ19" s="1544" t="n">
        <v>6.290685900000001</v>
      </c>
      <c r="MA19" s="1544" t="n">
        <v>6.290685900000001</v>
      </c>
      <c r="MB19" s="1544" t="n">
        <v>6.290685900000001</v>
      </c>
      <c r="MC19" s="1544" t="n">
        <v>6.290685900000001</v>
      </c>
      <c r="MD19" s="1544" t="n">
        <v>90.21321408</v>
      </c>
      <c r="ME19" s="1544" t="n">
        <v>90.21842776000001</v>
      </c>
      <c r="MF19" s="1544" t="n">
        <v>90.21842776000001</v>
      </c>
      <c r="MG19" s="1544" t="n">
        <v>90.21842776000001</v>
      </c>
      <c r="MH19" s="1544" t="n">
        <v>4.710143469999999</v>
      </c>
      <c r="MI19" s="1544" t="n">
        <v>4.710143469999999</v>
      </c>
      <c r="MJ19" s="1544" t="n">
        <v>1.73261023</v>
      </c>
      <c r="MK19" s="1544" t="n">
        <v>11.00922323</v>
      </c>
      <c r="ML19" s="1544" t="n">
        <v>11.00922323</v>
      </c>
      <c r="MM19" s="1544" t="n">
        <v>11.00922323</v>
      </c>
      <c r="MN19" s="1544" t="n">
        <v>11.00922323</v>
      </c>
      <c r="MO19" s="1544" t="n">
        <v>11.00922323</v>
      </c>
      <c r="MP19" s="1544" t="n">
        <v>11.00922323</v>
      </c>
      <c r="MQ19" s="1544" t="n">
        <v>38.67568467</v>
      </c>
      <c r="MR19" s="1544" t="n">
        <v>38.67568467</v>
      </c>
      <c r="MS19" s="1544" t="n">
        <v>38.69591177</v>
      </c>
      <c r="MT19" s="1544" t="n">
        <v>34.38980408</v>
      </c>
      <c r="MU19" s="1544" t="n">
        <v>34.38980408</v>
      </c>
      <c r="MV19" s="1544" t="n">
        <v>34.38980408</v>
      </c>
      <c r="MW19" s="1544" t="n">
        <v>63.01667069</v>
      </c>
      <c r="MX19" s="1544" t="n">
        <v>62.39526136</v>
      </c>
      <c r="MY19" s="1544" t="n">
        <v>62.39526136</v>
      </c>
      <c r="MZ19" s="1544" t="n">
        <v>62.39526136</v>
      </c>
      <c r="NA19" s="1544" t="n">
        <v>62.39526136</v>
      </c>
      <c r="NB19" s="1544" t="n">
        <v>62.39526136</v>
      </c>
      <c r="NC19" s="1544" t="n">
        <v>62.39526136</v>
      </c>
      <c r="ND19" s="1544" t="n">
        <v>62.39526136</v>
      </c>
      <c r="NE19" s="1544" t="n">
        <v>62.39526136</v>
      </c>
      <c r="NF19" s="1544" t="n">
        <v>30.68328027</v>
      </c>
      <c r="NG19" s="1544" t="n">
        <v>34.57781496</v>
      </c>
      <c r="NH19" s="1544" t="n">
        <v>28.85669768</v>
      </c>
      <c r="NI19" s="1544" t="n">
        <v>28.80261231</v>
      </c>
      <c r="NJ19" s="1544" t="n">
        <v>28.80261231</v>
      </c>
      <c r="NK19" s="1544" t="n">
        <v>51.78499779</v>
      </c>
      <c r="NL19" s="1544" t="n">
        <v>51.78499779</v>
      </c>
      <c r="NM19" s="1544" t="n">
        <v>55.34467942</v>
      </c>
      <c r="NN19" s="1544" t="n">
        <v>55.34467942</v>
      </c>
      <c r="NO19" s="1544" t="n">
        <v>55.34467942</v>
      </c>
      <c r="NP19" s="1544" t="n">
        <v>133.11038576</v>
      </c>
      <c r="NQ19" s="1544" t="n">
        <v>133.11038576</v>
      </c>
      <c r="NR19" s="1544" t="n">
        <v>140.75950377</v>
      </c>
      <c r="NS19" s="1544" t="n">
        <v>140.75950377</v>
      </c>
      <c r="NT19" s="1544" t="n">
        <v>140.75950377</v>
      </c>
      <c r="NU19" s="1544" t="n">
        <v>151.12998959</v>
      </c>
      <c r="NV19" s="1544" t="n">
        <v>151.28065844</v>
      </c>
      <c r="NW19" s="1544" t="n">
        <v>151.28065844</v>
      </c>
      <c r="NX19" s="1544" t="n">
        <v>151.28065844</v>
      </c>
      <c r="NY19" s="1544" t="n">
        <v>141.37672841</v>
      </c>
      <c r="NZ19" s="1544" t="n">
        <v>140.45571894</v>
      </c>
      <c r="OA19" s="1544" t="n">
        <v>140.45571894</v>
      </c>
      <c r="OB19" s="1544" t="n">
        <v>140.45571894</v>
      </c>
      <c r="OC19" s="1544" t="n">
        <v>8.062909150000001</v>
      </c>
      <c r="OD19" s="1544" t="n">
        <v>8.062909150000001</v>
      </c>
      <c r="OE19" s="1544" t="n">
        <v>8.062909150000001</v>
      </c>
      <c r="OF19" s="1544" t="n">
        <v>8.062909150000001</v>
      </c>
      <c r="OG19" s="1544" t="n">
        <v>23.08899347</v>
      </c>
      <c r="OH19" s="1544" t="n">
        <v>23.08899347</v>
      </c>
      <c r="OI19" s="1544" t="n">
        <v>5.271610480000001</v>
      </c>
      <c r="OJ19" s="1544" t="n">
        <v>15.0496328</v>
      </c>
      <c r="OK19" s="1544" t="n">
        <v>15.0496328</v>
      </c>
      <c r="OL19" s="1544" t="n">
        <v>14.27270335</v>
      </c>
      <c r="OM19" s="1544" t="n">
        <v>14.27270335</v>
      </c>
      <c r="ON19" s="1544" t="n">
        <v>14.27270335</v>
      </c>
      <c r="OO19" s="1544" t="n">
        <v>33.6993289</v>
      </c>
      <c r="OP19" s="1544" t="n">
        <v>33.73474204999999</v>
      </c>
      <c r="OQ19" s="1544" t="n">
        <v>33.73474204999999</v>
      </c>
      <c r="OR19" s="1544" t="n">
        <v>33.73474204999999</v>
      </c>
      <c r="OS19" s="1544" t="n">
        <v>13.71220029</v>
      </c>
      <c r="OT19" s="1544" t="n">
        <v>28.1705207</v>
      </c>
      <c r="OU19" s="1544" t="n">
        <v>28.1705207</v>
      </c>
      <c r="OV19" s="1544" t="n">
        <v>28.1705207</v>
      </c>
      <c r="OW19" s="1544" t="n">
        <v>29.94343885</v>
      </c>
      <c r="OX19" s="1544" t="n">
        <v>29.94343885</v>
      </c>
      <c r="OY19" s="1544" t="n">
        <v>43.44957398</v>
      </c>
      <c r="OZ19" s="1544" t="n">
        <v>43.44957398</v>
      </c>
      <c r="PA19" s="1544" t="n">
        <v>43.44957398</v>
      </c>
      <c r="PB19" s="1544" t="n">
        <v>42.67698154</v>
      </c>
      <c r="PC19" s="1544" t="n">
        <v>42.67698154</v>
      </c>
      <c r="PD19" s="1544" t="n">
        <v>42.67698154</v>
      </c>
      <c r="PE19" s="1544" t="n">
        <v>23.99286276</v>
      </c>
      <c r="PF19" s="1544" t="n">
        <v>11.70324158</v>
      </c>
      <c r="PG19" s="1544" t="n">
        <v>11.70324158</v>
      </c>
      <c r="PH19" s="1544" t="n">
        <v>11.70324158</v>
      </c>
      <c r="PI19" s="1544" t="n">
        <v>44.33878404999999</v>
      </c>
      <c r="PJ19" s="1544" t="n">
        <v>39.23285301</v>
      </c>
      <c r="PK19" s="1544" t="n">
        <v>39.23285301</v>
      </c>
      <c r="PL19" s="1544" t="n">
        <v>39.23285301</v>
      </c>
      <c r="PM19" s="1544" t="n">
        <v>39.23285301</v>
      </c>
      <c r="PN19" s="1544" t="n">
        <v>6.03090682</v>
      </c>
      <c r="PO19" s="1544" t="n">
        <v>6.03090682</v>
      </c>
      <c r="PP19" s="1544" t="n">
        <v>8.08301206</v>
      </c>
      <c r="PQ19" s="1544" t="n">
        <v>8.08301206</v>
      </c>
      <c r="PR19" s="1544" t="n">
        <v>8.08301206</v>
      </c>
      <c r="PS19" s="1544" t="n">
        <v>2.9527316</v>
      </c>
      <c r="PT19" s="1544" t="n">
        <v>2.9527316</v>
      </c>
      <c r="PU19" s="1544" t="n">
        <v>2.53936537</v>
      </c>
      <c r="PV19" s="1544" t="n">
        <v>2.53936537</v>
      </c>
      <c r="PW19" s="1544" t="n">
        <v>2.53936537</v>
      </c>
      <c r="PX19" s="1544" t="n">
        <v>6.870094780000001</v>
      </c>
      <c r="PY19" s="1544" t="n">
        <v>6.86689378</v>
      </c>
      <c r="PZ19" s="1544" t="n">
        <v>6.86689378</v>
      </c>
      <c r="QA19" s="1544" t="n">
        <v>6.86689378</v>
      </c>
      <c r="QB19" s="1544" t="n">
        <v>1.89002722</v>
      </c>
      <c r="QC19" s="1544" t="n">
        <v>1.85171534</v>
      </c>
      <c r="QD19" s="1544" t="n">
        <v>1.85171534</v>
      </c>
      <c r="QE19" s="1544" t="n">
        <v>14.56471436</v>
      </c>
      <c r="QF19" s="1544" t="n">
        <v>14.56471436</v>
      </c>
      <c r="QG19" s="1544" t="n">
        <v>14.56471436</v>
      </c>
      <c r="QH19" s="1544" t="n">
        <v>14.56471436</v>
      </c>
      <c r="QI19" s="1544" t="n">
        <v>11.25022171</v>
      </c>
      <c r="QJ19" s="1544" t="n">
        <v>11.25022171</v>
      </c>
      <c r="QK19" s="1544" t="n">
        <v>8.193375469999999</v>
      </c>
      <c r="QL19" s="1544" t="n">
        <v>8.193375469999999</v>
      </c>
      <c r="QM19" s="1544" t="n">
        <v>8.193375469999999</v>
      </c>
      <c r="QN19" s="1544" t="n">
        <v>11.10216511</v>
      </c>
      <c r="QO19" s="1544" t="n">
        <v>4.956174610000001</v>
      </c>
      <c r="QP19" s="1544" t="n">
        <v>4.956174610000001</v>
      </c>
      <c r="QQ19" s="1544" t="n">
        <v>24.95289484</v>
      </c>
      <c r="QR19" s="1544" t="n">
        <v>24.95289484</v>
      </c>
      <c r="QS19" s="1544" t="n">
        <v>7.861582760000001</v>
      </c>
      <c r="QT19" s="1544" t="n">
        <v>4.31349363</v>
      </c>
      <c r="QU19" s="1544" t="n">
        <v>4.31349363</v>
      </c>
      <c r="QV19" s="1544" t="n">
        <v>117.14932717</v>
      </c>
      <c r="QW19" s="1544" t="n">
        <v>4.31349363</v>
      </c>
      <c r="QX19" s="1544" t="n">
        <v>4.31349363</v>
      </c>
      <c r="QY19" s="1544" t="n">
        <v>36.27066818</v>
      </c>
      <c r="QZ19" s="1544" t="n">
        <v>36.27066818</v>
      </c>
      <c r="RA19" s="1544" t="n">
        <v>46.53524802</v>
      </c>
      <c r="RB19" s="1544" t="n">
        <v>46.53524802</v>
      </c>
      <c r="RC19" s="1544" t="n">
        <v>46.53524802</v>
      </c>
      <c r="RD19" s="1544" t="n">
        <v>46.53524802</v>
      </c>
      <c r="RE19" s="1544" t="n">
        <v>27.31169034</v>
      </c>
      <c r="RF19" s="1544" t="n">
        <v>27.31169034</v>
      </c>
      <c r="RG19" s="1544" t="n">
        <v>27.31169034</v>
      </c>
      <c r="RH19" s="1544" t="n">
        <v>23.57200622</v>
      </c>
      <c r="RI19" s="1544" t="n">
        <v>23.57897878</v>
      </c>
      <c r="RJ19" s="1544" t="n">
        <v>23.57897878</v>
      </c>
      <c r="RK19" s="1544" t="n">
        <v>34.12601492</v>
      </c>
      <c r="RL19" s="1544" t="n">
        <v>34.12601492</v>
      </c>
      <c r="RM19" s="1544" t="n">
        <v>32.20618634</v>
      </c>
      <c r="RN19" s="1544" t="n">
        <v>32.20618634</v>
      </c>
      <c r="RO19" s="1544" t="n">
        <v>32.20618634</v>
      </c>
      <c r="RP19" s="1544" t="n">
        <v>32.20618634</v>
      </c>
      <c r="RQ19" s="1544" t="n">
        <v>17.80699206</v>
      </c>
      <c r="RR19" s="1544" t="n">
        <v>17.80699206</v>
      </c>
      <c r="RS19" s="1544" t="n">
        <v>15.05552864</v>
      </c>
      <c r="RT19" s="1544" t="n">
        <v>15.05552864</v>
      </c>
      <c r="RU19" s="1544" t="n">
        <v>15.05552864</v>
      </c>
      <c r="RV19" s="1544" t="n">
        <v>15.05552864</v>
      </c>
      <c r="RW19" s="1544" t="n">
        <v>15.05552864</v>
      </c>
      <c r="RX19" s="1544" t="n">
        <v>15.05552864</v>
      </c>
      <c r="RY19" s="1544" t="n">
        <v>5.986661100000001</v>
      </c>
      <c r="RZ19" s="1544" t="n">
        <v>5.986661100000001</v>
      </c>
      <c r="SA19" s="1544" t="n">
        <v>4.082014259999999</v>
      </c>
      <c r="SB19" s="1544" t="n">
        <v>4.07350326</v>
      </c>
      <c r="SC19" s="1544" t="n">
        <v>4.07350326</v>
      </c>
      <c r="SD19" s="1544" t="n">
        <v>4.07350326</v>
      </c>
      <c r="SE19" s="1544" t="n">
        <v>3.17559941</v>
      </c>
      <c r="SF19" s="1544" t="n">
        <v>3.17559941</v>
      </c>
      <c r="SG19" s="1544" t="n">
        <v>16.54193436</v>
      </c>
      <c r="SH19" s="1544" t="n">
        <v>16.54193436</v>
      </c>
      <c r="SI19" s="1544" t="n">
        <v>2.93055922</v>
      </c>
      <c r="SJ19" s="1544" t="n">
        <v>2.93055922</v>
      </c>
      <c r="SK19" s="1544" t="n">
        <v>18.96218194</v>
      </c>
      <c r="SL19" s="1544" t="n">
        <v>18.96218194</v>
      </c>
      <c r="SM19" s="1544" t="n">
        <v>14.17591958</v>
      </c>
      <c r="SN19" s="1544" t="n">
        <v>14.17591958</v>
      </c>
      <c r="SO19" s="1544" t="n">
        <v>14.17591958</v>
      </c>
      <c r="SP19" s="1544" t="n">
        <v>24.56816586</v>
      </c>
      <c r="SQ19" s="1544" t="n">
        <v>24.56816586</v>
      </c>
      <c r="SR19" s="1544" t="n">
        <v>24.56816586</v>
      </c>
      <c r="SS19" s="1544" t="n">
        <v>5.44589183</v>
      </c>
      <c r="ST19" s="1544" t="n">
        <v>5.44589183</v>
      </c>
      <c r="SU19" s="1544" t="n">
        <v>4.99252623</v>
      </c>
      <c r="SV19" s="1544" t="n">
        <v>4.99252623</v>
      </c>
      <c r="SW19" s="1544" t="n">
        <v>4.99252623</v>
      </c>
      <c r="SX19" s="1544" t="n">
        <v>1.72912879</v>
      </c>
      <c r="SY19" s="1544" t="n">
        <v>1.72912879</v>
      </c>
      <c r="SZ19" s="1544" t="n">
        <v>1.72912879</v>
      </c>
      <c r="TA19" s="1544" t="n">
        <v>31.61517164</v>
      </c>
      <c r="TB19" s="1544" t="n">
        <v>31.61517164</v>
      </c>
      <c r="TC19" s="1544" t="n">
        <v>9.694161470000001</v>
      </c>
      <c r="TD19" s="1544" t="n">
        <v>9.694161470000001</v>
      </c>
      <c r="TE19" s="1544" t="n">
        <v>14.24176036</v>
      </c>
      <c r="TF19" s="1544" t="n">
        <v>12.35424239</v>
      </c>
      <c r="TG19" s="1544" t="n">
        <v>9.26726114</v>
      </c>
      <c r="TH19" s="1544" t="n">
        <v>1.29268497</v>
      </c>
      <c r="TI19" s="1544" t="n">
        <v>17.87168733</v>
      </c>
      <c r="TJ19" s="1544" t="n">
        <v>5.76940464</v>
      </c>
      <c r="TK19" s="1544" t="n">
        <v>255.00231846</v>
      </c>
      <c r="TL19" s="1544" t="n">
        <v>1.0427554</v>
      </c>
      <c r="TM19" s="1544" t="n">
        <v>0.3386519100000001</v>
      </c>
      <c r="TN19" s="1544" t="n">
        <v>4.09437245</v>
      </c>
      <c r="TO19" s="1544" t="n">
        <v>43.3481274</v>
      </c>
      <c r="TP19" s="1544" t="n">
        <v>40.96585938</v>
      </c>
      <c r="TQ19" s="1544" t="n">
        <v>41.0777023</v>
      </c>
      <c r="TR19" s="1544" t="n">
        <v>56.64790536</v>
      </c>
      <c r="TS19" s="1544" t="n">
        <v>56.65055741</v>
      </c>
      <c r="TT19" s="1544" t="n">
        <v>55.52104352000001</v>
      </c>
      <c r="TU19" s="1544" t="n">
        <v>40.33609016</v>
      </c>
      <c r="TV19" s="1544" t="n">
        <v>39.23050857</v>
      </c>
      <c r="TW19" s="1544" t="n">
        <v>29.27954544</v>
      </c>
      <c r="TX19" s="1544" t="n">
        <v>23.44561352</v>
      </c>
      <c r="TY19" s="1544" t="n">
        <v>26.35895356</v>
      </c>
      <c r="TZ19" s="1544" t="n">
        <v>2.38579828</v>
      </c>
      <c r="UA19" s="1544" t="n">
        <v>81.64361416999999</v>
      </c>
      <c r="UB19" s="1544" t="n">
        <v>72.92140198999999</v>
      </c>
      <c r="UC19" s="1544" t="n">
        <v>96.85981715</v>
      </c>
      <c r="UD19" s="1544" t="n">
        <v>177.74953855</v>
      </c>
      <c r="UE19" s="1544" t="n">
        <v>69.05771048999999</v>
      </c>
      <c r="UF19" s="1544" t="n">
        <v>91.82128975999998</v>
      </c>
      <c r="UG19" s="1544" t="n">
        <v>100.22430753</v>
      </c>
      <c r="UH19" s="1544" t="n">
        <v>130.65177816</v>
      </c>
      <c r="UI19" s="1544" t="n">
        <v>139.43785602</v>
      </c>
      <c r="UJ19" s="1544" t="n">
        <v>231.55759311</v>
      </c>
      <c r="UK19" s="1544" t="n">
        <v>222.91958959</v>
      </c>
      <c r="UL19" s="1544" t="n">
        <v>76.60915373</v>
      </c>
      <c r="UM19" s="1544" t="n">
        <v>61.80095514</v>
      </c>
      <c r="UN19" s="1544" t="n">
        <v>61.91596733</v>
      </c>
      <c r="UO19" s="1544" t="n">
        <v>47.77351609</v>
      </c>
      <c r="UP19" s="1544" t="n">
        <v>47.79264354999999</v>
      </c>
      <c r="UQ19" s="1544" t="n">
        <v>29.54052077</v>
      </c>
      <c r="UR19" s="1544" t="n">
        <v>16.34014088</v>
      </c>
      <c r="US19" s="1544" t="n">
        <v>17.13825974</v>
      </c>
      <c r="UT19" s="1544" t="n">
        <v>16.78032636</v>
      </c>
      <c r="UU19" s="1544" t="n">
        <v>22.87205578</v>
      </c>
      <c r="UV19" s="1544" t="n">
        <v>19.53770468</v>
      </c>
      <c r="UW19" s="1544" t="n">
        <v>2.49207192</v>
      </c>
      <c r="UX19" s="1544" t="n">
        <v>16.7210844</v>
      </c>
      <c r="UY19" s="1544" t="n">
        <v>1.96416714</v>
      </c>
      <c r="UZ19" s="1544" t="n">
        <v>26.77100104</v>
      </c>
      <c r="VA19" s="1544" t="n">
        <v>26.77100104</v>
      </c>
      <c r="VB19" s="1544" t="n">
        <v>3.73707328</v>
      </c>
      <c r="VC19" s="1544" t="n">
        <v>64.80228710999999</v>
      </c>
      <c r="VD19" s="1544" t="n">
        <v>12.00963496</v>
      </c>
      <c r="VE19" s="1544" t="n">
        <v>12.00963496</v>
      </c>
      <c r="VF19" s="1544" t="n">
        <v>0.89106151</v>
      </c>
      <c r="VG19" s="1544" t="n">
        <v>15.05031998</v>
      </c>
      <c r="VH19" s="1544" t="n">
        <v>3.41807233</v>
      </c>
      <c r="VI19" s="1544" t="n">
        <v>6.91729259</v>
      </c>
      <c r="VJ19" s="1544" t="n">
        <v>3.98070854</v>
      </c>
      <c r="VK19" s="1544" t="n">
        <v>60.32111964</v>
      </c>
      <c r="VL19" s="1544" t="n">
        <v>18.06981852</v>
      </c>
      <c r="VM19" s="1544" t="n">
        <v>17.18088233</v>
      </c>
      <c r="VN19" s="1544" t="n">
        <v>17.16621796</v>
      </c>
      <c r="VO19" s="1544" t="n">
        <v>6.531237439999999</v>
      </c>
      <c r="VP19" s="1544" t="n">
        <v>2.65360081</v>
      </c>
      <c r="VQ19" s="1544" t="n">
        <v>2.85040153</v>
      </c>
      <c r="VR19" s="1544" t="n">
        <v>8.66904791</v>
      </c>
      <c r="VS19" s="1544" t="n">
        <v>3.88097743</v>
      </c>
      <c r="VT19" s="1544" t="n">
        <v>0.6016389500000001</v>
      </c>
      <c r="VU19" s="1544" t="n">
        <v>4.10163895</v>
      </c>
      <c r="VV19" s="1544" t="n">
        <v>5.62050484</v>
      </c>
      <c r="VW19" s="1544" t="n">
        <v>5.52964921</v>
      </c>
      <c r="VX19" s="1544" t="n">
        <v>7.24091276</v>
      </c>
      <c r="VY19" s="1544" t="n">
        <v>2.49805168</v>
      </c>
      <c r="VZ19" s="1544" t="n">
        <v>17.08408925</v>
      </c>
      <c r="WA19" s="1544" t="n">
        <v>25.75467391</v>
      </c>
      <c r="WB19" s="1544" t="n">
        <v>3.98911644</v>
      </c>
      <c r="WC19" s="1544" t="n">
        <v>205.84604681</v>
      </c>
      <c r="WD19" s="1544" t="n">
        <v>1.82089782</v>
      </c>
      <c r="WE19" s="1544" t="n">
        <v>2.33069769</v>
      </c>
      <c r="WF19" s="1544" t="n">
        <v>2.11485109</v>
      </c>
      <c r="WG19" s="1544" t="n">
        <v>36.21759019</v>
      </c>
      <c r="WH19" s="1544" t="n">
        <v>36.56631218</v>
      </c>
      <c r="WI19" s="1544" t="n">
        <v>36.03565835</v>
      </c>
      <c r="WJ19" s="1544" t="n">
        <v>34.18165314</v>
      </c>
      <c r="WK19" s="1544" t="n">
        <v>15.31614785</v>
      </c>
      <c r="WL19" s="1544" t="n">
        <v>15.02965816</v>
      </c>
      <c r="WM19" s="1544" t="n">
        <v>12.09205463</v>
      </c>
      <c r="WN19" s="1544" t="n">
        <v>96.14431986</v>
      </c>
      <c r="WO19" s="1544" t="n">
        <v>96.09315706</v>
      </c>
      <c r="WP19" s="1544" t="n">
        <v>96.45558432000001</v>
      </c>
      <c r="WQ19" s="1544" t="n">
        <v>121.07817359</v>
      </c>
      <c r="WR19" s="1544" t="n">
        <v>46.52894537</v>
      </c>
      <c r="WS19" s="1544" t="n">
        <v>16.094299</v>
      </c>
      <c r="WT19" s="1544" t="n">
        <v>16.07732949</v>
      </c>
      <c r="WU19" s="1544" t="n">
        <v>27.01451798</v>
      </c>
      <c r="WV19" s="1544" t="n">
        <v>11.77930534</v>
      </c>
      <c r="WW19" s="1544" t="n">
        <v>1.35977342</v>
      </c>
      <c r="WX19" s="1544" t="n">
        <v>34.13293559</v>
      </c>
      <c r="WY19" s="1544" t="n">
        <v>1.47980771</v>
      </c>
      <c r="WZ19" s="1544" t="n">
        <v>1.28305383</v>
      </c>
      <c r="XA19" s="1544" t="n">
        <v>3.13665965</v>
      </c>
      <c r="XB19" s="1544" t="n">
        <v>7.189858950000001</v>
      </c>
      <c r="XC19" s="1544" t="n">
        <v>7.189858950000001</v>
      </c>
      <c r="XD19" s="1544" t="n">
        <v>20.6871846</v>
      </c>
      <c r="XE19" s="1544" t="n">
        <v>88.93581048</v>
      </c>
      <c r="XF19" s="1544" t="n">
        <v>82.93042968</v>
      </c>
      <c r="XG19" s="1544" t="n">
        <v>69.55211401000001</v>
      </c>
      <c r="XH19" s="1544" t="n">
        <v>61.08413314000001</v>
      </c>
      <c r="XI19" s="1544" t="n">
        <v>36.5597902</v>
      </c>
      <c r="XJ19" s="1544" t="n">
        <v>35.93394780000001</v>
      </c>
      <c r="XK19" s="1544" t="n">
        <v>22.92888538</v>
      </c>
      <c r="XL19" s="1544" t="n">
        <v>22.45329196</v>
      </c>
      <c r="XM19" s="1544" t="n">
        <v>4.53210417</v>
      </c>
      <c r="XN19" s="1544" t="n">
        <v>4.41108786</v>
      </c>
      <c r="XO19" s="1544" t="n">
        <v>5.41284462</v>
      </c>
      <c r="XP19" s="1544" t="n">
        <v>23.02209926</v>
      </c>
      <c r="XQ19" s="1544" t="n">
        <v>17.19207695</v>
      </c>
      <c r="XR19" s="1544" t="n">
        <v>13.25064851</v>
      </c>
      <c r="XS19" s="1544" t="n">
        <v>7.57072894</v>
      </c>
      <c r="XT19" s="1544" t="n">
        <v>6.933390600000001</v>
      </c>
      <c r="XU19" s="1544" t="n">
        <v>6.93468952</v>
      </c>
      <c r="XV19" s="1544" t="n">
        <v>6.78733652</v>
      </c>
      <c r="XW19" s="1544" t="n">
        <v>32.90979441</v>
      </c>
      <c r="XX19" s="1544" t="n">
        <v>23.39292387</v>
      </c>
      <c r="XY19" s="1544" t="n">
        <v>21.57366619</v>
      </c>
      <c r="XZ19" s="1544" t="n">
        <v>8.505181070000001</v>
      </c>
      <c r="YA19" s="1544" t="n">
        <v>6.896588589999999</v>
      </c>
      <c r="YB19" s="1544" t="n">
        <v>6.89638859</v>
      </c>
      <c r="YC19" s="1544" t="n">
        <v>23.07883144</v>
      </c>
      <c r="YD19" s="1544" t="n">
        <v>6.29086473</v>
      </c>
      <c r="YE19" s="1544" t="n">
        <v>4.01058956</v>
      </c>
      <c r="YF19" s="1544" t="n">
        <v>1.38058496</v>
      </c>
      <c r="YG19" s="1544" t="n">
        <v>16.84451596</v>
      </c>
      <c r="YH19" s="1544" t="n">
        <v>4.06511041</v>
      </c>
      <c r="YI19" s="1544" t="n">
        <v>4.06598864</v>
      </c>
      <c r="YJ19" s="1544" t="n">
        <v>29.48491637</v>
      </c>
    </row>
    <row r="20">
      <c r="B20" s="917" t="inlineStr">
        <is>
          <t>Modern 
solutions</t>
        </is>
      </c>
      <c r="TE20" s="1544" t="n"/>
      <c r="TF20" s="1544" t="n">
        <v>3.61367472</v>
      </c>
      <c r="TG20" s="1544" t="n">
        <v>3.38887701</v>
      </c>
      <c r="TH20" s="1544" t="n">
        <v>3.72844857</v>
      </c>
      <c r="TI20" s="1544" t="n">
        <v>3.97894857</v>
      </c>
      <c r="TJ20" s="1544" t="n">
        <v>3.98602507</v>
      </c>
      <c r="TK20" s="1544" t="n">
        <v>3.96288602</v>
      </c>
      <c r="TL20" s="1544" t="n">
        <v>3.930111</v>
      </c>
      <c r="TM20" s="1544" t="n">
        <v>4.09372032</v>
      </c>
      <c r="TN20" s="1544" t="n">
        <v>4.12622032</v>
      </c>
      <c r="TO20" s="1544" t="n">
        <v>4.09421532</v>
      </c>
      <c r="TP20" s="1544" t="n">
        <v>4.56483013</v>
      </c>
      <c r="TQ20" s="1544" t="n">
        <v>4.57519613</v>
      </c>
      <c r="TR20" s="1544" t="n">
        <v>5.00017395</v>
      </c>
      <c r="TS20" s="1544" t="n">
        <v>5.00674296</v>
      </c>
      <c r="TT20" s="1544" t="n">
        <v>5.00290596</v>
      </c>
      <c r="TU20" s="1544" t="n">
        <v>4.89331943</v>
      </c>
      <c r="TV20" s="1544" t="n">
        <v>4.92581943</v>
      </c>
      <c r="TW20" s="1544" t="n">
        <v>4.88447925</v>
      </c>
      <c r="TX20" s="1544" t="n">
        <v>4.88447925</v>
      </c>
      <c r="TY20" s="1544" t="n">
        <v>4.88447925</v>
      </c>
      <c r="TZ20" s="1544" t="n">
        <v>4.89646156</v>
      </c>
      <c r="UA20" s="1544" t="n">
        <v>5.81332956</v>
      </c>
      <c r="UB20" s="1544" t="n">
        <v>5.81332956</v>
      </c>
      <c r="UC20" s="1544" t="n">
        <v>5.81123803</v>
      </c>
      <c r="UD20" s="1544" t="n">
        <v>5.86623803</v>
      </c>
      <c r="UE20" s="1544" t="n">
        <v>5.86159987</v>
      </c>
      <c r="UF20" s="1544" t="n">
        <v>5.86159987</v>
      </c>
      <c r="UG20" s="1544" t="n">
        <v>5.74202687</v>
      </c>
      <c r="UH20" s="1544" t="n">
        <v>5.63014275</v>
      </c>
      <c r="UI20" s="1544" t="n">
        <v>5.6375199</v>
      </c>
      <c r="UJ20" s="1544" t="n">
        <v>5.660126030000001</v>
      </c>
      <c r="UK20" s="1544" t="n">
        <v>5.76886417</v>
      </c>
      <c r="UL20" s="1544" t="n">
        <v>5.76764176</v>
      </c>
      <c r="UM20" s="1544" t="n">
        <v>5.776921570000001</v>
      </c>
      <c r="UN20" s="1544" t="n">
        <v>5.75119638</v>
      </c>
      <c r="UO20" s="1544" t="n">
        <v>5.75119638</v>
      </c>
      <c r="UP20" s="1544" t="n">
        <v>5.75119638</v>
      </c>
      <c r="UQ20" s="1544" t="n">
        <v>5.45956417</v>
      </c>
      <c r="UR20" s="1544" t="n">
        <v>5.42797217</v>
      </c>
      <c r="US20" s="1544" t="n">
        <v>5.42797217</v>
      </c>
      <c r="UT20" s="1544" t="n">
        <v>5.42587217</v>
      </c>
      <c r="UU20" s="1544" t="n">
        <v>5.413714929999999</v>
      </c>
      <c r="UV20" s="1544" t="n">
        <v>5.41235793</v>
      </c>
      <c r="UW20" s="1544" t="n">
        <v>5.41235793</v>
      </c>
      <c r="UX20" s="1544" t="n">
        <v>5.42069704</v>
      </c>
      <c r="UY20" s="1544" t="n">
        <v>5.41878763</v>
      </c>
      <c r="UZ20" s="1544" t="n">
        <v>5.41878763</v>
      </c>
      <c r="VA20" s="1544" t="n">
        <v>5.41878763</v>
      </c>
      <c r="VB20" s="1544" t="n">
        <v>5.39856516</v>
      </c>
      <c r="VC20" s="1544" t="n">
        <v>5.25455242</v>
      </c>
      <c r="VD20" s="1544" t="n">
        <v>5.21682342</v>
      </c>
      <c r="VE20" s="1544" t="n">
        <v>5.21682342</v>
      </c>
      <c r="VF20" s="1544" t="n">
        <v>5.227843900000001</v>
      </c>
      <c r="VG20" s="1544" t="n">
        <v>5.2065148</v>
      </c>
      <c r="VH20" s="1544" t="n">
        <v>5.216335780000001</v>
      </c>
      <c r="VI20" s="1544" t="n">
        <v>5.21241978</v>
      </c>
      <c r="VJ20" s="1544" t="n">
        <v>5.20134009</v>
      </c>
      <c r="VK20" s="1544" t="n">
        <v>5.19215286</v>
      </c>
      <c r="VL20" s="1544" t="n">
        <v>4.99741254</v>
      </c>
      <c r="VM20" s="1544" t="n">
        <v>5.01897019</v>
      </c>
      <c r="VN20" s="1544" t="n">
        <v>5.01897019</v>
      </c>
      <c r="VO20" s="1544" t="n">
        <v>5.030615650000001</v>
      </c>
      <c r="VP20" s="1544" t="n">
        <v>5.03025346</v>
      </c>
      <c r="VQ20" s="1544" t="n">
        <v>4.91680688</v>
      </c>
      <c r="VR20" s="1544" t="n">
        <v>44.81823994</v>
      </c>
      <c r="VS20" s="1544" t="n">
        <v>44.83781742</v>
      </c>
      <c r="VT20" s="1544" t="n">
        <v>26.80310442</v>
      </c>
      <c r="VU20" s="1544" t="n">
        <v>26.87636031</v>
      </c>
      <c r="VV20" s="1544" t="n">
        <v>26.85358389</v>
      </c>
      <c r="VW20" s="1544" t="n">
        <v>26.86084119</v>
      </c>
      <c r="VX20" s="1544" t="n">
        <v>26.92719253</v>
      </c>
      <c r="VY20" s="1544" t="n">
        <v>26.95084407</v>
      </c>
      <c r="VZ20" s="1544" t="n">
        <v>26.93472912</v>
      </c>
      <c r="WA20" s="1544" t="n">
        <v>26.89777024</v>
      </c>
      <c r="WB20" s="1544" t="n">
        <v>26.9647461</v>
      </c>
      <c r="WC20" s="1544" t="n">
        <v>26.9647461</v>
      </c>
      <c r="WD20" s="1544" t="n">
        <v>21.94097836</v>
      </c>
      <c r="WE20" s="1544" t="n">
        <v>21.95156053</v>
      </c>
      <c r="WF20" s="1544" t="n">
        <v>21.961487</v>
      </c>
      <c r="WG20" s="1544" t="n">
        <v>21.95445738</v>
      </c>
      <c r="WH20" s="1544" t="n">
        <v>22.01200538</v>
      </c>
      <c r="WI20" s="1544" t="n">
        <v>22.02194379</v>
      </c>
      <c r="WJ20" s="1544" t="n">
        <v>21.96805462</v>
      </c>
      <c r="WK20" s="1544" t="n">
        <v>21.94600695</v>
      </c>
      <c r="WL20" s="1544" t="n">
        <v>21.95589161</v>
      </c>
      <c r="WM20" s="1544" t="n">
        <v>21.95589161</v>
      </c>
      <c r="WN20" s="1544" t="n">
        <v>6.777320019999999</v>
      </c>
      <c r="WO20" s="1544" t="n">
        <v>6.770183019999999</v>
      </c>
      <c r="WP20" s="1544" t="n">
        <v>1.71070877</v>
      </c>
      <c r="WQ20" s="1544" t="n">
        <v>1.71070877</v>
      </c>
      <c r="WR20" s="1544" t="n">
        <v>1.56872797</v>
      </c>
      <c r="WS20" s="1544" t="n">
        <v>1.45253351</v>
      </c>
      <c r="WT20" s="1544" t="n">
        <v>1.41062351</v>
      </c>
      <c r="WU20" s="1544" t="n">
        <v>1.41028651</v>
      </c>
      <c r="WV20" s="1544" t="n">
        <v>1.41028651</v>
      </c>
      <c r="WW20" s="1544" t="n">
        <v>1.41028651</v>
      </c>
      <c r="WX20" s="1544" t="n">
        <v>16.37259387</v>
      </c>
      <c r="WY20" s="1544" t="n">
        <v>2.93486524</v>
      </c>
      <c r="WZ20" s="1544" t="n">
        <v>2.93486524</v>
      </c>
      <c r="XA20" s="1544" t="n">
        <v>2.84913748</v>
      </c>
      <c r="XB20" s="1544" t="n">
        <v>2.84913748</v>
      </c>
      <c r="XC20" s="1544" t="n">
        <v>2.84913748</v>
      </c>
      <c r="XD20" s="1544" t="n">
        <v>2.84913748</v>
      </c>
      <c r="XE20" s="1544" t="n">
        <v>2.70049221</v>
      </c>
      <c r="XF20" s="1544" t="n">
        <v>2.54386466</v>
      </c>
      <c r="XG20" s="1544" t="n">
        <v>2.54925644</v>
      </c>
      <c r="XH20" s="1544" t="n">
        <v>2.54925644</v>
      </c>
      <c r="XI20" s="1544" t="n">
        <v>6.40247222</v>
      </c>
      <c r="XJ20" s="1544" t="n">
        <v>1.39247222</v>
      </c>
      <c r="XK20" s="1544" t="n">
        <v>1.25355132</v>
      </c>
      <c r="XL20" s="1544" t="n">
        <v>1.16498837</v>
      </c>
      <c r="XM20" s="1544" t="n">
        <v>1.18079681</v>
      </c>
      <c r="XN20" s="1544" t="n">
        <v>1.18079681</v>
      </c>
      <c r="XO20" s="1544" t="n">
        <v>1.18079681</v>
      </c>
      <c r="XP20" s="1544" t="n">
        <v>1.1384674</v>
      </c>
      <c r="XQ20" s="1544" t="n">
        <v>1.04627226</v>
      </c>
      <c r="XR20" s="1544" t="n">
        <v>0.9324737399999999</v>
      </c>
      <c r="XS20" s="1544" t="n">
        <v>2.04426774</v>
      </c>
      <c r="XT20" s="1544" t="n">
        <v>1.97499836</v>
      </c>
      <c r="XU20" s="1544" t="n">
        <v>1.97499836</v>
      </c>
      <c r="XV20" s="1544" t="n">
        <v>1.96383751</v>
      </c>
      <c r="XW20" s="1544" t="n">
        <v>1.96383751</v>
      </c>
      <c r="XX20" s="1544" t="n">
        <v>1.96062096</v>
      </c>
      <c r="XY20" s="1544" t="n">
        <v>1.97982096</v>
      </c>
      <c r="XZ20" s="1544" t="n">
        <v>4.81051482</v>
      </c>
      <c r="YA20" s="1544" t="n">
        <v>2.00650453</v>
      </c>
      <c r="YB20" s="1544" t="n">
        <v>1.99010011</v>
      </c>
      <c r="YC20" s="1544" t="n">
        <v>1.99010011</v>
      </c>
      <c r="YD20" s="1544" t="n">
        <v>1.63487526</v>
      </c>
      <c r="YE20" s="1544" t="n">
        <v>3.49637526</v>
      </c>
      <c r="YF20" s="1544" t="n">
        <v>0.66039066</v>
      </c>
      <c r="YG20" s="1544" t="n">
        <v>0.44817729</v>
      </c>
      <c r="YH20" s="1544" t="n">
        <v>0.19697729</v>
      </c>
      <c r="YI20" s="1544" t="n">
        <v>0.21327729</v>
      </c>
      <c r="YJ20" s="1544" t="n">
        <v>0.23434628</v>
      </c>
    </row>
    <row r="21">
      <c r="B21" s="917" t="inlineStr">
        <is>
          <t>Agro
Ostrogorzhsk</t>
        </is>
      </c>
      <c r="C21" s="1532" t="n">
        <v>56.54357857</v>
      </c>
      <c r="D21" s="1533" t="n">
        <v>56.90249931</v>
      </c>
      <c r="E21" s="1533" t="n">
        <v>56.90139883</v>
      </c>
      <c r="F21" s="1533" t="n">
        <v>57.75331883</v>
      </c>
      <c r="G21" s="1533" t="n">
        <v>54.20868308</v>
      </c>
      <c r="H21" s="1533" t="n">
        <v>55.62798985</v>
      </c>
      <c r="I21" s="1533" t="n">
        <v>55.62798985</v>
      </c>
      <c r="J21" s="1533" t="n">
        <v>55.62005266</v>
      </c>
      <c r="K21" s="1533" t="n">
        <v>57.46983498</v>
      </c>
      <c r="L21" s="1533" t="n">
        <v>57.09627087</v>
      </c>
      <c r="M21" s="1533" t="n">
        <v>55.02158586</v>
      </c>
      <c r="N21" s="1533" t="n">
        <v>30.1656704</v>
      </c>
      <c r="O21" s="1533" t="n">
        <v>30.1686704</v>
      </c>
      <c r="P21" s="1533" t="n">
        <v>30.52094702</v>
      </c>
      <c r="Q21" s="1533" t="n">
        <v>29.04404907</v>
      </c>
      <c r="R21" s="1533" t="n">
        <v>28.54814951</v>
      </c>
      <c r="S21" s="1533">
        <f>28+0.53969668</f>
        <v/>
      </c>
      <c r="T21" s="1533" t="n">
        <v>35.40640756</v>
      </c>
      <c r="U21" s="1533" t="n">
        <v>34.32803395</v>
      </c>
      <c r="V21" s="1533" t="n">
        <v>31.75305372</v>
      </c>
      <c r="W21" s="1533" t="n">
        <v>31.79980467</v>
      </c>
      <c r="X21" s="1533" t="n">
        <v>31.79958267</v>
      </c>
      <c r="Y21" s="1533" t="n">
        <v>31.46133058</v>
      </c>
      <c r="Z21" s="1533" t="n">
        <v>31.46677727</v>
      </c>
      <c r="AA21" s="1533" t="n">
        <v>26.72461188</v>
      </c>
      <c r="AB21" s="1533" t="n">
        <v>26.72160416</v>
      </c>
      <c r="AC21" s="1533" t="n">
        <v>26.75676811</v>
      </c>
      <c r="AD21" s="1533" t="n">
        <v>25.44931113</v>
      </c>
      <c r="AE21" s="1533" t="n">
        <v>21.92511461</v>
      </c>
      <c r="AF21" s="1533">
        <f>1.92811461+20</f>
        <v/>
      </c>
      <c r="AG21" s="1533">
        <f>21.95036119</f>
        <v/>
      </c>
      <c r="AH21" s="1533" t="n">
        <v>19.22503145</v>
      </c>
      <c r="AI21" s="1533" t="n">
        <v>19.2289109</v>
      </c>
      <c r="AJ21" s="1533" t="n">
        <v>19.2155115</v>
      </c>
      <c r="AK21" s="1533" t="n">
        <v>19.21858075</v>
      </c>
      <c r="AL21" s="1533" t="n">
        <v>18.31538784</v>
      </c>
      <c r="AM21" s="1533" t="n">
        <v>17.86112186</v>
      </c>
      <c r="AN21" s="1533">
        <f>0.53260852+20</f>
        <v/>
      </c>
      <c r="AO21" s="1533">
        <f>0.34311879+17</f>
        <v/>
      </c>
      <c r="AP21" s="1533">
        <f>0.34311879+20</f>
        <v/>
      </c>
      <c r="AQ21" s="1533" t="n">
        <v>19.47036806</v>
      </c>
      <c r="AR21" s="1533">
        <f>0.60083369+19</f>
        <v/>
      </c>
      <c r="AS21" s="1533">
        <f>0.707713+19</f>
        <v/>
      </c>
      <c r="AT21" s="1533">
        <f>0.70753303+19</f>
        <v/>
      </c>
      <c r="AU21" s="1533">
        <f>0.70753303+19</f>
        <v/>
      </c>
      <c r="AV21" s="1533" t="n">
        <v>17.83118823</v>
      </c>
      <c r="AW21" s="1533" t="n">
        <v>17.57486858</v>
      </c>
      <c r="AX21" s="1533">
        <f>17+0.57776195</f>
        <v/>
      </c>
      <c r="AY21" s="1533">
        <f>17+0.577758695</f>
        <v/>
      </c>
      <c r="AZ21" s="1533" t="n">
        <v>11.35903251</v>
      </c>
      <c r="BA21" s="1533" t="n">
        <v>10.63883067</v>
      </c>
      <c r="BB21" s="1533" t="n">
        <v>10.6431376</v>
      </c>
      <c r="BC21" s="1533" t="n">
        <v>9.87617026</v>
      </c>
      <c r="BD21" s="1533" t="n">
        <v>9.87617026</v>
      </c>
      <c r="BE21" s="1533" t="n">
        <v>38.27867665</v>
      </c>
      <c r="BF21" s="1533" t="n">
        <v>38.28394788</v>
      </c>
      <c r="BG21" s="1533" t="n">
        <v>9.27403631</v>
      </c>
      <c r="BH21" s="1533" t="n">
        <v>9.27403631</v>
      </c>
      <c r="BI21" s="1533" t="n">
        <v>7.14595872</v>
      </c>
      <c r="BJ21" s="1533" t="n">
        <v>6.62231668</v>
      </c>
      <c r="BK21" s="1533" t="n">
        <v>5.83732428</v>
      </c>
      <c r="BL21" s="1533" t="n">
        <v>5.82541215</v>
      </c>
      <c r="BM21" s="1533" t="n">
        <v>25.39345366</v>
      </c>
      <c r="BN21" s="1533" t="n">
        <v>25.35027809</v>
      </c>
      <c r="BO21" s="1533" t="n">
        <v>20.26348271</v>
      </c>
      <c r="BP21" s="1533" t="n">
        <v>23.44634377</v>
      </c>
      <c r="BQ21" s="1533" t="n">
        <v>23.52492142</v>
      </c>
      <c r="BR21" s="1533" t="n">
        <v>23.85950015</v>
      </c>
      <c r="BS21" s="1533" t="n">
        <v>23.85950015</v>
      </c>
      <c r="BT21" s="1533" t="n">
        <v>23.92814325</v>
      </c>
      <c r="BU21" s="1533" t="n">
        <v>22.55231324</v>
      </c>
      <c r="BV21" s="1533" t="n">
        <v>15.85450397</v>
      </c>
      <c r="BW21" s="1533" t="n">
        <v>15.76273247</v>
      </c>
      <c r="BX21" s="1533" t="n">
        <v>15.82417301</v>
      </c>
      <c r="BY21" s="1533" t="n">
        <v>7.21149239</v>
      </c>
      <c r="BZ21" s="1533" t="n">
        <v>7.26690639</v>
      </c>
      <c r="CA21" s="1533" t="n">
        <v>7.26690639</v>
      </c>
      <c r="CB21" s="1533" t="n">
        <v>7.26690639</v>
      </c>
      <c r="CC21" s="1533" t="n">
        <v>7.04042421</v>
      </c>
      <c r="CD21" s="1533" t="n">
        <v>7.03977321</v>
      </c>
      <c r="CE21" s="1533" t="n">
        <v>6.95810557</v>
      </c>
      <c r="CF21" s="1533" t="n">
        <v>6.95810557</v>
      </c>
      <c r="CG21" s="1533" t="n">
        <v>6.84159907</v>
      </c>
      <c r="CH21" s="1533" t="n">
        <v>6.78142552</v>
      </c>
      <c r="CI21" s="1533" t="n">
        <v>5.06328782</v>
      </c>
      <c r="CJ21" s="1533">
        <f>0.56078782+24.5</f>
        <v/>
      </c>
      <c r="CK21" s="1533">
        <f>0.56045482+24.5</f>
        <v/>
      </c>
      <c r="CL21" s="1533">
        <f>0.47678678+24.5</f>
        <v/>
      </c>
      <c r="CM21" s="1533">
        <f>24.99195664</f>
        <v/>
      </c>
      <c r="CN21" s="1533" t="n">
        <v>6.55337735</v>
      </c>
      <c r="CO21" s="1533" t="n">
        <v>5.81863458</v>
      </c>
      <c r="CP21" s="1533" t="n">
        <v>5.81863458</v>
      </c>
      <c r="CQ21" s="1533" t="n">
        <v>0.5711336</v>
      </c>
      <c r="CR21" s="1533" t="n">
        <v>0.5711336</v>
      </c>
      <c r="CS21" s="1533" t="n">
        <v>1.89236543</v>
      </c>
      <c r="CT21" s="1533" t="n">
        <v>1.89264043</v>
      </c>
      <c r="CU21" s="1533">
        <f>0.0058+1.79219424</f>
        <v/>
      </c>
      <c r="CV21" s="1533">
        <f>0.0058+1.79219424</f>
        <v/>
      </c>
      <c r="CW21" s="1533">
        <f>0.0058+3.09010329</f>
        <v/>
      </c>
      <c r="CX21" s="1533">
        <f>0.0058+3.09010329</f>
        <v/>
      </c>
      <c r="CY21" s="1533">
        <f>0.0058+4.15130485</f>
        <v/>
      </c>
      <c r="CZ21" s="1533" t="n">
        <v>4.1571</v>
      </c>
      <c r="DA21" s="1533">
        <f>0.0058+4.15130485</f>
        <v/>
      </c>
      <c r="DB21" s="1533">
        <f>0.0058+3.93971785</f>
        <v/>
      </c>
      <c r="DC21" s="1533">
        <f>0.0058+21.461607</f>
        <v/>
      </c>
      <c r="DD21" s="1533">
        <f>0.0058+20.0058</f>
        <v/>
      </c>
      <c r="DE21" s="1533">
        <f>1.46468018+20.00794936</f>
        <v/>
      </c>
      <c r="DF21" s="1533">
        <f>1.33608517+20.01067265</f>
        <v/>
      </c>
      <c r="DG21" s="1533">
        <f>1.40410617+20.01907265</f>
        <v/>
      </c>
      <c r="DH21" s="1533">
        <f>3.15345626+23.0219578</f>
        <v/>
      </c>
      <c r="DI21" s="1533">
        <f>3.15597606+23.02522191</f>
        <v/>
      </c>
      <c r="DJ21" s="1533">
        <f>3.15597606+23.02852383</f>
        <v/>
      </c>
      <c r="DK21" s="1533">
        <f>3.05342362+23.03176904</f>
        <v/>
      </c>
      <c r="DL21" s="1533">
        <f>0.28232214+23.04485069</f>
        <v/>
      </c>
      <c r="DM21" s="1533">
        <f>0.28232214+23.04485069</f>
        <v/>
      </c>
      <c r="DN21" s="1533">
        <f>1.27885036+15.723879</f>
        <v/>
      </c>
      <c r="DO21" s="1533">
        <f>1.26550811+15.72822546</f>
        <v/>
      </c>
      <c r="DP21" s="1533">
        <f>1.26550811+15.72822546</f>
        <v/>
      </c>
      <c r="DQ21" s="1533">
        <f>1.27483211+15.7349485</f>
        <v/>
      </c>
      <c r="DR21" s="1533" t="n">
        <v>11.47062046</v>
      </c>
      <c r="DS21" s="1533" t="n">
        <v>11.47062046</v>
      </c>
      <c r="DT21" s="1533">
        <f>2.73346475+8.73715571</f>
        <v/>
      </c>
      <c r="DU21" s="1533">
        <f>2.69632808+8.73715571</f>
        <v/>
      </c>
      <c r="DV21" s="1533">
        <f>1.33132241+8.73715571</f>
        <v/>
      </c>
      <c r="DW21" s="1533">
        <f>1.33132241+8.73715571</f>
        <v/>
      </c>
      <c r="DX21" s="1533">
        <f>1.41963915+8.73715571</f>
        <v/>
      </c>
      <c r="DY21" s="1533">
        <f>1.63037809+3.73304371</f>
        <v/>
      </c>
      <c r="DZ21" s="1533">
        <f>1.63037809+3.73304371</f>
        <v/>
      </c>
      <c r="EA21" s="1533">
        <f>1.62186009+3.73104371</f>
        <v/>
      </c>
      <c r="EB21" s="1533">
        <f>5.81608509+3.73104371</f>
        <v/>
      </c>
      <c r="EC21" s="1533">
        <f>0.96612281+3.73104371</f>
        <v/>
      </c>
      <c r="ED21" s="1533">
        <f>0.83727152+2.67848523</f>
        <v/>
      </c>
      <c r="EE21" s="1533">
        <f>6.17896202+2.67848523</f>
        <v/>
      </c>
      <c r="EF21" s="1533">
        <f>6.17896202+2.67848523</f>
        <v/>
      </c>
      <c r="EG21" s="1533">
        <f>6.18696202+2.67848523</f>
        <v/>
      </c>
      <c r="EH21" s="1533">
        <f>10.19331576+0.88619236</f>
        <v/>
      </c>
      <c r="EI21" s="1533">
        <f>10.21314795+3.00819236</f>
        <v/>
      </c>
      <c r="EJ21" s="1533">
        <f>4.61025898+3.00819236</f>
        <v/>
      </c>
      <c r="EK21" s="1533">
        <f>4.61325898+3.00603836</f>
        <v/>
      </c>
      <c r="EL21" s="1533">
        <f>4.61325898+3.00603836</f>
        <v/>
      </c>
      <c r="EM21" s="1533">
        <f>4.73182558+3.73473149</f>
        <v/>
      </c>
      <c r="EN21" s="1533">
        <f>16.66979221+2.58288475</f>
        <v/>
      </c>
      <c r="EO21" s="1533">
        <f>7.66978421+2.35966243</f>
        <v/>
      </c>
      <c r="EP21" s="1533">
        <f>7.66026151+1.94593772</f>
        <v/>
      </c>
      <c r="EQ21" s="1533">
        <f>3.32030831+2.32006795</f>
        <v/>
      </c>
      <c r="ER21" s="1533" t="n">
        <v>5.64037626</v>
      </c>
      <c r="ES21" s="1533">
        <f>3.58681531+2.32006795</f>
        <v/>
      </c>
      <c r="ET21" s="1533">
        <f>3.39027181+3.91249761</f>
        <v/>
      </c>
      <c r="EU21" s="1533">
        <f>3.91249761+3.47327181</f>
        <v/>
      </c>
      <c r="EV21" s="1533">
        <f>18.91049761+3.39020682</f>
        <v/>
      </c>
      <c r="EW21" s="1533">
        <f>1.50302086+0.38789097</f>
        <v/>
      </c>
      <c r="EX21" s="1533">
        <f>3.07318449+0.39801319</f>
        <v/>
      </c>
      <c r="EY21" s="1533" t="n">
        <v>4.72559091</v>
      </c>
      <c r="EZ21" s="1533" t="n">
        <v>10.93204543</v>
      </c>
      <c r="FA21" s="1533" t="n">
        <v>34.50967301999999</v>
      </c>
      <c r="FB21" s="1533" t="n">
        <v>35</v>
      </c>
      <c r="FC21" s="1533" t="n">
        <v>36.04141461</v>
      </c>
      <c r="FD21" s="1533" t="n">
        <v>32.1832135</v>
      </c>
      <c r="FE21" s="1533" t="n">
        <v>32.18822446</v>
      </c>
      <c r="FF21" s="1533">
        <f>40.11473436+0.46747444</f>
        <v/>
      </c>
      <c r="FG21" s="1533">
        <f>40.11473436+0.46747444</f>
        <v/>
      </c>
      <c r="FH21" s="1533" t="n">
        <v>42</v>
      </c>
      <c r="FI21" s="1533" t="n">
        <v>42.19616108</v>
      </c>
      <c r="FJ21" s="1533">
        <f>69.18520324+0.98850584</f>
        <v/>
      </c>
      <c r="FK21" s="1533">
        <f>69.18520324+0.98850584</f>
        <v/>
      </c>
      <c r="FL21" s="1533">
        <f>54.13564354+2.75036584</f>
        <v/>
      </c>
      <c r="FM21" s="1533" t="n">
        <v>55</v>
      </c>
      <c r="FN21" s="1533" t="n">
        <v>51.93892108999999</v>
      </c>
      <c r="FO21" s="1533">
        <f>48.64838911+3.17634018</f>
        <v/>
      </c>
      <c r="FP21" s="1533">
        <f>46.96849512+3.17634018</f>
        <v/>
      </c>
      <c r="FQ21" s="1533">
        <f>46.95645812+3.59692634</f>
        <v/>
      </c>
      <c r="FR21" s="1533" t="n">
        <v>50.56062062</v>
      </c>
      <c r="FS21" s="1533" t="n">
        <v>50.58267004</v>
      </c>
      <c r="FT21" s="1533">
        <f>46.2931336+3.80250654</f>
        <v/>
      </c>
      <c r="FU21" s="1533">
        <f>35.40487104+3.82683654</f>
        <v/>
      </c>
      <c r="FV21" s="1533">
        <f>35.41048063+3.82683654</f>
        <v/>
      </c>
      <c r="FW21" s="1533">
        <f>58.4131248+3.82683654</f>
        <v/>
      </c>
      <c r="FX21" s="1533">
        <f>58.41583227+3.82683654</f>
        <v/>
      </c>
      <c r="FY21" s="1533" t="n">
        <v>62</v>
      </c>
      <c r="FZ21" s="1533">
        <f>29.4688195+3.83175654</f>
        <v/>
      </c>
      <c r="GA21" s="1533">
        <f>25.85560066+3.83175654</f>
        <v/>
      </c>
      <c r="GB21" s="1533">
        <f>25.82432747+3.83175654</f>
        <v/>
      </c>
      <c r="GC21" s="1533">
        <f>25.8360541+3.83175654</f>
        <v/>
      </c>
      <c r="GD21" s="1533">
        <f>28.5989315+3.83175654</f>
        <v/>
      </c>
      <c r="GE21" s="1533">
        <f>10.7781697+8.14435371</f>
        <v/>
      </c>
      <c r="GF21" s="1533">
        <f>11.14270026+12.32235408</f>
        <v/>
      </c>
      <c r="GG21" s="1533">
        <f>1.14269226+22.11969935</f>
        <v/>
      </c>
      <c r="GH21" s="1533">
        <f>1.18386174+23.57735999</f>
        <v/>
      </c>
      <c r="GI21" s="1533" t="n">
        <v>21.82424614</v>
      </c>
      <c r="GJ21" s="1533" t="n">
        <v>16.89674977</v>
      </c>
      <c r="GK21" s="1533" t="n">
        <v>44.98614411</v>
      </c>
      <c r="GL21" s="1533" t="n">
        <v>50.03773194</v>
      </c>
      <c r="GM21" s="1533" t="n">
        <v>45.05438462</v>
      </c>
      <c r="GN21" s="1533" t="n">
        <v>29.35904728</v>
      </c>
      <c r="GO21" s="1533" t="n">
        <v>41.79261928</v>
      </c>
      <c r="GP21" s="1533" t="n">
        <v>27.57629686</v>
      </c>
      <c r="GQ21" s="1533" t="n">
        <v>16.65170786</v>
      </c>
      <c r="GR21" s="1533" t="n">
        <v>25.23414444</v>
      </c>
      <c r="GS21" s="1533" t="n">
        <v>24.57952666</v>
      </c>
      <c r="GT21" s="1533" t="n">
        <v>25.93504954</v>
      </c>
      <c r="GU21" s="1533" t="n">
        <v>32.45839551</v>
      </c>
      <c r="GV21" s="1533" t="n">
        <v>35.5795213</v>
      </c>
      <c r="GW21" s="1533" t="n">
        <v>35.5795213</v>
      </c>
      <c r="GX21" s="1533" t="n">
        <v>34.75</v>
      </c>
      <c r="GY21" s="1533" t="n">
        <v>28.86757402</v>
      </c>
      <c r="GZ21" s="1533" t="n">
        <v>28.75827512</v>
      </c>
      <c r="HA21" s="1533" t="n">
        <v>277.79325637</v>
      </c>
      <c r="HB21" s="1533" t="n">
        <v>277.76529687</v>
      </c>
      <c r="HC21" s="1533" t="n">
        <v>27.10854366</v>
      </c>
      <c r="HD21" s="1533" t="n">
        <v>17.96732967</v>
      </c>
      <c r="HE21" s="1533" t="n">
        <v>19.91293926</v>
      </c>
      <c r="HF21" s="1533" t="n">
        <v>18.52411458</v>
      </c>
      <c r="HG21" s="1533" t="n">
        <v>18.52829044</v>
      </c>
      <c r="HH21" s="1533" t="n">
        <v>18.26360764</v>
      </c>
      <c r="HI21" s="1533" t="n">
        <v>17.91880738</v>
      </c>
      <c r="HJ21" s="1533" t="n">
        <v>32.97886907</v>
      </c>
      <c r="HK21" s="1533" t="n">
        <v>32.90082031</v>
      </c>
      <c r="HL21" s="1533" t="n">
        <v>29.23274474</v>
      </c>
      <c r="HM21" s="1533" t="n">
        <v>34.48586706</v>
      </c>
      <c r="HN21" s="1533" t="n">
        <v>36.99084761</v>
      </c>
      <c r="HO21" s="1533" t="n">
        <v>39.39352123999999</v>
      </c>
      <c r="HP21" s="1533" t="n">
        <v>40.24014311</v>
      </c>
      <c r="HQ21" s="1533" t="n">
        <v>44.14251911</v>
      </c>
      <c r="HR21" s="1533" t="n">
        <v>42.20615254</v>
      </c>
      <c r="HS21" s="1533" t="n">
        <v>38.81254604999999</v>
      </c>
      <c r="HT21" s="1544" t="n">
        <v>37.95962374</v>
      </c>
      <c r="HU21" s="1544" t="n">
        <v>37.95962374</v>
      </c>
      <c r="HV21" s="1544" t="n">
        <v>45.97295114</v>
      </c>
      <c r="HW21" s="1544" t="n">
        <v>45.97295114</v>
      </c>
      <c r="HX21" s="1544" t="n">
        <v>54.4272299</v>
      </c>
      <c r="HY21" s="1544" t="n">
        <v>54.4272299</v>
      </c>
      <c r="HZ21" s="1544" t="n">
        <v>53.54404112</v>
      </c>
      <c r="IA21" s="1544" t="n">
        <v>53.47086217</v>
      </c>
      <c r="IB21" s="1544" t="n">
        <v>53.49266038</v>
      </c>
      <c r="IC21" s="1544" t="n">
        <v>53.49266038</v>
      </c>
      <c r="ID21" s="1544" t="n">
        <v>53.49266038</v>
      </c>
      <c r="IE21" s="1544" t="n">
        <v>39.9101295</v>
      </c>
      <c r="IF21" s="1544" t="n">
        <v>39.9101295</v>
      </c>
      <c r="IG21" s="1544" t="n">
        <v>57.89598848</v>
      </c>
      <c r="IH21" s="1544" t="n">
        <v>57.87873671</v>
      </c>
      <c r="II21" s="1544" t="n">
        <v>57.87873671</v>
      </c>
      <c r="IJ21" s="1544" t="n">
        <v>57.87873671</v>
      </c>
      <c r="IK21" s="1544" t="n">
        <v>59.7975129</v>
      </c>
      <c r="IL21" s="1544" t="n">
        <v>59.7975129</v>
      </c>
      <c r="IM21" s="1544" t="n">
        <v>59.7975129</v>
      </c>
      <c r="IN21" s="1544" t="n">
        <v>58.17743362</v>
      </c>
      <c r="IO21" s="1544" t="n">
        <v>48.52616704</v>
      </c>
      <c r="IP21" s="1544" t="n">
        <v>52.4809423</v>
      </c>
      <c r="IQ21" s="1544" t="n">
        <v>52.97521423999999</v>
      </c>
      <c r="IR21" s="1544" t="n">
        <v>52.97521423999999</v>
      </c>
      <c r="IS21" s="1544" t="n">
        <v>47.17310037999999</v>
      </c>
      <c r="IT21" s="1544" t="n">
        <v>46.13939376</v>
      </c>
      <c r="IU21" s="1544" t="n">
        <v>45.28091748999999</v>
      </c>
      <c r="IV21" s="1544" t="n">
        <v>45.28091748999999</v>
      </c>
      <c r="IW21" s="1544" t="n">
        <v>43.50427019999999</v>
      </c>
      <c r="IX21" s="1544" t="n">
        <v>43.26019734</v>
      </c>
      <c r="IY21" s="1544" t="n">
        <v>43.26647022</v>
      </c>
      <c r="IZ21" s="1544" t="n">
        <v>41.79844349</v>
      </c>
      <c r="JA21" s="1544" t="n">
        <v>41.80476133</v>
      </c>
      <c r="JB21" s="1544" t="n">
        <v>41.80476133</v>
      </c>
      <c r="JC21" s="1544" t="n">
        <v>41.83643777</v>
      </c>
      <c r="JD21" s="1544" t="n">
        <v>42.19616258</v>
      </c>
      <c r="JE21" s="1544" t="n">
        <v>42.19616258</v>
      </c>
      <c r="JF21" s="1544" t="n">
        <v>42.19616258</v>
      </c>
      <c r="JG21" s="1544" t="n">
        <v>29.56959019</v>
      </c>
      <c r="JH21" s="1544" t="n">
        <v>29.56959019</v>
      </c>
      <c r="JI21" s="1544" t="n">
        <v>29.56959019</v>
      </c>
      <c r="JJ21" s="1544" t="n">
        <v>44.17827829</v>
      </c>
      <c r="JK21" s="1544" t="n">
        <v>33.39938725</v>
      </c>
      <c r="JL21" s="1544" t="n">
        <v>33.41866835</v>
      </c>
      <c r="JM21" s="1544" t="n">
        <v>33.42375002</v>
      </c>
      <c r="JN21" s="1544" t="n">
        <v>33.42375002</v>
      </c>
      <c r="JO21" s="1544" t="n">
        <v>33.42375002</v>
      </c>
      <c r="JP21" s="1544" t="n">
        <v>35.71453297</v>
      </c>
      <c r="JQ21" s="1544" t="n">
        <v>35.71453297</v>
      </c>
      <c r="JR21" s="1544" t="n">
        <v>33.15799366</v>
      </c>
      <c r="JS21" s="1544" t="n">
        <v>33.15799366</v>
      </c>
      <c r="JT21" s="1544" t="n">
        <v>33.00247231</v>
      </c>
      <c r="JU21" s="1544" t="n">
        <v>33.01734832</v>
      </c>
      <c r="JV21" s="1544" t="n">
        <v>33.01734832</v>
      </c>
      <c r="JW21" s="1544" t="n">
        <v>193.33135199</v>
      </c>
      <c r="JX21" s="1544" t="n">
        <v>193.33135199</v>
      </c>
      <c r="JY21" s="1544" t="n">
        <v>117.15174376</v>
      </c>
      <c r="JZ21" s="1544" t="n">
        <v>117.15174376</v>
      </c>
      <c r="KA21" s="1544" t="n">
        <v>108.65839835</v>
      </c>
      <c r="KB21" s="1544" t="n">
        <v>108.55497532</v>
      </c>
      <c r="KC21" s="1544" t="n">
        <v>103.71195455</v>
      </c>
      <c r="KD21" s="1544" t="n">
        <v>103.71840455</v>
      </c>
      <c r="KE21" s="1544" t="n">
        <v>103.71840455</v>
      </c>
      <c r="KF21" s="1544" t="n">
        <v>33.39938725</v>
      </c>
      <c r="KG21" s="1544" t="n">
        <v>102.33580777</v>
      </c>
      <c r="KH21" s="1544" t="n">
        <v>102.33580777</v>
      </c>
      <c r="KI21" s="1544" t="n">
        <v>97.90311854000001</v>
      </c>
      <c r="KJ21" s="1544" t="n">
        <v>97.90311854000001</v>
      </c>
      <c r="KK21" s="1544" t="n">
        <v>97.96324902000001</v>
      </c>
      <c r="KL21" s="1544" t="n">
        <v>97.96317965</v>
      </c>
      <c r="KM21" s="1544" t="n">
        <v>97.96317965</v>
      </c>
      <c r="KN21" s="1544" t="n">
        <v>91.05893901</v>
      </c>
      <c r="KO21" s="1544" t="n">
        <v>78.42338214</v>
      </c>
      <c r="KP21" s="1544" t="n">
        <v>85.5466758</v>
      </c>
      <c r="KQ21" s="1544" t="n">
        <v>85.55931635</v>
      </c>
      <c r="KR21" s="1544" t="n">
        <v>85.55931635</v>
      </c>
      <c r="KS21" s="1544" t="n">
        <v>84.43598683</v>
      </c>
      <c r="KT21" s="1544" t="n">
        <v>84.43598683</v>
      </c>
      <c r="KU21" s="1544" t="n">
        <v>79.01861071</v>
      </c>
      <c r="KV21" s="1544" t="n">
        <v>72.25556249</v>
      </c>
      <c r="KW21" s="1544" t="n">
        <v>106.11430356</v>
      </c>
      <c r="KX21" s="1544" t="n">
        <v>4.708879229999999</v>
      </c>
      <c r="KY21" s="1544" t="n">
        <v>4.708879229999999</v>
      </c>
      <c r="KZ21" s="1544" t="n">
        <v>1.90344812</v>
      </c>
      <c r="LA21" s="1544" t="n">
        <v>1.90344812</v>
      </c>
      <c r="LB21" s="1544" t="n">
        <v>6.900911119999999</v>
      </c>
      <c r="LC21" s="1544" t="n">
        <v>6.900911119999999</v>
      </c>
      <c r="LD21" s="1544" t="n">
        <v>6.900911119999999</v>
      </c>
      <c r="LE21" s="1544" t="n">
        <v>11.30422167</v>
      </c>
      <c r="LF21" s="1544" t="n">
        <v>8.266934489999999</v>
      </c>
      <c r="LG21" s="1544" t="n">
        <v>8.266934489999999</v>
      </c>
      <c r="LH21" s="1544" t="n">
        <v>8.266934489999999</v>
      </c>
      <c r="LI21" s="1544" t="n">
        <v>0.74843557</v>
      </c>
      <c r="LJ21" s="1544" t="n">
        <v>0.74843557</v>
      </c>
      <c r="LK21" s="1544" t="n">
        <v>0.74843557</v>
      </c>
      <c r="LL21" s="1544" t="n">
        <v>13.17919517</v>
      </c>
      <c r="LM21" s="1544" t="n">
        <v>13.17919517</v>
      </c>
      <c r="LN21" s="1544" t="n">
        <v>4.25088829</v>
      </c>
      <c r="LO21" s="1544" t="n">
        <v>4.25088829</v>
      </c>
      <c r="LP21" s="1544" t="n">
        <v>4.25088829</v>
      </c>
      <c r="LQ21" s="1544" t="n">
        <v>4.64633709</v>
      </c>
      <c r="LR21" s="1544" t="n">
        <v>0.25963082</v>
      </c>
      <c r="LS21" s="1544" t="n">
        <v>0.25963082</v>
      </c>
      <c r="LT21" s="1544" t="n">
        <v>0.2913202</v>
      </c>
      <c r="LU21" s="1544" t="n">
        <v>16.75448699</v>
      </c>
      <c r="LV21" s="1544" t="n">
        <v>5.93010182</v>
      </c>
      <c r="LW21" s="1544" t="n">
        <v>5.93010182</v>
      </c>
      <c r="LX21" s="1544" t="n">
        <v>1.85722137</v>
      </c>
      <c r="LY21" s="1544" t="n">
        <v>1.85722137</v>
      </c>
      <c r="LZ21" s="1544" t="n">
        <v>12.79932689</v>
      </c>
      <c r="MA21" s="1544" t="n">
        <v>12.79932689</v>
      </c>
      <c r="MB21" s="1544" t="n">
        <v>12.79932689</v>
      </c>
      <c r="MC21" s="1544" t="n">
        <v>12.79932689</v>
      </c>
      <c r="MD21" s="1544" t="n">
        <v>6.205874050000001</v>
      </c>
      <c r="ME21" s="1544" t="n">
        <v>6.210874050000001</v>
      </c>
      <c r="MF21" s="1544" t="n">
        <v>6.210874050000001</v>
      </c>
      <c r="MG21" s="1544" t="n">
        <v>6.210874050000001</v>
      </c>
      <c r="MH21" s="1544" t="n">
        <v>1.43057495</v>
      </c>
      <c r="MI21" s="1544" t="n">
        <v>1.43057495</v>
      </c>
      <c r="MJ21" s="1544" t="n">
        <v>13.59236421</v>
      </c>
      <c r="MK21" s="1544" t="n">
        <v>10.27766686</v>
      </c>
      <c r="ML21" s="1544" t="n">
        <v>10.27766686</v>
      </c>
      <c r="MM21" s="1544" t="n">
        <v>10.27766686</v>
      </c>
      <c r="MN21" s="1544" t="n">
        <v>10.27766686</v>
      </c>
      <c r="MO21" s="1544" t="n">
        <v>10.27766686</v>
      </c>
      <c r="MP21" s="1544" t="n">
        <v>10.27766686</v>
      </c>
      <c r="MQ21" s="1544" t="n">
        <v>3.31661518</v>
      </c>
      <c r="MR21" s="1544" t="n">
        <v>3.31661518</v>
      </c>
      <c r="MS21" s="1544" t="n">
        <v>3.18252325</v>
      </c>
      <c r="MT21" s="1544" t="n">
        <v>7.61242325</v>
      </c>
      <c r="MU21" s="1544" t="n">
        <v>7.61242325</v>
      </c>
      <c r="MV21" s="1544" t="n">
        <v>7.61242325</v>
      </c>
      <c r="MW21" s="1544" t="n">
        <v>5.84576312</v>
      </c>
      <c r="MX21" s="1544" t="n">
        <v>5.29262338</v>
      </c>
      <c r="MY21" s="1544" t="n">
        <v>5.29262338</v>
      </c>
      <c r="MZ21" s="1544" t="n">
        <v>5.29262338</v>
      </c>
      <c r="NA21" s="1544" t="n">
        <v>5.29262338</v>
      </c>
      <c r="NB21" s="1544" t="n">
        <v>5.29262338</v>
      </c>
      <c r="NC21" s="1544" t="n">
        <v>5.29262338</v>
      </c>
      <c r="ND21" s="1544" t="n">
        <v>5.29262338</v>
      </c>
      <c r="NE21" s="1544" t="n">
        <v>5.29262338</v>
      </c>
      <c r="NF21" s="1544" t="n">
        <v>8.784406650000001</v>
      </c>
      <c r="NG21" s="1544" t="n">
        <v>4.935376049999999</v>
      </c>
      <c r="NH21" s="1544" t="n">
        <v>4.95837605</v>
      </c>
      <c r="NI21" s="1544" t="n">
        <v>9.711076650000001</v>
      </c>
      <c r="NJ21" s="1544" t="n">
        <v>9.711076650000001</v>
      </c>
      <c r="NK21" s="1544" t="n">
        <v>1.79113847</v>
      </c>
      <c r="NL21" s="1544" t="n">
        <v>1.79113847</v>
      </c>
      <c r="NM21" s="1544" t="n">
        <v>3.82756051</v>
      </c>
      <c r="NN21" s="1544" t="n">
        <v>3.82756051</v>
      </c>
      <c r="NO21" s="1544" t="n">
        <v>3.82756051</v>
      </c>
      <c r="NP21" s="1544" t="n">
        <v>20.60570645</v>
      </c>
      <c r="NQ21" s="1544" t="n">
        <v>20.60570645</v>
      </c>
      <c r="NR21" s="1544" t="n">
        <v>17.51187027</v>
      </c>
      <c r="NS21" s="1544" t="n">
        <v>17.51187027</v>
      </c>
      <c r="NT21" s="1544" t="n">
        <v>17.51187027</v>
      </c>
      <c r="NU21" s="1544" t="n">
        <v>19.79214933</v>
      </c>
      <c r="NV21" s="1544" t="n">
        <v>19.49786296</v>
      </c>
      <c r="NW21" s="1544" t="n">
        <v>19.49786296</v>
      </c>
      <c r="NX21" s="1544" t="n">
        <v>19.49786296</v>
      </c>
      <c r="NY21" s="1544" t="n">
        <v>30.37119113</v>
      </c>
      <c r="NZ21" s="1544" t="n">
        <v>30.38158839</v>
      </c>
      <c r="OA21" s="1544" t="n">
        <v>30.38158839</v>
      </c>
      <c r="OB21" s="1544" t="n">
        <v>30.38158839</v>
      </c>
      <c r="OC21" s="1544" t="n">
        <v>12.87097605</v>
      </c>
      <c r="OD21" s="1544" t="n">
        <v>12.87097605</v>
      </c>
      <c r="OE21" s="1544" t="n">
        <v>12.87097605</v>
      </c>
      <c r="OF21" s="1544" t="n">
        <v>12.87097605</v>
      </c>
      <c r="OG21" s="1544" t="n">
        <v>50.20704473</v>
      </c>
      <c r="OH21" s="1544" t="n">
        <v>50.20704473</v>
      </c>
      <c r="OI21" s="1544" t="n">
        <v>4.26396136</v>
      </c>
      <c r="OJ21" s="1544" t="n">
        <v>51.07574342</v>
      </c>
      <c r="OK21" s="1544" t="n">
        <v>51.07574342</v>
      </c>
      <c r="OL21" s="1544" t="n">
        <v>50.82939652</v>
      </c>
      <c r="OM21" s="1544" t="n">
        <v>50.82939652</v>
      </c>
      <c r="ON21" s="1544" t="n">
        <v>50.82939652</v>
      </c>
      <c r="OO21" s="1544" t="n">
        <v>33.18908149</v>
      </c>
      <c r="OP21" s="1544" t="n">
        <v>33.10912159999999</v>
      </c>
      <c r="OQ21" s="1544" t="n">
        <v>33.10912159999999</v>
      </c>
      <c r="OR21" s="1544" t="n">
        <v>33.10912159999999</v>
      </c>
      <c r="OS21" s="1544" t="n">
        <v>94.54706539999999</v>
      </c>
      <c r="OT21" s="1544" t="n">
        <v>94.27384622</v>
      </c>
      <c r="OU21" s="1544" t="n">
        <v>94.27384622</v>
      </c>
      <c r="OV21" s="1544" t="n">
        <v>94.27384622</v>
      </c>
      <c r="OW21" s="1544" t="n">
        <v>16.45566103</v>
      </c>
      <c r="OX21" s="1544" t="n">
        <v>16.45566103</v>
      </c>
      <c r="OY21" s="1544" t="n">
        <v>7.42806579</v>
      </c>
      <c r="OZ21" s="1544" t="n">
        <v>7.42806579</v>
      </c>
      <c r="PA21" s="1544" t="n">
        <v>7.42806579</v>
      </c>
      <c r="PB21" s="1544" t="n">
        <v>4.43772842</v>
      </c>
      <c r="PC21" s="1544" t="n">
        <v>4.43772842</v>
      </c>
      <c r="PD21" s="1544" t="n">
        <v>4.43772842</v>
      </c>
      <c r="PE21" s="1544" t="n">
        <v>2.673286770000001</v>
      </c>
      <c r="PF21" s="1544" t="n">
        <v>2.35038543</v>
      </c>
      <c r="PG21" s="1544" t="n">
        <v>2.35038543</v>
      </c>
      <c r="PH21" s="1544" t="n">
        <v>2.35038543</v>
      </c>
      <c r="PI21" s="1544" t="n">
        <v>1.24435354</v>
      </c>
      <c r="PJ21" s="1544" t="n">
        <v>6.24435354</v>
      </c>
      <c r="PK21" s="1544" t="n">
        <v>6.24435354</v>
      </c>
      <c r="PL21" s="1544" t="n">
        <v>6.24435354</v>
      </c>
      <c r="PM21" s="1544" t="n">
        <v>6.24435354</v>
      </c>
      <c r="PN21" s="1544" t="n">
        <v>1.482544</v>
      </c>
      <c r="PO21" s="1544" t="n">
        <v>1.482544</v>
      </c>
      <c r="PP21" s="1544" t="n">
        <v>0.89926849</v>
      </c>
      <c r="PQ21" s="1544" t="n">
        <v>0.89926849</v>
      </c>
      <c r="PR21" s="1544" t="n">
        <v>0.89926849</v>
      </c>
      <c r="PS21" s="1544" t="n">
        <v>1.46903608</v>
      </c>
      <c r="PT21" s="1544" t="n">
        <v>1.46903608</v>
      </c>
      <c r="PU21" s="1544" t="n">
        <v>3.3860837</v>
      </c>
      <c r="PV21" s="1544" t="n">
        <v>3.3860837</v>
      </c>
      <c r="PW21" s="1544" t="n">
        <v>3.3860837</v>
      </c>
      <c r="PX21" s="1544" t="n">
        <v>3.25530477</v>
      </c>
      <c r="PY21" s="1544" t="n">
        <v>3.25526777</v>
      </c>
      <c r="PZ21" s="1544" t="n">
        <v>3.25526777</v>
      </c>
      <c r="QA21" s="1544" t="n">
        <v>3.25526777</v>
      </c>
      <c r="QB21" s="1544" t="n">
        <v>1.21384521</v>
      </c>
      <c r="QC21" s="1544" t="n">
        <v>1.21384521</v>
      </c>
      <c r="QD21" s="1544" t="n">
        <v>1.21384521</v>
      </c>
      <c r="QE21" s="1544" t="n">
        <v>0.62700155</v>
      </c>
      <c r="QF21" s="1544" t="n">
        <v>0.62700155</v>
      </c>
      <c r="QG21" s="1544" t="n">
        <v>0.62700155</v>
      </c>
      <c r="QH21" s="1544" t="n">
        <v>0.62700155</v>
      </c>
      <c r="QI21" s="1544" t="n">
        <v>3.60287844</v>
      </c>
      <c r="QJ21" s="1544" t="n">
        <v>3.60287844</v>
      </c>
      <c r="QK21" s="1544" t="n">
        <v>2.05634089</v>
      </c>
      <c r="QL21" s="1544" t="n">
        <v>2.05634089</v>
      </c>
      <c r="QM21" s="1544" t="n">
        <v>2.05634089</v>
      </c>
      <c r="QN21" s="1544" t="n">
        <v>0.7731877700000001</v>
      </c>
      <c r="QO21" s="1544" t="n">
        <v>0.77078777</v>
      </c>
      <c r="QP21" s="1544" t="n">
        <v>0.77078777</v>
      </c>
      <c r="QQ21" s="1544" t="n">
        <v>16.53657282</v>
      </c>
      <c r="QR21" s="1544" t="n">
        <v>16.53657282</v>
      </c>
      <c r="QS21" s="1544" t="n">
        <v>0.75312671</v>
      </c>
      <c r="QT21" s="1544" t="n">
        <v>0.75312671</v>
      </c>
      <c r="QU21" s="1544" t="n">
        <v>0.75312671</v>
      </c>
      <c r="QV21" s="1544" t="n">
        <v>0.73129607</v>
      </c>
      <c r="QW21" s="1544" t="n">
        <v>0.75312671</v>
      </c>
      <c r="QX21" s="1544" t="n">
        <v>0.75312671</v>
      </c>
      <c r="QY21" s="1544" t="n">
        <v>1.0816278</v>
      </c>
      <c r="QZ21" s="1544" t="n">
        <v>1.0816278</v>
      </c>
      <c r="RA21" s="1544" t="n">
        <v>14.65759324</v>
      </c>
      <c r="RB21" s="1544" t="n">
        <v>14.65759324</v>
      </c>
      <c r="RC21" s="1544" t="n">
        <v>14.65759324</v>
      </c>
      <c r="RD21" s="1544" t="n">
        <v>14.65759324</v>
      </c>
      <c r="RE21" s="1544" t="n">
        <v>1.48599792</v>
      </c>
      <c r="RF21" s="1544" t="n">
        <v>1.48599792</v>
      </c>
      <c r="RG21" s="1544" t="n">
        <v>1.48599792</v>
      </c>
      <c r="RH21" s="1544" t="n">
        <v>0.5304954000000001</v>
      </c>
      <c r="RI21" s="1544" t="n">
        <v>0.5304134</v>
      </c>
      <c r="RJ21" s="1544" t="n">
        <v>0.5304134</v>
      </c>
      <c r="RK21" s="1544" t="n">
        <v>3.5252134</v>
      </c>
      <c r="RL21" s="1544" t="n">
        <v>3.5252134</v>
      </c>
      <c r="RM21" s="1544" t="n">
        <v>2.67702712</v>
      </c>
      <c r="RN21" s="1544" t="n">
        <v>2.67702712</v>
      </c>
      <c r="RO21" s="1544" t="n">
        <v>2.67702712</v>
      </c>
      <c r="RP21" s="1544" t="n">
        <v>2.67702712</v>
      </c>
      <c r="RQ21" s="1544" t="n">
        <v>9.802589169999999</v>
      </c>
      <c r="RR21" s="1544" t="n">
        <v>9.802589169999999</v>
      </c>
      <c r="RS21" s="1544" t="n">
        <v>0.7322813499999999</v>
      </c>
      <c r="RT21" s="1544" t="n">
        <v>0.7322813499999999</v>
      </c>
      <c r="RU21" s="1544" t="n">
        <v>0.7322813499999999</v>
      </c>
      <c r="RV21" s="1544" t="n">
        <v>0.7322813499999999</v>
      </c>
      <c r="RW21" s="1544" t="n">
        <v>0.7322813499999999</v>
      </c>
      <c r="RX21" s="1544" t="n">
        <v>0.7322813499999999</v>
      </c>
      <c r="RY21" s="1544" t="n">
        <v>8.600807420000001</v>
      </c>
      <c r="RZ21" s="1544" t="n">
        <v>8.600807420000001</v>
      </c>
      <c r="SA21" s="1544" t="n">
        <v>6.9901118</v>
      </c>
      <c r="SB21" s="1544" t="n">
        <v>6.9804578</v>
      </c>
      <c r="SC21" s="1544" t="n">
        <v>6.9804578</v>
      </c>
      <c r="SD21" s="1544" t="n">
        <v>6.9804578</v>
      </c>
      <c r="SE21" s="1544" t="n">
        <v>9.17342185</v>
      </c>
      <c r="SF21" s="1544" t="n">
        <v>9.17342185</v>
      </c>
      <c r="SG21" s="1544" t="n">
        <v>5.39288373</v>
      </c>
      <c r="SH21" s="1544" t="n">
        <v>5.39288373</v>
      </c>
      <c r="SI21" s="1544" t="n">
        <v>12.68879767</v>
      </c>
      <c r="SJ21" s="1544" t="n">
        <v>12.68879767</v>
      </c>
      <c r="SK21" s="1544" t="n">
        <v>16.13780583</v>
      </c>
      <c r="SL21" s="1544" t="n">
        <v>16.13780583</v>
      </c>
      <c r="SM21" s="1544" t="n">
        <v>20.76848328</v>
      </c>
      <c r="SN21" s="1544" t="n">
        <v>20.76848328</v>
      </c>
      <c r="SO21" s="1544" t="n">
        <v>20.76848328</v>
      </c>
      <c r="SP21" s="1544" t="n">
        <v>25.38774952</v>
      </c>
      <c r="SQ21" s="1544" t="n">
        <v>25.38774952</v>
      </c>
      <c r="SR21" s="1544" t="n">
        <v>25.38774952</v>
      </c>
      <c r="SS21" s="1544" t="n">
        <v>33.11924921</v>
      </c>
      <c r="ST21" s="1544" t="n">
        <v>33.11924921</v>
      </c>
      <c r="SU21" s="1544" t="n">
        <v>35.1299791</v>
      </c>
      <c r="SV21" s="1544" t="n">
        <v>35.1299791</v>
      </c>
      <c r="SW21" s="1544" t="n">
        <v>35.1299791</v>
      </c>
      <c r="SX21" s="1544" t="n">
        <v>31.76705931</v>
      </c>
      <c r="SY21" s="1544" t="n">
        <v>31.76705931</v>
      </c>
      <c r="SZ21" s="1544" t="n">
        <v>31.76705931</v>
      </c>
      <c r="TA21" s="1544" t="n">
        <v>27.20389936</v>
      </c>
      <c r="TB21" s="1544" t="n">
        <v>27.20389936</v>
      </c>
      <c r="TC21" s="1544" t="n">
        <v>20.04660059</v>
      </c>
      <c r="TD21" s="1544" t="n">
        <v>20.04660059</v>
      </c>
      <c r="TE21" s="1544" t="n">
        <v>15.93423499</v>
      </c>
      <c r="TF21" s="1544" t="n">
        <v>47.59492037</v>
      </c>
      <c r="TG21" s="1544" t="n">
        <v>34.85262601000001</v>
      </c>
      <c r="TH21" s="1544" t="n">
        <v>31.13996072999999</v>
      </c>
      <c r="TI21" s="1544" t="n">
        <v>26.46268919</v>
      </c>
      <c r="TJ21" s="1544" t="n">
        <v>25.21181526</v>
      </c>
      <c r="TK21" s="1544" t="n">
        <v>13.48136855</v>
      </c>
      <c r="TL21" s="1544" t="n">
        <v>73.93521336999999</v>
      </c>
      <c r="TM21" s="1544" t="n">
        <v>4.492627450000001</v>
      </c>
      <c r="TN21" s="1544" t="n">
        <v>6.20351724</v>
      </c>
      <c r="TO21" s="1544" t="n">
        <v>1.74721915</v>
      </c>
      <c r="TP21" s="1544" t="n">
        <v>7.13305132</v>
      </c>
      <c r="TQ21" s="1544" t="n">
        <v>7.0855843</v>
      </c>
      <c r="TR21" s="1544" t="n">
        <v>6.52124195</v>
      </c>
      <c r="TS21" s="1544" t="n">
        <v>6.24130478</v>
      </c>
      <c r="TT21" s="1544" t="n">
        <v>5.86651388</v>
      </c>
      <c r="TU21" s="1544" t="n">
        <v>1.59478978</v>
      </c>
      <c r="TV21" s="1544" t="n">
        <v>11.06885162</v>
      </c>
      <c r="TW21" s="1544" t="n">
        <v>3.97513374</v>
      </c>
      <c r="TX21" s="1544" t="n">
        <v>3.19201825</v>
      </c>
      <c r="TY21" s="1544" t="n">
        <v>4.32928316</v>
      </c>
      <c r="TZ21" s="1544" t="n">
        <v>25.12229138</v>
      </c>
      <c r="UA21" s="1544" t="n">
        <v>54.56987674000001</v>
      </c>
      <c r="UB21" s="1544" t="n">
        <v>11.55918088</v>
      </c>
      <c r="UC21" s="1544" t="n">
        <v>12.638172</v>
      </c>
      <c r="UD21" s="1544" t="n">
        <v>13.06603586</v>
      </c>
      <c r="UE21" s="1544" t="n">
        <v>19.72760815</v>
      </c>
      <c r="UF21" s="1544" t="n">
        <v>15.63371044</v>
      </c>
      <c r="UG21" s="1544" t="n">
        <v>2.48407631</v>
      </c>
      <c r="UH21" s="1544" t="n">
        <v>15.26097835</v>
      </c>
      <c r="UI21" s="1544" t="n">
        <v>15.25909082</v>
      </c>
      <c r="UJ21" s="1544" t="n">
        <v>65.4961378</v>
      </c>
      <c r="UK21" s="1544" t="n">
        <v>61.23186371</v>
      </c>
      <c r="UL21" s="1544" t="n">
        <v>59.35992755</v>
      </c>
      <c r="UM21" s="1544" t="n">
        <v>91.01427347999999</v>
      </c>
      <c r="UN21" s="1544" t="n">
        <v>93.75349539999999</v>
      </c>
      <c r="UO21" s="1544" t="n">
        <v>107.72208544</v>
      </c>
      <c r="UP21" s="1544" t="n">
        <v>107.74400964</v>
      </c>
      <c r="UQ21" s="1544" t="n">
        <v>99.91421498999999</v>
      </c>
      <c r="UR21" s="1544" t="n">
        <v>94.25941378</v>
      </c>
      <c r="US21" s="1544" t="n">
        <v>93.96921478</v>
      </c>
      <c r="UT21" s="1544" t="n">
        <v>94.01294073999999</v>
      </c>
      <c r="UU21" s="1544" t="n">
        <v>88.23130897999999</v>
      </c>
      <c r="UV21" s="1544" t="n">
        <v>85.98781244</v>
      </c>
      <c r="UW21" s="1544" t="n">
        <v>86.05543304</v>
      </c>
      <c r="UX21" s="1544" t="n">
        <v>83.23933683</v>
      </c>
      <c r="UY21" s="1544" t="n">
        <v>80.0278088</v>
      </c>
      <c r="UZ21" s="1544" t="n">
        <v>77.20659295999999</v>
      </c>
      <c r="VA21" s="1544" t="n">
        <v>77.20659295999999</v>
      </c>
      <c r="VB21" s="1544" t="n">
        <v>67.92480986999999</v>
      </c>
      <c r="VC21" s="1544" t="n">
        <v>63.3391021</v>
      </c>
      <c r="VD21" s="1544" t="n">
        <v>61.38001219</v>
      </c>
      <c r="VE21" s="1544" t="n">
        <v>61.38001219</v>
      </c>
      <c r="VF21" s="1544" t="n">
        <v>61.77765523000001</v>
      </c>
      <c r="VG21" s="1544" t="n">
        <v>57.83742405</v>
      </c>
      <c r="VH21" s="1544" t="n">
        <v>49.22935082</v>
      </c>
      <c r="VI21" s="1544" t="n">
        <v>45.82352483</v>
      </c>
      <c r="VJ21" s="1544" t="n">
        <v>9.010425529999999</v>
      </c>
      <c r="VK21" s="1544" t="n">
        <v>2.82171556</v>
      </c>
      <c r="VL21" s="1544" t="n">
        <v>48.00083229</v>
      </c>
      <c r="VM21" s="1544" t="n">
        <v>54.60190158</v>
      </c>
      <c r="VN21" s="1544" t="n">
        <v>54.67672528</v>
      </c>
      <c r="VO21" s="1544" t="n">
        <v>30.29241314</v>
      </c>
      <c r="VP21" s="1544" t="n">
        <v>9.462552279999999</v>
      </c>
      <c r="VQ21" s="1544" t="n">
        <v>9.281655290000002</v>
      </c>
      <c r="VR21" s="1544" t="n">
        <v>5.988216980000001</v>
      </c>
      <c r="VS21" s="1544" t="n">
        <v>0.24095157</v>
      </c>
      <c r="VT21" s="1544" t="n">
        <v>0.19309761</v>
      </c>
      <c r="VU21" s="1544" t="n">
        <v>2.69306061</v>
      </c>
      <c r="VV21" s="1544" t="n">
        <v>0.29391664</v>
      </c>
      <c r="VW21" s="1544" t="n">
        <v>0.14729809</v>
      </c>
      <c r="VX21" s="1544" t="n">
        <v>4.76390899</v>
      </c>
      <c r="VY21" s="1544" t="n">
        <v>2.34683268</v>
      </c>
      <c r="VZ21" s="1544" t="n">
        <v>10.30327336</v>
      </c>
      <c r="WA21" s="1544" t="n">
        <v>107.56389853</v>
      </c>
      <c r="WB21" s="1544" t="n">
        <v>103.77987318</v>
      </c>
      <c r="WC21" s="1544" t="n">
        <v>153.71184058</v>
      </c>
      <c r="WD21" s="1544" t="n">
        <v>1.44760842</v>
      </c>
      <c r="WE21" s="1544" t="n">
        <v>0.58264828</v>
      </c>
      <c r="WF21" s="1544" t="n">
        <v>0.5736112800000001</v>
      </c>
      <c r="WG21" s="1544" t="n">
        <v>25.83454546</v>
      </c>
      <c r="WH21" s="1544" t="n">
        <v>25.88272514</v>
      </c>
      <c r="WI21" s="1544" t="n">
        <v>25.071876</v>
      </c>
      <c r="WJ21" s="1544" t="n">
        <v>24.5599131</v>
      </c>
      <c r="WK21" s="1544" t="n">
        <v>21.75654837</v>
      </c>
      <c r="WL21" s="1544" t="n">
        <v>21.724431</v>
      </c>
      <c r="WM21" s="1544" t="n">
        <v>7.562052560000001</v>
      </c>
      <c r="WN21" s="1544" t="n">
        <v>47.82221143</v>
      </c>
      <c r="WO21" s="1544" t="n">
        <v>47.84005868</v>
      </c>
      <c r="WP21" s="1544" t="n">
        <v>13.38876431</v>
      </c>
      <c r="WQ21" s="1544" t="n">
        <v>13.26949488</v>
      </c>
      <c r="WR21" s="1544" t="n">
        <v>10.66924686</v>
      </c>
      <c r="WS21" s="1544" t="n">
        <v>6.37820324</v>
      </c>
      <c r="WT21" s="1544" t="n">
        <v>6.41192965</v>
      </c>
      <c r="WU21" s="1544" t="n">
        <v>16.08282937</v>
      </c>
      <c r="WV21" s="1544" t="n">
        <v>9.9120554</v>
      </c>
      <c r="WW21" s="1544" t="n">
        <v>5.13148084</v>
      </c>
      <c r="WX21" s="1544" t="n">
        <v>1.81716411</v>
      </c>
      <c r="WY21" s="1544" t="n">
        <v>4.53316212</v>
      </c>
      <c r="WZ21" s="1544" t="n">
        <v>2.70304312</v>
      </c>
      <c r="XA21" s="1544" t="n">
        <v>2.70304312</v>
      </c>
      <c r="XB21" s="1544" t="n">
        <v>1.73543116</v>
      </c>
      <c r="XC21" s="1544" t="n">
        <v>1.73543116</v>
      </c>
      <c r="XD21" s="1544" t="n">
        <v>7.07206301</v>
      </c>
      <c r="XE21" s="1544" t="n">
        <v>5.91865088</v>
      </c>
      <c r="XF21" s="1544" t="n">
        <v>10.32896969</v>
      </c>
      <c r="XG21" s="1544" t="n">
        <v>5.27176672</v>
      </c>
      <c r="XH21" s="1544" t="n">
        <v>3.61099954</v>
      </c>
      <c r="XI21" s="1544" t="n">
        <v>1.95240116</v>
      </c>
      <c r="XJ21" s="1544" t="n">
        <v>7.85549016</v>
      </c>
      <c r="XK21" s="1544" t="n">
        <v>3.09666049</v>
      </c>
      <c r="XL21" s="1544" t="n">
        <v>2.40906812</v>
      </c>
      <c r="XM21" s="1544" t="n">
        <v>0.98768015</v>
      </c>
      <c r="XN21" s="1544" t="n">
        <v>0.98768015</v>
      </c>
      <c r="XO21" s="1544" t="n">
        <v>0.98768015</v>
      </c>
      <c r="XP21" s="1544" t="n">
        <v>1.12334912</v>
      </c>
      <c r="XQ21" s="1544" t="n">
        <v>1.1238674</v>
      </c>
      <c r="XR21" s="1544" t="n">
        <v>1.39698668</v>
      </c>
      <c r="XS21" s="1544" t="n">
        <v>8.97025075</v>
      </c>
      <c r="XT21" s="1544" t="n">
        <v>7.29601004</v>
      </c>
      <c r="XU21" s="1544" t="n">
        <v>7.29801004</v>
      </c>
      <c r="XV21" s="1544" t="n">
        <v>5.26940204</v>
      </c>
      <c r="XW21" s="1544" t="n">
        <v>5.22851596</v>
      </c>
      <c r="XX21" s="1544" t="n">
        <v>13.05129733</v>
      </c>
      <c r="XY21" s="1544" t="n">
        <v>6.507922890000001</v>
      </c>
      <c r="XZ21" s="1544" t="n">
        <v>1.05939786</v>
      </c>
      <c r="YA21" s="1544" t="n">
        <v>0.80229786</v>
      </c>
      <c r="YB21" s="1544" t="n">
        <v>0.80229786</v>
      </c>
      <c r="YC21" s="1544" t="n">
        <v>6.84781221</v>
      </c>
      <c r="YD21" s="1544" t="n">
        <v>13.93902513</v>
      </c>
      <c r="YE21" s="1544" t="n">
        <v>4.15090067</v>
      </c>
      <c r="YF21" s="1544" t="n">
        <v>2.79109531</v>
      </c>
      <c r="YG21" s="1544" t="n">
        <v>8.710410230000001</v>
      </c>
      <c r="YH21" s="1544" t="n">
        <v>5.30208319</v>
      </c>
      <c r="YI21" s="1544" t="n">
        <v>5.30208319</v>
      </c>
      <c r="YJ21" s="1544" t="n">
        <v>10.19382848</v>
      </c>
    </row>
    <row r="22">
      <c r="B22" s="917" t="inlineStr">
        <is>
          <t>MPK
Belgorod</t>
        </is>
      </c>
      <c r="C22" s="1532" t="n">
        <v>1.39079187</v>
      </c>
      <c r="D22" s="1533" t="n">
        <v>1.38679187</v>
      </c>
      <c r="E22" s="1533" t="n">
        <v>1.38679187</v>
      </c>
      <c r="F22" s="1533" t="n">
        <v>1.38649687</v>
      </c>
      <c r="G22" s="1533" t="n">
        <v>1.38649687</v>
      </c>
      <c r="H22" s="1533" t="n">
        <v>1.38649687</v>
      </c>
      <c r="I22" s="1533" t="n">
        <v>1.38649687</v>
      </c>
      <c r="J22" s="1533" t="n">
        <v>1.38558636</v>
      </c>
      <c r="K22" s="1533" t="n">
        <v>1.38558636</v>
      </c>
      <c r="L22" s="1533" t="n">
        <v>1.38558636</v>
      </c>
      <c r="M22" s="1533" t="n">
        <v>1.38558636</v>
      </c>
      <c r="N22" s="1533" t="n">
        <v>1.33360025</v>
      </c>
      <c r="O22" s="1533" t="n">
        <v>1.33360025</v>
      </c>
      <c r="P22" s="1533" t="n">
        <v>1.33360025</v>
      </c>
      <c r="Q22" s="1533" t="n">
        <v>1.33360025</v>
      </c>
      <c r="R22" s="1533" t="n">
        <v>1.33358015</v>
      </c>
      <c r="S22" s="1533" t="n">
        <v>1.33358015</v>
      </c>
      <c r="T22" s="1533" t="n">
        <v>1.33358015</v>
      </c>
      <c r="U22" s="1533" t="n">
        <v>1.33358015</v>
      </c>
      <c r="V22" s="1533" t="n">
        <v>1.33358015</v>
      </c>
      <c r="W22" s="1533" t="n">
        <v>1.33358015</v>
      </c>
      <c r="X22" s="1533" t="n">
        <v>1.33358015</v>
      </c>
      <c r="Y22" s="1533" t="n">
        <v>1.32958015</v>
      </c>
      <c r="Z22" s="1533" t="n">
        <v>1.32958015</v>
      </c>
      <c r="AA22" s="1533" t="n">
        <v>1.32958015</v>
      </c>
      <c r="AB22" s="1533" t="n">
        <v>1.32928515</v>
      </c>
      <c r="AC22" s="1533" t="n">
        <v>1.32928515</v>
      </c>
      <c r="AD22" s="1533" t="n">
        <v>1.32928515</v>
      </c>
      <c r="AE22" s="1533" t="n">
        <v>1.32173146</v>
      </c>
      <c r="AF22" s="1533" t="n">
        <v>1.32173146</v>
      </c>
      <c r="AG22" s="1533" t="n">
        <v>1.32173146</v>
      </c>
      <c r="AH22" s="1533" t="n">
        <v>1.32173146</v>
      </c>
      <c r="AI22" s="1533" t="n">
        <v>1.32173146</v>
      </c>
      <c r="AJ22" s="1533" t="n">
        <v>1.32171136</v>
      </c>
      <c r="AK22" s="1533" t="n">
        <v>1.32171136</v>
      </c>
      <c r="AL22" s="1533" t="n">
        <v>1.32171136</v>
      </c>
      <c r="AM22" s="1533" t="n">
        <v>1.32171136</v>
      </c>
      <c r="AN22" s="1533" t="n">
        <v>1.32171136</v>
      </c>
      <c r="AO22" s="1533" t="n">
        <v>1.32171136</v>
      </c>
      <c r="AP22" s="1533" t="n">
        <v>1.32171136</v>
      </c>
      <c r="AQ22" s="1533" t="n">
        <v>1.31971136</v>
      </c>
      <c r="AR22" s="1533" t="n">
        <v>1.31771136</v>
      </c>
      <c r="AS22" s="1533" t="n">
        <v>1.31771136</v>
      </c>
      <c r="AT22" s="1533" t="n">
        <v>1.31741636</v>
      </c>
      <c r="AU22" s="1533" t="n">
        <v>1.31741636</v>
      </c>
      <c r="AV22" s="1533" t="n">
        <v>1.31559041</v>
      </c>
      <c r="AW22" s="1533" t="n">
        <v>1.31559041</v>
      </c>
      <c r="AX22" s="1533" t="n">
        <v>1.31559041</v>
      </c>
      <c r="AY22" s="1533" t="n">
        <v>1.31558411</v>
      </c>
      <c r="AZ22" s="1533" t="n">
        <v>1.3080304</v>
      </c>
      <c r="BA22" s="1533" t="n">
        <v>1.3080304</v>
      </c>
      <c r="BB22" s="1533" t="n">
        <v>1.3080304</v>
      </c>
      <c r="BC22" s="1533" t="n">
        <v>1.3080304</v>
      </c>
      <c r="BD22" s="1533" t="n">
        <v>1.3080304</v>
      </c>
      <c r="BE22" s="1533" t="n">
        <v>1.3080103</v>
      </c>
      <c r="BF22" s="1533" t="n">
        <v>1.3080103</v>
      </c>
      <c r="BG22" s="1533" t="n">
        <v>1.3080103</v>
      </c>
      <c r="BH22" s="1533" t="n">
        <v>1.3080103</v>
      </c>
      <c r="BI22" s="1533" t="n">
        <v>1.3080103</v>
      </c>
      <c r="BJ22" s="1533" t="n">
        <v>1.3080103</v>
      </c>
      <c r="BK22" s="1533" t="n">
        <v>1.3060103</v>
      </c>
      <c r="BL22" s="1533" t="n">
        <v>1.3060103</v>
      </c>
      <c r="BM22" s="1533" t="n">
        <v>1.3040103</v>
      </c>
      <c r="BN22" s="1533" t="n">
        <v>1.3037153</v>
      </c>
      <c r="BO22" s="1533" t="n">
        <v>1.3037153</v>
      </c>
      <c r="BP22" s="1533" t="n">
        <v>1.3037153</v>
      </c>
      <c r="BQ22" s="1533" t="n">
        <v>1.3037153</v>
      </c>
      <c r="BR22" s="1533" t="n">
        <v>1.3037153</v>
      </c>
      <c r="BS22" s="1533" t="n">
        <v>1.3037153</v>
      </c>
      <c r="BT22" s="1533" t="n">
        <v>1.3037153</v>
      </c>
      <c r="BU22" s="1533" t="n">
        <v>1.3037153</v>
      </c>
      <c r="BV22" s="1533" t="n">
        <v>1.3037153</v>
      </c>
      <c r="BW22" s="1533" t="n">
        <v>1.2977421</v>
      </c>
      <c r="BX22" s="1533" t="n">
        <v>1.2977421</v>
      </c>
      <c r="BY22" s="1533" t="n">
        <v>1.2977421</v>
      </c>
      <c r="BZ22" s="1533" t="n">
        <v>1.2977421</v>
      </c>
      <c r="CA22" s="1533" t="n">
        <v>1.2977421</v>
      </c>
      <c r="CB22" s="1533" t="n">
        <v>1.2977421</v>
      </c>
      <c r="CC22" s="1533" t="n">
        <v>1.2977421</v>
      </c>
      <c r="CD22" s="1533" t="n">
        <v>1.2977421</v>
      </c>
      <c r="CE22" s="1533" t="n">
        <v>1.2977421</v>
      </c>
      <c r="CF22" s="1533" t="n">
        <v>1.2977421</v>
      </c>
      <c r="CG22" s="1533" t="n">
        <v>1.2977421</v>
      </c>
      <c r="CH22" s="1533" t="n">
        <v>1.2732371</v>
      </c>
      <c r="CI22" s="1533" t="n">
        <v>1.2729421</v>
      </c>
      <c r="CJ22" s="1533" t="n">
        <v>1.2729421</v>
      </c>
      <c r="CK22" s="1533" t="n">
        <v>1.2729421</v>
      </c>
      <c r="CL22" s="1533" t="n">
        <v>1.2729421</v>
      </c>
      <c r="CM22" s="1533" t="n">
        <v>1.2729421</v>
      </c>
      <c r="CN22" s="1533" t="n">
        <v>1.2729421</v>
      </c>
      <c r="CO22" s="1533" t="n">
        <v>1.2729421</v>
      </c>
      <c r="CP22" s="1533" t="n">
        <v>1.2729421</v>
      </c>
      <c r="CQ22" s="1533" t="n">
        <v>1.2729421</v>
      </c>
      <c r="CR22" s="1533" t="n">
        <v>1.26995142</v>
      </c>
      <c r="CS22" s="1533" t="n">
        <v>1.26995142</v>
      </c>
      <c r="CT22" s="1533" t="n">
        <v>1.26995142</v>
      </c>
      <c r="CU22" s="1533" t="n">
        <v>1.26995142</v>
      </c>
      <c r="CV22" s="1533" t="n">
        <v>1.26995142</v>
      </c>
      <c r="CW22" s="1533" t="n">
        <v>1.26995142</v>
      </c>
      <c r="CX22" s="1533" t="n">
        <v>1.26995142</v>
      </c>
      <c r="CY22" s="1533" t="n">
        <v>1.26995142</v>
      </c>
      <c r="CZ22" s="1533" t="n">
        <v>1.26995</v>
      </c>
      <c r="DA22" s="1533" t="n">
        <v>1.26995142</v>
      </c>
      <c r="DB22" s="1533" t="n">
        <v>1.26995142</v>
      </c>
      <c r="DC22" s="1533" t="n">
        <v>1.26995142</v>
      </c>
      <c r="DD22" s="1533" t="n">
        <v>1.26744342</v>
      </c>
      <c r="DE22" s="1533" t="n">
        <v>1.26544342</v>
      </c>
      <c r="DF22" s="1533" t="n">
        <v>1.26508342</v>
      </c>
      <c r="DG22" s="1533" t="n">
        <v>1.26508342</v>
      </c>
      <c r="DH22" s="1533" t="n">
        <v>1.26508342</v>
      </c>
      <c r="DI22" s="1533" t="n">
        <v>1.27308342</v>
      </c>
      <c r="DJ22" s="1533" t="n">
        <v>1.27308342</v>
      </c>
      <c r="DK22" s="1533" t="n">
        <v>1.27308342</v>
      </c>
      <c r="DL22" s="1533" t="n">
        <v>1.27308342</v>
      </c>
      <c r="DM22" s="1533" t="n">
        <v>1.27308342</v>
      </c>
      <c r="DN22" s="1533" t="n">
        <v>1.26632694</v>
      </c>
      <c r="DO22" s="1533" t="n">
        <v>1.26139424</v>
      </c>
      <c r="DP22" s="1533" t="n">
        <v>1.26139424</v>
      </c>
      <c r="DQ22" s="1533" t="n">
        <v>1.26139424</v>
      </c>
      <c r="DR22" s="1533" t="n">
        <v>1.26139424</v>
      </c>
      <c r="DS22" s="1533" t="n">
        <v>1.26139424</v>
      </c>
      <c r="DT22" s="1533" t="n">
        <v>1.26139424</v>
      </c>
      <c r="DU22" s="1533" t="n">
        <v>1.26139424</v>
      </c>
      <c r="DV22" s="1533" t="n">
        <v>1.26139424</v>
      </c>
      <c r="DW22" s="1533" t="n">
        <v>1.26139424</v>
      </c>
      <c r="DX22" s="1533" t="n">
        <v>1.26139424</v>
      </c>
      <c r="DY22" s="1533" t="n">
        <v>1.26139424</v>
      </c>
      <c r="DZ22" s="1533" t="n">
        <v>1.26039424</v>
      </c>
      <c r="EA22" s="1533" t="n">
        <v>1.25839424</v>
      </c>
      <c r="EB22" s="1533" t="n">
        <v>1.25803424</v>
      </c>
      <c r="EC22" s="1533" t="n">
        <v>1.25803424</v>
      </c>
      <c r="ED22" s="1533" t="n">
        <v>1.25803424</v>
      </c>
      <c r="EE22" s="1533" t="n">
        <v>1.25803424</v>
      </c>
      <c r="EF22" s="1533" t="n">
        <v>1.25803424</v>
      </c>
      <c r="EG22" s="1533" t="n">
        <v>1.249327</v>
      </c>
      <c r="EH22" s="1533" t="n">
        <v>1.2208118</v>
      </c>
      <c r="EI22" s="1533" t="n">
        <v>1.2208118</v>
      </c>
      <c r="EJ22" s="1533" t="n">
        <v>1.2208118</v>
      </c>
      <c r="EK22" s="1533" t="n">
        <v>1.2208118</v>
      </c>
      <c r="EL22" s="1533" t="n">
        <v>1.2208118</v>
      </c>
      <c r="EM22" s="1533" t="n">
        <v>1.2208118</v>
      </c>
      <c r="EN22" s="1533" t="n">
        <v>1.2208118</v>
      </c>
      <c r="EO22" s="1533" t="n">
        <v>1.2183118</v>
      </c>
      <c r="EP22" s="1533" t="n">
        <v>1.2183118</v>
      </c>
      <c r="EQ22" s="1533" t="n">
        <v>1.2183118</v>
      </c>
      <c r="ER22" s="1533" t="n">
        <v>1.2183118</v>
      </c>
      <c r="ES22" s="1533" t="n">
        <v>1.2183118</v>
      </c>
      <c r="ET22" s="1533" t="n">
        <v>1.2183118</v>
      </c>
      <c r="EU22" s="1533" t="n">
        <v>1.2163118</v>
      </c>
      <c r="EV22" s="1533" t="n">
        <v>1.2163118</v>
      </c>
      <c r="EW22" s="1533" t="n">
        <v>1.2163118</v>
      </c>
      <c r="EX22" s="1533" t="n">
        <v>1.2159518</v>
      </c>
      <c r="EY22" s="1533" t="n">
        <v>1.2159518</v>
      </c>
      <c r="EZ22" s="1533" t="n">
        <v>1.2159518</v>
      </c>
      <c r="FA22" s="1533" t="n">
        <v>1.20453967</v>
      </c>
      <c r="FB22" s="1533" t="n">
        <v>1</v>
      </c>
      <c r="FC22" s="1533" t="n">
        <v>1.20453967</v>
      </c>
      <c r="FD22" s="1533" t="n">
        <v>1.20453967</v>
      </c>
      <c r="FE22" s="1533" t="n">
        <v>1.20453967</v>
      </c>
      <c r="FF22" s="1533" t="n">
        <v>1.20350267</v>
      </c>
      <c r="FG22" s="1533" t="n">
        <v>1.20350267</v>
      </c>
      <c r="FH22" s="1533" t="n">
        <v>1</v>
      </c>
      <c r="FI22" s="1533" t="n">
        <v>1.20350267</v>
      </c>
      <c r="FJ22" s="1533" t="n">
        <v>1.20350267</v>
      </c>
      <c r="FK22" s="1533" t="n">
        <v>1.20350267</v>
      </c>
      <c r="FL22" s="1533" t="n">
        <v>1.20350267</v>
      </c>
      <c r="FM22" s="1533" t="n">
        <v>1</v>
      </c>
      <c r="FN22" s="1533" t="n">
        <v>1.20350267</v>
      </c>
      <c r="FO22" s="1533" t="n">
        <v>1.20350267</v>
      </c>
      <c r="FP22" s="1533" t="n">
        <v>1.20350267</v>
      </c>
      <c r="FQ22" s="1533" t="n">
        <v>1.20150267</v>
      </c>
      <c r="FR22" s="1533" t="n">
        <v>1.20114267</v>
      </c>
      <c r="FS22" s="1533" t="n">
        <v>1.20114267</v>
      </c>
      <c r="FT22" s="1533" t="n">
        <v>1.20010567</v>
      </c>
      <c r="FU22" s="1533" t="n">
        <v>1.20010567</v>
      </c>
      <c r="FV22" s="1533" t="n">
        <v>1.20010567</v>
      </c>
      <c r="FW22" s="1533" t="n">
        <v>1.20010567</v>
      </c>
      <c r="FX22" s="1533" t="n">
        <v>1.20010567</v>
      </c>
      <c r="FY22" s="1533" t="n">
        <v>1</v>
      </c>
      <c r="FZ22" s="1533" t="n">
        <v>1.20010567</v>
      </c>
      <c r="GA22" s="1533" t="n">
        <v>1.20010567</v>
      </c>
      <c r="GB22" s="1533" t="n">
        <v>1.1920933</v>
      </c>
      <c r="GC22" s="1533" t="n">
        <v>1.1920933</v>
      </c>
      <c r="GD22" s="1533" t="n">
        <v>1.1920933</v>
      </c>
      <c r="GE22" s="1533" t="n">
        <v>1.1920933</v>
      </c>
      <c r="GF22" s="1533" t="n">
        <v>1.1920933</v>
      </c>
      <c r="GG22" s="1533" t="n">
        <v>1.1920933</v>
      </c>
      <c r="GH22" s="1533" t="n">
        <v>1.1920933</v>
      </c>
      <c r="GI22" s="1533" t="n">
        <v>1.18059379</v>
      </c>
      <c r="GJ22" s="1533" t="n">
        <v>1.17729379</v>
      </c>
      <c r="GK22" s="1533" t="n">
        <v>1.17729379</v>
      </c>
      <c r="GL22" s="1533" t="n">
        <v>1.17729379</v>
      </c>
      <c r="GM22" s="1533" t="n">
        <v>1.17729379</v>
      </c>
      <c r="GN22" s="1533" t="n">
        <v>1.17729379</v>
      </c>
      <c r="GO22" s="1533" t="n">
        <v>1.17283579</v>
      </c>
      <c r="GP22" s="1533" t="n">
        <v>1.17283579</v>
      </c>
      <c r="GQ22" s="1533" t="n">
        <v>1.17283579</v>
      </c>
      <c r="GR22" s="1533" t="n">
        <v>1.17283579</v>
      </c>
      <c r="GS22" s="1533" t="n">
        <v>1.17283579</v>
      </c>
      <c r="GT22" s="1533" t="n">
        <v>1.17283579</v>
      </c>
      <c r="GU22" s="1533" t="n">
        <v>1.17073579</v>
      </c>
      <c r="GV22" s="1533" t="n">
        <v>1.17073579</v>
      </c>
      <c r="GW22" s="1533" t="n">
        <v>1.17073579</v>
      </c>
      <c r="GX22" s="1533" t="n">
        <v>0</v>
      </c>
      <c r="GY22" s="1533" t="n">
        <v>1.17037579</v>
      </c>
      <c r="GZ22" s="1533" t="n">
        <v>1.17037579</v>
      </c>
      <c r="HA22" s="1533" t="n">
        <v>1.16739355</v>
      </c>
      <c r="HB22" s="1533" t="n">
        <v>1.16739355</v>
      </c>
      <c r="HC22" s="1533" t="n">
        <v>1.16739355</v>
      </c>
      <c r="HD22" s="1533" t="n">
        <v>1.16739355</v>
      </c>
      <c r="HE22" s="1533" t="n">
        <v>1.16739355</v>
      </c>
      <c r="HF22" s="1533" t="n">
        <v>1.16423155</v>
      </c>
      <c r="HG22" s="1533" t="n">
        <v>1.16177155</v>
      </c>
      <c r="HH22" s="1533" t="n">
        <v>1.16177155</v>
      </c>
      <c r="HI22" s="1533" t="n">
        <v>1.15973455</v>
      </c>
      <c r="HJ22" s="1533" t="n">
        <v>1.15973455</v>
      </c>
      <c r="HK22" s="1533" t="n">
        <v>1.15702655</v>
      </c>
      <c r="HL22" s="1533" t="n">
        <v>1.15702655</v>
      </c>
      <c r="HM22" s="1533" t="n">
        <v>1.15702655</v>
      </c>
      <c r="HN22" s="1533" t="n">
        <v>1.15702655</v>
      </c>
      <c r="HO22" s="1533" t="n">
        <v>1.15702655</v>
      </c>
      <c r="HP22" s="1533" t="n">
        <v>1.15702655</v>
      </c>
      <c r="HQ22" s="1533" t="n">
        <v>1.11701855</v>
      </c>
      <c r="HR22" s="1533" t="n">
        <v>1.11701855</v>
      </c>
      <c r="HS22" s="1533" t="n">
        <v>1.11701855</v>
      </c>
      <c r="HT22" s="1544" t="n">
        <v>1.11701855</v>
      </c>
      <c r="HU22" s="1544" t="n">
        <v>1.11701855</v>
      </c>
      <c r="HV22" s="1544" t="n">
        <v>1.11531855</v>
      </c>
      <c r="HW22" s="1544" t="n">
        <v>1.11531855</v>
      </c>
      <c r="HX22" s="1544" t="n">
        <v>1.11194804</v>
      </c>
      <c r="HY22" s="1544" t="n">
        <v>1.11194804</v>
      </c>
      <c r="HZ22" s="1544" t="n">
        <v>1.11194804</v>
      </c>
      <c r="IA22" s="1544" t="n">
        <v>1.1093343</v>
      </c>
      <c r="IB22" s="1544" t="n">
        <v>1.1093343</v>
      </c>
      <c r="IC22" s="1544" t="n">
        <v>1.1093343</v>
      </c>
      <c r="ID22" s="1544" t="n">
        <v>1.1093343</v>
      </c>
      <c r="IE22" s="1544" t="n">
        <v>1.1093343</v>
      </c>
      <c r="IF22" s="1544" t="n">
        <v>1.1093343</v>
      </c>
      <c r="IG22" s="1544" t="n">
        <v>1.1093343</v>
      </c>
      <c r="IH22" s="1544" t="n">
        <v>1.0693263</v>
      </c>
      <c r="II22" s="1544" t="n">
        <v>1.0693263</v>
      </c>
      <c r="IJ22" s="1544" t="n">
        <v>1.0693263</v>
      </c>
      <c r="IK22" s="1544" t="n">
        <v>1.0693263</v>
      </c>
      <c r="IL22" s="1544" t="n">
        <v>1.0693263</v>
      </c>
      <c r="IM22" s="1544" t="n">
        <v>1.0693263</v>
      </c>
      <c r="IN22" s="1544" t="n">
        <v>1.0572027</v>
      </c>
      <c r="IO22" s="1544" t="n">
        <v>1.0515117</v>
      </c>
      <c r="IP22" s="1544" t="n">
        <v>1.0498117</v>
      </c>
      <c r="IQ22" s="1544" t="n">
        <v>1.0477117</v>
      </c>
      <c r="IR22" s="1544" t="n">
        <v>1.0477117</v>
      </c>
      <c r="IS22" s="1544" t="n">
        <v>1.0473517</v>
      </c>
      <c r="IT22" s="1544" t="n">
        <v>1.0463147</v>
      </c>
      <c r="IU22" s="1544" t="n">
        <v>1.0463147</v>
      </c>
      <c r="IV22" s="1544" t="n">
        <v>1.0463147</v>
      </c>
      <c r="IW22" s="1544" t="n">
        <v>1.0463147</v>
      </c>
      <c r="IX22" s="1544" t="n">
        <v>1.04248777</v>
      </c>
      <c r="IY22" s="1544" t="n">
        <v>1.04248777</v>
      </c>
      <c r="IZ22" s="1544" t="n">
        <v>1.04248777</v>
      </c>
      <c r="JA22" s="1544" t="n">
        <v>1.04248777</v>
      </c>
      <c r="JB22" s="1544" t="n">
        <v>1.04248777</v>
      </c>
      <c r="JC22" s="1544" t="n">
        <v>1.04248777</v>
      </c>
      <c r="JD22" s="1544" t="n">
        <v>1.03711407</v>
      </c>
      <c r="JE22" s="1544" t="n">
        <v>1.03711407</v>
      </c>
      <c r="JF22" s="1544" t="n">
        <v>1.03711407</v>
      </c>
      <c r="JG22" s="1544" t="n">
        <v>1.03711407</v>
      </c>
      <c r="JH22" s="1544" t="n">
        <v>1.03711407</v>
      </c>
      <c r="JI22" s="1544" t="n">
        <v>1.03711407</v>
      </c>
      <c r="JJ22" s="1544" t="n">
        <v>1.03130407</v>
      </c>
      <c r="JK22" s="1544" t="n">
        <v>1.02990707</v>
      </c>
      <c r="JL22" s="1544" t="n">
        <v>1.02990707</v>
      </c>
      <c r="JM22" s="1544" t="n">
        <v>1.02990707</v>
      </c>
      <c r="JN22" s="1544" t="n">
        <v>1.02990707</v>
      </c>
      <c r="JO22" s="1544" t="n">
        <v>1.02990707</v>
      </c>
      <c r="JP22" s="1544" t="n">
        <v>1.02948707</v>
      </c>
      <c r="JQ22" s="1544" t="n">
        <v>1.02948707</v>
      </c>
      <c r="JR22" s="1544" t="n">
        <v>1.02948707</v>
      </c>
      <c r="JS22" s="1544" t="n">
        <v>1.02948707</v>
      </c>
      <c r="JT22" s="1544" t="n">
        <v>1.02420667</v>
      </c>
      <c r="JU22" s="1544" t="n">
        <v>1.02420667</v>
      </c>
      <c r="JV22" s="1544" t="n">
        <v>1.02420667</v>
      </c>
      <c r="JW22" s="1544" t="n">
        <v>1.02420667</v>
      </c>
      <c r="JX22" s="1544" t="n">
        <v>1.02420667</v>
      </c>
      <c r="JY22" s="1544" t="n">
        <v>1.02291667</v>
      </c>
      <c r="JZ22" s="1544" t="n">
        <v>1.02291667</v>
      </c>
      <c r="KA22" s="1544" t="n">
        <v>1.02291667</v>
      </c>
      <c r="KB22" s="1544" t="n">
        <v>1.02291667</v>
      </c>
      <c r="KC22" s="1544" t="n">
        <v>1.02013317</v>
      </c>
      <c r="KD22" s="1544" t="n">
        <v>1.02013317</v>
      </c>
      <c r="KE22" s="1544" t="n">
        <v>1.02013317</v>
      </c>
      <c r="KF22" s="1544" t="n">
        <v>1.02990707</v>
      </c>
      <c r="KG22" s="1544" t="n">
        <v>1.01570017</v>
      </c>
      <c r="KH22" s="1544" t="n">
        <v>1.01570017</v>
      </c>
      <c r="KI22" s="1544" t="n">
        <v>1.01570017</v>
      </c>
      <c r="KJ22" s="1544" t="n">
        <v>1.01570017</v>
      </c>
      <c r="KK22" s="1544" t="n">
        <v>1.01570017</v>
      </c>
      <c r="KL22" s="1544" t="n">
        <v>1.01570017</v>
      </c>
      <c r="KM22" s="1544" t="n">
        <v>1.01570017</v>
      </c>
      <c r="KN22" s="1544" t="n">
        <v>1.01302297</v>
      </c>
      <c r="KO22" s="1544" t="n">
        <v>1.00802297</v>
      </c>
      <c r="KP22" s="1544" t="n">
        <v>1.00802297</v>
      </c>
      <c r="KQ22" s="1544" t="n">
        <v>1.00802297</v>
      </c>
      <c r="KR22" s="1544" t="n">
        <v>1.00802297</v>
      </c>
      <c r="KS22" s="1544" t="n">
        <v>1.00802297</v>
      </c>
      <c r="KT22" s="1544" t="n">
        <v>1.00802297</v>
      </c>
      <c r="KU22" s="1544" t="n">
        <v>1.00673297</v>
      </c>
      <c r="KV22" s="1544" t="n">
        <v>0.99614289</v>
      </c>
      <c r="KW22" s="1544" t="n">
        <v>0.99614289</v>
      </c>
      <c r="KX22" s="1544" t="n">
        <v>0.99614289</v>
      </c>
      <c r="KY22" s="1544" t="n">
        <v>0.99614289</v>
      </c>
      <c r="KZ22" s="1544" t="n">
        <v>0.99578289</v>
      </c>
      <c r="LA22" s="1544" t="n">
        <v>0.99578289</v>
      </c>
      <c r="LB22" s="1544" t="n">
        <v>0.99578289</v>
      </c>
      <c r="LC22" s="1544" t="n">
        <v>0.99578289</v>
      </c>
      <c r="LD22" s="1544" t="n">
        <v>0.99578289</v>
      </c>
      <c r="LE22" s="1544" t="n">
        <v>0.99578289</v>
      </c>
      <c r="LF22" s="1544" t="n">
        <v>0.9886230699999999</v>
      </c>
      <c r="LG22" s="1544" t="n">
        <v>0.9886230699999999</v>
      </c>
      <c r="LH22" s="1544" t="n">
        <v>0.9886230699999999</v>
      </c>
      <c r="LI22" s="1544" t="n">
        <v>0.9886230699999999</v>
      </c>
      <c r="LJ22" s="1544" t="n">
        <v>0.9886230699999999</v>
      </c>
      <c r="LK22" s="1544" t="n">
        <v>0.9886230699999999</v>
      </c>
      <c r="LL22" s="1544" t="n">
        <v>0.9873330699999999</v>
      </c>
      <c r="LM22" s="1544" t="n">
        <v>0.9873330699999999</v>
      </c>
      <c r="LN22" s="1544" t="n">
        <v>0.9873330699999999</v>
      </c>
      <c r="LO22" s="1544" t="n">
        <v>0.9873330699999999</v>
      </c>
      <c r="LP22" s="1544" t="n">
        <v>0.9873330699999999</v>
      </c>
      <c r="LQ22" s="1544" t="n">
        <v>0.98456046</v>
      </c>
      <c r="LR22" s="1544" t="n">
        <v>0.98426046</v>
      </c>
      <c r="LS22" s="1544" t="n">
        <v>0.98426046</v>
      </c>
      <c r="LT22" s="1544" t="n">
        <v>0.98390046</v>
      </c>
      <c r="LU22" s="1544" t="n">
        <v>0.98390046</v>
      </c>
      <c r="LV22" s="1544" t="n">
        <v>0.98390046</v>
      </c>
      <c r="LW22" s="1544" t="n">
        <v>0.98390046</v>
      </c>
      <c r="LX22" s="1544" t="n">
        <v>0.98290046</v>
      </c>
      <c r="LY22" s="1544" t="n">
        <v>0.98290046</v>
      </c>
      <c r="LZ22" s="1544" t="n">
        <v>0.98290046</v>
      </c>
      <c r="MA22" s="1544" t="n">
        <v>0.98290046</v>
      </c>
      <c r="MB22" s="1544" t="n">
        <v>0.98290046</v>
      </c>
      <c r="MC22" s="1544" t="n">
        <v>0.98290046</v>
      </c>
      <c r="MD22" s="1544" t="n">
        <v>0.98023322</v>
      </c>
      <c r="ME22" s="1544" t="n">
        <v>0.98023322</v>
      </c>
      <c r="MF22" s="1544" t="n">
        <v>0.98023322</v>
      </c>
      <c r="MG22" s="1544" t="n">
        <v>0.98023322</v>
      </c>
      <c r="MH22" s="1544" t="n">
        <v>0.97894322</v>
      </c>
      <c r="MI22" s="1544" t="n">
        <v>0.97894322</v>
      </c>
      <c r="MJ22" s="1544" t="n">
        <v>0.97894322</v>
      </c>
      <c r="MK22" s="1544" t="n">
        <v>0.97894322</v>
      </c>
      <c r="ML22" s="1544" t="n">
        <v>0.97894322</v>
      </c>
      <c r="MM22" s="1544" t="n">
        <v>0.97894322</v>
      </c>
      <c r="MN22" s="1544" t="n">
        <v>0.97894322</v>
      </c>
      <c r="MO22" s="1544" t="n">
        <v>0.97894322</v>
      </c>
      <c r="MP22" s="1544" t="n">
        <v>0.97894322</v>
      </c>
      <c r="MQ22" s="1544" t="n">
        <v>0.97854317</v>
      </c>
      <c r="MR22" s="1544" t="n">
        <v>0.97854317</v>
      </c>
      <c r="MS22" s="1544" t="n">
        <v>0.97854317</v>
      </c>
      <c r="MT22" s="1544" t="n">
        <v>0.97854317</v>
      </c>
      <c r="MU22" s="1544" t="n">
        <v>0.97854317</v>
      </c>
      <c r="MV22" s="1544" t="n">
        <v>0.97854317</v>
      </c>
      <c r="MW22" s="1544" t="n">
        <v>0.97610467</v>
      </c>
      <c r="MX22" s="1544" t="n">
        <v>0.97610467</v>
      </c>
      <c r="MY22" s="1544" t="n">
        <v>0.97610467</v>
      </c>
      <c r="MZ22" s="1544" t="n">
        <v>0.97610467</v>
      </c>
      <c r="NA22" s="1544" t="n">
        <v>0.97610467</v>
      </c>
      <c r="NB22" s="1544" t="n">
        <v>0.97610467</v>
      </c>
      <c r="NC22" s="1544" t="n">
        <v>0.97610467</v>
      </c>
      <c r="ND22" s="1544" t="n">
        <v>0.97610467</v>
      </c>
      <c r="NE22" s="1544" t="n">
        <v>0.97610467</v>
      </c>
      <c r="NF22" s="1544" t="n">
        <v>0.9793621800000001</v>
      </c>
      <c r="NG22" s="1544" t="n">
        <v>0.97118768</v>
      </c>
      <c r="NH22" s="1544" t="n">
        <v>0.97118768</v>
      </c>
      <c r="NI22" s="1544" t="n">
        <v>0.97018768</v>
      </c>
      <c r="NJ22" s="1544" t="n">
        <v>0.97018768</v>
      </c>
      <c r="NK22" s="1544" t="n">
        <v>0.96001088</v>
      </c>
      <c r="NL22" s="1544" t="n">
        <v>0.96001088</v>
      </c>
      <c r="NM22" s="1544" t="n">
        <v>0.96246524</v>
      </c>
      <c r="NN22" s="1544" t="n">
        <v>0.96246524</v>
      </c>
      <c r="NO22" s="1544" t="n">
        <v>0.96246524</v>
      </c>
      <c r="NP22" s="1544" t="n">
        <v>0.96246524</v>
      </c>
      <c r="NQ22" s="1544" t="n">
        <v>0.96246524</v>
      </c>
      <c r="NR22" s="1544" t="n">
        <v>0.96508003</v>
      </c>
      <c r="NS22" s="1544" t="n">
        <v>0.96508003</v>
      </c>
      <c r="NT22" s="1544" t="n">
        <v>0.96508003</v>
      </c>
      <c r="NU22" s="1544" t="n">
        <v>0.96000983</v>
      </c>
      <c r="NV22" s="1544" t="n">
        <v>0.96000983</v>
      </c>
      <c r="NW22" s="1544" t="n">
        <v>0.96000983</v>
      </c>
      <c r="NX22" s="1544" t="n">
        <v>0.96000983</v>
      </c>
      <c r="NY22" s="1544" t="n">
        <v>0.96000983</v>
      </c>
      <c r="NZ22" s="1544" t="n">
        <v>0.9587198299999999</v>
      </c>
      <c r="OA22" s="1544" t="n">
        <v>0.9587198299999999</v>
      </c>
      <c r="OB22" s="1544" t="n">
        <v>0.9587198299999999</v>
      </c>
      <c r="OC22" s="1544" t="n">
        <v>0.95968838</v>
      </c>
      <c r="OD22" s="1544" t="n">
        <v>0.95968838</v>
      </c>
      <c r="OE22" s="1544" t="n">
        <v>0.95968838</v>
      </c>
      <c r="OF22" s="1544" t="n">
        <v>0.95968838</v>
      </c>
      <c r="OG22" s="1544" t="n">
        <v>0.95506663</v>
      </c>
      <c r="OH22" s="1544" t="n">
        <v>0.95506663</v>
      </c>
      <c r="OI22" s="1544" t="n">
        <v>0.99578289</v>
      </c>
      <c r="OJ22" s="1544" t="n">
        <v>0.95506663</v>
      </c>
      <c r="OK22" s="1544" t="n">
        <v>0.95506663</v>
      </c>
      <c r="OL22" s="1544" t="n">
        <v>0.95878871</v>
      </c>
      <c r="OM22" s="1544" t="n">
        <v>0.95878871</v>
      </c>
      <c r="ON22" s="1544" t="n">
        <v>0.95878871</v>
      </c>
      <c r="OO22" s="1544" t="n">
        <v>0.95597926</v>
      </c>
      <c r="OP22" s="1544" t="n">
        <v>0.95597926</v>
      </c>
      <c r="OQ22" s="1544" t="n">
        <v>0.95597926</v>
      </c>
      <c r="OR22" s="1544" t="n">
        <v>0.95597926</v>
      </c>
      <c r="OS22" s="1544" t="n">
        <v>0.95597926</v>
      </c>
      <c r="OT22" s="1544" t="n">
        <v>0.95468926</v>
      </c>
      <c r="OU22" s="1544" t="n">
        <v>0.95468926</v>
      </c>
      <c r="OV22" s="1544" t="n">
        <v>0.95468926</v>
      </c>
      <c r="OW22" s="1544" t="n">
        <v>0.95468926</v>
      </c>
      <c r="OX22" s="1544" t="n">
        <v>0.95468926</v>
      </c>
      <c r="OY22" s="1544" t="n">
        <v>0.94783246</v>
      </c>
      <c r="OZ22" s="1544" t="n">
        <v>0.94783246</v>
      </c>
      <c r="PA22" s="1544" t="n">
        <v>0.94783246</v>
      </c>
      <c r="PB22" s="1544" t="n">
        <v>0.90297246</v>
      </c>
      <c r="PC22" s="1544" t="n">
        <v>0.90297246</v>
      </c>
      <c r="PD22" s="1544" t="n">
        <v>0.90297246</v>
      </c>
      <c r="PE22" s="1544" t="n">
        <v>0.90142626</v>
      </c>
      <c r="PF22" s="1544" t="n">
        <v>0.90142626</v>
      </c>
      <c r="PG22" s="1544" t="n">
        <v>0.90142626</v>
      </c>
      <c r="PH22" s="1544" t="n">
        <v>0.90142626</v>
      </c>
      <c r="PI22" s="1544" t="n">
        <v>0.90424375</v>
      </c>
      <c r="PJ22" s="1544" t="n">
        <v>0.90424375</v>
      </c>
      <c r="PK22" s="1544" t="n">
        <v>0.90424375</v>
      </c>
      <c r="PL22" s="1544" t="n">
        <v>0.90424375</v>
      </c>
      <c r="PM22" s="1544" t="n">
        <v>0.90424375</v>
      </c>
      <c r="PN22" s="1544" t="n">
        <v>0.90122125</v>
      </c>
      <c r="PO22" s="1544" t="n">
        <v>0.90122125</v>
      </c>
      <c r="PP22" s="1544" t="n">
        <v>0.9012401</v>
      </c>
      <c r="PQ22" s="1544" t="n">
        <v>0.9012401</v>
      </c>
      <c r="PR22" s="1544" t="n">
        <v>0.9012401</v>
      </c>
      <c r="PS22" s="1544" t="n">
        <v>0.9008801</v>
      </c>
      <c r="PT22" s="1544" t="n">
        <v>0.9008801</v>
      </c>
      <c r="PU22" s="1544" t="n">
        <v>0.8998801</v>
      </c>
      <c r="PV22" s="1544" t="n">
        <v>0.8998801</v>
      </c>
      <c r="PW22" s="1544" t="n">
        <v>0.8998801</v>
      </c>
      <c r="PX22" s="1544" t="n">
        <v>0.8998801</v>
      </c>
      <c r="PY22" s="1544" t="n">
        <v>0.90284097</v>
      </c>
      <c r="PZ22" s="1544" t="n">
        <v>0.90284097</v>
      </c>
      <c r="QA22" s="1544" t="n">
        <v>0.90284097</v>
      </c>
      <c r="QB22" s="1544" t="n">
        <v>0.8956841</v>
      </c>
      <c r="QC22" s="1544" t="n">
        <v>0.8956841</v>
      </c>
      <c r="QD22" s="1544" t="n">
        <v>0.8956841</v>
      </c>
      <c r="QE22" s="1544" t="n">
        <v>0.8511841</v>
      </c>
      <c r="QF22" s="1544" t="n">
        <v>0.8511841</v>
      </c>
      <c r="QG22" s="1544" t="n">
        <v>0.8511841</v>
      </c>
      <c r="QH22" s="1544" t="n">
        <v>0.8511841</v>
      </c>
      <c r="QI22" s="1544" t="n">
        <v>0.8419396</v>
      </c>
      <c r="QJ22" s="1544" t="n">
        <v>0.8419396</v>
      </c>
      <c r="QK22" s="1544" t="n">
        <v>0.84145313</v>
      </c>
      <c r="QL22" s="1544" t="n">
        <v>0.84145313</v>
      </c>
      <c r="QM22" s="1544" t="n">
        <v>0.84145313</v>
      </c>
      <c r="QN22" s="1544" t="n">
        <v>0.84009313</v>
      </c>
      <c r="QO22" s="1544" t="n">
        <v>0.84009313</v>
      </c>
      <c r="QP22" s="1544" t="n">
        <v>0.84009313</v>
      </c>
      <c r="QQ22" s="1544" t="n">
        <v>0.8419667399999999</v>
      </c>
      <c r="QR22" s="1544" t="n">
        <v>0.8419667399999999</v>
      </c>
      <c r="QS22" s="1544" t="n">
        <v>0.8419667399999999</v>
      </c>
      <c r="QT22" s="1544" t="n">
        <v>0.8377564599999999</v>
      </c>
      <c r="QU22" s="1544" t="n">
        <v>0.8377564599999999</v>
      </c>
      <c r="QV22" s="1544" t="n">
        <v>0.8377564599999999</v>
      </c>
      <c r="QW22" s="1544" t="n">
        <v>0.8377564599999999</v>
      </c>
      <c r="QX22" s="1544" t="n">
        <v>0.8377564599999999</v>
      </c>
      <c r="QY22" s="1544" t="n">
        <v>0.8364664599999999</v>
      </c>
      <c r="QZ22" s="1544" t="n">
        <v>0.8364664599999999</v>
      </c>
      <c r="RA22" s="1544" t="n">
        <v>0.82372121</v>
      </c>
      <c r="RB22" s="1544" t="n">
        <v>0.82372121</v>
      </c>
      <c r="RC22" s="1544" t="n">
        <v>0.82372121</v>
      </c>
      <c r="RD22" s="1544" t="n">
        <v>0.82372121</v>
      </c>
      <c r="RE22" s="1544" t="n">
        <v>0.8201508399999999</v>
      </c>
      <c r="RF22" s="1544" t="n">
        <v>0.8201508399999999</v>
      </c>
      <c r="RG22" s="1544" t="n">
        <v>0.8201508399999999</v>
      </c>
      <c r="RH22" s="1544" t="n">
        <v>0.81979084</v>
      </c>
      <c r="RI22" s="1544" t="n">
        <v>0.81686303</v>
      </c>
      <c r="RJ22" s="1544" t="n">
        <v>0.81686303</v>
      </c>
      <c r="RK22" s="1544" t="n">
        <v>0.81686303</v>
      </c>
      <c r="RL22" s="1544" t="n">
        <v>0.81686303</v>
      </c>
      <c r="RM22" s="1544" t="n">
        <v>0.81686303</v>
      </c>
      <c r="RN22" s="1544" t="n">
        <v>0.81686303</v>
      </c>
      <c r="RO22" s="1544" t="n">
        <v>0.81686303</v>
      </c>
      <c r="RP22" s="1544" t="n">
        <v>0.81686303</v>
      </c>
      <c r="RQ22" s="1544" t="n">
        <v>0.8141114399999999</v>
      </c>
      <c r="RR22" s="1544" t="n">
        <v>0.8141114399999999</v>
      </c>
      <c r="RS22" s="1544" t="n">
        <v>0.81576554</v>
      </c>
      <c r="RT22" s="1544" t="n">
        <v>0.81576554</v>
      </c>
      <c r="RU22" s="1544" t="n">
        <v>0.81576554</v>
      </c>
      <c r="RV22" s="1544" t="n">
        <v>0.81576554</v>
      </c>
      <c r="RW22" s="1544" t="n">
        <v>0.81576554</v>
      </c>
      <c r="RX22" s="1544" t="n">
        <v>0.81576554</v>
      </c>
      <c r="RY22" s="1544" t="n">
        <v>0.80229619</v>
      </c>
      <c r="RZ22" s="1544" t="n">
        <v>0.80229619</v>
      </c>
      <c r="SA22" s="1544" t="n">
        <v>0.79951394</v>
      </c>
      <c r="SB22" s="1544" t="n">
        <v>0.79951394</v>
      </c>
      <c r="SC22" s="1544" t="n">
        <v>0.79951394</v>
      </c>
      <c r="SD22" s="1544" t="n">
        <v>0.79951394</v>
      </c>
      <c r="SE22" s="1544" t="n">
        <v>0.79630974</v>
      </c>
      <c r="SF22" s="1544" t="n">
        <v>0.79630974</v>
      </c>
      <c r="SG22" s="1544" t="n">
        <v>0.7905478</v>
      </c>
      <c r="SH22" s="1544" t="n">
        <v>0.7905478</v>
      </c>
      <c r="SI22" s="1544" t="n">
        <v>0.7905478</v>
      </c>
      <c r="SJ22" s="1544" t="n">
        <v>0.7905478</v>
      </c>
      <c r="SK22" s="1544" t="n">
        <v>0.79273649</v>
      </c>
      <c r="SL22" s="1544" t="n">
        <v>0.79273649</v>
      </c>
      <c r="SM22" s="1544" t="n">
        <v>0.79273649</v>
      </c>
      <c r="SN22" s="1544" t="n">
        <v>0.79273649</v>
      </c>
      <c r="SO22" s="1544" t="n">
        <v>0.79273649</v>
      </c>
      <c r="SP22" s="1544" t="n">
        <v>0.79144649</v>
      </c>
      <c r="SQ22" s="1544" t="n">
        <v>0.79144649</v>
      </c>
      <c r="SR22" s="1544" t="n">
        <v>0.79144649</v>
      </c>
      <c r="SS22" s="1544" t="n">
        <v>0.7917920000000001</v>
      </c>
      <c r="ST22" s="1544" t="n">
        <v>0.7917920000000001</v>
      </c>
      <c r="SU22" s="1544" t="n">
        <v>0.791432</v>
      </c>
      <c r="SV22" s="1544" t="n">
        <v>0.791432</v>
      </c>
      <c r="SW22" s="1544" t="n">
        <v>0.791432</v>
      </c>
      <c r="SX22" s="1544" t="n">
        <v>0.790432</v>
      </c>
      <c r="SY22" s="1544" t="n">
        <v>0.790432</v>
      </c>
      <c r="SZ22" s="1544" t="n">
        <v>0.790432</v>
      </c>
      <c r="TA22" s="1544" t="n">
        <v>0.790432</v>
      </c>
      <c r="TB22" s="1544" t="n">
        <v>0.790432</v>
      </c>
      <c r="TC22" s="1544" t="n">
        <v>0.78517848</v>
      </c>
      <c r="TD22" s="1544" t="n">
        <v>0.78517848</v>
      </c>
      <c r="TE22" s="1544" t="n">
        <v>0.78517848</v>
      </c>
      <c r="TF22" s="1544" t="n">
        <v>0.78754455</v>
      </c>
      <c r="TG22" s="1544" t="n">
        <v>0.77568147</v>
      </c>
      <c r="TH22" s="1544" t="n">
        <v>0.77475901</v>
      </c>
      <c r="TI22" s="1544" t="n">
        <v>0.77475901</v>
      </c>
      <c r="TJ22" s="1544" t="n">
        <v>0.7702451</v>
      </c>
      <c r="TK22" s="1544" t="n">
        <v>0.7702451</v>
      </c>
      <c r="TL22" s="1544" t="n">
        <v>0.7702451</v>
      </c>
      <c r="TM22" s="1544" t="n">
        <v>0.7648044300000001</v>
      </c>
      <c r="TN22" s="1544" t="n">
        <v>0.76231943</v>
      </c>
      <c r="TO22" s="1544" t="n">
        <v>0.7609594300000001</v>
      </c>
      <c r="TP22" s="1544" t="n">
        <v>0.76288353</v>
      </c>
      <c r="TQ22" s="1544" t="n">
        <v>0.76288353</v>
      </c>
      <c r="TR22" s="1544" t="n">
        <v>0.7585843000000001</v>
      </c>
      <c r="TS22" s="1544" t="n">
        <v>0.7600701999999999</v>
      </c>
      <c r="TT22" s="1544" t="n">
        <v>0.7600701999999999</v>
      </c>
      <c r="TU22" s="1544" t="n">
        <v>0.7587801999999999</v>
      </c>
      <c r="TV22" s="1544" t="n">
        <v>0.7587801999999999</v>
      </c>
      <c r="TW22" s="1544" t="n">
        <v>0.7524575</v>
      </c>
      <c r="TX22" s="1544" t="n">
        <v>0.7524575</v>
      </c>
      <c r="TY22" s="1544" t="n">
        <v>0.7520975</v>
      </c>
      <c r="TZ22" s="1544" t="n">
        <v>0.75469504</v>
      </c>
      <c r="UA22" s="1544" t="n">
        <v>0.75469504</v>
      </c>
      <c r="UB22" s="1544" t="n">
        <v>0.74965554</v>
      </c>
      <c r="UC22" s="1544" t="n">
        <v>0.74965554</v>
      </c>
      <c r="UD22" s="1544" t="n">
        <v>0.74965554</v>
      </c>
      <c r="UE22" s="1544" t="n">
        <v>0.7524188199999999</v>
      </c>
      <c r="UF22" s="1544" t="n">
        <v>0.7511288199999999</v>
      </c>
      <c r="UG22" s="1544" t="n">
        <v>0.7511288199999999</v>
      </c>
      <c r="UH22" s="1544" t="n">
        <v>0.74395462</v>
      </c>
      <c r="UI22" s="1544" t="n">
        <v>0.74555855</v>
      </c>
      <c r="UJ22" s="1544" t="n">
        <v>0.74681822</v>
      </c>
      <c r="UK22" s="1544" t="n">
        <v>0.74681822</v>
      </c>
      <c r="UL22" s="1544" t="n">
        <v>0.74681822</v>
      </c>
      <c r="UM22" s="1544" t="n">
        <v>0.74324989</v>
      </c>
      <c r="UN22" s="1544" t="n">
        <v>0.74324989</v>
      </c>
      <c r="UO22" s="1544" t="n">
        <v>0.74324989</v>
      </c>
      <c r="UP22" s="1544" t="n">
        <v>0.7419598900000001</v>
      </c>
      <c r="UQ22" s="1544" t="n">
        <v>0.73789643</v>
      </c>
      <c r="UR22" s="1544" t="n">
        <v>0.73491352</v>
      </c>
      <c r="US22" s="1544" t="n">
        <v>0.73391352</v>
      </c>
      <c r="UT22" s="1544" t="n">
        <v>0.73353352</v>
      </c>
      <c r="UU22" s="1544" t="n">
        <v>0.73568303</v>
      </c>
      <c r="UV22" s="1544" t="n">
        <v>0.73568303</v>
      </c>
      <c r="UW22" s="1544" t="n">
        <v>0.73568303</v>
      </c>
      <c r="UX22" s="1544" t="n">
        <v>0.73748893</v>
      </c>
      <c r="UY22" s="1544" t="n">
        <v>0.7287950400000001</v>
      </c>
      <c r="UZ22" s="1544" t="n">
        <v>0.7287950400000001</v>
      </c>
      <c r="VA22" s="1544" t="n">
        <v>0.7287950400000001</v>
      </c>
      <c r="VB22" s="1544" t="n">
        <v>0.72932143</v>
      </c>
      <c r="VC22" s="1544" t="n">
        <v>0.72932143</v>
      </c>
      <c r="VD22" s="1544" t="n">
        <v>0.7267899799999999</v>
      </c>
      <c r="VE22" s="1544" t="n">
        <v>0.7267899799999999</v>
      </c>
      <c r="VF22" s="1544" t="n">
        <v>0.7267199799999999</v>
      </c>
      <c r="VG22" s="1544" t="n">
        <v>0.72899539</v>
      </c>
      <c r="VH22" s="1544" t="n">
        <v>0.72043709</v>
      </c>
      <c r="VI22" s="1544" t="n">
        <v>0.72249676</v>
      </c>
      <c r="VJ22" s="1544" t="n">
        <v>0.72249676</v>
      </c>
      <c r="VK22" s="1544" t="n">
        <v>0.7228925</v>
      </c>
      <c r="VL22" s="1544" t="n">
        <v>0.7121367</v>
      </c>
      <c r="VM22" s="1544" t="n">
        <v>0.6863708199999999</v>
      </c>
      <c r="VN22" s="1544" t="n">
        <v>0.6863708199999999</v>
      </c>
      <c r="VO22" s="1544" t="n">
        <v>0.68632092</v>
      </c>
      <c r="VP22" s="1544" t="n">
        <v>0.68632092</v>
      </c>
      <c r="VQ22" s="1544" t="n">
        <v>0.68879999</v>
      </c>
      <c r="VR22" s="1544" t="n">
        <v>0.68750999</v>
      </c>
      <c r="VS22" s="1544" t="n">
        <v>0.68750999</v>
      </c>
      <c r="VT22" s="1544" t="n">
        <v>0.6889872500000001</v>
      </c>
      <c r="VU22" s="1544" t="n">
        <v>0.6889872500000001</v>
      </c>
      <c r="VV22" s="1544" t="n">
        <v>0.6889872500000001</v>
      </c>
      <c r="VW22" s="1544" t="n">
        <v>0.6889872500000001</v>
      </c>
      <c r="VX22" s="1544" t="n">
        <v>0.6911110899999999</v>
      </c>
      <c r="VY22" s="1544" t="n">
        <v>0.68091846</v>
      </c>
      <c r="VZ22" s="1544" t="n">
        <v>0.68091846</v>
      </c>
      <c r="WA22" s="1544" t="n">
        <v>0.6830439399999999</v>
      </c>
      <c r="WB22" s="1544" t="n">
        <v>0.6817539399999999</v>
      </c>
      <c r="WC22" s="1544" t="n">
        <v>0.6817539399999999</v>
      </c>
      <c r="WD22" s="1544" t="n">
        <v>0.6776289799999999</v>
      </c>
      <c r="WE22" s="1544" t="n">
        <v>0.6797265100000001</v>
      </c>
      <c r="WF22" s="1544" t="n">
        <v>0.6797265100000001</v>
      </c>
      <c r="WG22" s="1544" t="n">
        <v>0.67770651</v>
      </c>
      <c r="WH22" s="1544" t="n">
        <v>0.67917478</v>
      </c>
      <c r="WI22" s="1544" t="n">
        <v>0.67917478</v>
      </c>
      <c r="WJ22" s="1544" t="n">
        <v>0.67917478</v>
      </c>
      <c r="WK22" s="1544" t="n">
        <v>0.6795575500000001</v>
      </c>
      <c r="WL22" s="1544" t="n">
        <v>0.6795575500000001</v>
      </c>
      <c r="WM22" s="1544" t="n">
        <v>0.6795575500000001</v>
      </c>
      <c r="WN22" s="1544" t="n">
        <v>0.67391375</v>
      </c>
      <c r="WO22" s="1544" t="n">
        <v>0.67391375</v>
      </c>
      <c r="WP22" s="1544" t="n">
        <v>0.67538087</v>
      </c>
      <c r="WQ22" s="1544" t="n">
        <v>0.67538087</v>
      </c>
      <c r="WR22" s="1544" t="n">
        <v>0.67538087</v>
      </c>
      <c r="WS22" s="1544" t="n">
        <v>0.6755359200000001</v>
      </c>
      <c r="WT22" s="1544" t="n">
        <v>0.6772086899999999</v>
      </c>
      <c r="WU22" s="1544" t="n">
        <v>0.6772086899999999</v>
      </c>
      <c r="WV22" s="1544" t="n">
        <v>0.6772086899999999</v>
      </c>
      <c r="WW22" s="1544" t="n">
        <v>0.66887769</v>
      </c>
      <c r="WX22" s="1544" t="n">
        <v>0.66887769</v>
      </c>
      <c r="WY22" s="1544" t="n">
        <v>0.66304937</v>
      </c>
      <c r="WZ22" s="1544" t="n">
        <v>0.66549737</v>
      </c>
      <c r="XA22" s="1544" t="n">
        <v>0.66549737</v>
      </c>
      <c r="XB22" s="1544" t="n">
        <v>0.66549737</v>
      </c>
      <c r="XC22" s="1544" t="n">
        <v>0.66549737</v>
      </c>
      <c r="XD22" s="1544" t="n">
        <v>0.58990044</v>
      </c>
      <c r="XE22" s="1544" t="n">
        <v>0.58886496</v>
      </c>
      <c r="XF22" s="1544" t="n">
        <v>0.58886496</v>
      </c>
      <c r="XG22" s="1544" t="n">
        <v>0.58727496</v>
      </c>
      <c r="XH22" s="1544" t="n">
        <v>0.58727496</v>
      </c>
      <c r="XI22" s="1544" t="n">
        <v>0.56253774</v>
      </c>
      <c r="XJ22" s="1544" t="n">
        <v>0.56253774</v>
      </c>
      <c r="XK22" s="1544" t="n">
        <v>0.56253774</v>
      </c>
      <c r="XL22" s="1544" t="n">
        <v>0.5372689399999999</v>
      </c>
      <c r="XM22" s="1544" t="n">
        <v>0.53497116</v>
      </c>
      <c r="XN22" s="1544" t="n">
        <v>0.53497116</v>
      </c>
      <c r="XO22" s="1544" t="n">
        <v>0.53497116</v>
      </c>
      <c r="XP22" s="1544" t="n">
        <v>0.53497116</v>
      </c>
      <c r="XQ22" s="1544" t="n">
        <v>0.53338116</v>
      </c>
      <c r="XR22" s="1544" t="n">
        <v>0.53238116</v>
      </c>
      <c r="XS22" s="1544" t="n">
        <v>0.53238116</v>
      </c>
      <c r="XT22" s="1544" t="n">
        <v>0.53238116</v>
      </c>
      <c r="XU22" s="1544" t="n">
        <v>0.53238116</v>
      </c>
      <c r="XV22" s="1544" t="n">
        <v>0.53238116</v>
      </c>
      <c r="XW22" s="1544" t="n">
        <v>0.53238116</v>
      </c>
      <c r="XX22" s="1544" t="n">
        <v>0.53238116</v>
      </c>
      <c r="XY22" s="1544" t="n">
        <v>0.53238116</v>
      </c>
      <c r="XZ22" s="1544" t="n">
        <v>0.49463636</v>
      </c>
      <c r="YA22" s="1544" t="n">
        <v>0.49463636</v>
      </c>
      <c r="YB22" s="1544" t="n">
        <v>0.49463636</v>
      </c>
      <c r="YC22" s="1544" t="n">
        <v>0.49463636</v>
      </c>
      <c r="YD22" s="1544" t="n">
        <v>0.49304636</v>
      </c>
      <c r="YE22" s="1544" t="n">
        <v>0.48745613</v>
      </c>
      <c r="YF22" s="1544" t="n">
        <v>0.48745613</v>
      </c>
      <c r="YG22" s="1544" t="n">
        <v>0.48745613</v>
      </c>
      <c r="YH22" s="1544" t="n">
        <v>0.48745613</v>
      </c>
      <c r="YI22" s="1544" t="n">
        <v>0.48745613</v>
      </c>
      <c r="YJ22" s="1544" t="n">
        <v>0.48745613</v>
      </c>
    </row>
    <row r="23">
      <c r="B23" s="917" t="inlineStr">
        <is>
          <t>Chochol
Trostjanka</t>
        </is>
      </c>
      <c r="C23" s="1532" t="n">
        <v>21.27470613</v>
      </c>
      <c r="D23" s="1533" t="n">
        <v>21.30163216</v>
      </c>
      <c r="E23" s="1533" t="n">
        <v>21.29963216</v>
      </c>
      <c r="F23" s="1533" t="n">
        <v>21.29963216</v>
      </c>
      <c r="G23" s="1533" t="n">
        <v>21.32710872</v>
      </c>
      <c r="H23" s="1533" t="n">
        <v>21.33516351</v>
      </c>
      <c r="I23" s="1533" t="n">
        <v>21.33516351</v>
      </c>
      <c r="J23" s="1533" t="n">
        <v>21.33516351</v>
      </c>
      <c r="K23" s="1533" t="n">
        <v>21.33516351</v>
      </c>
      <c r="L23" s="1533" t="n">
        <v>21.38455995</v>
      </c>
      <c r="M23" s="1533" t="n">
        <v>21.38455995</v>
      </c>
      <c r="N23" s="1533" t="n">
        <v>21.38455995</v>
      </c>
      <c r="O23" s="1533" t="n">
        <v>21.38455995</v>
      </c>
      <c r="P23" s="1533" t="n">
        <v>21.38455995</v>
      </c>
      <c r="Q23" s="1533" t="n">
        <v>21.34097562</v>
      </c>
      <c r="R23" s="1533" t="n">
        <v>21.34097562</v>
      </c>
      <c r="S23" s="1533">
        <f>0.34097562+21</f>
        <v/>
      </c>
      <c r="T23" s="1533" t="n">
        <v>21.34097562</v>
      </c>
      <c r="U23" s="1533" t="n">
        <v>21.34097562</v>
      </c>
      <c r="V23" s="1533" t="n">
        <v>21.3889822</v>
      </c>
      <c r="W23" s="1533" t="n">
        <v>21.3889822</v>
      </c>
      <c r="X23" s="1533" t="n">
        <v>21.3889822</v>
      </c>
      <c r="Y23" s="1533" t="n">
        <v>21.3889822</v>
      </c>
      <c r="Z23" s="1533" t="n">
        <v>21.3869822</v>
      </c>
      <c r="AA23" s="1533" t="n">
        <v>21.3757377</v>
      </c>
      <c r="AB23" s="1533" t="n">
        <v>21.3757377</v>
      </c>
      <c r="AC23" s="1533" t="n">
        <v>21.37570072</v>
      </c>
      <c r="AD23" s="1533" t="n">
        <v>21.37570072</v>
      </c>
      <c r="AE23" s="1533" t="n">
        <v>21.37558616</v>
      </c>
      <c r="AF23" s="1533">
        <f>0.37558616+21</f>
        <v/>
      </c>
      <c r="AG23" s="1533">
        <f>0.37558616+21</f>
        <v/>
      </c>
      <c r="AH23" s="1533" t="n">
        <v>21.52033082</v>
      </c>
      <c r="AI23" s="1533" t="n">
        <v>21.52033082</v>
      </c>
      <c r="AJ23" s="1533">
        <f>0.52033082+21</f>
        <v/>
      </c>
      <c r="AK23" s="1533">
        <f>0.52033082+21</f>
        <v/>
      </c>
      <c r="AL23" s="1533">
        <f>0.52033082+21</f>
        <v/>
      </c>
      <c r="AM23" s="1533">
        <f>0.52033082+21</f>
        <v/>
      </c>
      <c r="AN23" s="1533">
        <f>0.52033082+21</f>
        <v/>
      </c>
      <c r="AO23" s="1533">
        <f>0.52033082+21</f>
        <v/>
      </c>
      <c r="AP23" s="1533">
        <f>0.52033082+21</f>
        <v/>
      </c>
      <c r="AQ23" s="1533">
        <f>0.58702452+21</f>
        <v/>
      </c>
      <c r="AR23" s="1533">
        <f>0.58502452+21</f>
        <v/>
      </c>
      <c r="AS23" s="1533">
        <f>0.58502452+21</f>
        <v/>
      </c>
      <c r="AT23" s="1533">
        <f>0.58502452+21</f>
        <v/>
      </c>
      <c r="AU23" s="1533">
        <f>0.58502452+21</f>
        <v/>
      </c>
      <c r="AV23" s="1533">
        <f>0.52710499+21</f>
        <v/>
      </c>
      <c r="AW23" s="1533">
        <f>0.52619448+21</f>
        <v/>
      </c>
      <c r="AX23" s="1533">
        <f>0.52619448+21</f>
        <v/>
      </c>
      <c r="AY23" s="1533">
        <f>0.52619448+21</f>
        <v/>
      </c>
      <c r="AZ23" s="1533">
        <f>0.5261575+21</f>
        <v/>
      </c>
      <c r="BA23" s="1533">
        <f>0.5261575+21</f>
        <v/>
      </c>
      <c r="BB23" s="1533" t="n">
        <v>21.5261575</v>
      </c>
      <c r="BC23" s="1533">
        <f>0.5261575+21</f>
        <v/>
      </c>
      <c r="BD23" s="1533">
        <f>0.5261575+21</f>
        <v/>
      </c>
      <c r="BE23" s="1533" t="n">
        <v>21.61363257</v>
      </c>
      <c r="BF23" s="1533" t="n">
        <v>21.61363257</v>
      </c>
      <c r="BG23" s="1533">
        <f>0.61648495+21</f>
        <v/>
      </c>
      <c r="BH23" s="1533">
        <f>0.61648495+21</f>
        <v/>
      </c>
      <c r="BI23" s="1533">
        <f>0.61648495+21</f>
        <v/>
      </c>
      <c r="BJ23" s="1533">
        <f>0.61648495+21</f>
        <v/>
      </c>
      <c r="BK23" s="1533">
        <f>0.61648495+21</f>
        <v/>
      </c>
      <c r="BL23" s="1533">
        <f>0.61648495+21</f>
        <v/>
      </c>
      <c r="BM23" s="1533">
        <f>0.61448495+21</f>
        <v/>
      </c>
      <c r="BN23" s="1533">
        <f>0.61448495+21</f>
        <v/>
      </c>
      <c r="BO23" s="1533">
        <f>0.58312437+21</f>
        <v/>
      </c>
      <c r="BP23" s="1533">
        <f>0.58312437+21</f>
        <v/>
      </c>
      <c r="BQ23" s="1533">
        <f>0.58312437+21</f>
        <v/>
      </c>
      <c r="BR23" s="1533">
        <f>0.58312437+21</f>
        <v/>
      </c>
      <c r="BS23" s="1533">
        <f>0.58312437+21</f>
        <v/>
      </c>
      <c r="BT23" s="1533">
        <f>0.58308772+21</f>
        <v/>
      </c>
      <c r="BU23" s="1533">
        <f>0.32387427+21</f>
        <v/>
      </c>
      <c r="BV23" s="1533">
        <f>0.32387427+21</f>
        <v/>
      </c>
      <c r="BW23" s="1533">
        <f>0.32387427+21</f>
        <v/>
      </c>
      <c r="BX23" s="1533">
        <f>0.31591627+21</f>
        <v/>
      </c>
      <c r="BY23" s="1533">
        <f>0.31591627+21</f>
        <v/>
      </c>
      <c r="BZ23" s="1533">
        <f>0.31591627+21</f>
        <v/>
      </c>
      <c r="CA23" s="1533" t="n">
        <v>21.41644011</v>
      </c>
      <c r="CB23" s="1533" t="n">
        <v>21.41644011</v>
      </c>
      <c r="CC23" s="1533" t="n">
        <v>21.42794696</v>
      </c>
      <c r="CD23" s="1533" t="n">
        <v>21.43052449</v>
      </c>
      <c r="CE23" s="1533" t="n">
        <v>21.43052449</v>
      </c>
      <c r="CF23" s="1533" t="n">
        <v>21.43052449</v>
      </c>
      <c r="CG23" s="1533" t="n">
        <v>21.43299271</v>
      </c>
      <c r="CH23" s="1533" t="n">
        <v>21.43099271</v>
      </c>
      <c r="CI23" s="1533" t="n">
        <v>21.44075052</v>
      </c>
      <c r="CJ23" s="1533" t="n">
        <v>1.44323375</v>
      </c>
      <c r="CK23" s="1533" t="n">
        <v>1.44323375</v>
      </c>
      <c r="CL23" s="1533" t="n">
        <v>1.42802495</v>
      </c>
      <c r="CM23" s="1533" t="n">
        <v>1.42802495</v>
      </c>
      <c r="CN23" s="1533" t="n">
        <v>1.42802495</v>
      </c>
      <c r="CO23" s="1533" t="n">
        <v>1.42802495</v>
      </c>
      <c r="CP23" s="1533" t="n">
        <v>1.42798797</v>
      </c>
      <c r="CQ23" s="1533" t="n">
        <v>1.42798797</v>
      </c>
      <c r="CR23" s="1533" t="n">
        <v>1.42798797</v>
      </c>
      <c r="CS23" s="1533" t="n">
        <v>1.42798797</v>
      </c>
      <c r="CT23" s="1533" t="n">
        <v>1.42798797</v>
      </c>
      <c r="CU23" s="1533" t="n">
        <v>1.42798797</v>
      </c>
      <c r="CV23" s="1533" t="n">
        <v>1.42798797</v>
      </c>
      <c r="CW23" s="1533" t="n">
        <v>1.42798797</v>
      </c>
      <c r="CX23" s="1533" t="n">
        <v>1.42798797</v>
      </c>
      <c r="CY23" s="1533" t="n">
        <v>1.42787218</v>
      </c>
      <c r="CZ23" s="1533" t="n">
        <v>1.4279</v>
      </c>
      <c r="DA23" s="1533" t="n">
        <v>1.42787218</v>
      </c>
      <c r="DB23" s="1533" t="n">
        <v>1.42787218</v>
      </c>
      <c r="DC23" s="1533" t="n">
        <v>1.378693</v>
      </c>
      <c r="DD23" s="1533" t="n">
        <v>1.378693</v>
      </c>
      <c r="DE23" s="1533" t="n">
        <v>1.376693</v>
      </c>
      <c r="DF23" s="1533" t="n">
        <v>1.376693</v>
      </c>
      <c r="DG23" s="1533" t="n">
        <v>1.376693</v>
      </c>
      <c r="DH23" s="1533" t="n">
        <v>1.35020868</v>
      </c>
      <c r="DI23" s="1533" t="n">
        <v>1.35020868</v>
      </c>
      <c r="DJ23" s="1533" t="n">
        <v>1.35020868</v>
      </c>
      <c r="DK23" s="1533" t="n">
        <v>1.35020868</v>
      </c>
      <c r="DL23" s="1533" t="n">
        <v>1.35017116</v>
      </c>
      <c r="DM23" s="1533" t="n">
        <v>1.35017116</v>
      </c>
      <c r="DN23" s="1533" t="n">
        <v>1.35017116</v>
      </c>
      <c r="DO23" s="1533" t="n">
        <v>1.34183218</v>
      </c>
      <c r="DP23" s="1533" t="n">
        <v>1.34183218</v>
      </c>
      <c r="DQ23" s="1533" t="n">
        <v>1.34183218</v>
      </c>
      <c r="DR23" s="1533" t="n">
        <v>1.34183218</v>
      </c>
      <c r="DS23" s="1533" t="n">
        <v>1.34183218</v>
      </c>
      <c r="DT23" s="1533" t="n">
        <v>1.34179591</v>
      </c>
      <c r="DU23" s="1533" t="n">
        <v>1.34179591</v>
      </c>
      <c r="DV23" s="1533" t="n">
        <v>1.34179591</v>
      </c>
      <c r="DW23" s="1533" t="n">
        <v>1.34179591</v>
      </c>
      <c r="DX23" s="1533" t="n">
        <v>1.34179591</v>
      </c>
      <c r="DY23" s="1533" t="n">
        <v>1.10288791</v>
      </c>
      <c r="DZ23" s="1533" t="n">
        <v>1.05214484</v>
      </c>
      <c r="EA23" s="1533" t="n">
        <v>1.05014484</v>
      </c>
      <c r="EB23" s="1533" t="n">
        <v>1.05014484</v>
      </c>
      <c r="EC23" s="1533" t="n">
        <v>0.98951673</v>
      </c>
      <c r="ED23" s="1533" t="n">
        <v>0.98951673</v>
      </c>
      <c r="EE23" s="1533" t="n">
        <v>0.98951673</v>
      </c>
      <c r="EF23" s="1533" t="n">
        <v>0.98951673</v>
      </c>
      <c r="EG23" s="1533" t="n">
        <v>0.98949307</v>
      </c>
      <c r="EH23" s="1533" t="n">
        <v>0.97820607</v>
      </c>
      <c r="EI23" s="1533" t="n">
        <v>0.97820607</v>
      </c>
      <c r="EJ23" s="1533" t="n">
        <v>0.97820607</v>
      </c>
      <c r="EK23" s="1533" t="n">
        <v>0.97820607</v>
      </c>
      <c r="EL23" s="1533" t="n">
        <v>0.97820607</v>
      </c>
      <c r="EM23" s="1533" t="n">
        <v>0.97820607</v>
      </c>
      <c r="EN23" s="1533" t="n">
        <v>0.97820607</v>
      </c>
      <c r="EO23" s="1533" t="n">
        <v>0.97820607</v>
      </c>
      <c r="EP23" s="1533" t="n">
        <v>0.97820607</v>
      </c>
      <c r="EQ23" s="1533" t="n">
        <v>0.91470628</v>
      </c>
      <c r="ER23" s="1533" t="n">
        <v>0.91470628</v>
      </c>
      <c r="ES23" s="1533" t="n">
        <v>0.91470628</v>
      </c>
      <c r="ET23" s="1533" t="n">
        <v>0.91470628</v>
      </c>
      <c r="EU23" s="1533" t="n">
        <v>0.8790882800000001</v>
      </c>
      <c r="EV23" s="1533" t="n">
        <v>0.8790882800000001</v>
      </c>
      <c r="EW23" s="1533" t="n">
        <v>0.8790882800000001</v>
      </c>
      <c r="EX23" s="1533" t="n">
        <v>0.8790882800000001</v>
      </c>
      <c r="EY23" s="1533" t="n">
        <v>0.8790882800000001</v>
      </c>
      <c r="EZ23" s="1533" t="n">
        <v>0.8790882800000001</v>
      </c>
      <c r="FA23" s="1533" t="n">
        <v>0.8790882800000001</v>
      </c>
      <c r="FB23" s="1533" t="n">
        <v>1</v>
      </c>
      <c r="FC23" s="1533" t="n">
        <v>0.86282059</v>
      </c>
      <c r="FD23" s="1533" t="n">
        <v>0.86282059</v>
      </c>
      <c r="FE23" s="1533" t="n">
        <v>0.86282059</v>
      </c>
      <c r="FF23" s="1533" t="n">
        <v>0.84914561</v>
      </c>
      <c r="FG23" s="1533" t="n">
        <v>0.84914561</v>
      </c>
      <c r="FH23" s="1533" t="n">
        <v>1</v>
      </c>
      <c r="FI23" s="1533" t="n">
        <v>0.84914561</v>
      </c>
      <c r="FJ23" s="1533" t="n">
        <v>0.84914561</v>
      </c>
      <c r="FK23" s="1533" t="n">
        <v>0.84914561</v>
      </c>
      <c r="FL23" s="1533" t="n">
        <v>4.91876561</v>
      </c>
      <c r="FM23" s="1533" t="n">
        <v>5</v>
      </c>
      <c r="FN23" s="1533" t="n">
        <v>4.91876561</v>
      </c>
      <c r="FO23" s="1533" t="n">
        <v>4.91876561</v>
      </c>
      <c r="FP23" s="1533" t="n">
        <v>4.91876561</v>
      </c>
      <c r="FQ23" s="1533" t="n">
        <v>4.91676561</v>
      </c>
      <c r="FR23" s="1533" t="n">
        <v>4.91676561</v>
      </c>
      <c r="FS23" s="1533" t="n">
        <v>4.90563967</v>
      </c>
      <c r="FT23" s="1533" t="n">
        <v>4.90563967</v>
      </c>
      <c r="FU23" s="1533" t="n">
        <v>4.73120287</v>
      </c>
      <c r="FV23" s="1533" t="n">
        <v>4.73120287</v>
      </c>
      <c r="FW23" s="1533" t="n">
        <v>4.73120287</v>
      </c>
      <c r="FX23" s="1533" t="n">
        <v>4.73116629</v>
      </c>
      <c r="FY23" s="1533" t="n">
        <v>5</v>
      </c>
      <c r="FZ23" s="1533" t="n">
        <v>4.72760336</v>
      </c>
      <c r="GA23" s="1533" t="n">
        <v>4.72760336</v>
      </c>
      <c r="GB23" s="1533" t="n">
        <v>4.72760336</v>
      </c>
      <c r="GC23" s="1533" t="n">
        <v>4.72760336</v>
      </c>
      <c r="GD23" s="1533" t="n">
        <v>4.42510336</v>
      </c>
      <c r="GE23" s="1533" t="n">
        <v>4.42510336</v>
      </c>
      <c r="GF23" s="1533" t="n">
        <v>4.42510336</v>
      </c>
      <c r="GG23" s="1533" t="n">
        <v>4.42510336</v>
      </c>
      <c r="GH23" s="1533" t="n">
        <v>4.42510336</v>
      </c>
      <c r="GI23" s="1533" t="n">
        <v>3.65302991</v>
      </c>
      <c r="GJ23" s="1533" t="n">
        <v>3.64019043</v>
      </c>
      <c r="GK23" s="1533" t="n">
        <v>8.89352218</v>
      </c>
      <c r="GL23" s="1533" t="n">
        <v>8.89352218</v>
      </c>
      <c r="GM23" s="1533" t="n">
        <v>8.89352218</v>
      </c>
      <c r="GN23" s="1533" t="n">
        <v>10.99224048</v>
      </c>
      <c r="GO23" s="1533" t="n">
        <v>10.98341649</v>
      </c>
      <c r="GP23" s="1533" t="n">
        <v>10.98341649</v>
      </c>
      <c r="GQ23" s="1533" t="n">
        <v>10.80504049</v>
      </c>
      <c r="GR23" s="1533" t="n">
        <v>10.8065172</v>
      </c>
      <c r="GS23" s="1533" t="n">
        <v>10.80810909</v>
      </c>
      <c r="GT23" s="1533" t="n">
        <v>10.80808734</v>
      </c>
      <c r="GU23" s="1533" t="n">
        <v>10.80758811</v>
      </c>
      <c r="GV23" s="1533" t="n">
        <v>10.80296658</v>
      </c>
      <c r="GW23" s="1533" t="n">
        <v>10.80296658</v>
      </c>
      <c r="GX23" s="1533" t="n">
        <v>10.8</v>
      </c>
      <c r="GY23" s="1533" t="n">
        <v>10.80918323</v>
      </c>
      <c r="GZ23" s="1533" t="n">
        <v>10.81264191</v>
      </c>
      <c r="HA23" s="1533" t="n">
        <v>10.81341205</v>
      </c>
      <c r="HB23" s="1533" t="n">
        <v>10.8148915</v>
      </c>
      <c r="HC23" s="1533" t="n">
        <v>10.81869349</v>
      </c>
      <c r="HD23" s="1533" t="n">
        <v>10.82030017</v>
      </c>
      <c r="HE23" s="1533" t="n">
        <v>10.82843716</v>
      </c>
      <c r="HF23" s="1533" t="n">
        <v>10.82837935</v>
      </c>
      <c r="HG23" s="1533" t="n">
        <v>10.82956669</v>
      </c>
      <c r="HH23" s="1533" t="n">
        <v>10.83118521</v>
      </c>
      <c r="HI23" s="1533" t="n">
        <v>10.82525248</v>
      </c>
      <c r="HJ23" s="1533" t="n">
        <v>10.44633155</v>
      </c>
      <c r="HK23" s="1533" t="n">
        <v>10.44795851</v>
      </c>
      <c r="HL23" s="1533" t="n">
        <v>10.44993394</v>
      </c>
      <c r="HM23" s="1533" t="n">
        <v>10.45292572</v>
      </c>
      <c r="HN23" s="1533" t="n">
        <v>10.45437602</v>
      </c>
      <c r="HO23" s="1533" t="n">
        <v>10.45777972</v>
      </c>
      <c r="HP23" s="1533" t="n">
        <v>10.46082575</v>
      </c>
      <c r="HQ23" s="1533" t="n">
        <v>10.46384603</v>
      </c>
      <c r="HR23" s="1533" t="n">
        <v>10.46684144</v>
      </c>
      <c r="HS23" s="1533" t="n">
        <v>10.46837152</v>
      </c>
      <c r="HT23" s="1544" t="n">
        <v>10.4698902</v>
      </c>
      <c r="HU23" s="1544" t="n">
        <v>10.4698902</v>
      </c>
      <c r="HV23" s="1544" t="n">
        <v>10.47121902</v>
      </c>
      <c r="HW23" s="1544" t="n">
        <v>10.47121902</v>
      </c>
      <c r="HX23" s="1544" t="n">
        <v>10.46537901</v>
      </c>
      <c r="HY23" s="1544" t="n">
        <v>10.46537901</v>
      </c>
      <c r="HZ23" s="1544" t="n">
        <v>10.46586709</v>
      </c>
      <c r="IA23" s="1544" t="n">
        <v>10.46536033</v>
      </c>
      <c r="IB23" s="1544" t="n">
        <v>10.46947189</v>
      </c>
      <c r="IC23" s="1544" t="n">
        <v>10.46947189</v>
      </c>
      <c r="ID23" s="1544" t="n">
        <v>10.46947189</v>
      </c>
      <c r="IE23" s="1544" t="n">
        <v>10.26490253</v>
      </c>
      <c r="IF23" s="1544" t="n">
        <v>10.26490253</v>
      </c>
      <c r="IG23" s="1544" t="n">
        <v>10.27049157</v>
      </c>
      <c r="IH23" s="1544" t="n">
        <v>10.27188883</v>
      </c>
      <c r="II23" s="1544" t="n">
        <v>10.27188883</v>
      </c>
      <c r="IJ23" s="1544" t="n">
        <v>10.27188883</v>
      </c>
      <c r="IK23" s="1544" t="n">
        <v>10.27363494</v>
      </c>
      <c r="IL23" s="1544" t="n">
        <v>10.27363494</v>
      </c>
      <c r="IM23" s="1544" t="n">
        <v>10.27363494</v>
      </c>
      <c r="IN23" s="1544" t="n">
        <v>10.19193445</v>
      </c>
      <c r="IO23" s="1544" t="n">
        <v>10.19331801</v>
      </c>
      <c r="IP23" s="1544" t="n">
        <v>10.19300157</v>
      </c>
      <c r="IQ23" s="1544" t="n">
        <v>10.19090157</v>
      </c>
      <c r="IR23" s="1544" t="n">
        <v>10.19090157</v>
      </c>
      <c r="IS23" s="1544" t="n">
        <v>10.19090157</v>
      </c>
      <c r="IT23" s="1544" t="n">
        <v>10.17402244</v>
      </c>
      <c r="IU23" s="1544" t="n">
        <v>10.19069093</v>
      </c>
      <c r="IV23" s="1544" t="n">
        <v>10.19069093</v>
      </c>
      <c r="IW23" s="1544" t="n">
        <v>10.19329597</v>
      </c>
      <c r="IX23" s="1544" t="n">
        <v>10.19735875</v>
      </c>
      <c r="IY23" s="1544" t="n">
        <v>10.19870189</v>
      </c>
      <c r="IZ23" s="1544" t="n">
        <v>10.20146325</v>
      </c>
      <c r="JA23" s="1544" t="n">
        <v>10.19945048</v>
      </c>
      <c r="JB23" s="1544" t="n">
        <v>10.19945048</v>
      </c>
      <c r="JC23" s="1544" t="n">
        <v>10.20544226</v>
      </c>
      <c r="JD23" s="1544" t="n">
        <v>10.2069439</v>
      </c>
      <c r="JE23" s="1544" t="n">
        <v>10.2069439</v>
      </c>
      <c r="JF23" s="1544" t="n">
        <v>10.2069439</v>
      </c>
      <c r="JG23" s="1544" t="n">
        <v>10.21050785</v>
      </c>
      <c r="JH23" s="1544" t="n">
        <v>10.21050785</v>
      </c>
      <c r="JI23" s="1544" t="n">
        <v>10.21050785</v>
      </c>
      <c r="JJ23" s="1544" t="n">
        <v>10.21099303</v>
      </c>
      <c r="JK23" s="1544" t="n">
        <v>10.20238821</v>
      </c>
      <c r="JL23" s="1544" t="n">
        <v>10.20081176</v>
      </c>
      <c r="JM23" s="1544" t="n">
        <v>10.20222164</v>
      </c>
      <c r="JN23" s="1544" t="n">
        <v>10.20222164</v>
      </c>
      <c r="JO23" s="1544" t="n">
        <v>10.20222164</v>
      </c>
      <c r="JP23" s="1544" t="n">
        <v>10.20607854</v>
      </c>
      <c r="JQ23" s="1544" t="n">
        <v>10.20607854</v>
      </c>
      <c r="JR23" s="1544" t="n">
        <v>10.21191827</v>
      </c>
      <c r="JS23" s="1544" t="n">
        <v>10.21191827</v>
      </c>
      <c r="JT23" s="1544" t="n">
        <v>10.21191827</v>
      </c>
      <c r="JU23" s="1544" t="n">
        <v>10.21191827</v>
      </c>
      <c r="JV23" s="1544" t="n">
        <v>10.21191827</v>
      </c>
      <c r="JW23" s="1544" t="n">
        <v>10.21461968</v>
      </c>
      <c r="JX23" s="1544" t="n">
        <v>10.21461968</v>
      </c>
      <c r="JY23" s="1544" t="n">
        <v>10.21461968</v>
      </c>
      <c r="JZ23" s="1544" t="n">
        <v>10.21461968</v>
      </c>
      <c r="KA23" s="1544" t="n">
        <v>10.21461968</v>
      </c>
      <c r="KB23" s="1544" t="n">
        <v>10.21461968</v>
      </c>
      <c r="KC23" s="1544" t="n">
        <v>10.21046768</v>
      </c>
      <c r="KD23" s="1544" t="n">
        <v>10.21045256</v>
      </c>
      <c r="KE23" s="1544" t="n">
        <v>10.21045256</v>
      </c>
      <c r="KF23" s="1544" t="n">
        <v>10.20238821</v>
      </c>
      <c r="KG23" s="1544" t="n">
        <v>10.21047171</v>
      </c>
      <c r="KH23" s="1544" t="n">
        <v>10.21047171</v>
      </c>
      <c r="KI23" s="1544" t="n">
        <v>10.21203925</v>
      </c>
      <c r="KJ23" s="1544" t="n">
        <v>10.21203925</v>
      </c>
      <c r="KK23" s="1544" t="n">
        <v>10.21773514</v>
      </c>
      <c r="KL23" s="1544" t="n">
        <v>10.21773514</v>
      </c>
      <c r="KM23" s="1544" t="n">
        <v>10.21773514</v>
      </c>
      <c r="KN23" s="1544" t="n">
        <v>10.22207487</v>
      </c>
      <c r="KO23" s="1544" t="n">
        <v>10.2265461</v>
      </c>
      <c r="KP23" s="1544" t="n">
        <v>10.22803651</v>
      </c>
      <c r="KQ23" s="1544" t="n">
        <v>10.22952692</v>
      </c>
      <c r="KR23" s="1544" t="n">
        <v>10.22952692</v>
      </c>
      <c r="KS23" s="1544" t="n">
        <v>10.22944124</v>
      </c>
      <c r="KT23" s="1544" t="n">
        <v>10.22944124</v>
      </c>
      <c r="KU23" s="1544" t="n">
        <v>10.04691904</v>
      </c>
      <c r="KV23" s="1544" t="n">
        <v>10.05621904</v>
      </c>
      <c r="KW23" s="1544" t="n">
        <v>10.05900437</v>
      </c>
      <c r="KX23" s="1544" t="n">
        <v>10.05055232</v>
      </c>
      <c r="KY23" s="1544" t="n">
        <v>10.05055232</v>
      </c>
      <c r="KZ23" s="1544" t="n">
        <v>10.0523698</v>
      </c>
      <c r="LA23" s="1544" t="n">
        <v>10.0523698</v>
      </c>
      <c r="LB23" s="1544" t="n">
        <v>10.05390131</v>
      </c>
      <c r="LC23" s="1544" t="n">
        <v>10.05390131</v>
      </c>
      <c r="LD23" s="1544" t="n">
        <v>10.05390131</v>
      </c>
      <c r="LE23" s="1544" t="n">
        <v>10.0391847</v>
      </c>
      <c r="LF23" s="1544" t="n">
        <v>10.04087237</v>
      </c>
      <c r="LG23" s="1544" t="n">
        <v>10.04087237</v>
      </c>
      <c r="LH23" s="1544" t="n">
        <v>10.04087237</v>
      </c>
      <c r="LI23" s="1544" t="n">
        <v>10.0101734</v>
      </c>
      <c r="LJ23" s="1544" t="n">
        <v>10.0101734</v>
      </c>
      <c r="LK23" s="1544" t="n">
        <v>10.0101734</v>
      </c>
      <c r="LL23" s="1544" t="n">
        <v>10.01920331</v>
      </c>
      <c r="LM23" s="1544" t="n">
        <v>10.01920331</v>
      </c>
      <c r="LN23" s="1544" t="n">
        <v>10.02027161</v>
      </c>
      <c r="LO23" s="1544" t="n">
        <v>10.02027161</v>
      </c>
      <c r="LP23" s="1544" t="n">
        <v>10.02027161</v>
      </c>
      <c r="LQ23" s="1544" t="n">
        <v>10.03237845</v>
      </c>
      <c r="LR23" s="1544" t="n">
        <v>10.03454146</v>
      </c>
      <c r="LS23" s="1544" t="n">
        <v>10.03454146</v>
      </c>
      <c r="LT23" s="1544" t="n">
        <v>10.04440173</v>
      </c>
      <c r="LU23" s="1544" t="n">
        <v>10.03267199</v>
      </c>
      <c r="LV23" s="1544" t="n">
        <v>9.92350744</v>
      </c>
      <c r="LW23" s="1544" t="n">
        <v>9.92350744</v>
      </c>
      <c r="LX23" s="1544" t="n">
        <v>9.92350744</v>
      </c>
      <c r="LY23" s="1544" t="n">
        <v>9.92350744</v>
      </c>
      <c r="LZ23" s="1544" t="n">
        <v>9.91888537</v>
      </c>
      <c r="MA23" s="1544" t="n">
        <v>9.91888537</v>
      </c>
      <c r="MB23" s="1544" t="n">
        <v>9.91888537</v>
      </c>
      <c r="MC23" s="1544" t="n">
        <v>9.91888537</v>
      </c>
      <c r="MD23" s="1544" t="n">
        <v>9.91763931</v>
      </c>
      <c r="ME23" s="1544" t="n">
        <v>9.91763931</v>
      </c>
      <c r="MF23" s="1544" t="n">
        <v>9.91763931</v>
      </c>
      <c r="MG23" s="1544" t="n">
        <v>9.91763931</v>
      </c>
      <c r="MH23" s="1544" t="n">
        <v>9.94351114</v>
      </c>
      <c r="MI23" s="1544" t="n">
        <v>9.94351114</v>
      </c>
      <c r="MJ23" s="1544" t="n">
        <v>9.939619140000001</v>
      </c>
      <c r="MK23" s="1544" t="n">
        <v>9.939619140000001</v>
      </c>
      <c r="ML23" s="1544" t="n">
        <v>9.939619140000001</v>
      </c>
      <c r="MM23" s="1544" t="n">
        <v>9.939619140000001</v>
      </c>
      <c r="MN23" s="1544" t="n">
        <v>9.939619140000001</v>
      </c>
      <c r="MO23" s="1544" t="n">
        <v>9.939619140000001</v>
      </c>
      <c r="MP23" s="1544" t="n">
        <v>9.939619140000001</v>
      </c>
      <c r="MQ23" s="1544" t="n">
        <v>9.94867369</v>
      </c>
      <c r="MR23" s="1544" t="n">
        <v>9.94867369</v>
      </c>
      <c r="MS23" s="1544" t="n">
        <v>9.947383689999999</v>
      </c>
      <c r="MT23" s="1544" t="n">
        <v>9.930700300000002</v>
      </c>
      <c r="MU23" s="1544" t="n">
        <v>9.930700300000002</v>
      </c>
      <c r="MV23" s="1544" t="n">
        <v>9.930700300000002</v>
      </c>
      <c r="MW23" s="1544" t="n">
        <v>9.930700300000002</v>
      </c>
      <c r="MX23" s="1544" t="n">
        <v>9.930700300000002</v>
      </c>
      <c r="MY23" s="1544" t="n">
        <v>9.930700300000002</v>
      </c>
      <c r="MZ23" s="1544" t="n">
        <v>9.930700300000002</v>
      </c>
      <c r="NA23" s="1544" t="n">
        <v>9.930700300000002</v>
      </c>
      <c r="NB23" s="1544" t="n">
        <v>9.930700300000002</v>
      </c>
      <c r="NC23" s="1544" t="n">
        <v>9.930700300000002</v>
      </c>
      <c r="ND23" s="1544" t="n">
        <v>9.930700300000002</v>
      </c>
      <c r="NE23" s="1544" t="n">
        <v>9.930700300000002</v>
      </c>
      <c r="NF23" s="1544" t="n">
        <v>10.38990782</v>
      </c>
      <c r="NG23" s="1544" t="n">
        <v>10.30514803</v>
      </c>
      <c r="NH23" s="1544" t="n">
        <v>10.31379987</v>
      </c>
      <c r="NI23" s="1544" t="n">
        <v>10.31595768</v>
      </c>
      <c r="NJ23" s="1544" t="n">
        <v>10.31595768</v>
      </c>
      <c r="NK23" s="1544" t="n">
        <v>10.31240812</v>
      </c>
      <c r="NL23" s="1544" t="n">
        <v>10.31240812</v>
      </c>
      <c r="NM23" s="1544" t="n">
        <v>10.2527967</v>
      </c>
      <c r="NN23" s="1544" t="n">
        <v>10.2527967</v>
      </c>
      <c r="NO23" s="1544" t="n">
        <v>10.2527967</v>
      </c>
      <c r="NP23" s="1544" t="n">
        <v>10.25946356</v>
      </c>
      <c r="NQ23" s="1544" t="n">
        <v>10.25946356</v>
      </c>
      <c r="NR23" s="1544" t="n">
        <v>10.27097699</v>
      </c>
      <c r="NS23" s="1544" t="n">
        <v>10.27097699</v>
      </c>
      <c r="NT23" s="1544" t="n">
        <v>10.27097699</v>
      </c>
      <c r="NU23" s="1544" t="n">
        <v>0.26781824</v>
      </c>
      <c r="NV23" s="1544" t="n">
        <v>0.26449124</v>
      </c>
      <c r="NW23" s="1544" t="n">
        <v>0.26449124</v>
      </c>
      <c r="NX23" s="1544" t="n">
        <v>0.26449124</v>
      </c>
      <c r="NY23" s="1544" t="n">
        <v>0.26449124</v>
      </c>
      <c r="NZ23" s="1544" t="n">
        <v>0.26449124</v>
      </c>
      <c r="OA23" s="1544" t="n">
        <v>0.26449124</v>
      </c>
      <c r="OB23" s="1544" t="n">
        <v>0.26449124</v>
      </c>
      <c r="OC23" s="1544" t="n">
        <v>0.26084024</v>
      </c>
      <c r="OD23" s="1544" t="n">
        <v>0.26084024</v>
      </c>
      <c r="OE23" s="1544" t="n">
        <v>0.26084024</v>
      </c>
      <c r="OF23" s="1544" t="n">
        <v>0.26084024</v>
      </c>
      <c r="OG23" s="1544" t="n">
        <v>0.24430424</v>
      </c>
      <c r="OH23" s="1544" t="n">
        <v>0.24430424</v>
      </c>
      <c r="OI23" s="1544" t="n">
        <v>10.05083829</v>
      </c>
      <c r="OJ23" s="1544" t="n">
        <v>0.24430424</v>
      </c>
      <c r="OK23" s="1544" t="n">
        <v>0.24430424</v>
      </c>
      <c r="OL23" s="1544" t="n">
        <v>0.24340424</v>
      </c>
      <c r="OM23" s="1544" t="n">
        <v>0.24340424</v>
      </c>
      <c r="ON23" s="1544" t="n">
        <v>0.24340424</v>
      </c>
      <c r="OO23" s="1544" t="n">
        <v>0.14928451</v>
      </c>
      <c r="OP23" s="1544" t="n">
        <v>0.14918451</v>
      </c>
      <c r="OQ23" s="1544" t="n">
        <v>0.14918451</v>
      </c>
      <c r="OR23" s="1544" t="n">
        <v>0.14918451</v>
      </c>
      <c r="OS23" s="1544" t="n">
        <v>0.54471113</v>
      </c>
      <c r="OT23" s="1544" t="n">
        <v>0.54471113</v>
      </c>
      <c r="OU23" s="1544" t="n">
        <v>0.54471113</v>
      </c>
      <c r="OV23" s="1544" t="n">
        <v>0.54471113</v>
      </c>
      <c r="OW23" s="1544" t="n">
        <v>0.38636113</v>
      </c>
      <c r="OX23" s="1544" t="n">
        <v>0.38636113</v>
      </c>
      <c r="OY23" s="1544" t="n">
        <v>3.01715021</v>
      </c>
      <c r="OZ23" s="1544" t="n">
        <v>3.01715021</v>
      </c>
      <c r="PA23" s="1544" t="n">
        <v>3.01715021</v>
      </c>
      <c r="PB23" s="1544" t="n">
        <v>3.02597264</v>
      </c>
      <c r="PC23" s="1544" t="n">
        <v>3.02597264</v>
      </c>
      <c r="PD23" s="1544" t="n">
        <v>3.02597264</v>
      </c>
      <c r="PE23" s="1544" t="n">
        <v>3.02447264</v>
      </c>
      <c r="PF23" s="1544" t="n">
        <v>2.96123264</v>
      </c>
      <c r="PG23" s="1544" t="n">
        <v>2.96123264</v>
      </c>
      <c r="PH23" s="1544" t="n">
        <v>2.96123264</v>
      </c>
      <c r="PI23" s="1544" t="n">
        <v>2.96609316</v>
      </c>
      <c r="PJ23" s="1544" t="n">
        <v>2.96609316</v>
      </c>
      <c r="PK23" s="1544" t="n">
        <v>2.96609316</v>
      </c>
      <c r="PL23" s="1544" t="n">
        <v>2.96609316</v>
      </c>
      <c r="PM23" s="1544" t="n">
        <v>2.96609316</v>
      </c>
      <c r="PN23" s="1544" t="n">
        <v>2.88128016</v>
      </c>
      <c r="PO23" s="1544" t="n">
        <v>2.88128016</v>
      </c>
      <c r="PP23" s="1544" t="n">
        <v>2.8870736</v>
      </c>
      <c r="PQ23" s="1544" t="n">
        <v>2.8870736</v>
      </c>
      <c r="PR23" s="1544" t="n">
        <v>2.8870736</v>
      </c>
      <c r="PS23" s="1544" t="n">
        <v>2.88149573</v>
      </c>
      <c r="PT23" s="1544" t="n">
        <v>2.88149573</v>
      </c>
      <c r="PU23" s="1544" t="n">
        <v>0.8681257299999999</v>
      </c>
      <c r="PV23" s="1544" t="n">
        <v>0.8681257299999999</v>
      </c>
      <c r="PW23" s="1544" t="n">
        <v>0.8681257299999999</v>
      </c>
      <c r="PX23" s="1544" t="n">
        <v>0.8681257299999999</v>
      </c>
      <c r="PY23" s="1544" t="n">
        <v>0.8681257299999999</v>
      </c>
      <c r="PZ23" s="1544" t="n">
        <v>0.8681257299999999</v>
      </c>
      <c r="QA23" s="1544" t="n">
        <v>0.8681257299999999</v>
      </c>
      <c r="QB23" s="1544" t="n">
        <v>0.8674140300000001</v>
      </c>
      <c r="QC23" s="1544" t="n">
        <v>0.8674140300000001</v>
      </c>
      <c r="QD23" s="1544" t="n">
        <v>0.8674140300000001</v>
      </c>
      <c r="QE23" s="1544" t="n">
        <v>0.8590829799999999</v>
      </c>
      <c r="QF23" s="1544" t="n">
        <v>0.8590829799999999</v>
      </c>
      <c r="QG23" s="1544" t="n">
        <v>0.8590829799999999</v>
      </c>
      <c r="QH23" s="1544" t="n">
        <v>0.8590829799999999</v>
      </c>
      <c r="QI23" s="1544" t="n">
        <v>0.8590829799999999</v>
      </c>
      <c r="QJ23" s="1544" t="n">
        <v>0.8590829799999999</v>
      </c>
      <c r="QK23" s="1544" t="n">
        <v>0.8580829799999999</v>
      </c>
      <c r="QL23" s="1544" t="n">
        <v>0.8580829799999999</v>
      </c>
      <c r="QM23" s="1544" t="n">
        <v>0.8580829799999999</v>
      </c>
      <c r="QN23" s="1544" t="n">
        <v>0.8372475699999999</v>
      </c>
      <c r="QO23" s="1544" t="n">
        <v>0.8372475699999999</v>
      </c>
      <c r="QP23" s="1544" t="n">
        <v>0.8372475699999999</v>
      </c>
      <c r="QQ23" s="1544" t="n">
        <v>0.8372475699999999</v>
      </c>
      <c r="QR23" s="1544" t="n">
        <v>0.8372475699999999</v>
      </c>
      <c r="QS23" s="1544" t="n">
        <v>0.8372475699999999</v>
      </c>
      <c r="QT23" s="1544" t="n">
        <v>0.8372475699999999</v>
      </c>
      <c r="QU23" s="1544" t="n">
        <v>0.8372475699999999</v>
      </c>
      <c r="QV23" s="1544" t="n">
        <v>0.8372475699999999</v>
      </c>
      <c r="QW23" s="1544" t="n">
        <v>0.8372475699999999</v>
      </c>
      <c r="QX23" s="1544" t="n">
        <v>0.8372475699999999</v>
      </c>
      <c r="QY23" s="1544" t="n">
        <v>0.83279784</v>
      </c>
      <c r="QZ23" s="1544" t="n">
        <v>0.83279784</v>
      </c>
      <c r="RA23" s="1544" t="n">
        <v>0.8291379799999999</v>
      </c>
      <c r="RB23" s="1544" t="n">
        <v>0.8291379799999999</v>
      </c>
      <c r="RC23" s="1544" t="n">
        <v>0.8291379799999999</v>
      </c>
      <c r="RD23" s="1544" t="n">
        <v>0.8291379799999999</v>
      </c>
      <c r="RE23" s="1544" t="n">
        <v>0.80413798</v>
      </c>
      <c r="RF23" s="1544" t="n">
        <v>0.80413798</v>
      </c>
      <c r="RG23" s="1544" t="n">
        <v>0.80413798</v>
      </c>
      <c r="RH23" s="1544" t="n">
        <v>0.80413798</v>
      </c>
      <c r="RI23" s="1544" t="n">
        <v>0.7985484899999999</v>
      </c>
      <c r="RJ23" s="1544" t="n">
        <v>0.7985484899999999</v>
      </c>
      <c r="RK23" s="1544" t="n">
        <v>0.7985484899999999</v>
      </c>
      <c r="RL23" s="1544" t="n">
        <v>0.7985484899999999</v>
      </c>
      <c r="RM23" s="1544" t="n">
        <v>0.7985484899999999</v>
      </c>
      <c r="RN23" s="1544" t="n">
        <v>0.7985484899999999</v>
      </c>
      <c r="RO23" s="1544" t="n">
        <v>0.7985484899999999</v>
      </c>
      <c r="RP23" s="1544" t="n">
        <v>0.7985484899999999</v>
      </c>
      <c r="RQ23" s="1544" t="n">
        <v>0.7985484899999999</v>
      </c>
      <c r="RR23" s="1544" t="n">
        <v>0.7985484899999999</v>
      </c>
      <c r="RS23" s="1544" t="n">
        <v>0.79447363</v>
      </c>
      <c r="RT23" s="1544" t="n">
        <v>0.79447363</v>
      </c>
      <c r="RU23" s="1544" t="n">
        <v>0.79447363</v>
      </c>
      <c r="RV23" s="1544" t="n">
        <v>0.79447363</v>
      </c>
      <c r="RW23" s="1544" t="n">
        <v>0.79447363</v>
      </c>
      <c r="RX23" s="1544" t="n">
        <v>0.79447363</v>
      </c>
      <c r="RY23" s="1544" t="n">
        <v>0.70089488</v>
      </c>
      <c r="RZ23" s="1544" t="n">
        <v>0.70089488</v>
      </c>
      <c r="SA23" s="1544" t="n">
        <v>0.69054488</v>
      </c>
      <c r="SB23" s="1544" t="n">
        <v>0.68555174</v>
      </c>
      <c r="SC23" s="1544" t="n">
        <v>0.68555174</v>
      </c>
      <c r="SD23" s="1544" t="n">
        <v>0.68555174</v>
      </c>
      <c r="SE23" s="1544" t="n">
        <v>0.68530744</v>
      </c>
      <c r="SF23" s="1544" t="n">
        <v>0.68530744</v>
      </c>
      <c r="SG23" s="1544" t="n">
        <v>0.68530744</v>
      </c>
      <c r="SH23" s="1544" t="n">
        <v>0.68530744</v>
      </c>
      <c r="SI23" s="1544" t="n">
        <v>0.68530744</v>
      </c>
      <c r="SJ23" s="1544" t="n">
        <v>0.68530744</v>
      </c>
      <c r="SK23" s="1544" t="n">
        <v>0.6840745500000001</v>
      </c>
      <c r="SL23" s="1544" t="n">
        <v>0.6840745500000001</v>
      </c>
      <c r="SM23" s="1544" t="n">
        <v>0.6840745500000001</v>
      </c>
      <c r="SN23" s="1544" t="n">
        <v>0.6840745500000001</v>
      </c>
      <c r="SO23" s="1544" t="n">
        <v>0.6840745500000001</v>
      </c>
      <c r="SP23" s="1544" t="n">
        <v>0.6798455999999999</v>
      </c>
      <c r="SQ23" s="1544" t="n">
        <v>0.6798455999999999</v>
      </c>
      <c r="SR23" s="1544" t="n">
        <v>0.6798455999999999</v>
      </c>
      <c r="SS23" s="1544" t="n">
        <v>2.5855104</v>
      </c>
      <c r="ST23" s="1544" t="n">
        <v>2.5855104</v>
      </c>
      <c r="SU23" s="1544" t="n">
        <v>8.244334</v>
      </c>
      <c r="SV23" s="1544" t="n">
        <v>8.244334</v>
      </c>
      <c r="SW23" s="1544" t="n">
        <v>8.244334</v>
      </c>
      <c r="SX23" s="1544" t="n">
        <v>8.229272330000001</v>
      </c>
      <c r="SY23" s="1544" t="n">
        <v>8.229272330000001</v>
      </c>
      <c r="SZ23" s="1544" t="n">
        <v>8.229272330000001</v>
      </c>
      <c r="TA23" s="1544" t="n">
        <v>8.229272330000001</v>
      </c>
      <c r="TB23" s="1544" t="n">
        <v>8.229272330000001</v>
      </c>
      <c r="TC23" s="1544" t="n">
        <v>8.229272330000001</v>
      </c>
      <c r="TD23" s="1544" t="n">
        <v>8.229272330000001</v>
      </c>
      <c r="TE23" s="1544" t="n">
        <v>8.22798233</v>
      </c>
      <c r="TF23" s="1544" t="n">
        <v>8.240680230000001</v>
      </c>
      <c r="TG23" s="1544" t="n">
        <v>8.238180230000001</v>
      </c>
      <c r="TH23" s="1544" t="n">
        <v>8.235561019999999</v>
      </c>
      <c r="TI23" s="1544" t="n">
        <v>8.25332714</v>
      </c>
      <c r="TJ23" s="1544" t="n">
        <v>8.25332714</v>
      </c>
      <c r="TK23" s="1544" t="n">
        <v>8.25332714</v>
      </c>
      <c r="TL23" s="1544" t="n">
        <v>8.268719110000001</v>
      </c>
      <c r="TM23" s="1544" t="n">
        <v>8.178708110000001</v>
      </c>
      <c r="TN23" s="1544" t="n">
        <v>8.204098269999999</v>
      </c>
      <c r="TO23" s="1544" t="n">
        <v>8.19309827</v>
      </c>
      <c r="TP23" s="1544" t="n">
        <v>8.20781809</v>
      </c>
      <c r="TQ23" s="1544" t="n">
        <v>8.20781809</v>
      </c>
      <c r="TR23" s="1544" t="n">
        <v>8.198244389999999</v>
      </c>
      <c r="TS23" s="1544" t="n">
        <v>8.198244389999999</v>
      </c>
      <c r="TT23" s="1544" t="n">
        <v>8.198244389999999</v>
      </c>
      <c r="TU23" s="1544" t="n">
        <v>8.21410182</v>
      </c>
      <c r="TV23" s="1544" t="n">
        <v>8.21410182</v>
      </c>
      <c r="TW23" s="1544" t="n">
        <v>8.21310182</v>
      </c>
      <c r="TX23" s="1544" t="n">
        <v>8.18975738</v>
      </c>
      <c r="TY23" s="1544" t="n">
        <v>8.18975738</v>
      </c>
      <c r="TZ23" s="1544" t="n">
        <v>8.2274659</v>
      </c>
      <c r="UA23" s="1544" t="n">
        <v>4.01325665</v>
      </c>
      <c r="UB23" s="1544" t="n">
        <v>4.01325665</v>
      </c>
      <c r="UC23" s="1544" t="n">
        <v>4.01325665</v>
      </c>
      <c r="UD23" s="1544" t="n">
        <v>4.05863165</v>
      </c>
      <c r="UE23" s="1544" t="n">
        <v>4.054458700000001</v>
      </c>
      <c r="UF23" s="1544" t="n">
        <v>4.05055583</v>
      </c>
      <c r="UG23" s="1544" t="n">
        <v>4.05055583</v>
      </c>
      <c r="UH23" s="1544" t="n">
        <v>4.04955583</v>
      </c>
      <c r="UI23" s="1544" t="n">
        <v>3.9464115</v>
      </c>
      <c r="UJ23" s="1544" t="n">
        <v>9.87598041</v>
      </c>
      <c r="UK23" s="1544" t="n">
        <v>9.80472591</v>
      </c>
      <c r="UL23" s="1544" t="n">
        <v>9.80472591</v>
      </c>
      <c r="UM23" s="1544" t="n">
        <v>18.48169623</v>
      </c>
      <c r="UN23" s="1544" t="n">
        <v>18.51596028</v>
      </c>
      <c r="UO23" s="1544" t="n">
        <v>18.49937012</v>
      </c>
      <c r="UP23" s="1544" t="n">
        <v>18.50761493</v>
      </c>
      <c r="UQ23" s="1544" t="n">
        <v>18.45599797</v>
      </c>
      <c r="UR23" s="1544" t="n">
        <v>18.47216191</v>
      </c>
      <c r="US23" s="1544" t="n">
        <v>18.48074388</v>
      </c>
      <c r="UT23" s="1544" t="n">
        <v>18.48949388</v>
      </c>
      <c r="UU23" s="1544" t="n">
        <v>18.51805879</v>
      </c>
      <c r="UV23" s="1544" t="n">
        <v>18.55323379</v>
      </c>
      <c r="UW23" s="1544" t="n">
        <v>18.56200879</v>
      </c>
      <c r="UX23" s="1544" t="n">
        <v>18.07182259</v>
      </c>
      <c r="UY23" s="1544" t="n">
        <v>18.09767914</v>
      </c>
      <c r="UZ23" s="1544" t="n">
        <v>18.13259718</v>
      </c>
      <c r="VA23" s="1544" t="n">
        <v>18.13259718</v>
      </c>
      <c r="VB23" s="1544" t="n">
        <v>18.18076556</v>
      </c>
      <c r="VC23" s="1544" t="n">
        <v>18.18555622</v>
      </c>
      <c r="VD23" s="1544" t="n">
        <v>18.23787753</v>
      </c>
      <c r="VE23" s="1544" t="n">
        <v>18.23787753</v>
      </c>
      <c r="VF23" s="1544" t="n">
        <v>18.24962047</v>
      </c>
      <c r="VG23" s="1544" t="n">
        <v>18.29787506</v>
      </c>
      <c r="VH23" s="1544" t="n">
        <v>18.29787506</v>
      </c>
      <c r="VI23" s="1544" t="n">
        <v>18.26567116</v>
      </c>
      <c r="VJ23" s="1544" t="n">
        <v>18.26196802</v>
      </c>
      <c r="VK23" s="1544" t="n">
        <v>18.335709</v>
      </c>
      <c r="VL23" s="1544" t="n">
        <v>18.08851678</v>
      </c>
      <c r="VM23" s="1544" t="n">
        <v>18.18341138</v>
      </c>
      <c r="VN23" s="1544" t="n">
        <v>18.21832645</v>
      </c>
      <c r="VO23" s="1544" t="n">
        <v>18.21832645</v>
      </c>
      <c r="VP23" s="1544" t="n">
        <v>18.21832645</v>
      </c>
      <c r="VQ23" s="1544" t="n">
        <v>18.28070508</v>
      </c>
      <c r="VR23" s="1544" t="n">
        <v>18.31633029</v>
      </c>
      <c r="VS23" s="1544" t="n">
        <v>18.35765295</v>
      </c>
      <c r="VT23" s="1544" t="n">
        <v>18.35665295</v>
      </c>
      <c r="VU23" s="1544" t="n">
        <v>18.40736857</v>
      </c>
      <c r="VV23" s="1544" t="n">
        <v>18.40870576</v>
      </c>
      <c r="VW23" s="1544" t="n">
        <v>18.41702521</v>
      </c>
      <c r="VX23" s="1544" t="n">
        <v>3.44226088</v>
      </c>
      <c r="VY23" s="1544" t="n">
        <v>3.44226088</v>
      </c>
      <c r="VZ23" s="1544" t="n">
        <v>3.44226088</v>
      </c>
      <c r="WA23" s="1544" t="n">
        <v>3.43986788</v>
      </c>
      <c r="WB23" s="1544" t="n">
        <v>3.43986788</v>
      </c>
      <c r="WC23" s="1544" t="n">
        <v>2.35435267</v>
      </c>
      <c r="WD23" s="1544" t="n">
        <v>2.35335267</v>
      </c>
      <c r="WE23" s="1544" t="n">
        <v>2.34955517</v>
      </c>
      <c r="WF23" s="1544" t="n">
        <v>2.34199517</v>
      </c>
      <c r="WG23" s="1544" t="n">
        <v>2.34199517</v>
      </c>
      <c r="WH23" s="1544" t="n">
        <v>2.34199517</v>
      </c>
      <c r="WI23" s="1544" t="n">
        <v>2.32299517</v>
      </c>
      <c r="WJ23" s="1544" t="n">
        <v>2.32084217</v>
      </c>
      <c r="WK23" s="1544" t="n">
        <v>2.32084217</v>
      </c>
      <c r="WL23" s="1544" t="n">
        <v>2.32084217</v>
      </c>
      <c r="WM23" s="1544" t="n">
        <v>2.31851217</v>
      </c>
      <c r="WN23" s="1544" t="n">
        <v>2.31751217</v>
      </c>
      <c r="WO23" s="1544" t="n">
        <v>2.31751217</v>
      </c>
      <c r="WP23" s="1544" t="n">
        <v>2.30347467</v>
      </c>
      <c r="WQ23" s="1544" t="n">
        <v>2.30347467</v>
      </c>
      <c r="WR23" s="1544" t="n">
        <v>2.30347467</v>
      </c>
      <c r="WS23" s="1544" t="n">
        <v>2.30096772</v>
      </c>
      <c r="WT23" s="1544" t="n">
        <v>2.30096772</v>
      </c>
      <c r="WU23" s="1544" t="n">
        <v>2.30096772</v>
      </c>
      <c r="WV23" s="1544" t="n">
        <v>2.30096772</v>
      </c>
      <c r="WW23" s="1544" t="n">
        <v>2.21222772</v>
      </c>
      <c r="WX23" s="1544" t="n">
        <v>2.22872772</v>
      </c>
      <c r="WY23" s="1544" t="n">
        <v>2.22352772</v>
      </c>
      <c r="WZ23" s="1544" t="n">
        <v>2.21124967</v>
      </c>
      <c r="XA23" s="1544" t="n">
        <v>2.21321529</v>
      </c>
      <c r="XB23" s="1544" t="n">
        <v>2.21031529</v>
      </c>
      <c r="XC23" s="1544" t="n">
        <v>2.21031529</v>
      </c>
      <c r="XD23" s="1544" t="n">
        <v>2.21019979</v>
      </c>
      <c r="XE23" s="1544" t="n">
        <v>2.20895317</v>
      </c>
      <c r="XF23" s="1544" t="n">
        <v>2.20868112</v>
      </c>
      <c r="XG23" s="1544" t="n">
        <v>2.20868112</v>
      </c>
      <c r="XH23" s="1544" t="n">
        <v>2.19868112</v>
      </c>
      <c r="XI23" s="1544" t="n">
        <v>2.20535886</v>
      </c>
      <c r="XJ23" s="1544" t="n">
        <v>2.20535886</v>
      </c>
      <c r="XK23" s="1544" t="n">
        <v>2.20283642</v>
      </c>
      <c r="XL23" s="1544" t="n">
        <v>2.20477902</v>
      </c>
      <c r="XM23" s="1544" t="n">
        <v>2.94438397</v>
      </c>
      <c r="XN23" s="1544" t="n">
        <v>2.94438397</v>
      </c>
      <c r="XO23" s="1544" t="n">
        <v>2.94985835</v>
      </c>
      <c r="XP23" s="1544" t="n">
        <v>2.94915679</v>
      </c>
      <c r="XQ23" s="1544" t="n">
        <v>2.95147486</v>
      </c>
      <c r="XR23" s="1544" t="n">
        <v>2.95047486</v>
      </c>
      <c r="XS23" s="1544" t="n">
        <v>2.9450239</v>
      </c>
      <c r="XT23" s="1544" t="n">
        <v>2.94516482</v>
      </c>
      <c r="XU23" s="1544" t="n">
        <v>2.94516482</v>
      </c>
      <c r="XV23" s="1544" t="n">
        <v>2.94516482</v>
      </c>
      <c r="XW23" s="1544" t="n">
        <v>2.94971386</v>
      </c>
      <c r="XX23" s="1544" t="n">
        <v>2.94971386</v>
      </c>
      <c r="XY23" s="1544" t="n">
        <v>2.94971386</v>
      </c>
      <c r="XZ23" s="1544" t="n">
        <v>2.94821386</v>
      </c>
      <c r="YA23" s="1544" t="n">
        <v>2.95178506</v>
      </c>
      <c r="YB23" s="1544" t="n">
        <v>2.95178506</v>
      </c>
      <c r="YC23" s="1544" t="n">
        <v>2.95178506</v>
      </c>
      <c r="YD23" s="1544" t="n">
        <v>2.65627368</v>
      </c>
      <c r="YE23" s="1544" t="n">
        <v>2.77445176</v>
      </c>
      <c r="YF23" s="1544" t="n">
        <v>2.75954175</v>
      </c>
      <c r="YG23" s="1544" t="n">
        <v>2.75795175</v>
      </c>
      <c r="YH23" s="1544" t="n">
        <v>2.76209422</v>
      </c>
      <c r="YI23" s="1544" t="n">
        <v>2.76209422</v>
      </c>
      <c r="YJ23" s="1544" t="n">
        <v>2.73182401</v>
      </c>
    </row>
    <row r="24">
      <c r="B24" s="917" t="inlineStr">
        <is>
          <t>APK Don</t>
        </is>
      </c>
      <c r="C24" s="1532" t="n">
        <v>0.97111479</v>
      </c>
      <c r="D24" s="1533" t="n">
        <v>11.71395328</v>
      </c>
      <c r="E24" s="1533" t="n">
        <v>11.70853027</v>
      </c>
      <c r="F24" s="1533" t="n">
        <v>11.72207843</v>
      </c>
      <c r="G24" s="1533" t="n">
        <v>11.52782752</v>
      </c>
      <c r="H24" s="1533" t="n">
        <v>11.52782752</v>
      </c>
      <c r="I24" s="1533" t="n">
        <v>11.52782752</v>
      </c>
      <c r="J24" s="1533" t="n">
        <v>5.72427736</v>
      </c>
      <c r="K24" s="1533" t="n">
        <v>5.68801077</v>
      </c>
      <c r="L24" s="1533" t="n">
        <v>5.68801077</v>
      </c>
      <c r="M24" s="1533" t="n">
        <v>6.76174348</v>
      </c>
      <c r="N24" s="1533" t="n">
        <v>6.76174348</v>
      </c>
      <c r="O24" s="1533" t="n">
        <v>6.66240325</v>
      </c>
      <c r="P24" s="1533" t="n">
        <v>6.66240325</v>
      </c>
      <c r="Q24" s="1533" t="n">
        <v>3.50566856</v>
      </c>
      <c r="R24" s="1533" t="n">
        <v>3.5007197</v>
      </c>
      <c r="S24" s="1533" t="n">
        <v>3.48939086</v>
      </c>
      <c r="T24" s="1533" t="n">
        <v>3.48939086</v>
      </c>
      <c r="U24" s="1533" t="n">
        <v>3.4212889</v>
      </c>
      <c r="V24" s="1533" t="n">
        <v>2.62538234</v>
      </c>
      <c r="W24" s="1533" t="n">
        <v>2.58699945</v>
      </c>
      <c r="X24" s="1533" t="n">
        <v>2.58699945</v>
      </c>
      <c r="Y24" s="1533" t="n">
        <v>2.58432341</v>
      </c>
      <c r="Z24" s="1533" t="n">
        <v>2.47874341</v>
      </c>
      <c r="AA24" s="1533" t="n">
        <v>0.59252784</v>
      </c>
      <c r="AB24" s="1533" t="n">
        <v>0.60508015</v>
      </c>
      <c r="AC24" s="1533" t="n">
        <v>0.53223684</v>
      </c>
      <c r="AD24" s="1533" t="n">
        <v>0.12620452</v>
      </c>
      <c r="AE24" s="1533" t="n">
        <v>0.12620452</v>
      </c>
      <c r="AF24" s="1533" t="n">
        <v>0.12620452</v>
      </c>
      <c r="AG24" s="1533" t="n">
        <v>0.37780208</v>
      </c>
      <c r="AH24" s="1533" t="n">
        <v>3.01033269</v>
      </c>
      <c r="AI24" s="1533" t="n">
        <v>3.01033269</v>
      </c>
      <c r="AJ24" s="1533" t="n">
        <v>2.27888943</v>
      </c>
      <c r="AK24" s="1533" t="n">
        <v>2.27034364</v>
      </c>
      <c r="AL24" s="1533">
        <f>2.27034364-0.12559604</f>
        <v/>
      </c>
      <c r="AM24" s="1533" t="n">
        <v>2.06036569</v>
      </c>
      <c r="AN24" s="1533" t="n">
        <v>2.00836569</v>
      </c>
      <c r="AO24" s="1533" t="n">
        <v>2.00836569</v>
      </c>
      <c r="AP24" s="1533" t="n">
        <v>2.00836569</v>
      </c>
      <c r="AQ24" s="1533" t="n">
        <v>1.99807201</v>
      </c>
      <c r="AR24" s="1533" t="n">
        <v>1.88152263</v>
      </c>
      <c r="AS24" s="1533" t="n">
        <v>1.846514</v>
      </c>
      <c r="AT24" s="1533" t="n">
        <v>1.74650995</v>
      </c>
      <c r="AU24" s="1533" t="n">
        <v>1.74650995</v>
      </c>
      <c r="AV24" s="1533" t="n">
        <v>3.31238281</v>
      </c>
      <c r="AW24" s="1533" t="n">
        <v>4.94117989</v>
      </c>
      <c r="AX24" s="1533" t="n">
        <v>0.9565811400000001</v>
      </c>
      <c r="AY24" s="1533" t="n">
        <v>0.23212044</v>
      </c>
      <c r="AZ24" s="1533" t="n">
        <v>0.15853611</v>
      </c>
      <c r="BA24" s="1533" t="n">
        <v>1.63951395</v>
      </c>
      <c r="BB24" s="1533" t="n">
        <v>1.63951395</v>
      </c>
      <c r="BC24" s="1533" t="n">
        <v>1.63951395</v>
      </c>
      <c r="BD24" s="1533" t="n">
        <v>1.63951395</v>
      </c>
      <c r="BE24" s="1533" t="n">
        <v>2.261191</v>
      </c>
      <c r="BF24" s="1533" t="n">
        <v>2.23029372</v>
      </c>
      <c r="BG24" s="1533" t="n">
        <v>2.23029372</v>
      </c>
      <c r="BH24" s="1533" t="n">
        <v>0.19748257</v>
      </c>
      <c r="BI24" s="1533" t="n">
        <v>0.19748257</v>
      </c>
      <c r="BJ24" s="1533" t="n">
        <v>0.23841882</v>
      </c>
      <c r="BK24" s="1533" t="n">
        <v>0.57729966</v>
      </c>
      <c r="BL24" s="1533" t="n">
        <v>0.57441004</v>
      </c>
      <c r="BM24" s="1533" t="n">
        <v>0.56910204</v>
      </c>
      <c r="BN24" s="1533" t="n">
        <v>0.35024332</v>
      </c>
      <c r="BO24" s="1533" t="n">
        <v>1.15712888</v>
      </c>
      <c r="BP24" s="1533" t="n">
        <v>4.44304467</v>
      </c>
      <c r="BQ24" s="1533" t="n">
        <v>4.44304557</v>
      </c>
      <c r="BR24" s="1533" t="n">
        <v>0.39997073</v>
      </c>
      <c r="BS24" s="1533" t="n">
        <v>0.39997073</v>
      </c>
      <c r="BT24" s="1533" t="n">
        <v>0.35578912</v>
      </c>
      <c r="BU24" s="1533" t="n">
        <v>4.45135363</v>
      </c>
      <c r="BV24" s="1533" t="n">
        <v>4.45135363</v>
      </c>
      <c r="BW24" s="1533" t="n">
        <v>4.45135363</v>
      </c>
      <c r="BX24" s="1533" t="n">
        <v>4.09091676</v>
      </c>
      <c r="BY24" s="1533" t="n">
        <v>1.25011059</v>
      </c>
      <c r="BZ24" s="1533" t="n">
        <v>0.71371167</v>
      </c>
      <c r="CA24" s="1533" t="n">
        <v>1.34882837</v>
      </c>
      <c r="CB24" s="1533" t="n">
        <v>0.14522837</v>
      </c>
      <c r="CC24" s="1533" t="n">
        <v>0.60990321</v>
      </c>
      <c r="CD24" s="1533" t="n">
        <v>0.60986617</v>
      </c>
      <c r="CE24" s="1533" t="n">
        <v>0.60986617</v>
      </c>
      <c r="CF24" s="1533" t="n">
        <v>0.60986617</v>
      </c>
      <c r="CG24" s="1533" t="n">
        <v>0.58977917</v>
      </c>
      <c r="CH24" s="1533" t="n">
        <v>0.28895443</v>
      </c>
      <c r="CI24" s="1533" t="n">
        <v>1.63253131</v>
      </c>
      <c r="CJ24" s="1533" t="n">
        <v>1.33220404</v>
      </c>
      <c r="CK24" s="1533" t="n">
        <v>1.33220404</v>
      </c>
      <c r="CL24" s="1533" t="n">
        <v>1.33220404</v>
      </c>
      <c r="CM24" s="1533" t="n">
        <v>1.33220404</v>
      </c>
      <c r="CN24" s="1533" t="n">
        <v>5.67135328</v>
      </c>
      <c r="CO24" s="1533" t="n">
        <v>1.87817111</v>
      </c>
      <c r="CP24" s="1533" t="n">
        <v>1.87817111</v>
      </c>
      <c r="CQ24" s="1533" t="n">
        <v>1.87817111</v>
      </c>
      <c r="CR24" s="1533" t="n">
        <v>1.82928321</v>
      </c>
      <c r="CS24" s="1533" t="n">
        <v>1.81980641</v>
      </c>
      <c r="CT24" s="1533" t="n">
        <v>2.0295338</v>
      </c>
      <c r="CU24" s="1533" t="n">
        <v>2.0295338</v>
      </c>
      <c r="CV24" s="1533">
        <f>1.9295258+0.0958</f>
        <v/>
      </c>
      <c r="CW24" s="1533">
        <f>2.90051518+0.0958</f>
        <v/>
      </c>
      <c r="CX24" s="1533">
        <f>2.90051518+0.0958</f>
        <v/>
      </c>
      <c r="CY24" s="1533">
        <f>0.54260634+0.0958</f>
        <v/>
      </c>
      <c r="CZ24" s="1533" t="n">
        <v>0.63841</v>
      </c>
      <c r="DA24" s="1533">
        <f>0.54260634+0.0958</f>
        <v/>
      </c>
      <c r="DB24" s="1533">
        <f>0.54260634+0.0958</f>
        <v/>
      </c>
      <c r="DC24" s="1533">
        <f>0.53517+0.0958</f>
        <v/>
      </c>
      <c r="DD24" s="1533">
        <f>0.53266284+0.0958</f>
        <v/>
      </c>
      <c r="DE24" s="1533">
        <f>0.24682372+0.09515484</f>
        <v/>
      </c>
      <c r="DF24" s="1533">
        <f>0.17932069+0.09515484</f>
        <v/>
      </c>
      <c r="DG24" s="1533">
        <f>0.17932069+0.09515484</f>
        <v/>
      </c>
      <c r="DH24" s="1533">
        <f>0.09345484+0.05841345</f>
        <v/>
      </c>
      <c r="DI24" s="1533">
        <f>0.09345484+3.28525481</f>
        <v/>
      </c>
      <c r="DJ24" s="1533">
        <f>0.09345484+4.66768785</f>
        <v/>
      </c>
      <c r="DK24" s="1533">
        <f>0.09345484+0.96068848</f>
        <v/>
      </c>
      <c r="DL24" s="1533">
        <f>0.09345484+0.96068848</f>
        <v/>
      </c>
      <c r="DM24" s="1533">
        <f>0.09345484+0.96068848</f>
        <v/>
      </c>
      <c r="DN24" s="1533">
        <f>0.09345484+5.0603375</f>
        <v/>
      </c>
      <c r="DO24" s="1533">
        <f>0.09345484+3.83165108</f>
        <v/>
      </c>
      <c r="DP24" s="1533">
        <f>0.09345484+3.83165108</f>
        <v/>
      </c>
      <c r="DQ24" s="1533">
        <f>0.09345484+3.83165108</f>
        <v/>
      </c>
      <c r="DR24" s="1533" t="n">
        <v>5.62916995</v>
      </c>
      <c r="DS24" s="1533" t="n">
        <v>5.62916995</v>
      </c>
      <c r="DT24" s="1533">
        <f>0.09345484+5.51451511</f>
        <v/>
      </c>
      <c r="DU24" s="1533">
        <f>0.09345484+4.26191811</f>
        <v/>
      </c>
      <c r="DV24" s="1533">
        <f>0.09345484+4.26191811</f>
        <v/>
      </c>
      <c r="DW24" s="1533">
        <f>0.09345484+4.26191811</f>
        <v/>
      </c>
      <c r="DX24" s="1533">
        <f>0.09345484+4.17419817</f>
        <v/>
      </c>
      <c r="DY24" s="1533">
        <f>0.09345484+6.49724029</f>
        <v/>
      </c>
      <c r="DZ24" s="1533">
        <f>0.09345484+1.59018993</f>
        <v/>
      </c>
      <c r="EA24" s="1533">
        <f>0.09345484+1.58818993</f>
        <v/>
      </c>
      <c r="EB24" s="1533">
        <f>0.09345484+1.58818993</f>
        <v/>
      </c>
      <c r="EC24" s="1533">
        <f>0.09345484+2.30357792</f>
        <v/>
      </c>
      <c r="ED24" s="1533">
        <f>0.09345484+2.30357792</f>
        <v/>
      </c>
      <c r="EE24" s="1533">
        <f>0.09345484+2.23745292</f>
        <v/>
      </c>
      <c r="EF24" s="1533">
        <f>0.09345484+0.38831823</f>
        <v/>
      </c>
      <c r="EG24" s="1533">
        <f>0.09345484+0.38831823</f>
        <v/>
      </c>
      <c r="EH24" s="1533">
        <f>0.09345484+0.33161041</f>
        <v/>
      </c>
      <c r="EI24" s="1533">
        <f>0.09345484+0.31677341</f>
        <v/>
      </c>
      <c r="EJ24" s="1533">
        <f>0.09345484+0.31677341</f>
        <v/>
      </c>
      <c r="EK24" s="1533">
        <f>0.09345484+0.31677341</f>
        <v/>
      </c>
      <c r="EL24" s="1533">
        <f>0.09345484+0.31677341</f>
        <v/>
      </c>
      <c r="EM24" s="1533">
        <f>0.09265484+2.83387586</f>
        <v/>
      </c>
      <c r="EN24" s="1533">
        <f>0.09265484+6.35874237</f>
        <v/>
      </c>
      <c r="EO24" s="1533">
        <f>0.09265484+7.33070712</f>
        <v/>
      </c>
      <c r="EP24" s="1533">
        <f>0.09265484+7.33070712</f>
        <v/>
      </c>
      <c r="EQ24" s="1533">
        <f>0.09265484+6.3414922</f>
        <v/>
      </c>
      <c r="ER24" s="1533" t="n">
        <v>6.43414704</v>
      </c>
      <c r="ES24" s="1533">
        <f>0.09265484+6.3414922</f>
        <v/>
      </c>
      <c r="ET24" s="1533">
        <f>0.09265484+6.3414922</f>
        <v/>
      </c>
      <c r="EU24" s="1533">
        <f>0.09265484+6.2874472</f>
        <v/>
      </c>
      <c r="EV24" s="1533">
        <f>0.09265484+6.16975638</f>
        <v/>
      </c>
      <c r="EW24" s="1533">
        <f>0.09265484+6.20834124</f>
        <v/>
      </c>
      <c r="EX24" s="1533">
        <f>0.09265484+6.20834124</f>
        <v/>
      </c>
      <c r="EY24" s="1533" t="n">
        <v>6.30099608</v>
      </c>
      <c r="EZ24" s="1533" t="n">
        <v>6.29867276</v>
      </c>
      <c r="FA24" s="1533" t="n">
        <v>8.38998149</v>
      </c>
      <c r="FB24" s="1533" t="n">
        <v>8</v>
      </c>
      <c r="FC24" s="1533" t="n">
        <v>7.64864032</v>
      </c>
      <c r="FD24" s="1533" t="n">
        <v>7.64864032</v>
      </c>
      <c r="FE24" s="1533" t="n">
        <v>7.64864032</v>
      </c>
      <c r="FF24" s="1533">
        <f>1.72393618+5.7639577</f>
        <v/>
      </c>
      <c r="FG24" s="1533">
        <f>1.72393618+5.7639577</f>
        <v/>
      </c>
      <c r="FH24" s="1533" t="n">
        <v>7</v>
      </c>
      <c r="FI24" s="1533" t="n">
        <v>7.48789388</v>
      </c>
      <c r="FJ24" s="1533">
        <f>1.72393618+5.7639577</f>
        <v/>
      </c>
      <c r="FK24" s="1533">
        <f>1.72393618+5.7639577</f>
        <v/>
      </c>
      <c r="FL24" s="1533">
        <f>1.72393618+4.5524517</f>
        <v/>
      </c>
      <c r="FM24" s="1533" t="n">
        <v>6</v>
      </c>
      <c r="FN24" s="1533" t="n">
        <v>6.26498788</v>
      </c>
      <c r="FO24" s="1533">
        <f>1.72393618+4.5410517</f>
        <v/>
      </c>
      <c r="FP24" s="1533">
        <f>1.72393618+4.47487273</f>
        <v/>
      </c>
      <c r="FQ24" s="1533">
        <f>1.72193618+4.47287273</f>
        <v/>
      </c>
      <c r="FR24" s="1533" t="n">
        <v>6.19480891</v>
      </c>
      <c r="FS24" s="1533" t="n">
        <v>6.19480891</v>
      </c>
      <c r="FT24" s="1533">
        <f>1.72193618+4.46246812</f>
        <v/>
      </c>
      <c r="FU24" s="1533">
        <f>2.27654157+4.446324913</f>
        <v/>
      </c>
      <c r="FV24" s="1533">
        <f>3.40845107+4.446324913</f>
        <v/>
      </c>
      <c r="FW24" s="1533">
        <f>3.40845107+3.83403055</f>
        <v/>
      </c>
      <c r="FX24" s="1533">
        <f>3.40845107+3.83403055</f>
        <v/>
      </c>
      <c r="FY24" s="1533" t="n">
        <v>7</v>
      </c>
      <c r="FZ24" s="1533">
        <f>3.80757023+3.83403055</f>
        <v/>
      </c>
      <c r="GA24" s="1533">
        <f>3.80757023+3.83403055</f>
        <v/>
      </c>
      <c r="GB24" s="1533">
        <f>3.80757023+3.70878576</f>
        <v/>
      </c>
      <c r="GC24" s="1533">
        <f>3.80757023+3.70878576</f>
        <v/>
      </c>
      <c r="GD24" s="1533">
        <f>3.80757023+3.70878576</f>
        <v/>
      </c>
      <c r="GE24" s="1533">
        <f>3.80757023+3.65877776</f>
        <v/>
      </c>
      <c r="GF24" s="1533">
        <f>3.80757023+3.65877776</f>
        <v/>
      </c>
      <c r="GG24" s="1533">
        <f>3.80757023+2.1160635</f>
        <v/>
      </c>
      <c r="GH24" s="1533">
        <f>3.80757023+2.1160635</f>
        <v/>
      </c>
      <c r="GI24" s="1533" t="n">
        <v>5.62812604</v>
      </c>
      <c r="GJ24" s="1533" t="n">
        <v>5.62812604</v>
      </c>
      <c r="GK24" s="1533" t="n">
        <v>5.59593096</v>
      </c>
      <c r="GL24" s="1533" t="n">
        <v>5.59593096</v>
      </c>
      <c r="GM24" s="1533" t="n">
        <v>5.35056622</v>
      </c>
      <c r="GN24" s="1533" t="n">
        <v>4.33560189</v>
      </c>
      <c r="GO24" s="1533" t="n">
        <v>4.33560189</v>
      </c>
      <c r="GP24" s="1533" t="n">
        <v>4.33114389</v>
      </c>
      <c r="GQ24" s="1533" t="n">
        <v>4.26804661</v>
      </c>
      <c r="GR24" s="1533" t="n">
        <v>4.26804661</v>
      </c>
      <c r="GS24" s="1533" t="n">
        <v>4.26804661</v>
      </c>
      <c r="GT24" s="1533" t="n">
        <v>4.26804661</v>
      </c>
      <c r="GU24" s="1533" t="n">
        <v>4.20350913</v>
      </c>
      <c r="GV24" s="1533" t="n">
        <v>4.19347213</v>
      </c>
      <c r="GW24" s="1533" t="n">
        <v>4.19347213</v>
      </c>
      <c r="GX24" s="1533" t="n">
        <v>0</v>
      </c>
      <c r="GY24" s="1533" t="n">
        <v>7.03213317</v>
      </c>
      <c r="GZ24" s="1533" t="n">
        <v>7.03107517</v>
      </c>
      <c r="HA24" s="1533" t="n">
        <v>6.88558059</v>
      </c>
      <c r="HB24" s="1533" t="n">
        <v>6.88558059</v>
      </c>
      <c r="HC24" s="1533" t="n">
        <v>6.88558059</v>
      </c>
      <c r="HD24" s="1533" t="n">
        <v>6.05648428</v>
      </c>
      <c r="HE24" s="1533" t="n">
        <v>6.06303884</v>
      </c>
      <c r="HF24" s="1533" t="n">
        <v>6.055638839999999</v>
      </c>
      <c r="HG24" s="1533" t="n">
        <v>6.05353884</v>
      </c>
      <c r="HH24" s="1533" t="n">
        <v>6.05353884</v>
      </c>
      <c r="HI24" s="1533" t="n">
        <v>6.04350184</v>
      </c>
      <c r="HJ24" s="1533" t="n">
        <v>6.99306496</v>
      </c>
      <c r="HK24" s="1533" t="n">
        <v>6.76494872</v>
      </c>
      <c r="HL24" s="1533" t="n">
        <v>6.73494072</v>
      </c>
      <c r="HM24" s="1533" t="n">
        <v>7.34580312</v>
      </c>
      <c r="HN24" s="1533" t="n">
        <v>7.34580312</v>
      </c>
      <c r="HO24" s="1533" t="n">
        <v>7.34580312</v>
      </c>
      <c r="HP24" s="1533" t="n">
        <v>7.34580312</v>
      </c>
      <c r="HQ24" s="1533" t="n">
        <v>7.18155668</v>
      </c>
      <c r="HR24" s="1533" t="n">
        <v>7.19171887</v>
      </c>
      <c r="HS24" s="1533" t="n">
        <v>6.83068254</v>
      </c>
      <c r="HT24" s="1544" t="n">
        <v>6.83068254</v>
      </c>
      <c r="HU24" s="1544" t="n">
        <v>6.83068254</v>
      </c>
      <c r="HV24" s="1544" t="n">
        <v>6.813522030000001</v>
      </c>
      <c r="HW24" s="1544" t="n">
        <v>6.813522030000001</v>
      </c>
      <c r="HX24" s="1544" t="n">
        <v>6.75137703</v>
      </c>
      <c r="HY24" s="1544" t="n">
        <v>6.75137703</v>
      </c>
      <c r="HZ24" s="1544" t="n">
        <v>6.74118793</v>
      </c>
      <c r="IA24" s="1544" t="n">
        <v>6.73890822</v>
      </c>
      <c r="IB24" s="1544" t="n">
        <v>6.47873617</v>
      </c>
      <c r="IC24" s="1544" t="n">
        <v>6.47873617</v>
      </c>
      <c r="ID24" s="1544" t="n">
        <v>6.47873617</v>
      </c>
      <c r="IE24" s="1544" t="n">
        <v>6.3699986</v>
      </c>
      <c r="IF24" s="1544" t="n">
        <v>6.3699986</v>
      </c>
      <c r="IG24" s="1544" t="n">
        <v>6.3699986</v>
      </c>
      <c r="IH24" s="1544" t="n">
        <v>6.3699986</v>
      </c>
      <c r="II24" s="1544" t="n">
        <v>6.3699986</v>
      </c>
      <c r="IJ24" s="1544" t="n">
        <v>6.3699986</v>
      </c>
      <c r="IK24" s="1544" t="n">
        <v>6.18984464</v>
      </c>
      <c r="IL24" s="1544" t="n">
        <v>6.18984464</v>
      </c>
      <c r="IM24" s="1544" t="n">
        <v>6.18984464</v>
      </c>
      <c r="IN24" s="1544" t="n">
        <v>6.10950099</v>
      </c>
      <c r="IO24" s="1544" t="n">
        <v>5.670894519999999</v>
      </c>
      <c r="IP24" s="1544" t="n">
        <v>4.31922169</v>
      </c>
      <c r="IQ24" s="1544" t="n">
        <v>4.31586311</v>
      </c>
      <c r="IR24" s="1544" t="n">
        <v>4.31586311</v>
      </c>
      <c r="IS24" s="1544" t="n">
        <v>4.31586311</v>
      </c>
      <c r="IT24" s="1544" t="n">
        <v>4.2999299</v>
      </c>
      <c r="IU24" s="1544" t="n">
        <v>4.62065032</v>
      </c>
      <c r="IV24" s="1544" t="n">
        <v>4.62065032</v>
      </c>
      <c r="IW24" s="1544" t="n">
        <v>5.22810442</v>
      </c>
      <c r="IX24" s="1544" t="n">
        <v>5.22810442</v>
      </c>
      <c r="IY24" s="1544" t="n">
        <v>5.22810442</v>
      </c>
      <c r="IZ24" s="1544" t="n">
        <v>6.6030536</v>
      </c>
      <c r="JA24" s="1544" t="n">
        <v>6.6030536</v>
      </c>
      <c r="JB24" s="1544" t="n">
        <v>6.6030536</v>
      </c>
      <c r="JC24" s="1544" t="n">
        <v>6.33145879</v>
      </c>
      <c r="JD24" s="1544" t="n">
        <v>6.33145879</v>
      </c>
      <c r="JE24" s="1544" t="n">
        <v>6.33145879</v>
      </c>
      <c r="JF24" s="1544" t="n">
        <v>6.33145879</v>
      </c>
      <c r="JG24" s="1544" t="n">
        <v>6.32423968</v>
      </c>
      <c r="JH24" s="1544" t="n">
        <v>6.32423968</v>
      </c>
      <c r="JI24" s="1544" t="n">
        <v>6.32423968</v>
      </c>
      <c r="JJ24" s="1544" t="n">
        <v>6.30470268</v>
      </c>
      <c r="JK24" s="1544" t="n">
        <v>6.30470268</v>
      </c>
      <c r="JL24" s="1544" t="n">
        <v>6.30470268</v>
      </c>
      <c r="JM24" s="1544" t="n">
        <v>6.30470268</v>
      </c>
      <c r="JN24" s="1544" t="n">
        <v>6.30470268</v>
      </c>
      <c r="JO24" s="1544" t="n">
        <v>6.30470268</v>
      </c>
      <c r="JP24" s="1544" t="n">
        <v>6.28834333</v>
      </c>
      <c r="JQ24" s="1544" t="n">
        <v>6.28834333</v>
      </c>
      <c r="JR24" s="1544" t="n">
        <v>6.28834333</v>
      </c>
      <c r="JS24" s="1544" t="n">
        <v>6.28834333</v>
      </c>
      <c r="JT24" s="1544" t="n">
        <v>6.28834333</v>
      </c>
      <c r="JU24" s="1544" t="n">
        <v>6.28834333</v>
      </c>
      <c r="JV24" s="1544" t="n">
        <v>6.28834333</v>
      </c>
      <c r="JW24" s="1544" t="n">
        <v>6.30105219</v>
      </c>
      <c r="JX24" s="1544" t="n">
        <v>6.30105219</v>
      </c>
      <c r="JY24" s="1544" t="n">
        <v>6.28199443</v>
      </c>
      <c r="JZ24" s="1544" t="n">
        <v>6.28199443</v>
      </c>
      <c r="KA24" s="1544" t="n">
        <v>6.28199443</v>
      </c>
      <c r="KB24" s="1544" t="n">
        <v>6.28199443</v>
      </c>
      <c r="KC24" s="1544" t="n">
        <v>6.07928446</v>
      </c>
      <c r="KD24" s="1544" t="n">
        <v>6.07308446</v>
      </c>
      <c r="KE24" s="1544" t="n">
        <v>6.07308446</v>
      </c>
      <c r="KF24" s="1544" t="n">
        <v>6.30470268</v>
      </c>
      <c r="KG24" s="1544" t="n">
        <v>6.07098446</v>
      </c>
      <c r="KH24" s="1544" t="n">
        <v>6.07098446</v>
      </c>
      <c r="KI24" s="1544" t="n">
        <v>6.06094746</v>
      </c>
      <c r="KJ24" s="1544" t="n">
        <v>6.06094746</v>
      </c>
      <c r="KK24" s="1544" t="n">
        <v>6.03689536</v>
      </c>
      <c r="KL24" s="1544" t="n">
        <v>6.03689536</v>
      </c>
      <c r="KM24" s="1544" t="n">
        <v>6.03689536</v>
      </c>
      <c r="KN24" s="1544" t="n">
        <v>6.03185836</v>
      </c>
      <c r="KO24" s="1544" t="n">
        <v>6.051350139999999</v>
      </c>
      <c r="KP24" s="1544" t="n">
        <v>6.051350139999999</v>
      </c>
      <c r="KQ24" s="1544" t="n">
        <v>6.04944233</v>
      </c>
      <c r="KR24" s="1544" t="n">
        <v>6.04944233</v>
      </c>
      <c r="KS24" s="1544" t="n">
        <v>6.04944233</v>
      </c>
      <c r="KT24" s="1544" t="n">
        <v>6.04944233</v>
      </c>
      <c r="KU24" s="1544" t="n">
        <v>6.03191164</v>
      </c>
      <c r="KV24" s="1544" t="n">
        <v>5.950911860000001</v>
      </c>
      <c r="KW24" s="1544" t="n">
        <v>6.35625388</v>
      </c>
      <c r="KX24" s="1544" t="n">
        <v>6.34621688</v>
      </c>
      <c r="KY24" s="1544" t="n">
        <v>6.34621688</v>
      </c>
      <c r="KZ24" s="1544" t="n">
        <v>6.35275113</v>
      </c>
      <c r="LA24" s="1544" t="n">
        <v>6.35275113</v>
      </c>
      <c r="LB24" s="1544" t="n">
        <v>6.35275113</v>
      </c>
      <c r="LC24" s="1544" t="n">
        <v>6.35275113</v>
      </c>
      <c r="LD24" s="1544" t="n">
        <v>6.35275113</v>
      </c>
      <c r="LE24" s="1544" t="n">
        <v>6.33016982</v>
      </c>
      <c r="LF24" s="1544" t="n">
        <v>6.33016982</v>
      </c>
      <c r="LG24" s="1544" t="n">
        <v>6.33016982</v>
      </c>
      <c r="LH24" s="1544" t="n">
        <v>6.33016982</v>
      </c>
      <c r="LI24" s="1544" t="n">
        <v>6.33701092</v>
      </c>
      <c r="LJ24" s="1544" t="n">
        <v>6.33701092</v>
      </c>
      <c r="LK24" s="1544" t="n">
        <v>6.33701092</v>
      </c>
      <c r="LL24" s="1544" t="n">
        <v>6.33701092</v>
      </c>
      <c r="LM24" s="1544" t="n">
        <v>6.33701092</v>
      </c>
      <c r="LN24" s="1544" t="n">
        <v>6.31789493</v>
      </c>
      <c r="LO24" s="1544" t="n">
        <v>6.31789493</v>
      </c>
      <c r="LP24" s="1544" t="n">
        <v>6.31789493</v>
      </c>
      <c r="LQ24" s="1544" t="n">
        <v>6.194695129999999</v>
      </c>
      <c r="LR24" s="1544" t="n">
        <v>6.23963667</v>
      </c>
      <c r="LS24" s="1544" t="n">
        <v>6.23963667</v>
      </c>
      <c r="LT24" s="1544" t="n">
        <v>6.23753667</v>
      </c>
      <c r="LU24" s="1544" t="n">
        <v>6.23753667</v>
      </c>
      <c r="LV24" s="1544" t="n">
        <v>6.392694759999999</v>
      </c>
      <c r="LW24" s="1544" t="n">
        <v>6.392694759999999</v>
      </c>
      <c r="LX24" s="1544" t="n">
        <v>6.926325230000001</v>
      </c>
      <c r="LY24" s="1544" t="n">
        <v>6.926325230000001</v>
      </c>
      <c r="LZ24" s="1544" t="n">
        <v>6.938606269999999</v>
      </c>
      <c r="MA24" s="1544" t="n">
        <v>6.938606269999999</v>
      </c>
      <c r="MB24" s="1544" t="n">
        <v>6.938606269999999</v>
      </c>
      <c r="MC24" s="1544" t="n">
        <v>6.938606269999999</v>
      </c>
      <c r="MD24" s="1544" t="n">
        <v>6.938606269999999</v>
      </c>
      <c r="ME24" s="1544" t="n">
        <v>6.938606269999999</v>
      </c>
      <c r="MF24" s="1544" t="n">
        <v>6.938606269999999</v>
      </c>
      <c r="MG24" s="1544" t="n">
        <v>6.938606269999999</v>
      </c>
      <c r="MH24" s="1544" t="n">
        <v>6.93339331</v>
      </c>
      <c r="MI24" s="1544" t="n">
        <v>6.93339331</v>
      </c>
      <c r="MJ24" s="1544" t="n">
        <v>6.91924142</v>
      </c>
      <c r="MK24" s="1544" t="n">
        <v>6.91420442</v>
      </c>
      <c r="ML24" s="1544" t="n">
        <v>6.91420442</v>
      </c>
      <c r="MM24" s="1544" t="n">
        <v>6.91420442</v>
      </c>
      <c r="MN24" s="1544" t="n">
        <v>6.91420442</v>
      </c>
      <c r="MO24" s="1544" t="n">
        <v>6.91420442</v>
      </c>
      <c r="MP24" s="1544" t="n">
        <v>6.91420442</v>
      </c>
      <c r="MQ24" s="1544" t="n">
        <v>6.87442513</v>
      </c>
      <c r="MR24" s="1544" t="n">
        <v>6.87442513</v>
      </c>
      <c r="MS24" s="1544" t="n">
        <v>6.87442513</v>
      </c>
      <c r="MT24" s="1544" t="n">
        <v>6.85098076</v>
      </c>
      <c r="MU24" s="1544" t="n">
        <v>6.85098076</v>
      </c>
      <c r="MV24" s="1544" t="n">
        <v>6.85098076</v>
      </c>
      <c r="MW24" s="1544" t="n">
        <v>6.85098076</v>
      </c>
      <c r="MX24" s="1544" t="n">
        <v>6.85098076</v>
      </c>
      <c r="MY24" s="1544" t="n">
        <v>6.85098076</v>
      </c>
      <c r="MZ24" s="1544" t="n">
        <v>6.85098076</v>
      </c>
      <c r="NA24" s="1544" t="n">
        <v>6.85098076</v>
      </c>
      <c r="NB24" s="1544" t="n">
        <v>6.85098076</v>
      </c>
      <c r="NC24" s="1544" t="n">
        <v>6.85098076</v>
      </c>
      <c r="ND24" s="1544" t="n">
        <v>6.85098076</v>
      </c>
      <c r="NE24" s="1544" t="n">
        <v>6.85098076</v>
      </c>
      <c r="NF24" s="1544" t="n">
        <v>6.85148545</v>
      </c>
      <c r="NG24" s="1544" t="n">
        <v>6.85148545</v>
      </c>
      <c r="NH24" s="1544" t="n">
        <v>6.85148545</v>
      </c>
      <c r="NI24" s="1544" t="n">
        <v>6.850585450000001</v>
      </c>
      <c r="NJ24" s="1544" t="n">
        <v>6.850585450000001</v>
      </c>
      <c r="NK24" s="1544" t="n">
        <v>6.83844845</v>
      </c>
      <c r="NL24" s="1544" t="n">
        <v>6.83844845</v>
      </c>
      <c r="NM24" s="1544" t="n">
        <v>6.83188878</v>
      </c>
      <c r="NN24" s="1544" t="n">
        <v>6.83188878</v>
      </c>
      <c r="NO24" s="1544" t="n">
        <v>6.83188878</v>
      </c>
      <c r="NP24" s="1544" t="n">
        <v>6.81038524</v>
      </c>
      <c r="NQ24" s="1544" t="n">
        <v>6.81038524</v>
      </c>
      <c r="NR24" s="1544" t="n">
        <v>6.8299962</v>
      </c>
      <c r="NS24" s="1544" t="n">
        <v>6.8299962</v>
      </c>
      <c r="NT24" s="1544" t="n">
        <v>6.8299962</v>
      </c>
      <c r="NU24" s="1544" t="n">
        <v>6.8299962</v>
      </c>
      <c r="NV24" s="1544" t="n">
        <v>6.8299962</v>
      </c>
      <c r="NW24" s="1544" t="n">
        <v>6.8299962</v>
      </c>
      <c r="NX24" s="1544" t="n">
        <v>6.8299962</v>
      </c>
      <c r="NY24" s="1544" t="n">
        <v>6.8299962</v>
      </c>
      <c r="NZ24" s="1544" t="n">
        <v>6.81688173</v>
      </c>
      <c r="OA24" s="1544" t="n">
        <v>6.81688173</v>
      </c>
      <c r="OB24" s="1544" t="n">
        <v>6.81688173</v>
      </c>
      <c r="OC24" s="1544" t="n">
        <v>6.8194135</v>
      </c>
      <c r="OD24" s="1544" t="n">
        <v>6.8194135</v>
      </c>
      <c r="OE24" s="1544" t="n">
        <v>6.8194135</v>
      </c>
      <c r="OF24" s="1544" t="n">
        <v>6.8194135</v>
      </c>
      <c r="OG24" s="1544" t="n">
        <v>6.8063765</v>
      </c>
      <c r="OH24" s="1544" t="n">
        <v>6.8063765</v>
      </c>
      <c r="OI24" s="1544" t="n">
        <v>6.35275113</v>
      </c>
      <c r="OJ24" s="1544" t="n">
        <v>6.789885030000001</v>
      </c>
      <c r="OK24" s="1544" t="n">
        <v>6.789885030000001</v>
      </c>
      <c r="OL24" s="1544" t="n">
        <v>6.81919643</v>
      </c>
      <c r="OM24" s="1544" t="n">
        <v>6.81919643</v>
      </c>
      <c r="ON24" s="1544" t="n">
        <v>6.81919643</v>
      </c>
      <c r="OO24" s="1544" t="n">
        <v>6.83750733</v>
      </c>
      <c r="OP24" s="1544" t="n">
        <v>6.83750733</v>
      </c>
      <c r="OQ24" s="1544" t="n">
        <v>6.83750733</v>
      </c>
      <c r="OR24" s="1544" t="n">
        <v>6.83750733</v>
      </c>
      <c r="OS24" s="1544" t="n">
        <v>6.83113714</v>
      </c>
      <c r="OT24" s="1544" t="n">
        <v>6.83113714</v>
      </c>
      <c r="OU24" s="1544" t="n">
        <v>6.83113714</v>
      </c>
      <c r="OV24" s="1544" t="n">
        <v>6.83113714</v>
      </c>
      <c r="OW24" s="1544" t="n">
        <v>7.066154060000001</v>
      </c>
      <c r="OX24" s="1544" t="n">
        <v>7.066154060000001</v>
      </c>
      <c r="OY24" s="1544" t="n">
        <v>6.67817324</v>
      </c>
      <c r="OZ24" s="1544" t="n">
        <v>6.67817324</v>
      </c>
      <c r="PA24" s="1544" t="n">
        <v>6.67817324</v>
      </c>
      <c r="PB24" s="1544" t="n">
        <v>7.67778001</v>
      </c>
      <c r="PC24" s="1544" t="n">
        <v>7.67778001</v>
      </c>
      <c r="PD24" s="1544" t="n">
        <v>7.67778001</v>
      </c>
      <c r="PE24" s="1544" t="n">
        <v>7.67748973</v>
      </c>
      <c r="PF24" s="1544" t="n">
        <v>7.67448173</v>
      </c>
      <c r="PG24" s="1544" t="n">
        <v>7.67448173</v>
      </c>
      <c r="PH24" s="1544" t="n">
        <v>7.67448173</v>
      </c>
      <c r="PI24" s="1544" t="n">
        <v>7.59776359</v>
      </c>
      <c r="PJ24" s="1544" t="n">
        <v>7.59776359</v>
      </c>
      <c r="PK24" s="1544" t="n">
        <v>7.59776359</v>
      </c>
      <c r="PL24" s="1544" t="n">
        <v>7.59776359</v>
      </c>
      <c r="PM24" s="1544" t="n">
        <v>7.59776359</v>
      </c>
      <c r="PN24" s="1544" t="n">
        <v>7.174528059999999</v>
      </c>
      <c r="PO24" s="1544" t="n">
        <v>7.174528059999999</v>
      </c>
      <c r="PP24" s="1544" t="n">
        <v>7.17683362</v>
      </c>
      <c r="PQ24" s="1544" t="n">
        <v>7.17683362</v>
      </c>
      <c r="PR24" s="1544" t="n">
        <v>7.17683362</v>
      </c>
      <c r="PS24" s="1544" t="n">
        <v>7.15898124</v>
      </c>
      <c r="PT24" s="1544" t="n">
        <v>7.15898124</v>
      </c>
      <c r="PU24" s="1544" t="n">
        <v>6.90070663</v>
      </c>
      <c r="PV24" s="1544" t="n">
        <v>6.90070663</v>
      </c>
      <c r="PW24" s="1544" t="n">
        <v>6.90070663</v>
      </c>
      <c r="PX24" s="1544" t="n">
        <v>9.244725089999999</v>
      </c>
      <c r="PY24" s="1544" t="n">
        <v>9.263230550000001</v>
      </c>
      <c r="PZ24" s="1544" t="n">
        <v>9.263230550000001</v>
      </c>
      <c r="QA24" s="1544" t="n">
        <v>9.263230550000001</v>
      </c>
      <c r="QB24" s="1544" t="n">
        <v>9.263230550000001</v>
      </c>
      <c r="QC24" s="1544" t="n">
        <v>9.263230550000001</v>
      </c>
      <c r="QD24" s="1544" t="n">
        <v>9.263230550000001</v>
      </c>
      <c r="QE24" s="1544" t="n">
        <v>8.99789797</v>
      </c>
      <c r="QF24" s="1544" t="n">
        <v>8.99789797</v>
      </c>
      <c r="QG24" s="1544" t="n">
        <v>8.99789797</v>
      </c>
      <c r="QH24" s="1544" t="n">
        <v>8.99789797</v>
      </c>
      <c r="QI24" s="1544" t="n">
        <v>10.39574959</v>
      </c>
      <c r="QJ24" s="1544" t="n">
        <v>10.39574959</v>
      </c>
      <c r="QK24" s="1544" t="n">
        <v>10.35814871</v>
      </c>
      <c r="QL24" s="1544" t="n">
        <v>10.35814871</v>
      </c>
      <c r="QM24" s="1544" t="n">
        <v>10.35814871</v>
      </c>
      <c r="QN24" s="1544" t="n">
        <v>9.897754470000001</v>
      </c>
      <c r="QO24" s="1544" t="n">
        <v>9.897754470000001</v>
      </c>
      <c r="QP24" s="1544" t="n">
        <v>9.897754470000001</v>
      </c>
      <c r="QQ24" s="1544" t="n">
        <v>9.931073720000001</v>
      </c>
      <c r="QR24" s="1544" t="n">
        <v>9.931073720000001</v>
      </c>
      <c r="QS24" s="1544" t="n">
        <v>10.50605856</v>
      </c>
      <c r="QT24" s="1544" t="n">
        <v>10.50434156</v>
      </c>
      <c r="QU24" s="1544" t="n">
        <v>10.50434156</v>
      </c>
      <c r="QV24" s="1544" t="n">
        <v>10.43862422</v>
      </c>
      <c r="QW24" s="1544" t="n">
        <v>10.50434156</v>
      </c>
      <c r="QX24" s="1544" t="n">
        <v>10.50434156</v>
      </c>
      <c r="QY24" s="1544" t="n">
        <v>10.31928336</v>
      </c>
      <c r="QZ24" s="1544" t="n">
        <v>10.31928336</v>
      </c>
      <c r="RA24" s="1544" t="n">
        <v>10.33377516</v>
      </c>
      <c r="RB24" s="1544" t="n">
        <v>10.33377516</v>
      </c>
      <c r="RC24" s="1544" t="n">
        <v>10.33377516</v>
      </c>
      <c r="RD24" s="1544" t="n">
        <v>10.33377516</v>
      </c>
      <c r="RE24" s="1544" t="n">
        <v>1.59964469</v>
      </c>
      <c r="RF24" s="1544" t="n">
        <v>1.59964469</v>
      </c>
      <c r="RG24" s="1544" t="n">
        <v>1.59964469</v>
      </c>
      <c r="RH24" s="1544" t="n">
        <v>1.50322668</v>
      </c>
      <c r="RI24" s="1544" t="n">
        <v>1.23468186</v>
      </c>
      <c r="RJ24" s="1544" t="n">
        <v>1.23468186</v>
      </c>
      <c r="RK24" s="1544" t="n">
        <v>1.23468186</v>
      </c>
      <c r="RL24" s="1544" t="n">
        <v>1.23468186</v>
      </c>
      <c r="RM24" s="1544" t="n">
        <v>1.79068363</v>
      </c>
      <c r="RN24" s="1544" t="n">
        <v>1.79068363</v>
      </c>
      <c r="RO24" s="1544" t="n">
        <v>1.79068363</v>
      </c>
      <c r="RP24" s="1544" t="n">
        <v>1.79068363</v>
      </c>
      <c r="RQ24" s="1544" t="n">
        <v>1.96106064</v>
      </c>
      <c r="RR24" s="1544" t="n">
        <v>1.96106064</v>
      </c>
      <c r="RS24" s="1544" t="n">
        <v>3.49736219</v>
      </c>
      <c r="RT24" s="1544" t="n">
        <v>3.49736219</v>
      </c>
      <c r="RU24" s="1544" t="n">
        <v>3.49736219</v>
      </c>
      <c r="RV24" s="1544" t="n">
        <v>3.49736219</v>
      </c>
      <c r="RW24" s="1544" t="n">
        <v>3.49736219</v>
      </c>
      <c r="RX24" s="1544" t="n">
        <v>3.49736219</v>
      </c>
      <c r="RY24" s="1544" t="n">
        <v>2.87703016</v>
      </c>
      <c r="RZ24" s="1544" t="n">
        <v>2.87703016</v>
      </c>
      <c r="SA24" s="1544" t="n">
        <v>2.90951424</v>
      </c>
      <c r="SB24" s="1544" t="n">
        <v>2.69883892</v>
      </c>
      <c r="SC24" s="1544" t="n">
        <v>2.69883892</v>
      </c>
      <c r="SD24" s="1544" t="n">
        <v>2.69883892</v>
      </c>
      <c r="SE24" s="1544" t="n">
        <v>2.73341578</v>
      </c>
      <c r="SF24" s="1544" t="n">
        <v>2.73341578</v>
      </c>
      <c r="SG24" s="1544" t="n">
        <v>2.97004645</v>
      </c>
      <c r="SH24" s="1544" t="n">
        <v>2.97004645</v>
      </c>
      <c r="SI24" s="1544" t="n">
        <v>3.28081079</v>
      </c>
      <c r="SJ24" s="1544" t="n">
        <v>3.28081079</v>
      </c>
      <c r="SK24" s="1544" t="n">
        <v>3.21977357</v>
      </c>
      <c r="SL24" s="1544" t="n">
        <v>3.21977357</v>
      </c>
      <c r="SM24" s="1544" t="n">
        <v>3.15938583</v>
      </c>
      <c r="SN24" s="1544" t="n">
        <v>3.15938583</v>
      </c>
      <c r="SO24" s="1544" t="n">
        <v>3.15938583</v>
      </c>
      <c r="SP24" s="1544" t="n">
        <v>2.6697476</v>
      </c>
      <c r="SQ24" s="1544" t="n">
        <v>2.6697476</v>
      </c>
      <c r="SR24" s="1544" t="n">
        <v>2.6697476</v>
      </c>
      <c r="SS24" s="1544" t="n">
        <v>2.6049026</v>
      </c>
      <c r="ST24" s="1544" t="n">
        <v>2.6049026</v>
      </c>
      <c r="SU24" s="1544" t="n">
        <v>2.6028026</v>
      </c>
      <c r="SV24" s="1544" t="n">
        <v>2.6028026</v>
      </c>
      <c r="SW24" s="1544" t="n">
        <v>2.6028026</v>
      </c>
      <c r="SX24" s="1544" t="n">
        <v>2.8326889</v>
      </c>
      <c r="SY24" s="1544" t="n">
        <v>2.8326889</v>
      </c>
      <c r="SZ24" s="1544" t="n">
        <v>2.8326889</v>
      </c>
      <c r="TA24" s="1544" t="n">
        <v>3.66823899</v>
      </c>
      <c r="TB24" s="1544" t="n">
        <v>3.66823899</v>
      </c>
      <c r="TC24" s="1544" t="n">
        <v>3.66823899</v>
      </c>
      <c r="TD24" s="1544" t="n">
        <v>3.66823899</v>
      </c>
      <c r="TE24" s="1544" t="n">
        <v>3.66823899</v>
      </c>
      <c r="TF24" s="1544" t="n"/>
      <c r="TG24" s="1544" t="n"/>
      <c r="TH24" s="1544" t="n"/>
      <c r="TI24" s="1544" t="n"/>
      <c r="TJ24" s="1544" t="n"/>
      <c r="TK24" s="1544" t="n"/>
      <c r="TL24" s="1544" t="n"/>
      <c r="TM24" s="1544" t="n"/>
      <c r="TN24" s="1544" t="n"/>
      <c r="TO24" s="1544" t="n"/>
      <c r="TP24" s="1544" t="n"/>
      <c r="TQ24" s="1544" t="n"/>
      <c r="TR24" s="1544" t="n"/>
      <c r="TS24" s="1544" t="n"/>
      <c r="TT24" s="1544" t="n"/>
      <c r="TU24" s="1544" t="n"/>
      <c r="TV24" s="1544" t="n"/>
      <c r="TW24" s="1544" t="n"/>
      <c r="TX24" s="1544" t="n"/>
      <c r="TY24" s="1544" t="n"/>
      <c r="TZ24" s="1544" t="n"/>
      <c r="UA24" s="1544" t="n"/>
      <c r="UB24" s="1544" t="n"/>
      <c r="UC24" s="1544" t="n"/>
      <c r="UD24" s="1544" t="n"/>
      <c r="UE24" s="1544" t="n"/>
      <c r="UF24" s="1544" t="n"/>
      <c r="UG24" s="1544" t="n"/>
      <c r="UH24" s="1544" t="n"/>
      <c r="UI24" s="1544" t="n"/>
      <c r="UJ24" s="1544" t="n"/>
      <c r="UK24" s="1544" t="n"/>
      <c r="UL24" s="1544" t="n"/>
      <c r="UM24" s="1544" t="n"/>
      <c r="UN24" s="1544" t="n"/>
      <c r="UO24" s="1544" t="n"/>
      <c r="UP24" s="1544" t="n"/>
      <c r="UQ24" s="1544" t="n"/>
      <c r="UR24" s="1544" t="n"/>
      <c r="US24" s="1544" t="n"/>
      <c r="UT24" s="1544" t="n"/>
      <c r="UU24" s="1544" t="n"/>
      <c r="UV24" s="1544" t="n"/>
      <c r="UW24" s="1544" t="n"/>
      <c r="UX24" s="1544" t="n"/>
      <c r="UY24" s="1544" t="n"/>
      <c r="UZ24" s="1544" t="n"/>
      <c r="VA24" s="1544" t="n"/>
      <c r="VB24" s="1544" t="n"/>
      <c r="VC24" s="1544" t="n"/>
      <c r="VD24" s="1544" t="n"/>
      <c r="VE24" s="1544" t="n"/>
      <c r="VF24" s="1544" t="n"/>
      <c r="VG24" s="1544" t="n"/>
      <c r="VH24" s="1544" t="n"/>
      <c r="VI24" s="1544" t="n"/>
      <c r="VJ24" s="1544" t="n"/>
      <c r="VK24" s="1544" t="n"/>
      <c r="VL24" s="1544" t="n"/>
      <c r="VM24" s="1544" t="n"/>
      <c r="VN24" s="1544" t="n"/>
      <c r="VO24" s="1544" t="n"/>
      <c r="VP24" s="1544" t="n"/>
      <c r="VQ24" s="1544" t="n"/>
      <c r="VR24" s="1544" t="n"/>
      <c r="VS24" s="1544" t="n"/>
      <c r="VT24" s="1544" t="n"/>
      <c r="VU24" s="1544" t="n"/>
      <c r="VV24" s="1544" t="n"/>
      <c r="VW24" s="1544" t="n"/>
      <c r="VX24" s="1544" t="n"/>
      <c r="VY24" s="1544" t="n"/>
      <c r="VZ24" s="1544" t="n"/>
      <c r="WA24" s="1544" t="n"/>
      <c r="WB24" s="1544" t="n"/>
      <c r="WC24" s="1544" t="n"/>
      <c r="WD24" s="1544" t="n"/>
      <c r="WE24" s="1544" t="n"/>
      <c r="WF24" s="1544" t="n"/>
      <c r="WG24" s="1544" t="n"/>
      <c r="WH24" s="1544" t="n"/>
      <c r="WI24" s="1544" t="n"/>
      <c r="WJ24" s="1544" t="n"/>
      <c r="WK24" s="1544" t="n"/>
      <c r="WL24" s="1544" t="n"/>
      <c r="WM24" s="1544" t="n"/>
      <c r="WN24" s="1544" t="n"/>
      <c r="WO24" s="1544" t="n"/>
      <c r="WP24" s="1544" t="n"/>
      <c r="WQ24" s="1544" t="n"/>
      <c r="WR24" s="1544" t="n"/>
      <c r="WS24" s="1544" t="n"/>
      <c r="WT24" s="1544" t="n"/>
      <c r="WU24" s="1544" t="n"/>
      <c r="WV24" s="1544" t="n"/>
      <c r="WW24" s="1544" t="n"/>
      <c r="WX24" s="1544" t="n"/>
      <c r="WY24" s="1544" t="n"/>
      <c r="WZ24" s="1544" t="n"/>
      <c r="XA24" s="1544" t="n"/>
      <c r="XB24" s="1544" t="n"/>
      <c r="XC24" s="1544" t="n"/>
      <c r="XD24" s="1544" t="n"/>
      <c r="XE24" s="1544" t="n"/>
      <c r="XF24" s="1544" t="n"/>
      <c r="XG24" s="1544" t="n"/>
      <c r="XH24" s="1544" t="n"/>
      <c r="XI24" s="1544" t="n"/>
      <c r="XJ24" s="1544" t="n"/>
      <c r="XK24" s="1544" t="n"/>
      <c r="XL24" s="1544" t="n"/>
      <c r="XM24" s="1544" t="n"/>
      <c r="XN24" s="1544" t="n"/>
      <c r="XO24" s="1544" t="n"/>
      <c r="XP24" s="1544" t="n"/>
      <c r="XQ24" s="1544" t="n"/>
      <c r="XR24" s="1544" t="n"/>
      <c r="XS24" s="1544" t="n"/>
      <c r="XT24" s="1544" t="n"/>
      <c r="XU24" s="1544" t="n"/>
      <c r="XV24" s="1544" t="n"/>
      <c r="XW24" s="1544" t="n"/>
      <c r="XX24" s="1544" t="n"/>
      <c r="XY24" s="1544" t="n"/>
      <c r="XZ24" s="1544" t="n"/>
      <c r="YA24" s="1544" t="n"/>
      <c r="YB24" s="1544" t="n"/>
      <c r="YC24" s="1544" t="n"/>
      <c r="YD24" s="1544" t="n"/>
      <c r="YE24" s="1544" t="n"/>
      <c r="YF24" s="1544" t="n"/>
      <c r="YG24" s="1544" t="n"/>
      <c r="YH24" s="1544" t="n"/>
      <c r="YI24" s="1544" t="n"/>
      <c r="YJ24" s="1544" t="n"/>
    </row>
    <row r="25" customFormat="1" s="948">
      <c r="B25" s="919" t="inlineStr">
        <is>
          <t xml:space="preserve">  Total APK DON       (M.RUB)</t>
        </is>
      </c>
      <c r="C25" s="1538">
        <f>SUM(C14:C23)</f>
        <v/>
      </c>
      <c r="D25" s="1526">
        <f>SUM(D14:D23)</f>
        <v/>
      </c>
      <c r="E25" s="1526">
        <f>SUM(E14:E23)</f>
        <v/>
      </c>
      <c r="F25" s="1526">
        <f>SUM(F14:F23)</f>
        <v/>
      </c>
      <c r="G25" s="1526">
        <f>SUM(G14:G23)</f>
        <v/>
      </c>
      <c r="H25" s="1526">
        <f>SUM(H14:H23)</f>
        <v/>
      </c>
      <c r="I25" s="1526">
        <f>SUM(I14:I23)</f>
        <v/>
      </c>
      <c r="J25" s="1526">
        <f>SUM(J14:J23)</f>
        <v/>
      </c>
      <c r="K25" s="1526">
        <f>SUM(K14:K23)</f>
        <v/>
      </c>
      <c r="L25" s="1526">
        <f>SUM(L14:L23)</f>
        <v/>
      </c>
      <c r="M25" s="1526">
        <f>SUM(M14:M23)</f>
        <v/>
      </c>
      <c r="N25" s="1526">
        <f>SUM(N14:N23)</f>
        <v/>
      </c>
      <c r="O25" s="1526">
        <f>SUM(O14:O23)</f>
        <v/>
      </c>
      <c r="P25" s="1526">
        <f>SUM(P14:P23)</f>
        <v/>
      </c>
      <c r="Q25" s="1526">
        <f>SUM(Q14:Q23)</f>
        <v/>
      </c>
      <c r="R25" s="1526">
        <f>SUM(R14:R23)</f>
        <v/>
      </c>
      <c r="S25" s="1526">
        <f>SUM(S14:S23)</f>
        <v/>
      </c>
      <c r="T25" s="1526">
        <f>SUM(T14:T23)</f>
        <v/>
      </c>
      <c r="U25" s="1526">
        <f>SUM(U14:U23)</f>
        <v/>
      </c>
      <c r="V25" s="1526">
        <f>SUM(V14:V23)</f>
        <v/>
      </c>
      <c r="W25" s="1526">
        <f>SUM(W14:W23)</f>
        <v/>
      </c>
      <c r="X25" s="1526">
        <f>SUM(X14:X23)</f>
        <v/>
      </c>
      <c r="Y25" s="1526">
        <f>SUM(Y14:Y23)</f>
        <v/>
      </c>
      <c r="Z25" s="1526">
        <f>SUM(Z14:Z23)</f>
        <v/>
      </c>
      <c r="AA25" s="1526">
        <f>SUM(AA14:AA23)</f>
        <v/>
      </c>
      <c r="AB25" s="1526">
        <f>SUM(AB14:AB23)</f>
        <v/>
      </c>
      <c r="AC25" s="1526">
        <f>SUM(AC14:AC23)</f>
        <v/>
      </c>
      <c r="AD25" s="1526">
        <f>SUM(AD14:AD23)</f>
        <v/>
      </c>
      <c r="AE25" s="1526">
        <f>SUM(AE14:AE23)</f>
        <v/>
      </c>
      <c r="AF25" s="1526">
        <f>SUM(AF14:AF23)</f>
        <v/>
      </c>
      <c r="AG25" s="1526">
        <f>SUM(AG14:AG23)</f>
        <v/>
      </c>
      <c r="AH25" s="1526">
        <f>SUM(AH14:AH23)</f>
        <v/>
      </c>
      <c r="AI25" s="1526">
        <f>SUM(AI14:AI23)</f>
        <v/>
      </c>
      <c r="AJ25" s="1526">
        <f>SUM(AJ14:AJ23)</f>
        <v/>
      </c>
      <c r="AK25" s="1526">
        <f>SUM(AK14:AK23)</f>
        <v/>
      </c>
      <c r="AL25" s="1526">
        <f>SUM(AL14:AL23)</f>
        <v/>
      </c>
      <c r="AM25" s="1526">
        <f>SUM(AM14:AM23)</f>
        <v/>
      </c>
      <c r="AN25" s="1526">
        <f>SUM(AN14:AN23)</f>
        <v/>
      </c>
      <c r="AO25" s="1526">
        <f>SUM(AO14:AO23)</f>
        <v/>
      </c>
      <c r="AP25" s="1526">
        <f>SUM(AP14:AP23)</f>
        <v/>
      </c>
      <c r="AQ25" s="1526">
        <f>SUM(AQ14:AQ23)</f>
        <v/>
      </c>
      <c r="AR25" s="1526">
        <f>SUM(AR14:AR23)</f>
        <v/>
      </c>
      <c r="AS25" s="1526">
        <f>SUM(AS14:AS23)</f>
        <v/>
      </c>
      <c r="AT25" s="1526">
        <f>SUM(AT14:AT23)</f>
        <v/>
      </c>
      <c r="AU25" s="1526">
        <f>SUM(AU14:AU23)</f>
        <v/>
      </c>
      <c r="AV25" s="1526">
        <f>SUM(AV14:AV23)</f>
        <v/>
      </c>
      <c r="AW25" s="1526">
        <f>SUM(AW14:AW23)</f>
        <v/>
      </c>
      <c r="AX25" s="1526">
        <f>SUM(AX14:AX23)</f>
        <v/>
      </c>
      <c r="AY25" s="1526">
        <f>SUM(AY14:AY23)</f>
        <v/>
      </c>
      <c r="AZ25" s="1526">
        <f>SUM(AZ14:AZ23)</f>
        <v/>
      </c>
      <c r="BA25" s="1526">
        <f>SUM(BA14:BA23)</f>
        <v/>
      </c>
      <c r="BB25" s="1526">
        <f>SUM(BB14:BB23)</f>
        <v/>
      </c>
      <c r="BC25" s="1526">
        <f>SUM(BC14:BC23)</f>
        <v/>
      </c>
      <c r="BD25" s="1526">
        <f>SUM(BD14:BD23)</f>
        <v/>
      </c>
      <c r="BE25" s="1526">
        <f>SUM(BE14:BE23)</f>
        <v/>
      </c>
      <c r="BF25" s="1526">
        <f>SUM(BF14:BF23)</f>
        <v/>
      </c>
      <c r="BG25" s="1526">
        <f>SUM(BG14:BG23)</f>
        <v/>
      </c>
      <c r="BH25" s="1526">
        <f>SUM(BH14:BH23)</f>
        <v/>
      </c>
      <c r="BI25" s="1526">
        <f>SUM(BI14:BI23)</f>
        <v/>
      </c>
      <c r="BJ25" s="1526">
        <f>SUM(BJ14:BJ23)</f>
        <v/>
      </c>
      <c r="BK25" s="1526">
        <f>SUM(BK14:BK23)</f>
        <v/>
      </c>
      <c r="BL25" s="1526">
        <f>SUM(BL14:BL23)</f>
        <v/>
      </c>
      <c r="BM25" s="1526">
        <f>SUM(BM14:BM23)</f>
        <v/>
      </c>
      <c r="BN25" s="1526">
        <f>SUM(BN14:BN23)</f>
        <v/>
      </c>
      <c r="BO25" s="1526">
        <f>SUM(BO14:BO23)</f>
        <v/>
      </c>
      <c r="BP25" s="1526">
        <f>SUM(BP14:BP23)</f>
        <v/>
      </c>
      <c r="BQ25" s="1526">
        <f>SUM(BQ14:BQ23)</f>
        <v/>
      </c>
      <c r="BR25" s="1526">
        <f>SUM(BR14:BR23)</f>
        <v/>
      </c>
      <c r="BS25" s="1526">
        <f>SUM(BS14:BS23)</f>
        <v/>
      </c>
      <c r="BT25" s="1526">
        <f>SUM(BT14:BT23)</f>
        <v/>
      </c>
      <c r="BU25" s="1526">
        <f>SUM(BU14:BU23)</f>
        <v/>
      </c>
      <c r="BV25" s="1526">
        <f>SUM(BV14:BV23)</f>
        <v/>
      </c>
      <c r="BW25" s="1526">
        <f>SUM(BW14:BW23)</f>
        <v/>
      </c>
      <c r="BX25" s="1526">
        <f>SUM(BX14:BX23)</f>
        <v/>
      </c>
      <c r="BY25" s="1526">
        <f>SUM(BY14:BY23)</f>
        <v/>
      </c>
      <c r="BZ25" s="1526">
        <f>SUM(BZ14:BZ23)</f>
        <v/>
      </c>
      <c r="CA25" s="1526">
        <f>SUM(CA14:CA23)</f>
        <v/>
      </c>
      <c r="CB25" s="1526">
        <f>SUM(CB14:CB23)</f>
        <v/>
      </c>
      <c r="CC25" s="1526">
        <f>SUM(CC14:CC23)</f>
        <v/>
      </c>
      <c r="CD25" s="1526">
        <f>SUM(CD14:CD23)</f>
        <v/>
      </c>
      <c r="CE25" s="1526">
        <f>SUM(CE14:CE23)</f>
        <v/>
      </c>
      <c r="CF25" s="1526">
        <f>SUM(CF14:CF23)</f>
        <v/>
      </c>
      <c r="CG25" s="1526">
        <f>SUM(CG14:CG23)</f>
        <v/>
      </c>
      <c r="CH25" s="1526">
        <f>SUM(CH14:CH23)</f>
        <v/>
      </c>
      <c r="CI25" s="1526">
        <f>SUM(CI14:CI23)</f>
        <v/>
      </c>
      <c r="CJ25" s="1526">
        <f>SUM(CJ14:CJ23)</f>
        <v/>
      </c>
      <c r="CK25" s="1526">
        <f>SUM(CK14:CK23)</f>
        <v/>
      </c>
      <c r="CL25" s="1526">
        <f>SUM(CL14:CL23)</f>
        <v/>
      </c>
      <c r="CM25" s="1526">
        <f>SUM(CM14:CM23)</f>
        <v/>
      </c>
      <c r="CN25" s="1526">
        <f>SUM(CN14:CN23)</f>
        <v/>
      </c>
      <c r="CO25" s="1526">
        <f>SUM(CO14:CO23)</f>
        <v/>
      </c>
      <c r="CP25" s="1526">
        <f>SUM(CP14:CP23)</f>
        <v/>
      </c>
      <c r="CQ25" s="1526">
        <f>SUM(CQ14:CQ23)</f>
        <v/>
      </c>
      <c r="CR25" s="1526">
        <f>SUM(CR14:CR23)</f>
        <v/>
      </c>
      <c r="CS25" s="1526">
        <f>SUM(CS14:CS23)</f>
        <v/>
      </c>
      <c r="CT25" s="1526">
        <f>SUM(CT14:CT23)</f>
        <v/>
      </c>
      <c r="CU25" s="1526">
        <f>SUM(CU14:CU23)</f>
        <v/>
      </c>
      <c r="CV25" s="1526">
        <f>SUM(CV14:CV23)</f>
        <v/>
      </c>
      <c r="CW25" s="1526">
        <f>SUM(CW14:CW23)</f>
        <v/>
      </c>
      <c r="CX25" s="1526">
        <f>SUM(CX14:CX23)</f>
        <v/>
      </c>
      <c r="CY25" s="1526">
        <f>SUM(CY14:CY23)</f>
        <v/>
      </c>
      <c r="CZ25" s="1526">
        <f>SUM(CZ14:CZ23)</f>
        <v/>
      </c>
      <c r="DA25" s="1526">
        <f>SUM(DA14:DA23)</f>
        <v/>
      </c>
      <c r="DB25" s="1526">
        <f>SUM(DB14:DB23)</f>
        <v/>
      </c>
      <c r="DC25" s="1526">
        <f>SUM(DC14:DC23)</f>
        <v/>
      </c>
      <c r="DD25" s="1526">
        <f>SUM(DD14:DD23)</f>
        <v/>
      </c>
      <c r="DE25" s="1526">
        <f>SUM(DE14:DE23)</f>
        <v/>
      </c>
      <c r="DF25" s="1526">
        <f>SUM(DF14:DF23)</f>
        <v/>
      </c>
      <c r="DG25" s="1526">
        <f>SUM(DG14:DG23)</f>
        <v/>
      </c>
      <c r="DH25" s="1526">
        <f>SUM(DH14:DH23)</f>
        <v/>
      </c>
      <c r="DI25" s="1526">
        <f>SUM(DI14:DI23)</f>
        <v/>
      </c>
      <c r="DJ25" s="1526">
        <f>SUM(DJ14:DJ23)</f>
        <v/>
      </c>
      <c r="DK25" s="1526">
        <f>SUM(DK14:DK23)</f>
        <v/>
      </c>
      <c r="DL25" s="1526">
        <f>SUM(DL14:DL23)</f>
        <v/>
      </c>
      <c r="DM25" s="1526">
        <f>SUM(DM14:DM23)</f>
        <v/>
      </c>
      <c r="DN25" s="1526">
        <f>SUM(DN14:DN23)</f>
        <v/>
      </c>
      <c r="DO25" s="1526">
        <f>SUM(DO14:DO23)</f>
        <v/>
      </c>
      <c r="DP25" s="1526">
        <f>SUM(DP14:DP23)</f>
        <v/>
      </c>
      <c r="DQ25" s="1526">
        <f>SUM(DQ14:DQ23)</f>
        <v/>
      </c>
      <c r="DR25" s="1526">
        <f>SUM(DR14:DR23)</f>
        <v/>
      </c>
      <c r="DS25" s="1526">
        <f>SUM(DS14:DS23)</f>
        <v/>
      </c>
      <c r="DT25" s="1526">
        <f>SUM(DT14:DT23)</f>
        <v/>
      </c>
      <c r="DU25" s="1526">
        <f>SUM(DU14:DU23)</f>
        <v/>
      </c>
      <c r="DV25" s="1526">
        <f>SUM(DV14:DV23)</f>
        <v/>
      </c>
      <c r="DW25" s="1526">
        <f>SUM(DW14:DW23)</f>
        <v/>
      </c>
      <c r="DX25" s="1526">
        <f>SUM(DX14:DX23)</f>
        <v/>
      </c>
      <c r="DY25" s="1526">
        <f>SUM(DY14:DY23)</f>
        <v/>
      </c>
      <c r="DZ25" s="1526">
        <f>SUM(DZ14:DZ23)</f>
        <v/>
      </c>
      <c r="EA25" s="1526">
        <f>SUM(EA14:EA23)</f>
        <v/>
      </c>
      <c r="EB25" s="1526">
        <f>SUM(EB14:EB23)</f>
        <v/>
      </c>
      <c r="EC25" s="1526">
        <f>SUM(EC14:EC23)</f>
        <v/>
      </c>
      <c r="ED25" s="1526">
        <f>SUM(ED14:ED23)</f>
        <v/>
      </c>
      <c r="EE25" s="1526">
        <f>SUM(EE14:EE23)</f>
        <v/>
      </c>
      <c r="EF25" s="1526">
        <f>SUM(EF14:EF23)</f>
        <v/>
      </c>
      <c r="EG25" s="1526">
        <f>SUM(EG14:EG23)</f>
        <v/>
      </c>
      <c r="EH25" s="1526">
        <f>SUM(EH14:EH23)</f>
        <v/>
      </c>
      <c r="EI25" s="1526">
        <f>SUM(EI14:EI23)</f>
        <v/>
      </c>
      <c r="EJ25" s="1526">
        <f>SUM(EJ14:EJ23)</f>
        <v/>
      </c>
      <c r="EK25" s="1526">
        <f>SUM(EK14:EK23)</f>
        <v/>
      </c>
      <c r="EL25" s="1526">
        <f>SUM(EL14:EL23)</f>
        <v/>
      </c>
      <c r="EM25" s="1526">
        <f>SUM(EM14:EM23)</f>
        <v/>
      </c>
      <c r="EN25" s="1526">
        <f>SUM(EN14:EN23)</f>
        <v/>
      </c>
      <c r="EO25" s="1526">
        <f>SUM(EO14:EO23)</f>
        <v/>
      </c>
      <c r="EP25" s="1526">
        <f>SUM(EP14:EP23)</f>
        <v/>
      </c>
      <c r="EQ25" s="1526">
        <f>SUM(EQ14:EQ23)</f>
        <v/>
      </c>
      <c r="ER25" s="1526">
        <f>SUM(ER14:ER23)</f>
        <v/>
      </c>
      <c r="ES25" s="1526">
        <f>SUM(ES14:ES23)</f>
        <v/>
      </c>
      <c r="ET25" s="1526">
        <f>SUM(ET14:ET23)</f>
        <v/>
      </c>
      <c r="EU25" s="1526">
        <f>SUM(EU14:EU23)</f>
        <v/>
      </c>
      <c r="EV25" s="1526">
        <f>SUM(EV14:EV23)</f>
        <v/>
      </c>
      <c r="EW25" s="1526">
        <f>SUM(EW14:EW23)</f>
        <v/>
      </c>
      <c r="EX25" s="1526">
        <f>SUM(EX14:EX23)</f>
        <v/>
      </c>
      <c r="EY25" s="1526">
        <f>SUM(EY14:EY23)</f>
        <v/>
      </c>
      <c r="EZ25" s="1526">
        <f>SUM(EZ14:EZ23)</f>
        <v/>
      </c>
      <c r="FA25" s="1526">
        <f>SUM(FA14:FA23)</f>
        <v/>
      </c>
      <c r="FB25" s="1526">
        <f>SUM(FB14:FB23)</f>
        <v/>
      </c>
      <c r="FC25" s="1526">
        <f>SUM(FC14:FC23)</f>
        <v/>
      </c>
      <c r="FD25" s="1526">
        <f>SUM(FD14:FD23)</f>
        <v/>
      </c>
      <c r="FE25" s="1526">
        <f>SUM(FE14:FE23)</f>
        <v/>
      </c>
      <c r="FF25" s="1526">
        <f>SUM(FF14:FF23)</f>
        <v/>
      </c>
      <c r="FG25" s="1526">
        <f>SUM(FG14:FG23)</f>
        <v/>
      </c>
      <c r="FH25" s="1526">
        <f>SUM(FH14:FH23)</f>
        <v/>
      </c>
      <c r="FI25" s="1526">
        <f>SUM(FI14:FI23)</f>
        <v/>
      </c>
      <c r="FJ25" s="1526">
        <f>SUM(FJ14:FJ23)</f>
        <v/>
      </c>
      <c r="FK25" s="1526">
        <f>SUM(FK14:FK23)</f>
        <v/>
      </c>
      <c r="FL25" s="1526">
        <f>SUM(FL14:FL23)</f>
        <v/>
      </c>
      <c r="FM25" s="1526">
        <f>SUM(FM14:FM23)</f>
        <v/>
      </c>
      <c r="FN25" s="1526">
        <f>SUM(FN14:FN23)</f>
        <v/>
      </c>
      <c r="FO25" s="1526">
        <f>SUM(FO14:FO23)</f>
        <v/>
      </c>
      <c r="FP25" s="1526">
        <f>SUM(FP14:FP23)</f>
        <v/>
      </c>
      <c r="FQ25" s="1526">
        <f>SUM(FQ14:FQ23)</f>
        <v/>
      </c>
      <c r="FR25" s="1526">
        <f>SUM(FR14:FR23)</f>
        <v/>
      </c>
      <c r="FS25" s="1526">
        <f>SUM(FS14:FS23)</f>
        <v/>
      </c>
      <c r="FT25" s="1526">
        <f>SUM(FT14:FT23)</f>
        <v/>
      </c>
      <c r="FU25" s="1526">
        <f>SUM(FU14:FU23)</f>
        <v/>
      </c>
      <c r="FV25" s="1526">
        <f>SUM(FV14:FV23)</f>
        <v/>
      </c>
      <c r="FW25" s="1526">
        <f>SUM(FW14:FW23)</f>
        <v/>
      </c>
      <c r="FX25" s="1526">
        <f>SUM(FX14:FX23)</f>
        <v/>
      </c>
      <c r="FY25" s="1526">
        <f>SUM(FY14:FY23)</f>
        <v/>
      </c>
      <c r="FZ25" s="1526">
        <f>SUM(FZ14:FZ23)</f>
        <v/>
      </c>
      <c r="GA25" s="1526">
        <f>SUM(GA14:GA23)</f>
        <v/>
      </c>
      <c r="GB25" s="1526">
        <f>SUM(GB14:GB23)</f>
        <v/>
      </c>
      <c r="GC25" s="1526">
        <f>SUM(GC14:GC23)</f>
        <v/>
      </c>
      <c r="GD25" s="1526">
        <f>SUM(GD14:GD23)</f>
        <v/>
      </c>
      <c r="GE25" s="1526">
        <f>SUM(GE14:GE23)</f>
        <v/>
      </c>
      <c r="GF25" s="1526">
        <f>SUM(GF14:GF23)</f>
        <v/>
      </c>
      <c r="GG25" s="1526">
        <f>SUM(GG14:GG23)</f>
        <v/>
      </c>
      <c r="GH25" s="1526">
        <f>SUM(GH14:GH23)</f>
        <v/>
      </c>
      <c r="GI25" s="1526">
        <f>SUM(GI14:GI23)</f>
        <v/>
      </c>
      <c r="GJ25" s="1526">
        <f>SUM(GJ14:GJ23)</f>
        <v/>
      </c>
      <c r="GK25" s="1526">
        <f>SUM(GK14:GK23)</f>
        <v/>
      </c>
      <c r="GL25" s="1526">
        <f>SUM(GL14:GL23)</f>
        <v/>
      </c>
      <c r="GM25" s="1526">
        <f>SUM(GM14:GM23)</f>
        <v/>
      </c>
      <c r="GN25" s="1526">
        <f>SUM(GN14:GN23)</f>
        <v/>
      </c>
      <c r="GO25" s="1526">
        <f>SUM(GO14:GO23)</f>
        <v/>
      </c>
      <c r="GP25" s="1526">
        <f>SUM(GP14:GP23)</f>
        <v/>
      </c>
      <c r="GQ25" s="1526">
        <f>SUM(GQ14:GQ23)</f>
        <v/>
      </c>
      <c r="GR25" s="1526">
        <f>SUM(GR14:GR23)</f>
        <v/>
      </c>
      <c r="GS25" s="1526">
        <f>SUM(GS14:GS23)</f>
        <v/>
      </c>
      <c r="GT25" s="1526">
        <f>SUM(GT14:GT23)</f>
        <v/>
      </c>
      <c r="GU25" s="1526">
        <f>SUM(GU14:GU23)</f>
        <v/>
      </c>
      <c r="GV25" s="1526">
        <f>SUM(GV14:GV23)</f>
        <v/>
      </c>
      <c r="GW25" s="1526">
        <f>SUM(GW14:GW23)</f>
        <v/>
      </c>
      <c r="GX25" s="1526">
        <f>SUM(GX14:GX23)</f>
        <v/>
      </c>
      <c r="GY25" s="1526">
        <f>SUM(GY14:GY23)</f>
        <v/>
      </c>
      <c r="GZ25" s="1526">
        <f>SUM(GZ14:GZ23)</f>
        <v/>
      </c>
      <c r="HA25" s="1526">
        <f>SUM(HA14:HA23)</f>
        <v/>
      </c>
      <c r="HB25" s="1526">
        <f>SUM(HB14:HB23)</f>
        <v/>
      </c>
      <c r="HC25" s="1526">
        <f>SUM(HC14:HC23)</f>
        <v/>
      </c>
      <c r="HD25" s="1526">
        <f>SUM(HD14:HD23)</f>
        <v/>
      </c>
      <c r="HE25" s="1526">
        <f>SUM(HE14:HE23)</f>
        <v/>
      </c>
      <c r="HF25" s="1526">
        <f>SUM(HF14:HF23)</f>
        <v/>
      </c>
      <c r="HG25" s="1526">
        <f>SUM(HG14:HG23)</f>
        <v/>
      </c>
      <c r="HH25" s="1526">
        <f>SUM(HH14:HH23)</f>
        <v/>
      </c>
      <c r="HI25" s="1526">
        <f>SUM(HI14:HI23)</f>
        <v/>
      </c>
      <c r="HJ25" s="1526">
        <f>SUM(HJ14:HJ23)</f>
        <v/>
      </c>
      <c r="HK25" s="1526">
        <f>SUM(HK14:HK23)</f>
        <v/>
      </c>
      <c r="HL25" s="1526">
        <f>SUM(HL14:HL23)</f>
        <v/>
      </c>
      <c r="HM25" s="1526">
        <f>SUM(HM14:HM23)</f>
        <v/>
      </c>
      <c r="HN25" s="1526">
        <f>SUM(HN14:HN23)</f>
        <v/>
      </c>
      <c r="HO25" s="1526" t="n">
        <v>1269.58169927</v>
      </c>
      <c r="HP25" s="1526" t="n">
        <v>1239.75831363</v>
      </c>
      <c r="HQ25" s="1526" t="n">
        <v>762.08307454</v>
      </c>
      <c r="HR25" s="1526">
        <f>SUM(HR14:HR23)</f>
        <v/>
      </c>
      <c r="HS25" s="1526">
        <f>SUM(HS14:HS23)</f>
        <v/>
      </c>
      <c r="HT25" s="1526">
        <f>SUM(HT14:HT23)</f>
        <v/>
      </c>
      <c r="HU25" s="1526">
        <f>SUM(HU14:HU23)</f>
        <v/>
      </c>
      <c r="HV25" s="1526" t="n">
        <v>493.29022158</v>
      </c>
      <c r="HW25" s="1526" t="n">
        <v>493.29022158</v>
      </c>
      <c r="HX25" s="1526" t="n">
        <v>530.01397379</v>
      </c>
      <c r="HY25" s="1526" t="n">
        <v>530.01397379</v>
      </c>
      <c r="HZ25" s="1526" t="n">
        <v>518.27352767</v>
      </c>
      <c r="IA25" s="1526" t="n">
        <v>579.8965507500001</v>
      </c>
      <c r="IB25" s="1526" t="n">
        <v>692.84986687</v>
      </c>
      <c r="IC25" s="1526" t="n">
        <v>692.84986687</v>
      </c>
      <c r="ID25" s="1526" t="n">
        <v>692.84986687</v>
      </c>
      <c r="IE25" s="1526" t="n">
        <v>586.5240939</v>
      </c>
      <c r="IF25" s="1526" t="n">
        <v>586.5240939</v>
      </c>
      <c r="IG25" s="1526" t="n">
        <v>776.7741402500002</v>
      </c>
      <c r="IH25" s="1526" t="n">
        <v>781.3304197299999</v>
      </c>
      <c r="II25" s="1526" t="n">
        <v>781.3304197299999</v>
      </c>
      <c r="IJ25" s="1526" t="n">
        <v>781.3304197299999</v>
      </c>
      <c r="IK25" s="1526" t="n">
        <v>992.4367665500001</v>
      </c>
      <c r="IL25" s="1526" t="n">
        <v>992.4367665500001</v>
      </c>
      <c r="IM25" s="1526" t="n">
        <v>992.4367665500001</v>
      </c>
      <c r="IN25" s="1526" t="n">
        <v>811.93011989</v>
      </c>
      <c r="IO25" s="1526" t="n">
        <v>781.62361761</v>
      </c>
      <c r="IP25" s="1526" t="n">
        <v>827.3414801499999</v>
      </c>
      <c r="IQ25" s="1526" t="n">
        <v>877.43858169</v>
      </c>
      <c r="IR25" s="1526" t="n">
        <v>877.43858169</v>
      </c>
      <c r="IS25" s="1526" t="n">
        <v>900.8225146099999</v>
      </c>
      <c r="IT25" s="1526" t="n">
        <v>1044.528281</v>
      </c>
      <c r="IU25" s="1526" t="n">
        <v>1099.78754367</v>
      </c>
      <c r="IV25" s="1526" t="n">
        <v>1099.78754367</v>
      </c>
      <c r="IW25" s="1526" t="n">
        <v>1130.84836092</v>
      </c>
      <c r="IX25" s="1526" t="n">
        <v>843.99708865</v>
      </c>
      <c r="IY25" s="1526">
        <f>SUM(IY14:IY23)</f>
        <v/>
      </c>
      <c r="IZ25" s="1526" t="n">
        <v>909.23922076</v>
      </c>
      <c r="JA25" s="1526" t="n">
        <v>980.45038016</v>
      </c>
      <c r="JB25" s="1526" t="n">
        <v>980.45038016</v>
      </c>
      <c r="JC25" s="1526" t="n">
        <v>997.91794645</v>
      </c>
      <c r="JD25" s="1526" t="n">
        <v>1029.68777512</v>
      </c>
      <c r="JE25" s="1526" t="n">
        <v>1029.68777512</v>
      </c>
      <c r="JF25" s="1526" t="n">
        <v>1029.68777512</v>
      </c>
      <c r="JG25" s="1526" t="n">
        <v>968.01678175</v>
      </c>
      <c r="JH25" s="1526" t="n">
        <v>968.01678175</v>
      </c>
      <c r="JI25" s="1526" t="n">
        <v>968.01678175</v>
      </c>
      <c r="JJ25" s="1526" t="n">
        <v>1100.75823277</v>
      </c>
      <c r="JK25" s="1526" t="n">
        <v>1155.93828634</v>
      </c>
      <c r="JL25" s="1526" t="n">
        <v>1057.9308315</v>
      </c>
      <c r="JM25" s="1526" t="n">
        <v>1092.2585413</v>
      </c>
      <c r="JN25" s="1526" t="n">
        <v>1092.2585413</v>
      </c>
      <c r="JO25" s="1526" t="n">
        <v>1092.2585413</v>
      </c>
      <c r="JP25" s="1526" t="n">
        <v>1202.49717329</v>
      </c>
      <c r="JQ25" s="1526" t="n">
        <v>1202.49717329</v>
      </c>
      <c r="JR25" s="1526" t="n">
        <v>1207.50706152</v>
      </c>
      <c r="JS25" s="1526">
        <f>SUM(JS14:JS23)</f>
        <v/>
      </c>
      <c r="JT25" s="1526" t="n">
        <v>1992.23311515</v>
      </c>
      <c r="JU25" s="1526" t="n">
        <v>2061.28550023</v>
      </c>
      <c r="JV25" s="1526" t="n">
        <v>2061.28550023</v>
      </c>
      <c r="JW25" s="1526" t="n">
        <v>2068.08570957</v>
      </c>
      <c r="JX25" s="1526" t="n">
        <v>2068.08570957</v>
      </c>
      <c r="JY25" s="1526" t="n">
        <v>1415.46535558</v>
      </c>
      <c r="JZ25" s="1526" t="n">
        <v>1415.46535558</v>
      </c>
      <c r="KA25" s="1526" t="n">
        <v>1383.60135824</v>
      </c>
      <c r="KB25" s="1526" t="n">
        <v>1388.48048302</v>
      </c>
      <c r="KC25" s="1526" t="n">
        <v>1216.19082758</v>
      </c>
      <c r="KD25" s="1526" t="n">
        <v>1349.23576839</v>
      </c>
      <c r="KE25" s="1526" t="n">
        <v>1349.23576839</v>
      </c>
      <c r="KF25" s="1526" t="n">
        <v>1155.93828634</v>
      </c>
      <c r="KG25" s="1526" t="n">
        <v>2033.75591931</v>
      </c>
      <c r="KH25" s="1526" t="n">
        <v>2033.75591931</v>
      </c>
      <c r="KI25" s="1526" t="n">
        <v>1981.39164829</v>
      </c>
      <c r="KJ25" s="1526">
        <f>SUM(KJ14:KJ23)</f>
        <v/>
      </c>
      <c r="KK25" s="1526" t="n">
        <v>2044.81151067</v>
      </c>
      <c r="KL25" s="1526" t="n">
        <v>2055.60827783</v>
      </c>
      <c r="KM25" s="1526" t="n">
        <v>2055.60827783</v>
      </c>
      <c r="KN25" s="1526" t="n">
        <v>2048.08942493</v>
      </c>
      <c r="KO25" s="1526" t="n">
        <v>2108.73484396</v>
      </c>
      <c r="KP25" s="1526" t="n">
        <v>2072.15698875</v>
      </c>
      <c r="KQ25" s="1526" t="n">
        <v>1966.45762678</v>
      </c>
      <c r="KR25" s="1526" t="n">
        <v>1966.45762678</v>
      </c>
      <c r="KS25" s="1526">
        <f>SUM(KS14:KS23)</f>
        <v/>
      </c>
      <c r="KT25" s="1526" t="n">
        <v>2024.84081704</v>
      </c>
      <c r="KU25" s="1526">
        <f>SUM(KU14:KU23)</f>
        <v/>
      </c>
      <c r="KV25" s="1526">
        <f>SUM(KV14:KV23)</f>
        <v/>
      </c>
      <c r="KW25" s="1526">
        <f>SUM(KW14:KW23)</f>
        <v/>
      </c>
      <c r="KX25" s="1526" t="n">
        <v>1478.27032563</v>
      </c>
      <c r="KY25" s="1526" t="n">
        <v>1478.27032563</v>
      </c>
      <c r="KZ25" s="1526" t="n">
        <v>1421.95740414</v>
      </c>
      <c r="LA25" s="1526" t="n">
        <v>1421.95740414</v>
      </c>
      <c r="LB25" s="1526" t="n">
        <v>1475.26662765</v>
      </c>
      <c r="LC25" s="1526" t="n">
        <v>1475.26662765</v>
      </c>
      <c r="LD25" s="1526" t="n">
        <v>1475.26662765</v>
      </c>
      <c r="LE25" s="1526">
        <f>SUM(LE14:LE23)</f>
        <v/>
      </c>
      <c r="LF25" s="1527" t="n">
        <v>1587.95026957</v>
      </c>
      <c r="LG25" s="1527" t="n">
        <v>1587.95026957</v>
      </c>
      <c r="LH25" s="1527" t="n">
        <v>1587.95026957</v>
      </c>
      <c r="LI25" s="1527" t="n">
        <v>1660.3104757</v>
      </c>
      <c r="LJ25" s="1527" t="n">
        <v>1660.3104757</v>
      </c>
      <c r="LK25" s="1527" t="n">
        <v>1660.3104757</v>
      </c>
      <c r="LL25" s="1527" t="n">
        <v>1648.92898098</v>
      </c>
      <c r="LM25" s="1527" t="n">
        <v>1648.92898098</v>
      </c>
      <c r="LN25" s="1527" t="n">
        <v>1520.98864594</v>
      </c>
      <c r="LO25" s="1527" t="n">
        <v>1520.98864594</v>
      </c>
      <c r="LP25" s="1527" t="n">
        <v>1520.98864594</v>
      </c>
      <c r="LQ25" s="1527" t="n">
        <v>1475.15269384</v>
      </c>
      <c r="LR25" s="1527" t="n">
        <v>1503.52394413</v>
      </c>
      <c r="LS25" s="1527" t="n">
        <v>1503.52394413</v>
      </c>
      <c r="LT25" s="1527" t="n">
        <v>1650.78019174</v>
      </c>
      <c r="LU25" s="1527" t="n">
        <v>1581.45296381</v>
      </c>
      <c r="LV25" s="1527" t="n">
        <v>1622.09231925</v>
      </c>
      <c r="LW25" s="1527" t="n">
        <v>1622.09231925</v>
      </c>
      <c r="LX25" s="1527" t="n">
        <v>1690.71609766</v>
      </c>
      <c r="LY25" s="1527" t="n">
        <v>1690.71609766</v>
      </c>
      <c r="LZ25" s="1527" t="n">
        <v>1734.57686638</v>
      </c>
      <c r="MA25" s="1527" t="n">
        <v>1734.57686638</v>
      </c>
      <c r="MB25" s="1527" t="n">
        <v>1734.57686638</v>
      </c>
      <c r="MC25" s="1527" t="n">
        <v>1734.57686638</v>
      </c>
      <c r="MD25" s="1527" t="n">
        <v>1271.1556391</v>
      </c>
      <c r="ME25" s="1527" t="n">
        <v>1276.18674917</v>
      </c>
      <c r="MF25" s="1527" t="n">
        <v>1276.18674917</v>
      </c>
      <c r="MG25" s="1527" t="n">
        <v>1276.18674917</v>
      </c>
      <c r="MH25" s="1527" t="n">
        <v>824.1716352900004</v>
      </c>
      <c r="MI25" s="1527" t="n">
        <v>824.1716352900004</v>
      </c>
      <c r="MJ25" s="1527" t="n">
        <v>808.59636263</v>
      </c>
      <c r="MK25" s="1527" t="n">
        <v>810.0093848400001</v>
      </c>
      <c r="ML25" s="1527" t="n">
        <v>810.0093848400001</v>
      </c>
      <c r="MM25" s="1527" t="n">
        <v>810.0093848400001</v>
      </c>
      <c r="MN25" s="1527" t="n">
        <v>810.0093848400001</v>
      </c>
      <c r="MO25" s="1527" t="n">
        <v>810.0093848400001</v>
      </c>
      <c r="MP25" s="1527" t="n">
        <v>810.0093848400001</v>
      </c>
      <c r="MQ25" s="1527" t="n">
        <v>899.37640628</v>
      </c>
      <c r="MR25" s="1527" t="n">
        <v>899.37640628</v>
      </c>
      <c r="MS25" s="1527" t="n">
        <v>1104.9742324</v>
      </c>
      <c r="MT25" s="1527" t="n">
        <v>1070.54797246</v>
      </c>
      <c r="MU25" s="1527" t="n">
        <v>1070.54797246</v>
      </c>
      <c r="MV25" s="1527" t="n">
        <v>1070.54797246</v>
      </c>
      <c r="MW25" s="1527" t="n">
        <v>1265.21598406</v>
      </c>
      <c r="MX25" s="1527" t="n">
        <v>1328.22191076</v>
      </c>
      <c r="MY25" s="1527" t="n">
        <v>1328.22191076</v>
      </c>
      <c r="MZ25" s="1527" t="n">
        <v>1328.22191076</v>
      </c>
      <c r="NA25" s="1527" t="n">
        <v>1328.22191076</v>
      </c>
      <c r="NB25" s="1527" t="n">
        <v>1328.22191076</v>
      </c>
      <c r="NC25" s="1527" t="n">
        <v>1328.22191076</v>
      </c>
      <c r="ND25" s="1527" t="n">
        <v>1328.22191076</v>
      </c>
      <c r="NE25" s="1527" t="n">
        <v>1328.22191076</v>
      </c>
      <c r="NF25" s="1527" t="n">
        <v>1179.01429409</v>
      </c>
      <c r="NG25" s="1527" t="n">
        <v>1145.29084772</v>
      </c>
      <c r="NH25" s="1527" t="n">
        <v>1147.92618807</v>
      </c>
      <c r="NI25" s="1527" t="n">
        <v>1089.77181422</v>
      </c>
      <c r="NJ25" s="1527" t="n">
        <v>1089.77181422</v>
      </c>
      <c r="NK25" s="1527" t="n">
        <v>1164.93523683</v>
      </c>
      <c r="NL25" s="1527" t="n">
        <v>1164.93523683</v>
      </c>
      <c r="NM25" s="1527" t="n">
        <v>1283.82320145</v>
      </c>
      <c r="NN25" s="1527" t="n">
        <v>1283.82320145</v>
      </c>
      <c r="NO25" s="1527" t="n">
        <v>1283.82320145</v>
      </c>
      <c r="NP25" s="1527" t="n">
        <v>1555.17942751</v>
      </c>
      <c r="NQ25" s="1527" t="n">
        <v>1555.17942751</v>
      </c>
      <c r="NR25" s="1527" t="n">
        <v>1650.30892033</v>
      </c>
      <c r="NS25" s="1527" t="n">
        <v>1650.30892033</v>
      </c>
      <c r="NT25" s="1527" t="n">
        <v>1650.30892033</v>
      </c>
      <c r="NU25" s="1527">
        <f>SUM(NU14:NU23)</f>
        <v/>
      </c>
      <c r="NV25" s="1527" t="n">
        <v>1710.41273137</v>
      </c>
      <c r="NW25" s="1527" t="n">
        <v>1710.41273137</v>
      </c>
      <c r="NX25" s="1527" t="n">
        <v>1710.41273137</v>
      </c>
      <c r="NY25" s="1527" t="n">
        <v>1719.67751282</v>
      </c>
      <c r="NZ25" s="1527" t="n">
        <v>1758.91768498</v>
      </c>
      <c r="OA25" s="1527" t="n">
        <v>1758.91768498</v>
      </c>
      <c r="OB25" s="1527" t="n">
        <v>1758.91768498</v>
      </c>
      <c r="OC25" s="1527" t="n">
        <v>1556.82610882</v>
      </c>
      <c r="OD25" s="1527" t="n">
        <v>1556.82610882</v>
      </c>
      <c r="OE25" s="1527" t="n">
        <v>1556.82610882</v>
      </c>
      <c r="OF25" s="1527" t="n">
        <v>1556.82610882</v>
      </c>
      <c r="OG25" s="1527" t="n">
        <v>1758.42377506</v>
      </c>
      <c r="OH25" s="1527" t="n">
        <v>1758.42377506</v>
      </c>
      <c r="OI25" s="1527" t="n">
        <v>1605.82648287</v>
      </c>
      <c r="OJ25" s="1527" t="n">
        <v>1814.14102858</v>
      </c>
      <c r="OK25" s="1527" t="n">
        <v>1814.14102858</v>
      </c>
      <c r="OL25" s="1527" t="n">
        <v>1801.9183295</v>
      </c>
      <c r="OM25" s="1527" t="n">
        <v>1801.9183295</v>
      </c>
      <c r="ON25" s="1527" t="n">
        <v>1801.9183295</v>
      </c>
      <c r="OO25" s="1527" t="n">
        <v>1580.39794183</v>
      </c>
      <c r="OP25" s="1527" t="n">
        <v>1618.06781957</v>
      </c>
      <c r="OQ25" s="1527" t="n">
        <v>1618.06781957</v>
      </c>
      <c r="OR25" s="1527" t="n">
        <v>1618.06781957</v>
      </c>
      <c r="OS25" s="1527" t="n">
        <v>1595.00381902</v>
      </c>
      <c r="OT25" s="1527" t="n">
        <v>818.5766257500001</v>
      </c>
      <c r="OU25" s="1527" t="n">
        <v>818.5766257500001</v>
      </c>
      <c r="OV25" s="1527" t="n">
        <v>818.5766257500001</v>
      </c>
      <c r="OW25" s="1527" t="n">
        <v>637.50260205</v>
      </c>
      <c r="OX25" s="1527" t="n">
        <v>637.50260205</v>
      </c>
      <c r="OY25" s="1527" t="n">
        <v>801.1196743199999</v>
      </c>
      <c r="OZ25" s="1527" t="n">
        <v>801.1196743199999</v>
      </c>
      <c r="PA25" s="1527" t="n">
        <v>801.1196743199999</v>
      </c>
      <c r="PB25" s="1527" t="n">
        <v>687.53957244</v>
      </c>
      <c r="PC25" s="1527" t="n">
        <v>687.53957244</v>
      </c>
      <c r="PD25" s="1527" t="n">
        <v>687.53957244</v>
      </c>
      <c r="PE25" s="1527" t="n">
        <v>828.7291666499999</v>
      </c>
      <c r="PF25" s="1527" t="n">
        <v>843.70789295</v>
      </c>
      <c r="PG25" s="1527" t="n">
        <v>843.70789295</v>
      </c>
      <c r="PH25" s="1527" t="n">
        <v>843.70789295</v>
      </c>
      <c r="PI25" s="1527" t="n">
        <v>1013.97031402</v>
      </c>
      <c r="PJ25" s="1527" t="n">
        <v>1097.64948623</v>
      </c>
      <c r="PK25" s="1527" t="n">
        <v>1097.64948623</v>
      </c>
      <c r="PL25" s="1527" t="n">
        <v>1097.64948623</v>
      </c>
      <c r="PM25" s="1527" t="n">
        <v>1097.64948623</v>
      </c>
      <c r="PN25" s="1527" t="n">
        <v>1002.01912203</v>
      </c>
      <c r="PO25" s="1527" t="n">
        <v>1002.01912203</v>
      </c>
      <c r="PP25" s="1527" t="n">
        <v>993.4581988000002</v>
      </c>
      <c r="PQ25" s="1527" t="n">
        <v>993.4581988000002</v>
      </c>
      <c r="PR25" s="1527" t="n">
        <v>993.4581988000002</v>
      </c>
      <c r="PS25" s="1527" t="n">
        <v>1172.9198991</v>
      </c>
      <c r="PT25" s="1527" t="n">
        <v>1172.9198991</v>
      </c>
      <c r="PU25" s="1527" t="n">
        <v>976.7485446100001</v>
      </c>
      <c r="PV25" s="1527" t="n">
        <v>976.7485446100001</v>
      </c>
      <c r="PW25" s="1527" t="n">
        <v>976.7485446100001</v>
      </c>
      <c r="PX25" s="1527" t="n">
        <v>1167.77399729</v>
      </c>
      <c r="PY25" s="1527" t="n">
        <v>1191.53861625</v>
      </c>
      <c r="PZ25" s="1527" t="n">
        <v>1391.53861625</v>
      </c>
      <c r="QA25" s="1527" t="n">
        <v>1391.53861625</v>
      </c>
      <c r="QB25" s="1527" t="n">
        <v>731.3288150100001</v>
      </c>
      <c r="QC25" s="1527" t="n">
        <v>775.4226220200002</v>
      </c>
      <c r="QD25" s="1527" t="n">
        <v>775.4226220200002</v>
      </c>
      <c r="QE25" s="1527" t="n">
        <v>794.8240363000001</v>
      </c>
      <c r="QF25" s="1527" t="n">
        <v>794.8240363000001</v>
      </c>
      <c r="QG25" s="1527" t="n">
        <v>794.8240363000001</v>
      </c>
      <c r="QH25" s="1527">
        <f>SUM(QH14:QH23)</f>
        <v/>
      </c>
      <c r="QI25" s="1527" t="n">
        <v>961.7449965100002</v>
      </c>
      <c r="QJ25" s="1527" t="n">
        <v>961.7449965100002</v>
      </c>
      <c r="QK25" s="1527" t="n">
        <v>1065.77857547</v>
      </c>
      <c r="QL25" s="1527" t="n">
        <v>1065.77857547</v>
      </c>
      <c r="QM25" s="1527" t="n">
        <v>1065.77857547</v>
      </c>
      <c r="QN25" s="1527" t="n">
        <v>1088.23641902</v>
      </c>
      <c r="QO25" s="1527" t="n">
        <v>1279.29249938</v>
      </c>
      <c r="QP25" s="1527" t="n">
        <v>1279.29249938</v>
      </c>
      <c r="QQ25" s="1527" t="n">
        <v>1380.7033056</v>
      </c>
      <c r="QR25" s="1527" t="n">
        <v>1380.7033056</v>
      </c>
      <c r="QS25" s="1527" t="n">
        <v>1353.76434543</v>
      </c>
      <c r="QT25" s="1527" t="n">
        <v>1418.83306425</v>
      </c>
      <c r="QU25" s="1527" t="n">
        <v>1418.83306425</v>
      </c>
      <c r="QV25" s="1527" t="n">
        <v>1594.159862244576</v>
      </c>
      <c r="QW25" s="1527" t="n">
        <v>1418.83306425</v>
      </c>
      <c r="QX25" s="1527" t="n">
        <v>1418.83306425</v>
      </c>
      <c r="QY25" s="1527" t="n">
        <v>711.6271944100001</v>
      </c>
      <c r="QZ25" s="1527" t="n">
        <v>711.6271944100001</v>
      </c>
      <c r="RA25" s="1527" t="n">
        <v>547.94656905</v>
      </c>
      <c r="RB25" s="1527" t="n">
        <v>547.94656905</v>
      </c>
      <c r="RC25" s="1527" t="n">
        <v>547.94656905</v>
      </c>
      <c r="RD25" s="1527" t="n">
        <v>547.94656905</v>
      </c>
      <c r="RE25" s="1527" t="n">
        <v>568.63442714</v>
      </c>
      <c r="RF25" s="1527" t="n">
        <v>568.63442714</v>
      </c>
      <c r="RG25" s="1527">
        <f>SUM(RG14:RG23)</f>
        <v/>
      </c>
      <c r="RH25" s="1527" t="n">
        <v>525.7132874099999</v>
      </c>
      <c r="RI25" s="1527" t="n">
        <v>606.7528760700002</v>
      </c>
      <c r="RJ25" s="1527" t="n">
        <v>606.7528760700002</v>
      </c>
      <c r="RK25" s="1527" t="n">
        <v>668.2986525800001</v>
      </c>
      <c r="RL25" s="1527" t="n">
        <v>668.2986525800001</v>
      </c>
      <c r="RM25" s="1527" t="n">
        <v>697.0422394100002</v>
      </c>
      <c r="RN25" s="1527" t="n">
        <v>697.0422394100002</v>
      </c>
      <c r="RO25" s="1527" t="n">
        <v>697.0422394100002</v>
      </c>
      <c r="RP25" s="1527" t="n">
        <v>697.0422394100002</v>
      </c>
      <c r="RQ25" s="1527" t="n">
        <v>379.72475594</v>
      </c>
      <c r="RR25" s="1527" t="n">
        <v>379.72475594</v>
      </c>
      <c r="RS25" s="1527" t="n">
        <v>485.09416728</v>
      </c>
      <c r="RT25" s="1527" t="n">
        <v>485.09416728</v>
      </c>
      <c r="RU25" s="1527" t="n">
        <v>485.09416728</v>
      </c>
      <c r="RV25" s="1527" t="n">
        <v>485.09416728</v>
      </c>
      <c r="RW25" s="1527" t="n">
        <v>485.09416728</v>
      </c>
      <c r="RX25" s="1527" t="n">
        <v>485.09416728</v>
      </c>
      <c r="RY25" s="1527" t="n">
        <v>1216.1543989408</v>
      </c>
      <c r="RZ25" s="1527" t="n">
        <v>1216.1543989408</v>
      </c>
      <c r="SA25" s="1527" t="n">
        <v>752.13299192</v>
      </c>
      <c r="SB25" s="1527" t="n">
        <v>836.4857868739999</v>
      </c>
      <c r="SC25" s="1527" t="n">
        <v>836.4857868739999</v>
      </c>
      <c r="SD25" s="1527" t="n">
        <v>836.4857868739999</v>
      </c>
      <c r="SE25" s="1527" t="n">
        <v>926.5805017600001</v>
      </c>
      <c r="SF25" s="1527" t="n">
        <v>926.5805017600001</v>
      </c>
      <c r="SG25" s="1527" t="n">
        <v>925.7722576800002</v>
      </c>
      <c r="SH25" s="1527" t="n">
        <v>925.7722576800002</v>
      </c>
      <c r="SI25" s="1527" t="n">
        <v>1220.09408765</v>
      </c>
      <c r="SJ25" s="1527" t="n">
        <v>1220.09408765</v>
      </c>
      <c r="SK25" s="1527" t="n">
        <v>1287.7878409</v>
      </c>
      <c r="SL25" s="1527" t="n">
        <v>1287.7878409</v>
      </c>
      <c r="SM25" s="1527" t="n">
        <v>1261.25710202</v>
      </c>
      <c r="SN25" s="1527" t="n">
        <v>1261.25710202</v>
      </c>
      <c r="SO25" s="1527" t="n">
        <v>1261.25710202</v>
      </c>
      <c r="SP25" s="1527" t="n">
        <v>1326.92870129</v>
      </c>
      <c r="SQ25" s="1527" t="n">
        <v>1326.92870129</v>
      </c>
      <c r="SR25" s="1527" t="n">
        <v>1326.92870129</v>
      </c>
      <c r="SS25" s="1527" t="n">
        <v>1511.020178536</v>
      </c>
      <c r="ST25" s="1527" t="n">
        <v>1511.020178536</v>
      </c>
      <c r="SU25" s="1527" t="n">
        <v>1521.12979947</v>
      </c>
      <c r="SV25" s="1527" t="n">
        <v>1521.12979947</v>
      </c>
      <c r="SW25" s="1527" t="n">
        <v>1521.12979947</v>
      </c>
      <c r="SX25" s="1527" t="n">
        <v>1626.21147686</v>
      </c>
      <c r="SY25" s="1527" t="n">
        <v>1626.21147686</v>
      </c>
      <c r="SZ25" s="1527" t="n">
        <v>1626.21147686</v>
      </c>
      <c r="TA25" s="1527" t="n">
        <v>1531.77572346</v>
      </c>
      <c r="TB25" s="1527" t="n">
        <v>1531.77572346</v>
      </c>
      <c r="TC25" s="1527" t="n">
        <v>1677.62897829</v>
      </c>
      <c r="TD25" s="1527" t="n">
        <v>1677.62897829</v>
      </c>
      <c r="TE25" s="1527">
        <f>SUM(TE13:TE24)</f>
        <v/>
      </c>
      <c r="TF25" s="1527">
        <f>SUM(TF13:TF24)</f>
        <v/>
      </c>
      <c r="TG25" s="1527" t="n">
        <v>1041.531423932</v>
      </c>
      <c r="TH25" s="1527" t="n">
        <v>1058.2586269</v>
      </c>
      <c r="TI25" s="1527" t="n">
        <v>1079.36706193</v>
      </c>
      <c r="TJ25" s="1527" t="n">
        <v>1088.38851648</v>
      </c>
      <c r="TK25" s="1527" t="n">
        <v>1120.42423511</v>
      </c>
      <c r="TL25" s="1527" t="n">
        <v>1051.37817195</v>
      </c>
      <c r="TM25" s="1527" t="n">
        <v>548.69307483</v>
      </c>
      <c r="TN25" s="1527" t="n">
        <v>466.5273371899999</v>
      </c>
      <c r="TO25" s="1527" t="n">
        <v>627.1657932499998</v>
      </c>
      <c r="TP25" s="1527" t="n">
        <v>650.7399575900001</v>
      </c>
      <c r="TQ25" s="1527" t="n">
        <v>813.8363434500001</v>
      </c>
      <c r="TR25" s="1527" t="n">
        <v>909.1316422799999</v>
      </c>
      <c r="TS25" s="1527" t="n">
        <v>912.83744672</v>
      </c>
      <c r="TT25" s="1527" t="n">
        <v>917.97556505</v>
      </c>
      <c r="TU25" s="1527" t="n">
        <v>860.7497658100001</v>
      </c>
      <c r="TV25" s="1527" t="n">
        <v>714.93095857</v>
      </c>
      <c r="TW25" s="1527" t="n">
        <v>904.70120321</v>
      </c>
      <c r="TX25" s="1527" t="n">
        <v>911.7104692900001</v>
      </c>
      <c r="TY25" s="1527" t="n">
        <v>940.6741079200002</v>
      </c>
      <c r="TZ25" s="1527">
        <f>SUM(TZ13:TZ24)</f>
        <v/>
      </c>
      <c r="UA25" s="1527">
        <f>SUM(UA13:UA24)</f>
        <v/>
      </c>
      <c r="UB25" s="1527">
        <f>SUM(UB13:UB24)</f>
        <v/>
      </c>
      <c r="UC25" s="1527">
        <f>SUM(UC13:UC24)</f>
        <v/>
      </c>
      <c r="UD25" s="1527">
        <f>SUM(UD13:UD24)</f>
        <v/>
      </c>
      <c r="UE25" s="1527">
        <f>SUM(UE13:UE24)</f>
        <v/>
      </c>
      <c r="UF25" s="1527" t="n">
        <v>785.906303</v>
      </c>
      <c r="UG25" s="1527" t="n">
        <v>737.4824039299999</v>
      </c>
      <c r="UH25" s="1527" t="n">
        <v>760.04701067</v>
      </c>
      <c r="UI25" s="1527" t="n">
        <v>760.3343759000001</v>
      </c>
      <c r="UJ25" s="1527" t="n">
        <v>730.4111016500001</v>
      </c>
      <c r="UK25" s="1527" t="n">
        <v>752.52102403</v>
      </c>
      <c r="UL25" s="1527" t="n">
        <v>537.71941134</v>
      </c>
      <c r="UM25" s="1527" t="n">
        <v>547.9045908941001</v>
      </c>
      <c r="UN25" s="1527" t="n">
        <v>649.4306311309001</v>
      </c>
      <c r="UO25" s="1527" t="n">
        <v>656.8546981509</v>
      </c>
      <c r="UP25" s="1527" t="n">
        <v>979.3403790664</v>
      </c>
      <c r="UQ25" s="1527" t="n">
        <v>778.9699677522001</v>
      </c>
      <c r="UR25" s="1527" t="n">
        <v>740.3465123464</v>
      </c>
      <c r="US25" s="1527" t="n">
        <v>784.1298343062</v>
      </c>
      <c r="UT25" s="1527" t="n">
        <v>807.1290822804001</v>
      </c>
      <c r="UU25" s="1527" t="n">
        <v>778.1808101300001</v>
      </c>
      <c r="UV25" s="1527" t="n">
        <v>868.6616658999999</v>
      </c>
      <c r="UW25" s="1527" t="n">
        <v>867.3295566400001</v>
      </c>
      <c r="UX25" s="1527" t="n">
        <v>757.5042352200001</v>
      </c>
      <c r="UY25" s="1527" t="n">
        <v>784.9895771600001</v>
      </c>
      <c r="UZ25" s="1527" t="n">
        <v>802.4035997299999</v>
      </c>
      <c r="VA25" s="1527" t="n">
        <v>802.4035997299999</v>
      </c>
      <c r="VB25" s="1527" t="n">
        <v>860.5123756599999</v>
      </c>
      <c r="VC25" s="1527" t="n">
        <v>705.34565359</v>
      </c>
      <c r="VD25" s="1527" t="n">
        <v>828.17006453</v>
      </c>
      <c r="VE25" s="1527" t="n">
        <v>828.17006453</v>
      </c>
      <c r="VF25" s="1527" t="n">
        <v>780.281202532</v>
      </c>
      <c r="VG25" s="1527" t="n">
        <v>1056.5110761768</v>
      </c>
      <c r="VH25" s="1527" t="n">
        <v>1121.55798071</v>
      </c>
      <c r="VI25" s="1527" t="n">
        <v>1109.94302404</v>
      </c>
      <c r="VJ25" s="1527" t="n">
        <v>1238.06871491</v>
      </c>
      <c r="VK25" s="1527" t="n">
        <v>726.0164655599999</v>
      </c>
      <c r="VL25" s="1527" t="n">
        <v>842.6556900799999</v>
      </c>
      <c r="VM25" s="1527" t="n">
        <v>638.1643373400001</v>
      </c>
      <c r="VN25" s="1527" t="n">
        <v>699.4845884800001</v>
      </c>
      <c r="VO25" s="1527" t="n">
        <v>538.5154512599998</v>
      </c>
      <c r="VP25" s="1527" t="n">
        <v>623.9891501199999</v>
      </c>
      <c r="VQ25" s="1527" t="n">
        <v>702.1241433799999</v>
      </c>
      <c r="VR25" s="1527" t="n">
        <v>637.41543273</v>
      </c>
      <c r="VS25" s="1527" t="n">
        <v>292.50858299</v>
      </c>
      <c r="VT25" s="1527" t="n">
        <v>407.30546706</v>
      </c>
      <c r="VU25" s="1527" t="n">
        <v>435.55016193</v>
      </c>
      <c r="VV25" s="1527">
        <f>SUM(VV13:VV24)</f>
        <v/>
      </c>
      <c r="VW25" s="1527" t="n">
        <v>575.39606539</v>
      </c>
      <c r="VX25" s="1527" t="n">
        <v>672.04504819</v>
      </c>
      <c r="VY25" s="1527" t="n">
        <v>923.8673706100002</v>
      </c>
      <c r="VZ25" s="1527" t="n">
        <v>737.5797253480722</v>
      </c>
      <c r="WA25" s="1527" t="n">
        <v>926.0712754798698</v>
      </c>
      <c r="WB25" s="1527" t="n">
        <v>590.59518195987</v>
      </c>
      <c r="WC25" s="1527" t="n">
        <v>612.203110422667</v>
      </c>
      <c r="WD25" s="1527" t="n">
        <v>333.651763156354</v>
      </c>
      <c r="WE25" s="1527" t="n">
        <v>670.2401738679329</v>
      </c>
      <c r="WF25" s="1527" t="n">
        <v>698.8112855548831</v>
      </c>
      <c r="WG25" s="1527" t="n">
        <v>358.6172681429031</v>
      </c>
      <c r="WH25" s="1527" t="n">
        <v>428.5769520129031</v>
      </c>
      <c r="WI25" s="1527" t="n">
        <v>384.110922262903</v>
      </c>
      <c r="WJ25" s="1527" t="n">
        <v>552.9261147498109</v>
      </c>
      <c r="WK25" s="1527" t="n">
        <v>151.286002609811</v>
      </c>
      <c r="WL25" s="1527" t="n">
        <v>166.055329529811</v>
      </c>
      <c r="WM25" s="1527" t="n">
        <v>446.284107519811</v>
      </c>
      <c r="WN25" s="1527" t="n">
        <v>872.6333453398111</v>
      </c>
      <c r="WO25" s="1527" t="n">
        <v>340.2282839294239</v>
      </c>
      <c r="WP25" s="1527" t="n">
        <v>344.0728631794241</v>
      </c>
      <c r="WQ25" s="1527" t="n">
        <v>445.7216955994241</v>
      </c>
      <c r="WR25" s="1527">
        <f>SUM(WR13:WR24)</f>
        <v/>
      </c>
      <c r="WS25" s="1527">
        <f>SUM(WS13:WS24)</f>
        <v/>
      </c>
      <c r="WT25" s="1527">
        <f>SUM(WT13:WT24)</f>
        <v/>
      </c>
      <c r="WU25" s="1527">
        <f>SUM(WU13:WU24)</f>
        <v/>
      </c>
      <c r="WV25" s="1527">
        <f>SUM(WV13:WV24)</f>
        <v/>
      </c>
      <c r="WW25" s="1527" t="n">
        <v>300.3848749799999</v>
      </c>
      <c r="WX25" s="1527" t="n">
        <v>296.46649790152</v>
      </c>
      <c r="WY25" s="1527" t="n">
        <v>337.27684965</v>
      </c>
      <c r="WZ25" s="1527" t="n">
        <v>374.17320154</v>
      </c>
      <c r="XA25" s="1527" t="n">
        <v>400.74154595</v>
      </c>
      <c r="XB25" s="1527" t="n">
        <v>269.04215988</v>
      </c>
      <c r="XC25" s="1527" t="n">
        <v>363.01233735</v>
      </c>
      <c r="XD25" s="1527" t="n">
        <v>225.5184409</v>
      </c>
      <c r="XE25" s="1527" t="n">
        <v>490.86095675</v>
      </c>
      <c r="XF25" s="1527" t="n">
        <v>480.2192889400001</v>
      </c>
      <c r="XG25" s="1527" t="n">
        <v>474.36701838</v>
      </c>
      <c r="XH25" s="1527" t="n">
        <v>523.35028228</v>
      </c>
      <c r="XI25" s="1527" t="n">
        <v>282.77887127</v>
      </c>
      <c r="XJ25" s="1527" t="n">
        <v>387.22874958</v>
      </c>
      <c r="XK25" s="1527" t="n">
        <v>274.5744269099999</v>
      </c>
      <c r="XL25" s="1527" t="n">
        <v>373.1415555</v>
      </c>
      <c r="XM25" s="1527" t="n">
        <v>530.82551191</v>
      </c>
      <c r="XN25" s="1527" t="n">
        <v>605.9316562599998</v>
      </c>
      <c r="XO25" s="1527" t="n">
        <v>658.9214736199999</v>
      </c>
      <c r="XP25" s="1527" t="n">
        <v>745.50808998</v>
      </c>
      <c r="XQ25" s="1527" t="n">
        <v>221.21643493</v>
      </c>
      <c r="XR25" s="1527" t="n">
        <v>341.96815507</v>
      </c>
      <c r="XS25" s="1527" t="n">
        <v>262.1648362600001</v>
      </c>
      <c r="XT25" s="1527" t="n">
        <v>330.8444845015529</v>
      </c>
      <c r="XU25" s="1527" t="n">
        <v>459.83250004</v>
      </c>
      <c r="XV25" s="1527" t="n">
        <v>509.33530454</v>
      </c>
      <c r="XW25" s="1527" t="n">
        <v>490.6900278700001</v>
      </c>
      <c r="XX25" s="1527" t="n">
        <v>336.07350125</v>
      </c>
      <c r="XY25" s="1527" t="n">
        <v>517.7410522500001</v>
      </c>
      <c r="XZ25" s="1527" t="n">
        <v>416.01451801</v>
      </c>
      <c r="YA25" s="1527" t="n">
        <v>501.0390834300001</v>
      </c>
      <c r="YB25" s="1527" t="n">
        <v>627.0573266699998</v>
      </c>
      <c r="YC25" s="1527" t="n">
        <v>419.1948463700001</v>
      </c>
      <c r="YD25" s="1527" t="n">
        <v>371.67534907</v>
      </c>
      <c r="YE25" s="1527" t="n">
        <v>230.88582764</v>
      </c>
      <c r="YF25" s="1527" t="n">
        <v>264.31944283</v>
      </c>
      <c r="YG25" s="1527" t="n">
        <v>223.75877725</v>
      </c>
      <c r="YH25" s="1527" t="n">
        <v>283.10949121</v>
      </c>
      <c r="YI25" s="1527" t="n">
        <v>401.84533126</v>
      </c>
      <c r="YJ25" s="1528">
        <f>SUM(YJ13:YJ24)</f>
        <v/>
      </c>
    </row>
    <row r="26" ht="15" customFormat="1" customHeight="1" s="948" thickBot="1">
      <c r="B26" s="921" t="inlineStr">
        <is>
          <t xml:space="preserve">                                     (M.USD)</t>
        </is>
      </c>
      <c r="C26" s="1539">
        <f>C25/C2</f>
        <v/>
      </c>
      <c r="D26" s="1529">
        <f>D25/D2</f>
        <v/>
      </c>
      <c r="E26" s="1529">
        <f>E25/E2</f>
        <v/>
      </c>
      <c r="F26" s="1529">
        <f>F25/F2</f>
        <v/>
      </c>
      <c r="G26" s="1529">
        <f>G25/G2</f>
        <v/>
      </c>
      <c r="H26" s="1529">
        <f>H25/H2</f>
        <v/>
      </c>
      <c r="I26" s="1529">
        <f>I25/I2</f>
        <v/>
      </c>
      <c r="J26" s="1529">
        <f>J25/J2</f>
        <v/>
      </c>
      <c r="K26" s="1529">
        <f>K25/K2</f>
        <v/>
      </c>
      <c r="L26" s="1529">
        <f>L25/L2</f>
        <v/>
      </c>
      <c r="M26" s="1529">
        <f>M25/M2</f>
        <v/>
      </c>
      <c r="N26" s="1529">
        <f>N25/N2</f>
        <v/>
      </c>
      <c r="O26" s="1529">
        <f>O25/O2</f>
        <v/>
      </c>
      <c r="P26" s="1529">
        <f>P25/P2</f>
        <v/>
      </c>
      <c r="Q26" s="1529">
        <f>Q25/Q2</f>
        <v/>
      </c>
      <c r="R26" s="1529">
        <f>R25/R2</f>
        <v/>
      </c>
      <c r="S26" s="1529">
        <f>S25/S2</f>
        <v/>
      </c>
      <c r="T26" s="1529">
        <f>T25/T2</f>
        <v/>
      </c>
      <c r="U26" s="1529">
        <f>U25/U2</f>
        <v/>
      </c>
      <c r="V26" s="1529">
        <f>V25/V2</f>
        <v/>
      </c>
      <c r="W26" s="1529">
        <f>W25/W2</f>
        <v/>
      </c>
      <c r="X26" s="1529">
        <f>X25/X2</f>
        <v/>
      </c>
      <c r="Y26" s="1529">
        <f>Y25/Y2</f>
        <v/>
      </c>
      <c r="Z26" s="1529">
        <f>Z25/Z2</f>
        <v/>
      </c>
      <c r="AA26" s="1529">
        <f>AA25/AA2</f>
        <v/>
      </c>
      <c r="AB26" s="1529">
        <f>AB25/AB2</f>
        <v/>
      </c>
      <c r="AC26" s="1529">
        <f>AC25/AC2</f>
        <v/>
      </c>
      <c r="AD26" s="1529">
        <f>AD25/AD2</f>
        <v/>
      </c>
      <c r="AE26" s="1529">
        <f>AE25/AE2</f>
        <v/>
      </c>
      <c r="AF26" s="1529">
        <f>AF25/AF2</f>
        <v/>
      </c>
      <c r="AG26" s="1529">
        <f>AG25/AG2</f>
        <v/>
      </c>
      <c r="AH26" s="1529">
        <f>AH25/AH2</f>
        <v/>
      </c>
      <c r="AI26" s="1529">
        <f>AI25/AI2</f>
        <v/>
      </c>
      <c r="AJ26" s="1529">
        <f>AJ25/AJ2</f>
        <v/>
      </c>
      <c r="AK26" s="1529">
        <f>AK25/AK2</f>
        <v/>
      </c>
      <c r="AL26" s="1529">
        <f>AL25/AL2</f>
        <v/>
      </c>
      <c r="AM26" s="1529">
        <f>AM25/AM2</f>
        <v/>
      </c>
      <c r="AN26" s="1529">
        <f>AN25/AN2</f>
        <v/>
      </c>
      <c r="AO26" s="1529">
        <f>AO25/AO2</f>
        <v/>
      </c>
      <c r="AP26" s="1529">
        <f>AP25/AP2</f>
        <v/>
      </c>
      <c r="AQ26" s="1529">
        <f>AQ25/AQ2</f>
        <v/>
      </c>
      <c r="AR26" s="1529">
        <f>AR25/AR2</f>
        <v/>
      </c>
      <c r="AS26" s="1529">
        <f>AS25/AS2</f>
        <v/>
      </c>
      <c r="AT26" s="1529">
        <f>AT25/AT2</f>
        <v/>
      </c>
      <c r="AU26" s="1529">
        <f>AU25/AU2</f>
        <v/>
      </c>
      <c r="AV26" s="1529">
        <f>AV25/AV2</f>
        <v/>
      </c>
      <c r="AW26" s="1529">
        <f>AW25/AW2</f>
        <v/>
      </c>
      <c r="AX26" s="1529">
        <f>AX25/AX2</f>
        <v/>
      </c>
      <c r="AY26" s="1529">
        <f>AY25/AY2</f>
        <v/>
      </c>
      <c r="AZ26" s="1529">
        <f>AZ25/AZ2</f>
        <v/>
      </c>
      <c r="BA26" s="1529">
        <f>BA25/BA2</f>
        <v/>
      </c>
      <c r="BB26" s="1529">
        <f>BB25/BB2</f>
        <v/>
      </c>
      <c r="BC26" s="1529">
        <f>BC25/BC2</f>
        <v/>
      </c>
      <c r="BD26" s="1529">
        <f>BD25/BD2</f>
        <v/>
      </c>
      <c r="BE26" s="1529">
        <f>BE25/BE2</f>
        <v/>
      </c>
      <c r="BF26" s="1529">
        <f>BF25/BF2</f>
        <v/>
      </c>
      <c r="BG26" s="1529">
        <f>BG25/BG2</f>
        <v/>
      </c>
      <c r="BH26" s="1529">
        <f>BH25/BH2</f>
        <v/>
      </c>
      <c r="BI26" s="1529">
        <f>BI25/BI2</f>
        <v/>
      </c>
      <c r="BJ26" s="1529">
        <f>BJ25/BJ2</f>
        <v/>
      </c>
      <c r="BK26" s="1529">
        <f>BK25/BK2</f>
        <v/>
      </c>
      <c r="BL26" s="1529">
        <f>BL25/BL2</f>
        <v/>
      </c>
      <c r="BM26" s="1529">
        <f>BM25/BM2</f>
        <v/>
      </c>
      <c r="BN26" s="1529">
        <f>BN25/BN2</f>
        <v/>
      </c>
      <c r="BO26" s="1529">
        <f>BO25/BO2</f>
        <v/>
      </c>
      <c r="BP26" s="1529">
        <f>BP25/BP2</f>
        <v/>
      </c>
      <c r="BQ26" s="1529">
        <f>BQ25/BQ2</f>
        <v/>
      </c>
      <c r="BR26" s="1529">
        <f>BR25/BR2</f>
        <v/>
      </c>
      <c r="BS26" s="1529">
        <f>BS25/BS2</f>
        <v/>
      </c>
      <c r="BT26" s="1529">
        <f>BT25/BT2</f>
        <v/>
      </c>
      <c r="BU26" s="1529">
        <f>BU25/BU2</f>
        <v/>
      </c>
      <c r="BV26" s="1529">
        <f>BV25/BV2</f>
        <v/>
      </c>
      <c r="BW26" s="1529">
        <f>BW25/BW2</f>
        <v/>
      </c>
      <c r="BX26" s="1529">
        <f>BX25/BX2</f>
        <v/>
      </c>
      <c r="BY26" s="1529">
        <f>BY25/BY2</f>
        <v/>
      </c>
      <c r="BZ26" s="1529">
        <f>BZ25/BZ2</f>
        <v/>
      </c>
      <c r="CA26" s="1529">
        <f>CA25/CA2</f>
        <v/>
      </c>
      <c r="CB26" s="1529">
        <f>CB25/CB2</f>
        <v/>
      </c>
      <c r="CC26" s="1529">
        <f>CC25/CC2</f>
        <v/>
      </c>
      <c r="CD26" s="1529">
        <f>CD25/CD2</f>
        <v/>
      </c>
      <c r="CE26" s="1529">
        <f>CE25/CE2</f>
        <v/>
      </c>
      <c r="CF26" s="1529">
        <f>CF25/CF2</f>
        <v/>
      </c>
      <c r="CG26" s="1529">
        <f>CG25/CG2</f>
        <v/>
      </c>
      <c r="CH26" s="1529">
        <f>CH25/CH2</f>
        <v/>
      </c>
      <c r="CI26" s="1529">
        <f>CI25/CI2</f>
        <v/>
      </c>
      <c r="CJ26" s="1529">
        <f>CJ25/CJ2</f>
        <v/>
      </c>
      <c r="CK26" s="1529">
        <f>CK25/CK2</f>
        <v/>
      </c>
      <c r="CL26" s="1529">
        <f>CL25/CL2</f>
        <v/>
      </c>
      <c r="CM26" s="1529">
        <f>CM25/CM2</f>
        <v/>
      </c>
      <c r="CN26" s="1529">
        <f>CN25/CN2</f>
        <v/>
      </c>
      <c r="CO26" s="1529">
        <f>CO25/CO2</f>
        <v/>
      </c>
      <c r="CP26" s="1529">
        <f>CP25/CP2</f>
        <v/>
      </c>
      <c r="CQ26" s="1529">
        <f>CQ25/CQ2</f>
        <v/>
      </c>
      <c r="CR26" s="1529">
        <f>CR25/CR2</f>
        <v/>
      </c>
      <c r="CS26" s="1529">
        <f>CS25/CS2</f>
        <v/>
      </c>
      <c r="CT26" s="1529">
        <f>CT25/CT2</f>
        <v/>
      </c>
      <c r="CU26" s="1529">
        <f>CU25/CU2</f>
        <v/>
      </c>
      <c r="CV26" s="1529">
        <f>CV25/CV2</f>
        <v/>
      </c>
      <c r="CW26" s="1529">
        <f>CW25/CW2</f>
        <v/>
      </c>
      <c r="CX26" s="1529">
        <f>CX25/CX2</f>
        <v/>
      </c>
      <c r="CY26" s="1529">
        <f>CY25/CY2</f>
        <v/>
      </c>
      <c r="CZ26" s="1529">
        <f>CZ25/CZ2</f>
        <v/>
      </c>
      <c r="DA26" s="1529">
        <f>DA25/DA2</f>
        <v/>
      </c>
      <c r="DB26" s="1529">
        <f>DB25/DB2</f>
        <v/>
      </c>
      <c r="DC26" s="1529">
        <f>DC25/DC2</f>
        <v/>
      </c>
      <c r="DD26" s="1529">
        <f>DD25/DD2</f>
        <v/>
      </c>
      <c r="DE26" s="1529">
        <f>DE25/DE2</f>
        <v/>
      </c>
      <c r="DF26" s="1529">
        <f>DF25/DF2</f>
        <v/>
      </c>
      <c r="DG26" s="1529">
        <f>DG25/DG2</f>
        <v/>
      </c>
      <c r="DH26" s="1529">
        <f>DH25/DH2</f>
        <v/>
      </c>
      <c r="DI26" s="1529">
        <f>DI25/DI2</f>
        <v/>
      </c>
      <c r="DJ26" s="1529">
        <f>DJ25/DJ2</f>
        <v/>
      </c>
      <c r="DK26" s="1529">
        <f>DK25/DK2</f>
        <v/>
      </c>
      <c r="DL26" s="1529">
        <f>DL25/DL2</f>
        <v/>
      </c>
      <c r="DM26" s="1529">
        <f>DM25/DM2</f>
        <v/>
      </c>
      <c r="DN26" s="1529">
        <f>DN25/DN2</f>
        <v/>
      </c>
      <c r="DO26" s="1529">
        <f>DO25/DO2</f>
        <v/>
      </c>
      <c r="DP26" s="1529">
        <f>DP25/DP2</f>
        <v/>
      </c>
      <c r="DQ26" s="1529">
        <f>DQ25/DQ2</f>
        <v/>
      </c>
      <c r="DR26" s="1529">
        <f>DR25/DR2</f>
        <v/>
      </c>
      <c r="DS26" s="1529">
        <f>DS25/DS2</f>
        <v/>
      </c>
      <c r="DT26" s="1529">
        <f>DT25/DT2</f>
        <v/>
      </c>
      <c r="DU26" s="1529">
        <f>DU25/DU2</f>
        <v/>
      </c>
      <c r="DV26" s="1529">
        <f>DV25/DV2</f>
        <v/>
      </c>
      <c r="DW26" s="1529">
        <f>DW25/DW2</f>
        <v/>
      </c>
      <c r="DX26" s="1529">
        <f>DX25/DX2</f>
        <v/>
      </c>
      <c r="DY26" s="1529">
        <f>DY25/DY2</f>
        <v/>
      </c>
      <c r="DZ26" s="1529">
        <f>DZ25/DZ2</f>
        <v/>
      </c>
      <c r="EA26" s="1529">
        <f>EA25/EA2</f>
        <v/>
      </c>
      <c r="EB26" s="1529">
        <f>EB25/EB2</f>
        <v/>
      </c>
      <c r="EC26" s="1529">
        <f>EC25/EC2</f>
        <v/>
      </c>
      <c r="ED26" s="1529">
        <f>ED25/ED2</f>
        <v/>
      </c>
      <c r="EE26" s="1529">
        <f>EE25/EE2</f>
        <v/>
      </c>
      <c r="EF26" s="1529">
        <f>EF25/EF2</f>
        <v/>
      </c>
      <c r="EG26" s="1529">
        <f>EG25/EG2</f>
        <v/>
      </c>
      <c r="EH26" s="1529">
        <f>EH25/EH2</f>
        <v/>
      </c>
      <c r="EI26" s="1529">
        <f>EI25/EI2</f>
        <v/>
      </c>
      <c r="EJ26" s="1529">
        <f>EJ25/EJ2</f>
        <v/>
      </c>
      <c r="EK26" s="1529">
        <f>EK25/EK2</f>
        <v/>
      </c>
      <c r="EL26" s="1529">
        <f>EL25/EL2</f>
        <v/>
      </c>
      <c r="EM26" s="1529">
        <f>EM25/EM2</f>
        <v/>
      </c>
      <c r="EN26" s="1529">
        <f>EN25/EN2</f>
        <v/>
      </c>
      <c r="EO26" s="1529">
        <f>EO25/EO2</f>
        <v/>
      </c>
      <c r="EP26" s="1529">
        <f>EP25/EP2</f>
        <v/>
      </c>
      <c r="EQ26" s="1529">
        <f>EQ25/EQ2</f>
        <v/>
      </c>
      <c r="ER26" s="1529">
        <f>ER25/ER2</f>
        <v/>
      </c>
      <c r="ES26" s="1529">
        <f>ES25/ES2</f>
        <v/>
      </c>
      <c r="ET26" s="1529">
        <f>ET25/ET2</f>
        <v/>
      </c>
      <c r="EU26" s="1529">
        <f>EU25/EU2</f>
        <v/>
      </c>
      <c r="EV26" s="1529">
        <f>EV25/EV2</f>
        <v/>
      </c>
      <c r="EW26" s="1529">
        <f>EW25/EW2</f>
        <v/>
      </c>
      <c r="EX26" s="1529">
        <f>EX25/EX2</f>
        <v/>
      </c>
      <c r="EY26" s="1529">
        <f>EY25/EY2</f>
        <v/>
      </c>
      <c r="EZ26" s="1529">
        <f>EZ25/EZ2</f>
        <v/>
      </c>
      <c r="FA26" s="1529">
        <f>FA25/FA2</f>
        <v/>
      </c>
      <c r="FB26" s="1529">
        <f>FB25/FB2</f>
        <v/>
      </c>
      <c r="FC26" s="1529">
        <f>FC25/FC2</f>
        <v/>
      </c>
      <c r="FD26" s="1529">
        <f>FD25/FD2</f>
        <v/>
      </c>
      <c r="FE26" s="1529">
        <f>FE25/FE2</f>
        <v/>
      </c>
      <c r="FF26" s="1529">
        <f>FF25/FF2</f>
        <v/>
      </c>
      <c r="FG26" s="1529">
        <f>FG25/FG2</f>
        <v/>
      </c>
      <c r="FH26" s="1529">
        <f>FH25/FH2</f>
        <v/>
      </c>
      <c r="FI26" s="1529">
        <f>FI25/FI2</f>
        <v/>
      </c>
      <c r="FJ26" s="1529">
        <f>FJ25/FJ2</f>
        <v/>
      </c>
      <c r="FK26" s="1529">
        <f>FK25/FK2</f>
        <v/>
      </c>
      <c r="FL26" s="1529">
        <f>FL25/FL2</f>
        <v/>
      </c>
      <c r="FM26" s="1529">
        <f>FM25/FM2</f>
        <v/>
      </c>
      <c r="FN26" s="1529">
        <f>FN25/FN2</f>
        <v/>
      </c>
      <c r="FO26" s="1529">
        <f>FO25/FO2</f>
        <v/>
      </c>
      <c r="FP26" s="1529">
        <f>FP25/FP2</f>
        <v/>
      </c>
      <c r="FQ26" s="1529">
        <f>FQ25/FQ2</f>
        <v/>
      </c>
      <c r="FR26" s="1529">
        <f>FR25/FR2</f>
        <v/>
      </c>
      <c r="FS26" s="1529">
        <f>FS25/FS2</f>
        <v/>
      </c>
      <c r="FT26" s="1529">
        <f>FT25/FT2</f>
        <v/>
      </c>
      <c r="FU26" s="1529">
        <f>FU25/FU2</f>
        <v/>
      </c>
      <c r="FV26" s="1529">
        <f>FV25/FV2</f>
        <v/>
      </c>
      <c r="FW26" s="1529">
        <f>FW25/FW2</f>
        <v/>
      </c>
      <c r="FX26" s="1529">
        <f>FX25/FX2</f>
        <v/>
      </c>
      <c r="FY26" s="1529">
        <f>FY25/FY2</f>
        <v/>
      </c>
      <c r="FZ26" s="1529">
        <f>FZ25/FZ2</f>
        <v/>
      </c>
      <c r="GA26" s="1529">
        <f>GA25/GA2</f>
        <v/>
      </c>
      <c r="GB26" s="1529">
        <f>GB25/GB2</f>
        <v/>
      </c>
      <c r="GC26" s="1529">
        <f>GC25/GC2</f>
        <v/>
      </c>
      <c r="GD26" s="1529">
        <f>GD25/GD2</f>
        <v/>
      </c>
      <c r="GE26" s="1529">
        <f>GE25/GE2</f>
        <v/>
      </c>
      <c r="GF26" s="1529">
        <f>GF25/GF2</f>
        <v/>
      </c>
      <c r="GG26" s="1529">
        <f>GG25/GG2</f>
        <v/>
      </c>
      <c r="GH26" s="1529">
        <f>GH25/GH2</f>
        <v/>
      </c>
      <c r="GI26" s="1529">
        <f>GI25/GI2</f>
        <v/>
      </c>
      <c r="GJ26" s="1529">
        <f>GJ25/GJ2</f>
        <v/>
      </c>
      <c r="GK26" s="1529">
        <f>GK25/GK2</f>
        <v/>
      </c>
      <c r="GL26" s="1529">
        <f>GL25/GL2</f>
        <v/>
      </c>
      <c r="GM26" s="1529">
        <f>GM25/GM2</f>
        <v/>
      </c>
      <c r="GN26" s="1529">
        <f>GN25/GN2</f>
        <v/>
      </c>
      <c r="GO26" s="1529">
        <f>GO25/GO2</f>
        <v/>
      </c>
      <c r="GP26" s="1529">
        <f>GP25/GP2</f>
        <v/>
      </c>
      <c r="GQ26" s="1529">
        <f>GQ25/GQ2</f>
        <v/>
      </c>
      <c r="GR26" s="1529">
        <f>GR25/GR2</f>
        <v/>
      </c>
      <c r="GS26" s="1529">
        <f>GS25/GS2</f>
        <v/>
      </c>
      <c r="GT26" s="1529">
        <f>GT25/GT2</f>
        <v/>
      </c>
      <c r="GU26" s="1529">
        <f>GU25/GU2</f>
        <v/>
      </c>
      <c r="GV26" s="1529">
        <f>GV25/GV2</f>
        <v/>
      </c>
      <c r="GW26" s="1529">
        <f>GW25/GW2</f>
        <v/>
      </c>
      <c r="GX26" s="1529">
        <f>GX25/GX2</f>
        <v/>
      </c>
      <c r="GY26" s="1529">
        <f>GY25/GY2</f>
        <v/>
      </c>
      <c r="GZ26" s="1529">
        <f>GZ25/GZ2</f>
        <v/>
      </c>
      <c r="HA26" s="1529">
        <f>HA25/HA2</f>
        <v/>
      </c>
      <c r="HB26" s="1529">
        <f>HB25/HB2</f>
        <v/>
      </c>
      <c r="HC26" s="1529">
        <f>HC25/HC2</f>
        <v/>
      </c>
      <c r="HD26" s="1529">
        <f>HD25/HD2</f>
        <v/>
      </c>
      <c r="HE26" s="1529">
        <f>HE25/HE2</f>
        <v/>
      </c>
      <c r="HF26" s="1529">
        <f>HF25/HF2</f>
        <v/>
      </c>
      <c r="HG26" s="1529">
        <f>HG25/HG2</f>
        <v/>
      </c>
      <c r="HH26" s="1529">
        <f>HH25/HH2</f>
        <v/>
      </c>
      <c r="HI26" s="1529">
        <f>HI25/HI2</f>
        <v/>
      </c>
      <c r="HJ26" s="1529">
        <f>HJ25/HJ2</f>
        <v/>
      </c>
      <c r="HK26" s="1529">
        <f>HK25/HK2</f>
        <v/>
      </c>
      <c r="HL26" s="1529">
        <f>HL25/HL2</f>
        <v/>
      </c>
      <c r="HM26" s="1529">
        <f>HM25/HM2</f>
        <v/>
      </c>
      <c r="HN26" s="1529">
        <f>HN25/HN2</f>
        <v/>
      </c>
      <c r="HO26" s="1529" t="n">
        <v>16.43637414871663</v>
      </c>
      <c r="HP26" s="1529" t="n">
        <v>16.13485004847906</v>
      </c>
      <c r="HQ26" s="1529" t="n">
        <v>9.987040207739245</v>
      </c>
      <c r="HR26" s="1529">
        <f>HR25/HR2</f>
        <v/>
      </c>
      <c r="HS26" s="1529">
        <f>HS25/HS2</f>
        <v/>
      </c>
      <c r="HT26" s="1529">
        <f>HT25/HT2</f>
        <v/>
      </c>
      <c r="HU26" s="1529">
        <f>HU25/HU2</f>
        <v/>
      </c>
      <c r="HV26" s="1529" t="n">
        <v>6.379580560840005</v>
      </c>
      <c r="HW26" s="1529" t="n">
        <v>6.32820902336083</v>
      </c>
      <c r="HX26" s="1529" t="n">
        <v>6.678914891319278</v>
      </c>
      <c r="HY26" s="1529" t="n">
        <v>6.667169506302825</v>
      </c>
      <c r="HZ26" s="1529" t="n">
        <v>6.424509431111188</v>
      </c>
      <c r="IA26" s="1529" t="n">
        <v>7.037681989907622</v>
      </c>
      <c r="IB26" s="1529" t="n">
        <v>8.47583944125631</v>
      </c>
      <c r="IC26" s="1529" t="n">
        <v>8.430892065699764</v>
      </c>
      <c r="ID26" s="1529" t="n">
        <v>8.43977551021154</v>
      </c>
      <c r="IE26" s="1529" t="n">
        <v>7.181124566885174</v>
      </c>
      <c r="IF26" s="1529" t="n">
        <v>7.196217311927564</v>
      </c>
      <c r="IG26" s="1529" t="n">
        <v>9.516037289333674</v>
      </c>
      <c r="IH26" s="1529" t="n">
        <v>9.574799145740096</v>
      </c>
      <c r="II26" s="1529" t="n">
        <v>9.568689934468107</v>
      </c>
      <c r="IJ26" s="1529" t="n">
        <v>9.572922166584169</v>
      </c>
      <c r="IK26" s="1529" t="n">
        <v>12.17918553855065</v>
      </c>
      <c r="IL26" s="1529" t="n">
        <v>12.21092429421282</v>
      </c>
      <c r="IM26" s="1529" t="n">
        <v>12.16968710629934</v>
      </c>
      <c r="IN26" s="1529" t="n">
        <v>9.946784044205746</v>
      </c>
      <c r="IO26" s="1529" t="n">
        <v>9.583406808108375</v>
      </c>
      <c r="IP26" s="1529" t="n">
        <v>10.27634670963479</v>
      </c>
      <c r="IQ26" s="1529" t="n">
        <v>10.97334549373506</v>
      </c>
      <c r="IR26" s="1529" t="n">
        <v>11.06380868409007</v>
      </c>
      <c r="IS26" s="1529" t="n">
        <v>11.45881980934669</v>
      </c>
      <c r="IT26" s="1529" t="n">
        <v>13.59696385219088</v>
      </c>
      <c r="IU26" s="1529" t="n">
        <v>14.34014809284823</v>
      </c>
      <c r="IV26" s="1529" t="n">
        <v>14.49289504945668</v>
      </c>
      <c r="IW26" s="1529" t="n">
        <v>14.647516918402</v>
      </c>
      <c r="IX26" s="1529" t="n">
        <v>10.669947163984</v>
      </c>
      <c r="IY26" s="1529">
        <f>IY25/IY2</f>
        <v/>
      </c>
      <c r="IZ26" s="1529" t="n">
        <v>11.36029292548659</v>
      </c>
      <c r="JA26" s="1529" t="n">
        <v>12.26954034336429</v>
      </c>
      <c r="JB26" s="1529" t="n">
        <v>12.26515057513395</v>
      </c>
      <c r="JC26" s="1529" t="n">
        <v>12.44806679161495</v>
      </c>
      <c r="JD26" s="1529" t="n">
        <v>12.87642480976504</v>
      </c>
      <c r="JE26" s="1529" t="n">
        <v>12.87365582809583</v>
      </c>
      <c r="JF26" s="1529" t="n">
        <v>12.87645701423217</v>
      </c>
      <c r="JG26" s="1529" t="n">
        <v>12.09182107100699</v>
      </c>
      <c r="JH26" s="1529" t="n">
        <v>11.99715421714968</v>
      </c>
      <c r="JI26" s="1529" t="n">
        <v>11.95168026537702</v>
      </c>
      <c r="JJ26" s="1529" t="n">
        <v>13.59536486154013</v>
      </c>
      <c r="JK26" s="1529" t="n">
        <v>14.29279394947302</v>
      </c>
      <c r="JL26" s="1529" t="n">
        <v>13.00797536315281</v>
      </c>
      <c r="JM26" s="1529" t="n">
        <v>13.44314895594103</v>
      </c>
      <c r="JN26" s="1529" t="n">
        <v>13.40883891595802</v>
      </c>
      <c r="JO26" s="1529" t="n">
        <v>13.30513614193659</v>
      </c>
      <c r="JP26" s="1529" t="n">
        <v>14.55073132922</v>
      </c>
      <c r="JQ26" s="1529" t="n">
        <v>14.37697255862889</v>
      </c>
      <c r="JR26" s="1529" t="n">
        <v>14.31969752137269</v>
      </c>
      <c r="JS26" s="1529">
        <f>JS25/JS2</f>
        <v/>
      </c>
      <c r="JT26" s="1529" t="n">
        <v>23.81635240191848</v>
      </c>
      <c r="JU26" s="1529" t="n">
        <v>24.54302829534711</v>
      </c>
      <c r="JV26" s="1529" t="n">
        <v>24.4710602447242</v>
      </c>
      <c r="JW26" s="1529" t="n">
        <v>24.54797291252951</v>
      </c>
      <c r="JX26" s="1529" t="n">
        <v>24.7355890614142</v>
      </c>
      <c r="JY26" s="1529" t="n">
        <v>16.83488510941456</v>
      </c>
      <c r="JZ26" s="1529" t="n">
        <v>16.7194112400189</v>
      </c>
      <c r="KA26" s="1529" t="n">
        <v>16.26801706094269</v>
      </c>
      <c r="KB26" s="1529" t="n">
        <v>16.21692894841344</v>
      </c>
      <c r="KC26" s="1529" t="n">
        <v>13.97372785586339</v>
      </c>
      <c r="KD26" s="1529" t="n">
        <v>15.26554197788298</v>
      </c>
      <c r="KE26" s="1529" t="n">
        <v>15.10470994721552</v>
      </c>
      <c r="KF26" s="1529" t="n">
        <v>12.90902100999497</v>
      </c>
      <c r="KG26" s="1529" t="n">
        <v>22.51274014600722</v>
      </c>
      <c r="KH26" s="1529" t="n">
        <v>21.97004325733638</v>
      </c>
      <c r="KI26" s="1529" t="n">
        <v>21.61017591514257</v>
      </c>
      <c r="KJ26" s="1529">
        <f>KJ25/KJ2</f>
        <v/>
      </c>
      <c r="KK26" s="1529" t="n">
        <v>22.59347889519306</v>
      </c>
      <c r="KL26" s="1529" t="n">
        <v>22.68249901329981</v>
      </c>
      <c r="KM26" s="1529" t="n">
        <v>22.79558991868097</v>
      </c>
      <c r="KN26" s="1529" t="n">
        <v>22.72649968297473</v>
      </c>
      <c r="KO26" s="1529" t="n">
        <v>23.3211147762097</v>
      </c>
      <c r="KP26" s="1529" t="n">
        <v>22.84864130075223</v>
      </c>
      <c r="KQ26" s="1529" t="n">
        <v>21.56094787740969</v>
      </c>
      <c r="KR26" s="1529" t="n">
        <v>21.64403113527673</v>
      </c>
      <c r="KS26" s="1529">
        <f>KS25/KS2</f>
        <v/>
      </c>
      <c r="KT26" s="1529" t="n">
        <v>22.37665149399374</v>
      </c>
      <c r="KU26" s="1529">
        <f>KU25/KU2</f>
        <v/>
      </c>
      <c r="KV26" s="1529">
        <f>KV25/KV2</f>
        <v/>
      </c>
      <c r="KW26" s="1529">
        <f>KW25/KW2</f>
        <v/>
      </c>
      <c r="KX26" s="1529" t="n">
        <v>15.76330706201375</v>
      </c>
      <c r="KY26" s="1529" t="n">
        <v>15.59231881863901</v>
      </c>
      <c r="KZ26" s="1529" t="n">
        <v>14.72511674964895</v>
      </c>
      <c r="LA26" s="1529" t="n">
        <v>14.80041638232432</v>
      </c>
      <c r="LB26" s="1529" t="n">
        <v>15.14649016734104</v>
      </c>
      <c r="LC26" s="1529" t="n">
        <v>15.16525212583548</v>
      </c>
      <c r="LD26" s="1529" t="n">
        <v>15.02207211786173</v>
      </c>
      <c r="LE26" s="1529">
        <f>LE25/LE2</f>
        <v/>
      </c>
      <c r="LF26" s="1530" t="n">
        <v>16.29975939210669</v>
      </c>
      <c r="LG26" s="1530" t="n">
        <v>16.42064505343598</v>
      </c>
      <c r="LH26" s="1530" t="n">
        <v>16.93885893339449</v>
      </c>
      <c r="LI26" s="1530" t="n">
        <v>17.77544894100618</v>
      </c>
      <c r="LJ26" s="1530" t="n">
        <v>17.63616049410255</v>
      </c>
      <c r="LK26" s="1530" t="n">
        <v>17.64063893602214</v>
      </c>
      <c r="LL26" s="1530" t="n">
        <v>17.45968144482175</v>
      </c>
      <c r="LM26" s="1530" t="n">
        <v>17.46733849410015</v>
      </c>
      <c r="LN26" s="1530" t="n">
        <v>16.05914206945921</v>
      </c>
      <c r="LO26" s="1530" t="n">
        <v>15.93130368412839</v>
      </c>
      <c r="LP26" s="1530" t="n">
        <v>15.89213585150512</v>
      </c>
      <c r="LQ26" s="1530" t="n">
        <v>15.3776590832945</v>
      </c>
      <c r="LR26" s="1530" t="n">
        <v>15.60734217610739</v>
      </c>
      <c r="LS26" s="1530" t="n">
        <v>15.60625677026731</v>
      </c>
      <c r="LT26" s="1530" t="n">
        <v>17.08530221765909</v>
      </c>
      <c r="LU26" s="1530" t="n">
        <v>16.21366133928928</v>
      </c>
      <c r="LV26" s="1530" t="n">
        <v>16.57836941546688</v>
      </c>
      <c r="LW26" s="1530" t="n">
        <v>16.51890776975868</v>
      </c>
      <c r="LX26" s="1530" t="n">
        <v>17.26557709144123</v>
      </c>
      <c r="LY26" s="1530" t="n">
        <v>17.51886726488809</v>
      </c>
      <c r="LZ26" s="1530" t="n">
        <v>18.31586864667092</v>
      </c>
      <c r="MA26" s="1530" t="n">
        <v>18.07238705784783</v>
      </c>
      <c r="MB26" s="1530" t="n">
        <v>18.03827612241566</v>
      </c>
      <c r="MC26" s="1530" t="n">
        <v>17.95000161827435</v>
      </c>
      <c r="MD26" s="1530" t="n">
        <v>13.15253457006514</v>
      </c>
      <c r="ME26" s="1530" t="n">
        <v>13.26272088313054</v>
      </c>
      <c r="MF26" s="1530" t="n">
        <v>13.20869109402881</v>
      </c>
      <c r="MG26" s="1530" t="n">
        <v>13.28306853487128</v>
      </c>
      <c r="MH26" s="1530" t="n">
        <v>8.581375787963383</v>
      </c>
      <c r="MI26" s="1530" t="n">
        <v>8.572120152040243</v>
      </c>
      <c r="MJ26" s="1530" t="n">
        <v>8.402066159346951</v>
      </c>
      <c r="MK26" s="1530" t="n">
        <v>8.39387963564767</v>
      </c>
      <c r="ML26" s="1530" t="n">
        <v>8.350457257906555</v>
      </c>
      <c r="MM26" s="1530" t="n">
        <v>8.315063176707417</v>
      </c>
      <c r="MN26" s="1530" t="n">
        <v>8.225240888518815</v>
      </c>
      <c r="MO26" s="1530" t="n">
        <v>8.159848418367707</v>
      </c>
      <c r="MP26" s="1530" t="n">
        <v>8.144440325974934</v>
      </c>
      <c r="MQ26" s="1530" t="n">
        <v>9.022980473573432</v>
      </c>
      <c r="MR26" s="1530" t="n">
        <v>8.949811538335235</v>
      </c>
      <c r="MS26" s="1530" t="n">
        <v>10.90150367700015</v>
      </c>
      <c r="MT26" s="1530" t="n">
        <v>10.71245353184923</v>
      </c>
      <c r="MU26" s="1530" t="n">
        <v>10.70753557142971</v>
      </c>
      <c r="MV26" s="1530" t="n">
        <v>11.03716871894163</v>
      </c>
      <c r="MW26" s="1530" t="n">
        <v>13.00224529517252</v>
      </c>
      <c r="MX26" s="1530" t="n">
        <v>13.65268470712791</v>
      </c>
      <c r="MY26" s="1530" t="n">
        <v>13.64436792095807</v>
      </c>
      <c r="MZ26" s="1530" t="n">
        <v>13.64064057946605</v>
      </c>
      <c r="NA26" s="1530" t="n">
        <v>13.64975233908212</v>
      </c>
      <c r="NB26" s="1530" t="n">
        <v>13.84930666772326</v>
      </c>
      <c r="NC26" s="1530" t="n">
        <v>14.02437500868458</v>
      </c>
      <c r="ND26" s="1530" t="n">
        <v>14.20217948598411</v>
      </c>
      <c r="NE26" s="1530" t="n">
        <v>14.258850558933</v>
      </c>
      <c r="NF26" s="1530" t="n">
        <v>12.60147639726127</v>
      </c>
      <c r="NG26" s="1530" t="n">
        <v>12.2862346270117</v>
      </c>
      <c r="NH26" s="1530" t="n">
        <v>12.31105855174891</v>
      </c>
      <c r="NI26" s="1530" t="n">
        <v>11.84243668642269</v>
      </c>
      <c r="NJ26" s="1530" t="n">
        <v>11.68278994362142</v>
      </c>
      <c r="NK26" s="1530" t="n">
        <v>12.50292720884806</v>
      </c>
      <c r="NL26" s="1530" t="n">
        <v>12.52145950109153</v>
      </c>
      <c r="NM26" s="1530" t="n">
        <v>13.89192027547447</v>
      </c>
      <c r="NN26" s="1530" t="n">
        <v>13.92473750803983</v>
      </c>
      <c r="NO26" s="1530" t="n">
        <v>13.96574224925104</v>
      </c>
      <c r="NP26" s="1530" t="n">
        <v>16.89429980945863</v>
      </c>
      <c r="NQ26" s="1530" t="n">
        <v>16.88237897393032</v>
      </c>
      <c r="NR26" s="1530" t="n">
        <v>18.08418992877259</v>
      </c>
      <c r="NS26" s="1530" t="n">
        <v>18.44817224382801</v>
      </c>
      <c r="NT26" s="1530" t="n">
        <v>18.55392921516955</v>
      </c>
      <c r="NU26" s="1530">
        <f>NU25/NU2</f>
        <v/>
      </c>
      <c r="NV26" s="1530" t="n">
        <v>19.32770213333123</v>
      </c>
      <c r="NW26" s="1530" t="n">
        <v>19.46524166206708</v>
      </c>
      <c r="NX26" s="1530" t="n">
        <v>19.40017707032739</v>
      </c>
      <c r="NY26" s="1530" t="n">
        <v>19.515045435687</v>
      </c>
      <c r="NZ26" s="1530" t="n">
        <v>19.80466534832058</v>
      </c>
      <c r="OA26" s="1530" t="n">
        <v>19.82895664797164</v>
      </c>
      <c r="OB26" s="1530" t="n">
        <v>19.85005885304401</v>
      </c>
      <c r="OC26" s="1530" t="n">
        <v>17.51523735763764</v>
      </c>
      <c r="OD26" s="1530" t="n">
        <v>17.57499115304594</v>
      </c>
      <c r="OE26" s="1530" t="n">
        <v>17.34395226504787</v>
      </c>
      <c r="OF26" s="1530" t="n">
        <v>17.16971471951898</v>
      </c>
      <c r="OG26" s="1530" t="n">
        <v>19.20047623896757</v>
      </c>
      <c r="OH26" s="1530" t="n">
        <v>18.9520855748815</v>
      </c>
      <c r="OI26" s="1530" t="n">
        <v>17.34802078173918</v>
      </c>
      <c r="OJ26" s="1530" t="n">
        <v>19.7963451474353</v>
      </c>
      <c r="OK26" s="1530" t="n">
        <v>19.93898998929489</v>
      </c>
      <c r="OL26" s="1530" t="n">
        <v>19.97342294254443</v>
      </c>
      <c r="OM26" s="1530" t="n">
        <v>20.04523541982321</v>
      </c>
      <c r="ON26" s="1530" t="n">
        <v>20.09407766010476</v>
      </c>
      <c r="OO26" s="1530" t="n">
        <v>17.61937399890297</v>
      </c>
      <c r="OP26" s="1530" t="n">
        <v>17.89577331905123</v>
      </c>
      <c r="OQ26" s="1530" t="n">
        <v>17.96116886531908</v>
      </c>
      <c r="OR26" s="1530" t="n">
        <v>17.89787158726893</v>
      </c>
      <c r="OS26" s="1530" t="n">
        <v>17.39254073356</v>
      </c>
      <c r="OT26" s="1530" t="n">
        <v>8.903485094448596</v>
      </c>
      <c r="OU26" s="1530" t="n">
        <v>8.900571124509346</v>
      </c>
      <c r="OV26" s="1530" t="n">
        <v>8.926009119815411</v>
      </c>
      <c r="OW26" s="1530" t="n">
        <v>6.951659199433837</v>
      </c>
      <c r="OX26" s="1530" t="n">
        <v>7.059508948652386</v>
      </c>
      <c r="OY26" s="1530" t="n">
        <v>8.932265126220477</v>
      </c>
      <c r="OZ26" s="1530" t="n">
        <v>8.861551195964781</v>
      </c>
      <c r="PA26" s="1530" t="n">
        <v>8.96168166194785</v>
      </c>
      <c r="PB26" s="1530" t="n">
        <v>7.744149954607813</v>
      </c>
      <c r="PC26" s="1530" t="n">
        <v>7.801212408149556</v>
      </c>
      <c r="PD26" s="1530" t="n">
        <v>7.841714521449134</v>
      </c>
      <c r="PE26" s="1530" t="n">
        <v>9.455445807951786</v>
      </c>
      <c r="PF26" s="1530" t="n">
        <v>9.549175962039071</v>
      </c>
      <c r="PG26" s="1530" t="n">
        <v>9.516110724557585</v>
      </c>
      <c r="PH26" s="1530" t="n">
        <v>9.523780364173671</v>
      </c>
      <c r="PI26" s="1530" t="n">
        <v>11.52600490631153</v>
      </c>
      <c r="PJ26" s="1530" t="n">
        <v>12.48465348834564</v>
      </c>
      <c r="PK26" s="1530" t="n">
        <v>12.43331932038934</v>
      </c>
      <c r="PL26" s="1530" t="n">
        <v>12.38096699644244</v>
      </c>
      <c r="PM26" s="1530" t="n">
        <v>12.26206166982625</v>
      </c>
      <c r="PN26" s="1530" t="n">
        <v>11.18212592518609</v>
      </c>
      <c r="PO26" s="1530" t="n">
        <v>11.22223889506735</v>
      </c>
      <c r="PP26" s="1530" t="n">
        <v>11.07931943016334</v>
      </c>
      <c r="PQ26" s="1530" t="n">
        <v>11.01029923340268</v>
      </c>
      <c r="PR26" s="1530" t="n">
        <v>10.95775103295075</v>
      </c>
      <c r="PS26" s="1530" t="n">
        <v>12.85484647766305</v>
      </c>
      <c r="PT26" s="1530" t="n">
        <v>12.93411530454038</v>
      </c>
      <c r="PU26" s="1530" t="n">
        <v>10.71567243739537</v>
      </c>
      <c r="PV26" s="1530" t="n">
        <v>10.703378126065</v>
      </c>
      <c r="PW26" s="1530" t="n">
        <v>10.74647893015851</v>
      </c>
      <c r="PX26" s="1530" t="n">
        <v>12.8220009847841</v>
      </c>
      <c r="PY26" s="1530" t="n">
        <v>13.06429988750703</v>
      </c>
      <c r="PZ26" s="1530" t="n">
        <v>15.21944947097065</v>
      </c>
      <c r="QA26" s="1530" t="n">
        <v>15.15446030000969</v>
      </c>
      <c r="QB26" s="1530" t="n">
        <v>7.902054420891807</v>
      </c>
      <c r="QC26" s="1530" t="n">
        <v>8.391093429296767</v>
      </c>
      <c r="QD26" s="1530" t="n">
        <v>8.39665423577949</v>
      </c>
      <c r="QE26" s="1530" t="n">
        <v>8.598390460921671</v>
      </c>
      <c r="QF26" s="1530" t="n">
        <v>8.569355843923413</v>
      </c>
      <c r="QG26" s="1530" t="n">
        <v>8.580438490544855</v>
      </c>
      <c r="QH26" s="1530">
        <f>QH25/QH2</f>
        <v/>
      </c>
      <c r="QI26" s="1530" t="n">
        <v>10.46863362813653</v>
      </c>
      <c r="QJ26" s="1530" t="n">
        <v>10.586973210828</v>
      </c>
      <c r="QK26" s="1530" t="n">
        <v>11.66907442025717</v>
      </c>
      <c r="QL26" s="1530" t="n">
        <v>11.66654525688152</v>
      </c>
      <c r="QM26" s="1530" t="n">
        <v>11.69124505234729</v>
      </c>
      <c r="QN26" s="1530" t="n">
        <v>12.04584861635666</v>
      </c>
      <c r="QO26" s="1530" t="n">
        <v>14.09699578266719</v>
      </c>
      <c r="QP26" s="1530" t="n">
        <v>14.11629987442786</v>
      </c>
      <c r="QQ26" s="1530" t="n">
        <v>15.19229708918618</v>
      </c>
      <c r="QR26" s="1530" t="n">
        <v>15.08225259517461</v>
      </c>
      <c r="QS26" s="1530" t="n">
        <v>14.77329676938842</v>
      </c>
      <c r="QT26" s="1530" t="n">
        <v>15.44392145695004</v>
      </c>
      <c r="QU26" s="1530" t="n">
        <v>15.42496555609793</v>
      </c>
      <c r="QV26" s="1530" t="n">
        <v>17.28568134693976</v>
      </c>
      <c r="QW26" s="1530" t="n">
        <v>15.30793791355986</v>
      </c>
      <c r="QX26" s="1530" t="n">
        <v>15.43050143882702</v>
      </c>
      <c r="QY26" s="1530" t="n">
        <v>7.6839797348718</v>
      </c>
      <c r="QZ26" s="1530" t="n">
        <v>7.670371942881843</v>
      </c>
      <c r="RA26" s="1530" t="n">
        <v>5.918979514337101</v>
      </c>
      <c r="RB26" s="1530" t="n">
        <v>5.917867211386741</v>
      </c>
      <c r="RC26" s="1530" t="n">
        <v>5.938976153444292</v>
      </c>
      <c r="RD26" s="1530" t="n">
        <v>5.932340569581881</v>
      </c>
      <c r="RE26" s="1530" t="n">
        <v>6.161293762365724</v>
      </c>
      <c r="RF26" s="1530" t="n">
        <v>6.145711633129929</v>
      </c>
      <c r="RG26" s="1530">
        <f>RG25/RG2</f>
        <v/>
      </c>
      <c r="RH26" s="1530" t="n">
        <v>5.695344034827713</v>
      </c>
      <c r="RI26" s="1530" t="n">
        <v>6.5654882143147</v>
      </c>
      <c r="RJ26" s="1530" t="n">
        <v>6.553751591255227</v>
      </c>
      <c r="RK26" s="1530" t="n">
        <v>7.205663757799503</v>
      </c>
      <c r="RL26" s="1530" t="n">
        <v>7.169063359715426</v>
      </c>
      <c r="RM26" s="1530" t="n">
        <v>7.437528963098436</v>
      </c>
      <c r="RN26" s="1530" t="n">
        <v>7.459632556808029</v>
      </c>
      <c r="RO26" s="1530" t="n">
        <v>7.44789980254111</v>
      </c>
      <c r="RP26" s="1530" t="n">
        <v>7.409494201492016</v>
      </c>
      <c r="RQ26" s="1530" t="n">
        <v>4.025740541027647</v>
      </c>
      <c r="RR26" s="1530" t="n">
        <v>4.035666675239818</v>
      </c>
      <c r="RS26" s="1530" t="n">
        <v>5.191454355426798</v>
      </c>
      <c r="RT26" s="1530" t="n">
        <v>5.201976230832829</v>
      </c>
      <c r="RU26" s="1530" t="n">
        <v>5.199751395942623</v>
      </c>
      <c r="RV26" s="1530" t="n">
        <v>5.243932459153912</v>
      </c>
      <c r="RW26" s="1530" t="n">
        <v>5.265242547926114</v>
      </c>
      <c r="RX26" s="1530" t="n">
        <v>5.271994810321105</v>
      </c>
      <c r="RY26" s="1530" t="n">
        <v>13.25088608344165</v>
      </c>
      <c r="RZ26" s="1530" t="n">
        <v>13.21134378961868</v>
      </c>
      <c r="SA26" s="1530" t="n">
        <v>8.202838115513055</v>
      </c>
      <c r="SB26" s="1530" t="n">
        <v>9.160703112326475</v>
      </c>
      <c r="SC26" s="1530" t="n">
        <v>9.17973364464115</v>
      </c>
      <c r="SD26" s="1530" t="n">
        <v>9.109673917945109</v>
      </c>
      <c r="SE26" s="1530" t="n">
        <v>10.11186474043194</v>
      </c>
      <c r="SF26" s="1530" t="n">
        <v>10.14218071062434</v>
      </c>
      <c r="SG26" s="1530" t="n">
        <v>10.14463782820662</v>
      </c>
      <c r="SH26" s="1530" t="n">
        <v>10.18183621336084</v>
      </c>
      <c r="SI26" s="1530" t="n">
        <v>13.40949877235614</v>
      </c>
      <c r="SJ26" s="1530" t="n">
        <v>13.45884489711948</v>
      </c>
      <c r="SK26" s="1530" t="n">
        <v>14.2441486601879</v>
      </c>
      <c r="SL26" s="1530" t="n">
        <v>14.27881587050262</v>
      </c>
      <c r="SM26" s="1530" t="n">
        <v>13.97536473718152</v>
      </c>
      <c r="SN26" s="1530" t="n">
        <v>14.06042970906083</v>
      </c>
      <c r="SO26" s="1530" t="n">
        <v>14.22173149544682</v>
      </c>
      <c r="SP26" s="1530" t="n">
        <v>15.00414079197173</v>
      </c>
      <c r="SQ26" s="1530" t="n">
        <v>14.86606603139855</v>
      </c>
      <c r="SR26" s="1530" t="n">
        <v>14.77864478325902</v>
      </c>
      <c r="SS26" s="1530" t="n">
        <v>16.75346544337326</v>
      </c>
      <c r="ST26" s="1530" t="n">
        <v>16.90642489872504</v>
      </c>
      <c r="SU26" s="1530" t="n">
        <v>17.13806172183953</v>
      </c>
      <c r="SV26" s="1530" t="n">
        <v>17.14072676192988</v>
      </c>
      <c r="SW26" s="1530" t="n">
        <v>17.13748247495505</v>
      </c>
      <c r="SX26" s="1530" t="n">
        <v>18.32132136173032</v>
      </c>
      <c r="SY26" s="1530" t="n">
        <v>18.27318883952249</v>
      </c>
      <c r="SZ26" s="1530" t="n">
        <v>18.26764662047552</v>
      </c>
      <c r="TA26" s="1530" t="n">
        <v>17.36549659282605</v>
      </c>
      <c r="TB26" s="1530" t="n">
        <v>17.19824807569235</v>
      </c>
      <c r="TC26" s="1530" t="n">
        <v>18.83920114778343</v>
      </c>
      <c r="TD26" s="1530" t="n">
        <v>19.27524867226439</v>
      </c>
      <c r="TE26" s="1530">
        <f>TE25/TE2</f>
        <v/>
      </c>
      <c r="TF26" s="1530">
        <f>TF25/TF2</f>
        <v/>
      </c>
      <c r="TG26" s="1530" t="n">
        <v>11.93086861814583</v>
      </c>
      <c r="TH26" s="1530" t="n">
        <v>12.00264296327045</v>
      </c>
      <c r="TI26" s="1530" t="n">
        <v>12.30150271110873</v>
      </c>
      <c r="TJ26" s="1530" t="n">
        <v>12.39513751618594</v>
      </c>
      <c r="TK26" s="1530" t="n">
        <v>12.76393088567507</v>
      </c>
      <c r="TL26" s="1530" t="n">
        <v>11.935652080552</v>
      </c>
      <c r="TM26" s="1530" t="n">
        <v>6.412587796762695</v>
      </c>
      <c r="TN26" s="1530" t="n">
        <v>5.404000199119656</v>
      </c>
      <c r="TO26" s="1530" t="n">
        <v>7.317949010179409</v>
      </c>
      <c r="TP26" s="1530" t="n">
        <v>7.51760825569158</v>
      </c>
      <c r="TQ26" s="1530" t="n">
        <v>9.047903982323023</v>
      </c>
      <c r="TR26" s="1530" t="n">
        <v>10.0241210293028</v>
      </c>
      <c r="TS26" s="1530" t="n">
        <v>9.956105135996475</v>
      </c>
      <c r="TT26" s="1530" t="n">
        <v>10.05580754830038</v>
      </c>
      <c r="TU26" s="1530" t="n">
        <v>9.378964372565365</v>
      </c>
      <c r="TV26" s="1530" t="n">
        <v>7.815101530377446</v>
      </c>
      <c r="TW26" s="1530" t="n">
        <v>9.92140532631916</v>
      </c>
      <c r="TX26" s="1530" t="n">
        <v>10.28881558991015</v>
      </c>
      <c r="TY26" s="1530" t="n">
        <v>10.57783426651434</v>
      </c>
      <c r="TZ26" s="1530">
        <f>TZ25/TZ2</f>
        <v/>
      </c>
      <c r="UA26" s="1530">
        <f>UA25/UA2</f>
        <v/>
      </c>
      <c r="UB26" s="1530">
        <f>UB25/UB2</f>
        <v/>
      </c>
      <c r="UC26" s="1530">
        <f>UC25/UC2</f>
        <v/>
      </c>
      <c r="UD26" s="1530">
        <f>UD25/UD2</f>
        <v/>
      </c>
      <c r="UE26" s="1530">
        <f>UE25/UE2</f>
        <v/>
      </c>
      <c r="UF26" s="1530" t="n">
        <v>8.506584220894489</v>
      </c>
      <c r="UG26" s="1530" t="n">
        <v>7.954500293703337</v>
      </c>
      <c r="UH26" s="1530" t="n">
        <v>8.153077549958647</v>
      </c>
      <c r="UI26" s="1530" t="n">
        <v>8.144278599285977</v>
      </c>
      <c r="UJ26" s="1530" t="n">
        <v>7.511472732760589</v>
      </c>
      <c r="UK26" s="1530" t="n">
        <v>7.833163219095521</v>
      </c>
      <c r="UL26" s="1530" t="n">
        <v>5.595293040838857</v>
      </c>
      <c r="UM26" s="1530" t="n">
        <v>5.639837681232953</v>
      </c>
      <c r="UN26" s="1530" t="n">
        <v>6.723455108310437</v>
      </c>
      <c r="UO26" s="1530" t="n">
        <v>6.797071316232038</v>
      </c>
      <c r="UP26" s="1530" t="n">
        <v>10.12340659897747</v>
      </c>
      <c r="UQ26" s="1530" t="n">
        <v>8.003710903367136</v>
      </c>
      <c r="UR26" s="1530" t="n">
        <v>7.630660406404282</v>
      </c>
      <c r="US26" s="1530" t="n">
        <v>8.047292947943456</v>
      </c>
      <c r="UT26" s="1530" t="n">
        <v>8.274012400631884</v>
      </c>
      <c r="UU26" s="1530" t="n">
        <v>7.934742324869537</v>
      </c>
      <c r="UV26" s="1530" t="n">
        <v>8.867966575468326</v>
      </c>
      <c r="UW26" s="1530" t="n">
        <v>8.854286027079533</v>
      </c>
      <c r="UX26" s="1530" t="n">
        <v>7.700898130344216</v>
      </c>
      <c r="UY26" s="1530" t="n">
        <v>7.850131275538267</v>
      </c>
      <c r="UZ26" s="1530" t="n">
        <v>8.021244604177745</v>
      </c>
      <c r="VA26" s="1530" t="n">
        <v>8.006485780469211</v>
      </c>
      <c r="VB26" s="1530" t="n">
        <v>8.290834791330251</v>
      </c>
      <c r="VC26" s="1530" t="n">
        <v>6.436915860910291</v>
      </c>
      <c r="VD26" s="1530" t="n">
        <v>7.686682258362423</v>
      </c>
      <c r="VE26" s="1530" t="n">
        <v>7.727211409012109</v>
      </c>
      <c r="VF26" s="1530" t="n">
        <v>7.547429648310129</v>
      </c>
      <c r="VG26" s="1530" t="n">
        <v>10.23050174131481</v>
      </c>
      <c r="VH26" s="1530" t="n">
        <v>10.84359043715345</v>
      </c>
      <c r="VI26" s="1530" t="n">
        <v>10.79960092005647</v>
      </c>
      <c r="VJ26" s="1530" t="n">
        <v>12.09715405241939</v>
      </c>
      <c r="VK26" s="1530" t="n">
        <v>7.288407233630317</v>
      </c>
      <c r="VL26" s="1530" t="n">
        <v>8.287354212099366</v>
      </c>
      <c r="VM26" s="1530" t="n">
        <v>6.261755796912318</v>
      </c>
      <c r="VN26" s="1530" t="n">
        <v>6.810413087964825</v>
      </c>
      <c r="VO26" s="1530" t="n">
        <v>5.260162530549091</v>
      </c>
      <c r="VP26" s="1530" t="n">
        <v>6.09282889027542</v>
      </c>
      <c r="VQ26" s="1530" t="n">
        <v>7.026286307368689</v>
      </c>
      <c r="VR26" s="1530" t="n">
        <v>6.48679096562715</v>
      </c>
      <c r="VS26" s="1530" t="n">
        <v>2.984397750799387</v>
      </c>
      <c r="VT26" s="1530" t="n">
        <v>4.075365402783379</v>
      </c>
      <c r="VU26" s="1530" t="n">
        <v>4.420321209516348</v>
      </c>
      <c r="VV26" s="1530">
        <f>VV25/VV2</f>
        <v/>
      </c>
      <c r="VW26" s="1530" t="n">
        <v>5.915075479819318</v>
      </c>
      <c r="VX26" s="1530" t="n">
        <v>7.382571139706892</v>
      </c>
      <c r="VY26" s="1530" t="n">
        <v>10.1041220741141</v>
      </c>
      <c r="VZ26" s="1530" t="n">
        <v>8.15664963648025</v>
      </c>
      <c r="WA26" s="1530" t="n">
        <v>10.50353276577643</v>
      </c>
      <c r="WB26" s="1530" t="n">
        <v>6.81730244505909</v>
      </c>
      <c r="WC26" s="1530" t="n">
        <v>6.980913881852646</v>
      </c>
      <c r="WD26" s="1530" t="n">
        <v>3.738612929339905</v>
      </c>
      <c r="WE26" s="1530" t="n">
        <v>7.583000410330148</v>
      </c>
      <c r="WF26" s="1530" t="n">
        <v>8.072499830245544</v>
      </c>
      <c r="WG26" s="1530" t="n">
        <v>4.190952234594412</v>
      </c>
      <c r="WH26" s="1530" t="n">
        <v>5.25849676955482</v>
      </c>
      <c r="WI26" s="1530" t="n">
        <v>4.636293897947742</v>
      </c>
      <c r="WJ26" s="1530" t="n">
        <v>6.532680939860716</v>
      </c>
      <c r="WK26" s="1530" t="n">
        <v>1.796895259817455</v>
      </c>
      <c r="WL26" s="1530" t="n">
        <v>1.972001324479833</v>
      </c>
      <c r="WM26" s="1530" t="n">
        <v>5.323381696598317</v>
      </c>
      <c r="WN26" s="1530" t="n">
        <v>10.20667964976041</v>
      </c>
      <c r="WO26" s="1530" t="n">
        <v>4.023884463437071</v>
      </c>
      <c r="WP26" s="1530" t="n">
        <v>4.082623137156866</v>
      </c>
      <c r="WQ26" s="1530" t="n">
        <v>5.215309066607197</v>
      </c>
      <c r="WR26" s="1530">
        <f>WR25/WR2</f>
        <v/>
      </c>
      <c r="WS26" s="1530">
        <f>WS25/WS2</f>
        <v/>
      </c>
      <c r="WT26" s="1530">
        <f>WT25/WT2</f>
        <v/>
      </c>
      <c r="WU26" s="1530">
        <f>WU25/WU2</f>
        <v/>
      </c>
      <c r="WV26" s="1530">
        <f>WV25/WV2</f>
        <v/>
      </c>
      <c r="WW26" s="1530" t="n">
        <v>3.634205291882271</v>
      </c>
      <c r="WX26" s="1530" t="n">
        <v>3.634878397450762</v>
      </c>
      <c r="WY26" s="1530" t="n">
        <v>4.138706490594933</v>
      </c>
      <c r="WZ26" s="1530" t="n">
        <v>4.567895254884104</v>
      </c>
      <c r="XA26" s="1530" t="n">
        <v>4.949601873786504</v>
      </c>
      <c r="XB26" s="1530" t="n">
        <v>3.327209587292794</v>
      </c>
      <c r="XC26" s="1530" t="n">
        <v>4.48782255715598</v>
      </c>
      <c r="XD26" s="1530" t="n">
        <v>2.811119917181581</v>
      </c>
      <c r="XE26" s="1530" t="n">
        <v>6.104195637683627</v>
      </c>
      <c r="XF26" s="1530" t="n">
        <v>6.021331974220407</v>
      </c>
      <c r="XG26" s="1530" t="n">
        <v>5.951100959719386</v>
      </c>
      <c r="XH26" s="1530" t="n">
        <v>6.569899148367789</v>
      </c>
      <c r="XI26" s="1530" t="n">
        <v>3.573666520533056</v>
      </c>
      <c r="XJ26" s="1530" t="n">
        <v>4.910649174369634</v>
      </c>
      <c r="XK26" s="1530" t="n">
        <v>3.470038455929187</v>
      </c>
      <c r="XL26" s="1530" t="n">
        <v>4.713150708030663</v>
      </c>
      <c r="XM26" s="1530" t="n">
        <v>6.719072133013008</v>
      </c>
      <c r="XN26" s="1530" t="n">
        <v>7.718215849857399</v>
      </c>
      <c r="XO26" s="1530" t="n">
        <v>8.371136763325223</v>
      </c>
      <c r="XP26" s="1530" t="n">
        <v>9.522112519111076</v>
      </c>
      <c r="XQ26" s="1530" t="n">
        <v>2.819175018383173</v>
      </c>
      <c r="XR26" s="1530" t="n">
        <v>4.360831938927365</v>
      </c>
      <c r="XS26" s="1530" t="n">
        <v>3.327678604421507</v>
      </c>
      <c r="XT26" s="1530" t="n">
        <v>4.196648770749598</v>
      </c>
      <c r="XU26" s="1530" t="n">
        <v>5.841479449430565</v>
      </c>
      <c r="XV26" s="1530" t="n">
        <v>6.515888872201228</v>
      </c>
      <c r="XW26" s="1530" t="n">
        <v>6.276999871694338</v>
      </c>
      <c r="XX26" s="1530" t="n">
        <v>4.314005014575838</v>
      </c>
      <c r="XY26" s="1530" t="n">
        <v>6.606182450537308</v>
      </c>
      <c r="XZ26" s="1530" t="n">
        <v>5.320858546970286</v>
      </c>
      <c r="YA26" s="1530" t="n">
        <v>6.397912520542595</v>
      </c>
      <c r="YB26" s="1530" t="n">
        <v>8.030116287351992</v>
      </c>
      <c r="YC26" s="1530" t="n">
        <v>5.31552904708587</v>
      </c>
      <c r="YD26" s="1530" t="n">
        <v>4.520514536905389</v>
      </c>
      <c r="YE26" s="1530" t="n">
        <v>2.874706972806268</v>
      </c>
      <c r="YF26" s="1530" t="n">
        <v>3.301970578395732</v>
      </c>
      <c r="YG26" s="1530" t="n">
        <v>2.790308901577975</v>
      </c>
      <c r="YH26" s="1530" t="n">
        <v>3.548645157534006</v>
      </c>
      <c r="YI26" s="1530" t="n">
        <v>5.031154221160516</v>
      </c>
      <c r="YJ26" s="1531">
        <f>YJ25/YJ2</f>
        <v/>
      </c>
    </row>
    <row r="27" ht="15" customHeight="1" thickTop="1">
      <c r="B27" s="917" t="inlineStr">
        <is>
          <t>PPP</t>
        </is>
      </c>
      <c r="C27" s="1532" t="n">
        <v>67.658161737085</v>
      </c>
      <c r="D27" s="1533" t="n">
        <v>6.55604288893</v>
      </c>
      <c r="E27" s="1533" t="n">
        <v>13.148721447868</v>
      </c>
      <c r="F27" s="1533" t="n">
        <v>22.253805429472</v>
      </c>
      <c r="G27" s="1533" t="n">
        <v>58.239883694489</v>
      </c>
      <c r="H27" s="1533" t="n">
        <v>45.516005476398</v>
      </c>
      <c r="I27" s="1533" t="n">
        <v>6.26148119693</v>
      </c>
      <c r="J27" s="1533" t="n">
        <v>7.527927764264</v>
      </c>
      <c r="K27" s="1533" t="n">
        <v>8.118204389352</v>
      </c>
      <c r="L27" s="1533">
        <f>51.135518265139</f>
        <v/>
      </c>
      <c r="M27" s="1533" t="n">
        <v>31.3</v>
      </c>
      <c r="N27" s="1533" t="n">
        <v>17</v>
      </c>
      <c r="O27" s="1533" t="n">
        <v>15.6</v>
      </c>
      <c r="P27" s="1533" t="n">
        <v>13.5</v>
      </c>
      <c r="Q27" s="1533" t="n">
        <v>42.4</v>
      </c>
      <c r="R27" s="1533" t="n">
        <v>38.5</v>
      </c>
      <c r="S27" s="1533" t="n">
        <v>1.1</v>
      </c>
      <c r="T27" s="1533" t="n">
        <v>0.2</v>
      </c>
      <c r="U27" s="1533" t="n">
        <v>0.2</v>
      </c>
      <c r="V27" s="1533" t="n">
        <v>23.8</v>
      </c>
      <c r="W27" s="1533" t="n">
        <v>18.9</v>
      </c>
      <c r="X27" s="1533" t="n">
        <v>29.9</v>
      </c>
      <c r="Y27" s="1533" t="n">
        <v>2.7</v>
      </c>
      <c r="Z27" s="1533" t="n">
        <v>21.7</v>
      </c>
      <c r="AA27" s="1533" t="n">
        <v>13.4</v>
      </c>
      <c r="AB27" s="1533" t="n">
        <v>0.9</v>
      </c>
      <c r="AC27" s="1533" t="n">
        <v>38.7</v>
      </c>
      <c r="AD27" s="1533" t="n">
        <v>14.9</v>
      </c>
      <c r="AE27" s="1533" t="n">
        <v>7.7</v>
      </c>
      <c r="AF27" s="1533" t="n">
        <v>42.3</v>
      </c>
      <c r="AG27" s="1533" t="n">
        <v>38.8</v>
      </c>
      <c r="AH27" s="1533" t="n">
        <v>33.9</v>
      </c>
      <c r="AI27" s="1533" t="n">
        <v>44.3</v>
      </c>
      <c r="AJ27" s="1533" t="n">
        <v>7</v>
      </c>
      <c r="AK27" s="1533" t="n">
        <v>25.8</v>
      </c>
      <c r="AL27" s="1533" t="n">
        <v>27.4</v>
      </c>
      <c r="AM27" s="1533" t="n">
        <v>31.3</v>
      </c>
      <c r="AN27" s="1533" t="n">
        <v>17.9</v>
      </c>
      <c r="AO27" s="1533" t="n">
        <v>14.1</v>
      </c>
      <c r="AP27" s="1533" t="n">
        <v>59.1</v>
      </c>
      <c r="AQ27" s="1533" t="n">
        <v>44.6</v>
      </c>
      <c r="AR27" s="1533" t="n">
        <v>18.1</v>
      </c>
      <c r="AS27" s="1533" t="n">
        <v>7.7</v>
      </c>
      <c r="AT27" s="1533" t="n">
        <v>10.4</v>
      </c>
      <c r="AU27" s="1533" t="n">
        <v>40.2</v>
      </c>
      <c r="AV27" s="1533" t="n">
        <v>36.668</v>
      </c>
      <c r="AW27" s="1533" t="n">
        <v>27.53</v>
      </c>
      <c r="AX27" s="1533" t="n">
        <v>0.622</v>
      </c>
      <c r="AY27" s="1533" t="n">
        <v>3</v>
      </c>
      <c r="AZ27" s="1533" t="n">
        <v>38.4</v>
      </c>
      <c r="BA27" s="1533" t="n">
        <v>32.7</v>
      </c>
      <c r="BB27" s="1533" t="n">
        <v>32.1</v>
      </c>
      <c r="BC27" s="1533" t="n">
        <v>32.6</v>
      </c>
      <c r="BD27" s="1533" t="n">
        <v>73.40000000000001</v>
      </c>
      <c r="BE27" s="1533" t="n">
        <v>78.59999999999999</v>
      </c>
      <c r="BF27" s="1533" t="n">
        <v>78.59999999999999</v>
      </c>
      <c r="BG27" s="1533" t="n">
        <v>177.6</v>
      </c>
      <c r="BH27" s="1533" t="n">
        <v>120.2</v>
      </c>
      <c r="BI27" s="1533" t="n">
        <v>151</v>
      </c>
      <c r="BJ27" s="1533" t="n">
        <v>847.6</v>
      </c>
      <c r="BK27" s="1533" t="n">
        <v>27.3</v>
      </c>
      <c r="BL27" s="1533" t="n">
        <v>2.5</v>
      </c>
      <c r="BM27" s="1533" t="n">
        <v>0.5</v>
      </c>
      <c r="BN27" s="1533" t="n">
        <v>43.8</v>
      </c>
      <c r="BO27" s="1533" t="n">
        <v>43.3</v>
      </c>
      <c r="BP27" s="1533" t="n">
        <v>14.8</v>
      </c>
      <c r="BQ27" s="1533" t="n">
        <v>1.5</v>
      </c>
      <c r="BR27" s="1533" t="n">
        <v>0.5</v>
      </c>
      <c r="BS27" s="1533" t="n">
        <v>31.7</v>
      </c>
      <c r="BT27" s="1533" t="n">
        <v>31.7</v>
      </c>
      <c r="BU27" s="1533" t="n">
        <v>22.6</v>
      </c>
      <c r="BV27" s="1533" t="n">
        <v>20.9</v>
      </c>
      <c r="BW27" s="1533" t="n">
        <v>16.5</v>
      </c>
      <c r="BX27" s="1533" t="n">
        <v>33.6</v>
      </c>
      <c r="BY27" s="1533" t="n">
        <v>17.5</v>
      </c>
      <c r="BZ27" s="1533" t="n">
        <v>10.7</v>
      </c>
      <c r="CA27" s="1533" t="n">
        <v>15.1</v>
      </c>
      <c r="CB27" s="1533" t="n">
        <v>11.9</v>
      </c>
      <c r="CC27" s="1533" t="n">
        <v>25.6</v>
      </c>
      <c r="CD27" s="1533" t="n">
        <v>25.9</v>
      </c>
      <c r="CE27" s="1533" t="n">
        <v>23.5</v>
      </c>
      <c r="CF27" s="1533" t="n">
        <v>23.5</v>
      </c>
      <c r="CG27" s="1533" t="n">
        <v>0.8</v>
      </c>
      <c r="CH27" s="1533" t="n">
        <v>0.8</v>
      </c>
      <c r="CI27" s="1533" t="n">
        <v>30.4</v>
      </c>
      <c r="CJ27" s="1533" t="n">
        <v>30.6</v>
      </c>
      <c r="CK27" s="1533" t="n">
        <v>41.7</v>
      </c>
      <c r="CL27" s="1533" t="n">
        <v>29.2</v>
      </c>
      <c r="CM27" s="1533" t="n">
        <v>58.1</v>
      </c>
      <c r="CN27" s="1533" t="n">
        <v>51.5</v>
      </c>
      <c r="CO27" s="1533" t="n">
        <v>50.6</v>
      </c>
      <c r="CP27" s="1533" t="n">
        <v>27</v>
      </c>
      <c r="CQ27" s="1533" t="n">
        <v>6.3</v>
      </c>
      <c r="CR27" s="1533" t="n">
        <v>38.2</v>
      </c>
      <c r="CS27" s="1533" t="n">
        <v>38.2</v>
      </c>
      <c r="CT27" s="1533" t="n">
        <v>68.2</v>
      </c>
      <c r="CU27" s="1533" t="n">
        <v>42.7</v>
      </c>
      <c r="CV27" s="1533" t="n">
        <v>12.2</v>
      </c>
      <c r="CW27" s="1533" t="n">
        <v>46.1</v>
      </c>
      <c r="CX27" s="1533" t="n">
        <v>46.1</v>
      </c>
      <c r="CY27" s="1533" t="n">
        <v>18</v>
      </c>
      <c r="CZ27" s="1533" t="n">
        <v>18</v>
      </c>
      <c r="DA27" s="1533" t="n">
        <v>27</v>
      </c>
      <c r="DB27" s="1533" t="n">
        <v>45.5</v>
      </c>
      <c r="DC27" s="1533" t="n">
        <v>35</v>
      </c>
      <c r="DD27" s="1533" t="n">
        <v>53.37</v>
      </c>
      <c r="DE27" s="1533" t="n">
        <v>89.09999999999999</v>
      </c>
      <c r="DF27" s="1533" t="n">
        <v>94.36799999999999</v>
      </c>
      <c r="DG27" s="1533" t="n">
        <v>53.2</v>
      </c>
      <c r="DH27" s="1533" t="n">
        <v>78</v>
      </c>
      <c r="DI27" s="1533" t="n">
        <v>33.7</v>
      </c>
      <c r="DJ27" s="1533" t="n">
        <v>33.9</v>
      </c>
      <c r="DK27" s="1533" t="n">
        <v>42.9</v>
      </c>
      <c r="DL27" s="1533" t="n">
        <v>32.8</v>
      </c>
      <c r="DM27" s="1533" t="n">
        <v>32.8</v>
      </c>
      <c r="DN27" s="1533" t="n">
        <v>32.8</v>
      </c>
      <c r="DO27" s="1533" t="n">
        <v>2.5</v>
      </c>
      <c r="DP27" s="1533" t="n">
        <v>2.5</v>
      </c>
      <c r="DQ27" s="1533" t="n">
        <v>27.2</v>
      </c>
      <c r="DR27" s="1533" t="n">
        <v>40.8</v>
      </c>
      <c r="DS27" s="1533" t="n">
        <v>40.8</v>
      </c>
      <c r="DT27" s="1533" t="n">
        <v>101.3</v>
      </c>
      <c r="DU27" s="1533" t="n">
        <v>107.5</v>
      </c>
      <c r="DV27" s="1533" t="n">
        <v>137.8</v>
      </c>
      <c r="DW27" s="1533" t="n">
        <v>145.7</v>
      </c>
      <c r="DX27" s="1533" t="n">
        <v>139.5</v>
      </c>
      <c r="DY27" s="1533" t="n">
        <v>124.7</v>
      </c>
      <c r="DZ27" s="1533" t="n">
        <v>57.1</v>
      </c>
      <c r="EA27" s="1533" t="n">
        <v>77.09999999999999</v>
      </c>
      <c r="EB27" s="1533" t="n">
        <v>70.52</v>
      </c>
      <c r="EC27" s="1533" t="n">
        <v>48.92</v>
      </c>
      <c r="ED27" s="1533" t="n">
        <v>38.8</v>
      </c>
      <c r="EE27" s="1533" t="n">
        <v>0.5</v>
      </c>
      <c r="EF27" s="1533" t="n">
        <v>0.7</v>
      </c>
      <c r="EG27" s="1533" t="n">
        <v>35.97</v>
      </c>
      <c r="EH27" s="1533" t="n">
        <v>35.8</v>
      </c>
      <c r="EI27" s="1533" t="n">
        <v>134.1</v>
      </c>
      <c r="EJ27" s="1533" t="n">
        <v>99.22</v>
      </c>
      <c r="EK27" s="1533" t="n">
        <v>122.66</v>
      </c>
      <c r="EL27" s="1533" t="n">
        <v>118.87</v>
      </c>
      <c r="EM27" s="1533" t="n">
        <v>118.87</v>
      </c>
      <c r="EN27" s="1533" t="n">
        <v>170.9</v>
      </c>
      <c r="EO27" s="1533" t="n">
        <v>19.9</v>
      </c>
      <c r="EP27" s="1533" t="n">
        <v>46.2</v>
      </c>
      <c r="EQ27" s="1533" t="n">
        <v>70.5</v>
      </c>
      <c r="ER27" s="1533" t="n">
        <v>70.5</v>
      </c>
      <c r="ES27" s="1533" t="n">
        <v>79.2</v>
      </c>
      <c r="ET27" s="1533" t="n">
        <v>17.85</v>
      </c>
      <c r="EU27" s="1533" t="n">
        <v>59.9</v>
      </c>
      <c r="EV27" s="1533" t="n">
        <v>59.35</v>
      </c>
      <c r="EW27" s="1533" t="n">
        <v>47.6</v>
      </c>
      <c r="EX27" s="1533" t="n">
        <v>11</v>
      </c>
      <c r="EY27" s="1533" t="n">
        <v>201.4</v>
      </c>
      <c r="EZ27" s="1533" t="n">
        <v>227.5</v>
      </c>
      <c r="FA27" s="1533" t="n">
        <v>184.08</v>
      </c>
      <c r="FB27" s="1533" t="n">
        <v>196.65</v>
      </c>
      <c r="FC27" s="1533" t="n">
        <v>41.37</v>
      </c>
      <c r="FD27" s="1533" t="n">
        <v>76.40000000000001</v>
      </c>
      <c r="FE27" s="1533" t="n">
        <v>63.74</v>
      </c>
      <c r="FF27" s="1533" t="n">
        <v>63.6</v>
      </c>
      <c r="FG27" s="1533" t="n">
        <v>63.2</v>
      </c>
      <c r="FH27" s="1533" t="n">
        <v>136.42</v>
      </c>
      <c r="FI27" s="1533" t="n">
        <v>132.29</v>
      </c>
      <c r="FJ27" s="1533" t="n">
        <v>157</v>
      </c>
      <c r="FK27" s="1533" t="n">
        <v>157</v>
      </c>
      <c r="FL27" s="1533" t="n">
        <v>167.6</v>
      </c>
      <c r="FM27" s="1533" t="n">
        <v>88.7</v>
      </c>
      <c r="FN27" s="1533" t="n">
        <v>123</v>
      </c>
      <c r="FO27" s="1533" t="n">
        <v>122.5</v>
      </c>
      <c r="FP27" s="1533" t="n">
        <v>122.5</v>
      </c>
      <c r="FQ27" s="1533" t="n">
        <v>223.34</v>
      </c>
      <c r="FR27" s="1533" t="n">
        <v>186.6</v>
      </c>
      <c r="FS27" s="1533" t="n">
        <v>212.7</v>
      </c>
      <c r="FT27" s="1533" t="n">
        <v>214</v>
      </c>
      <c r="FU27" s="1533" t="n">
        <v>203.8</v>
      </c>
      <c r="FV27" s="1533" t="n">
        <v>240</v>
      </c>
      <c r="FW27" s="1533" t="n">
        <v>164.9</v>
      </c>
      <c r="FX27" s="1533" t="n">
        <v>224.3</v>
      </c>
      <c r="FY27" s="1533" t="n">
        <v>223.9</v>
      </c>
      <c r="FZ27" s="1533" t="n">
        <v>249.9</v>
      </c>
      <c r="GA27" s="1533" t="n">
        <v>235.46</v>
      </c>
      <c r="GB27" s="1533" t="n">
        <v>238.74</v>
      </c>
      <c r="GC27" s="1533" t="n">
        <v>235</v>
      </c>
      <c r="GD27" s="1533" t="n">
        <v>269.6</v>
      </c>
      <c r="GE27" s="1533" t="n">
        <v>274.04</v>
      </c>
      <c r="GF27" s="1533" t="n">
        <v>245.52</v>
      </c>
      <c r="GG27" s="1533" t="n">
        <v>244.9</v>
      </c>
      <c r="GH27" s="1533" t="n">
        <v>229.35</v>
      </c>
      <c r="GI27" s="1533" t="n">
        <v>137.4</v>
      </c>
      <c r="GJ27" s="1533" t="n">
        <v>67</v>
      </c>
      <c r="GK27" s="1533" t="n">
        <v>95</v>
      </c>
      <c r="GL27" s="1533" t="n">
        <v>50</v>
      </c>
      <c r="GM27" s="1533" t="n">
        <v>94</v>
      </c>
      <c r="GN27" s="1533" t="n">
        <v>75</v>
      </c>
      <c r="GO27" s="1533" t="n">
        <v>57.5</v>
      </c>
      <c r="GP27" s="1533" t="n"/>
      <c r="GQ27" s="1533" t="n">
        <v>25</v>
      </c>
      <c r="GR27" s="1533" t="n">
        <v>1</v>
      </c>
      <c r="GS27" s="1533" t="n">
        <v>5.9</v>
      </c>
      <c r="GT27" s="1533" t="n">
        <v>16</v>
      </c>
      <c r="GU27" s="1533" t="n">
        <v>87.84999999999999</v>
      </c>
      <c r="GV27" s="1533" t="n">
        <v>109.5</v>
      </c>
      <c r="GW27" s="1533" t="n">
        <v>32.5</v>
      </c>
      <c r="GX27" s="1533" t="n">
        <v>5.2</v>
      </c>
      <c r="GY27" s="1533" t="n">
        <v>5.2</v>
      </c>
      <c r="GZ27" s="1533" t="n">
        <v>100</v>
      </c>
      <c r="HA27" s="1533" t="n">
        <v>115</v>
      </c>
      <c r="HB27" s="1533" t="n">
        <v>93.5</v>
      </c>
      <c r="HC27" s="1533" t="n">
        <v>161.3</v>
      </c>
      <c r="HD27" s="1533" t="n">
        <v>113</v>
      </c>
      <c r="HE27" s="1533" t="n">
        <v>8</v>
      </c>
      <c r="HF27" s="1533" t="n">
        <v>40.5</v>
      </c>
      <c r="HG27" s="1533" t="n">
        <v>15</v>
      </c>
      <c r="HH27" s="1533" t="n">
        <v>15.2</v>
      </c>
      <c r="HI27" s="1533" t="n">
        <v>9.5</v>
      </c>
      <c r="HJ27" s="1533" t="n">
        <v>50</v>
      </c>
      <c r="HK27" s="1533" t="n">
        <v>50</v>
      </c>
      <c r="HL27" s="1533" t="n">
        <v>88.5</v>
      </c>
      <c r="HM27" s="1533" t="n">
        <v>91.5</v>
      </c>
      <c r="HN27" s="1533" t="n">
        <v>96.7</v>
      </c>
      <c r="HO27" s="1533" t="n">
        <v>131.3</v>
      </c>
      <c r="HP27" s="1533" t="n">
        <v>127.8</v>
      </c>
      <c r="HQ27" s="1533" t="n">
        <v>27</v>
      </c>
      <c r="HR27" s="1533" t="n">
        <v>52.3</v>
      </c>
      <c r="HS27" s="1533" t="n">
        <v>45.2</v>
      </c>
      <c r="HT27" s="1533" t="n">
        <v>45</v>
      </c>
      <c r="HU27" s="1533" t="n">
        <v>45</v>
      </c>
      <c r="HV27" s="1533" t="n">
        <v>24.5</v>
      </c>
      <c r="HW27" s="1533" t="n">
        <v>24.5</v>
      </c>
      <c r="HX27" s="1533" t="n">
        <v>53.5</v>
      </c>
      <c r="HY27" s="1533" t="n">
        <v>53.5</v>
      </c>
      <c r="HZ27" s="1533" t="n">
        <v>55.7</v>
      </c>
      <c r="IA27" s="1533" t="n">
        <v>49.9</v>
      </c>
      <c r="IB27" s="1533" t="n">
        <v>50</v>
      </c>
      <c r="IC27" s="1533" t="n">
        <v>50</v>
      </c>
      <c r="ID27" s="1533" t="n">
        <v>50</v>
      </c>
      <c r="IE27" s="1533" t="n">
        <v>69.40000000000001</v>
      </c>
      <c r="IF27" s="1533" t="n">
        <v>69.40000000000001</v>
      </c>
      <c r="IG27" s="1533" t="n">
        <v>118.5</v>
      </c>
      <c r="IH27" s="1533" t="n">
        <v>128.4</v>
      </c>
      <c r="II27" s="1533" t="n">
        <v>128.4</v>
      </c>
      <c r="IJ27" s="1533" t="n">
        <v>128.4</v>
      </c>
      <c r="IK27" s="1533" t="n">
        <v>30</v>
      </c>
      <c r="IL27" s="1533" t="n">
        <v>30</v>
      </c>
      <c r="IM27" s="1533" t="n">
        <v>30</v>
      </c>
      <c r="IN27" s="1533" t="n">
        <v>75.5</v>
      </c>
      <c r="IO27" s="1533" t="n">
        <v>45</v>
      </c>
      <c r="IP27" s="1533" t="n">
        <v>37.4</v>
      </c>
      <c r="IQ27" s="1533" t="n">
        <v>41.505</v>
      </c>
      <c r="IR27" s="1533" t="n">
        <v>41.505</v>
      </c>
      <c r="IS27" s="1533" t="n">
        <v>35.7</v>
      </c>
      <c r="IT27" s="1533" t="n">
        <v>7</v>
      </c>
      <c r="IU27" s="1533" t="n">
        <v>44.858</v>
      </c>
      <c r="IV27" s="1533" t="n">
        <v>44.858</v>
      </c>
      <c r="IW27" s="1533" t="n">
        <v>21</v>
      </c>
      <c r="IX27" s="1533" t="n">
        <v>37.725</v>
      </c>
      <c r="IY27" s="1533" t="n">
        <v>44</v>
      </c>
      <c r="IZ27" s="1533" t="n">
        <v>61</v>
      </c>
      <c r="JA27" s="1533" t="n">
        <v>52.5</v>
      </c>
      <c r="JB27" s="1533" t="n">
        <v>52.5</v>
      </c>
      <c r="JC27" s="1533" t="n">
        <v>11</v>
      </c>
      <c r="JD27" s="1533" t="n">
        <v>11</v>
      </c>
      <c r="JE27" s="1533" t="n">
        <v>11</v>
      </c>
      <c r="JF27" s="1533" t="n">
        <v>11</v>
      </c>
      <c r="JG27" s="1533" t="n">
        <v>60.6</v>
      </c>
      <c r="JH27" s="1533" t="n">
        <v>60.6</v>
      </c>
      <c r="JI27" s="1533" t="n">
        <v>60.6</v>
      </c>
      <c r="JJ27" s="1533" t="n">
        <v>97.2</v>
      </c>
      <c r="JK27" s="1533" t="n">
        <v>77</v>
      </c>
      <c r="JL27" s="1533" t="n">
        <v>95.80000000000001</v>
      </c>
      <c r="JM27" s="1533" t="n">
        <v>53.2</v>
      </c>
      <c r="JN27" s="1533" t="n">
        <v>53.2</v>
      </c>
      <c r="JO27" s="1533" t="n">
        <v>53.2</v>
      </c>
      <c r="JP27" s="1533" t="n">
        <v>97.40000000000001</v>
      </c>
      <c r="JQ27" s="1533" t="n">
        <v>97.40000000000001</v>
      </c>
      <c r="JR27" s="1533" t="n">
        <v>24.5</v>
      </c>
      <c r="JS27" s="1533" t="n">
        <v>24.5</v>
      </c>
      <c r="JT27" s="1533" t="n">
        <v>67.90000000000001</v>
      </c>
      <c r="JU27" s="1533" t="n">
        <v>67.90000000000001</v>
      </c>
      <c r="JV27" s="1533" t="n">
        <v>67.90000000000001</v>
      </c>
      <c r="JW27" s="1533" t="n">
        <v>19.8</v>
      </c>
      <c r="JX27" s="1533" t="n">
        <v>19.8</v>
      </c>
      <c r="JY27" s="1533" t="n">
        <v>270.7</v>
      </c>
      <c r="JZ27" s="1533" t="n">
        <v>270.7</v>
      </c>
      <c r="KA27" s="1533" t="n">
        <v>186.5</v>
      </c>
      <c r="KB27" s="1533" t="n">
        <v>186.5</v>
      </c>
      <c r="KC27" s="1533" t="n">
        <v>158.8</v>
      </c>
      <c r="KD27" s="1533" t="n">
        <v>68.5</v>
      </c>
      <c r="KE27" s="1533" t="n">
        <v>68.5</v>
      </c>
      <c r="KF27" s="1533" t="n">
        <v>77</v>
      </c>
      <c r="KG27" s="1533" t="n">
        <v>112.5</v>
      </c>
      <c r="KH27" s="1533" t="n">
        <v>112.5</v>
      </c>
      <c r="KI27" s="1533" t="n">
        <v>103.5</v>
      </c>
      <c r="KJ27" s="1533" t="n">
        <v>103.5</v>
      </c>
      <c r="KK27" s="1533" t="n">
        <v>152</v>
      </c>
      <c r="KL27" s="1533" t="n">
        <v>83</v>
      </c>
      <c r="KM27" s="1533" t="n">
        <v>83</v>
      </c>
      <c r="KN27" s="1533" t="n">
        <v>63.3</v>
      </c>
      <c r="KO27" s="1533" t="n">
        <v>92.5</v>
      </c>
      <c r="KP27" s="1533" t="n">
        <v>89</v>
      </c>
      <c r="KQ27" s="1533" t="n">
        <v>92.3</v>
      </c>
      <c r="KR27" s="1533" t="n">
        <v>92.3</v>
      </c>
      <c r="KS27" s="1533" t="n">
        <v>82.3</v>
      </c>
      <c r="KT27" s="1533" t="n">
        <v>82.3</v>
      </c>
      <c r="KU27" s="1533" t="n">
        <v>116.6</v>
      </c>
      <c r="KV27" s="1533" t="n">
        <v>132</v>
      </c>
      <c r="KW27" s="1533" t="n">
        <v>128.5</v>
      </c>
      <c r="KX27" s="1533" t="n">
        <v>127</v>
      </c>
      <c r="KY27" s="1533" t="n">
        <v>127</v>
      </c>
      <c r="KZ27" s="1533" t="n">
        <v>148.205</v>
      </c>
      <c r="LA27" s="1533" t="n">
        <v>148.205</v>
      </c>
      <c r="LB27" s="1533" t="n">
        <v>148.205</v>
      </c>
      <c r="LC27" s="1533" t="n">
        <v>148.205</v>
      </c>
      <c r="LD27" s="1533" t="n">
        <v>148.205</v>
      </c>
      <c r="LE27" s="1533" t="n">
        <v>102</v>
      </c>
      <c r="LF27" s="1533" t="n">
        <v>103.385</v>
      </c>
      <c r="LG27" s="1533" t="n">
        <v>103.385</v>
      </c>
      <c r="LH27" s="1533" t="n">
        <v>103.385</v>
      </c>
      <c r="LI27" s="1533" t="n">
        <v>75.151</v>
      </c>
      <c r="LJ27" s="1533" t="n">
        <v>75.151</v>
      </c>
      <c r="LK27" s="1533" t="n">
        <v>75.151</v>
      </c>
      <c r="LL27" s="1533" t="n">
        <v>98.59</v>
      </c>
      <c r="LM27" s="1533" t="n">
        <v>98.59</v>
      </c>
      <c r="LN27" s="1533" t="n">
        <v>31.1</v>
      </c>
      <c r="LO27" s="1533" t="n">
        <v>31.1</v>
      </c>
      <c r="LP27" s="1533" t="n">
        <v>31.1</v>
      </c>
      <c r="LQ27" s="1533" t="n">
        <v>29</v>
      </c>
      <c r="LR27" s="1533" t="n">
        <v>8.23</v>
      </c>
      <c r="LS27" s="1533" t="n">
        <v>8.23</v>
      </c>
      <c r="LT27" s="1533" t="n">
        <v>59.5</v>
      </c>
      <c r="LU27" s="1533" t="n">
        <v>17.7</v>
      </c>
      <c r="LV27" s="1533" t="n">
        <v>33.5</v>
      </c>
      <c r="LW27" s="1533" t="n">
        <v>33.5</v>
      </c>
      <c r="LX27" s="1533" t="n">
        <v>25.5</v>
      </c>
      <c r="LY27" s="1533" t="n">
        <v>25.5</v>
      </c>
      <c r="LZ27" s="1533" t="n">
        <v>31.5</v>
      </c>
      <c r="MA27" s="1533" t="n">
        <v>31.5</v>
      </c>
      <c r="MB27" s="1533" t="n">
        <v>31.5</v>
      </c>
      <c r="MC27" s="1533" t="n">
        <v>31.5</v>
      </c>
      <c r="MD27" s="1533" t="n">
        <v>95.81999999999999</v>
      </c>
      <c r="ME27" s="1533" t="n">
        <v>92.7</v>
      </c>
      <c r="MF27" s="1533" t="n">
        <v>92.7</v>
      </c>
      <c r="MG27" s="1533" t="n">
        <v>92.7</v>
      </c>
      <c r="MH27" s="1533" t="n">
        <v>12.3</v>
      </c>
      <c r="MI27" s="1533" t="n">
        <v>12.3</v>
      </c>
      <c r="MJ27" s="1533" t="n">
        <v>59.3</v>
      </c>
      <c r="MK27" s="1533" t="n">
        <v>68.8</v>
      </c>
      <c r="ML27" s="1533" t="n">
        <v>68.8</v>
      </c>
      <c r="MM27" s="1533" t="n">
        <v>68.8</v>
      </c>
      <c r="MN27" s="1533" t="n">
        <v>68.8</v>
      </c>
      <c r="MO27" s="1533" t="n">
        <v>68.8</v>
      </c>
      <c r="MP27" s="1533" t="n">
        <v>68.8</v>
      </c>
      <c r="MQ27" s="1533" t="n">
        <v>21.8</v>
      </c>
      <c r="MR27" s="1533" t="n">
        <v>21.8</v>
      </c>
      <c r="MS27" s="1533" t="n">
        <v>64.965</v>
      </c>
      <c r="MT27" s="1533" t="n">
        <v>53.6</v>
      </c>
      <c r="MU27" s="1533" t="n">
        <v>53.6</v>
      </c>
      <c r="MV27" s="1533" t="n">
        <v>53.6</v>
      </c>
      <c r="MW27" s="1533" t="n">
        <v>4.3</v>
      </c>
      <c r="MX27" s="1533" t="n">
        <v>97.81</v>
      </c>
      <c r="MY27" s="1533" t="n">
        <v>97.81</v>
      </c>
      <c r="MZ27" s="1533" t="n">
        <v>97.81</v>
      </c>
      <c r="NA27" s="1533" t="n">
        <v>97.81</v>
      </c>
      <c r="NB27" s="1533" t="n">
        <v>97.81</v>
      </c>
      <c r="NC27" s="1533" t="n">
        <v>97.81</v>
      </c>
      <c r="ND27" s="1533" t="n">
        <v>97.81</v>
      </c>
      <c r="NE27" s="1533" t="n">
        <v>97.81</v>
      </c>
      <c r="NF27" s="1533" t="n">
        <v>3.6</v>
      </c>
      <c r="NG27" s="1533" t="n">
        <v>7.5</v>
      </c>
      <c r="NH27" s="1533" t="n">
        <v>67.90000000000001</v>
      </c>
      <c r="NI27" s="1533" t="n">
        <v>48.5</v>
      </c>
      <c r="NJ27" s="1533" t="n">
        <v>48.5</v>
      </c>
      <c r="NK27" s="1533" t="n">
        <v>16.6</v>
      </c>
      <c r="NL27" s="1533" t="n">
        <v>16.6</v>
      </c>
      <c r="NM27" s="1533" t="n">
        <v>64.002</v>
      </c>
      <c r="NN27" s="1533" t="n">
        <v>64.002</v>
      </c>
      <c r="NO27" s="1533" t="n">
        <v>64.002</v>
      </c>
      <c r="NP27" s="1533" t="n">
        <v>98.40000000000001</v>
      </c>
      <c r="NQ27" s="1533" t="n">
        <v>98.40000000000001</v>
      </c>
      <c r="NR27" s="1533" t="n">
        <v>162.9</v>
      </c>
      <c r="NS27" s="1533" t="n">
        <v>162.9</v>
      </c>
      <c r="NT27" s="1533" t="n">
        <v>162.9</v>
      </c>
      <c r="NU27" s="1533" t="n">
        <v>120</v>
      </c>
      <c r="NV27" s="1533" t="n">
        <v>146.9</v>
      </c>
      <c r="NW27" s="1533" t="n">
        <v>146.9</v>
      </c>
      <c r="NX27" s="1533" t="n">
        <v>146.9</v>
      </c>
      <c r="NY27" s="1533" t="n">
        <v>193.9</v>
      </c>
      <c r="NZ27" s="1533" t="n">
        <v>189</v>
      </c>
      <c r="OA27" s="1533" t="n">
        <v>189</v>
      </c>
      <c r="OB27" s="1533" t="n">
        <v>189</v>
      </c>
      <c r="OC27" s="1533" t="n">
        <v>162.446</v>
      </c>
      <c r="OD27" s="1533" t="n">
        <v>162.446</v>
      </c>
      <c r="OE27" s="1533" t="n">
        <v>162.446</v>
      </c>
      <c r="OF27" s="1533" t="n">
        <v>162.446</v>
      </c>
      <c r="OG27" s="1533" t="n">
        <v>160.6</v>
      </c>
      <c r="OH27" s="1533" t="n">
        <v>160.6</v>
      </c>
      <c r="OI27" s="1533" t="n">
        <v>93.89999999999999</v>
      </c>
      <c r="OJ27" s="1533" t="n">
        <v>87.59999999999999</v>
      </c>
      <c r="OK27" s="1533" t="n">
        <v>87.59999999999999</v>
      </c>
      <c r="OL27" s="1533" t="n">
        <v>149.5</v>
      </c>
      <c r="OM27" s="1533" t="n">
        <v>149.5</v>
      </c>
      <c r="ON27" s="1533" t="n">
        <v>149.5</v>
      </c>
      <c r="OO27" s="1533" t="n">
        <v>92.40000000000001</v>
      </c>
      <c r="OP27" s="1533" t="n">
        <v>138.8</v>
      </c>
      <c r="OQ27" s="1533" t="n">
        <v>138.8</v>
      </c>
      <c r="OR27" s="1533" t="n">
        <v>138.8</v>
      </c>
      <c r="OS27" s="1533" t="n">
        <v>77.5</v>
      </c>
      <c r="OT27" s="1533" t="n">
        <v>81.80000000000001</v>
      </c>
      <c r="OU27" s="1533" t="n">
        <v>81.80000000000001</v>
      </c>
      <c r="OV27" s="1533" t="n">
        <v>81.80000000000001</v>
      </c>
      <c r="OW27" s="1533" t="n">
        <v>94.60000000000001</v>
      </c>
      <c r="OX27" s="1533" t="n">
        <v>94.60000000000001</v>
      </c>
      <c r="OY27" s="1533" t="n">
        <v>1.8</v>
      </c>
      <c r="OZ27" s="1533" t="n">
        <v>1.8</v>
      </c>
      <c r="PA27" s="1533" t="n">
        <v>1.8</v>
      </c>
      <c r="PB27" s="1533" t="n">
        <v>4.9</v>
      </c>
      <c r="PC27" s="1533" t="n">
        <v>4.9</v>
      </c>
      <c r="PD27" s="1533" t="n">
        <v>4.9</v>
      </c>
      <c r="PE27" s="1533" t="n">
        <v>41</v>
      </c>
      <c r="PF27" s="1533" t="n">
        <v>48</v>
      </c>
      <c r="PG27" s="1533" t="n">
        <v>48</v>
      </c>
      <c r="PH27" s="1533" t="n">
        <v>48</v>
      </c>
      <c r="PI27" s="1533" t="n">
        <v>79</v>
      </c>
      <c r="PJ27" s="1533" t="n">
        <v>79</v>
      </c>
      <c r="PK27" s="1533" t="n">
        <v>79</v>
      </c>
      <c r="PL27" s="1533" t="n">
        <v>79</v>
      </c>
      <c r="PM27" s="1533" t="n">
        <v>79</v>
      </c>
      <c r="PN27" s="1533" t="n">
        <v>124</v>
      </c>
      <c r="PO27" s="1533" t="n">
        <v>124</v>
      </c>
      <c r="PP27" s="1533" t="n">
        <v>124</v>
      </c>
      <c r="PQ27" s="1533" t="n">
        <v>33.57</v>
      </c>
      <c r="PR27" s="1533" t="n">
        <v>33.57</v>
      </c>
      <c r="PS27" s="1533" t="n">
        <v>75.27</v>
      </c>
      <c r="PT27" s="1533" t="n">
        <v>75.27</v>
      </c>
      <c r="PU27" s="1533" t="n">
        <v>71.90000000000001</v>
      </c>
      <c r="PV27" s="1533" t="n">
        <v>71.90000000000001</v>
      </c>
      <c r="PW27" s="1533" t="n">
        <v>71.90000000000001</v>
      </c>
      <c r="PX27" s="1533" t="n">
        <v>93.7</v>
      </c>
      <c r="PY27" s="1533" t="n">
        <v>693.4</v>
      </c>
      <c r="PZ27" s="1533" t="n">
        <v>693.4</v>
      </c>
      <c r="QA27" s="1533" t="n">
        <v>693.4</v>
      </c>
      <c r="QB27" s="1533" t="n">
        <v>30.995</v>
      </c>
      <c r="QC27" s="1533" t="n">
        <v>71</v>
      </c>
      <c r="QD27" s="1533" t="n">
        <v>71</v>
      </c>
      <c r="QE27" s="1533" t="n">
        <v>61.7</v>
      </c>
      <c r="QF27" s="1533" t="n">
        <v>61.7</v>
      </c>
      <c r="QG27" s="1533" t="n">
        <v>61.7</v>
      </c>
      <c r="QH27" s="1533" t="n">
        <v>61.7</v>
      </c>
      <c r="QI27" s="1533" t="n">
        <v>84.09999999999999</v>
      </c>
      <c r="QJ27" s="1533" t="n">
        <v>84.09999999999999</v>
      </c>
      <c r="QK27" s="1533" t="n">
        <v>1</v>
      </c>
      <c r="QL27" s="1533" t="n">
        <v>1</v>
      </c>
      <c r="QM27" s="1533" t="n">
        <v>1</v>
      </c>
      <c r="QN27" s="1533" t="n">
        <v>48.7</v>
      </c>
      <c r="QO27" s="1533" t="n">
        <v>23</v>
      </c>
      <c r="QP27" s="1533" t="n">
        <v>23</v>
      </c>
      <c r="QQ27" s="1533" t="n">
        <v>51</v>
      </c>
      <c r="QR27" s="1533" t="n">
        <v>51</v>
      </c>
      <c r="QS27" s="1533" t="n">
        <v>38</v>
      </c>
      <c r="QT27" s="1533" t="n">
        <v>37.5</v>
      </c>
      <c r="QU27" s="1533" t="n">
        <v>37.5</v>
      </c>
      <c r="QV27" s="1533" t="n">
        <v>71.90000000000001</v>
      </c>
      <c r="QW27" s="1533" t="n">
        <v>37.5</v>
      </c>
      <c r="QX27" s="1533" t="n">
        <v>37.5</v>
      </c>
      <c r="QY27" s="1533" t="n">
        <v>20.9</v>
      </c>
      <c r="QZ27" s="1533" t="n">
        <v>20.9</v>
      </c>
      <c r="RA27" s="1533" t="n">
        <v>9.6</v>
      </c>
      <c r="RB27" s="1533" t="n">
        <v>9.6</v>
      </c>
      <c r="RC27" s="1533" t="n">
        <v>9.6</v>
      </c>
      <c r="RD27" s="1533" t="n">
        <v>9.6</v>
      </c>
      <c r="RE27" s="1533" t="n">
        <v>0.38</v>
      </c>
      <c r="RF27" s="1533" t="n">
        <v>0.38</v>
      </c>
      <c r="RG27" s="1533" t="n">
        <v>0.38</v>
      </c>
      <c r="RH27" s="1533" t="n">
        <v>0.3</v>
      </c>
      <c r="RI27" s="1533" t="n">
        <v>0.53</v>
      </c>
      <c r="RJ27" s="1533" t="n">
        <v>0.53</v>
      </c>
      <c r="RK27" s="1533" t="n">
        <v>44.8</v>
      </c>
      <c r="RL27" s="1533" t="n">
        <v>44.8</v>
      </c>
      <c r="RM27" s="1533" t="n">
        <v>44.8</v>
      </c>
      <c r="RN27" s="1533" t="n">
        <v>44.8</v>
      </c>
      <c r="RO27" s="1533" t="n">
        <v>44.8</v>
      </c>
      <c r="RP27" s="1533" t="n">
        <v>44.8</v>
      </c>
      <c r="RQ27" s="1533" t="n">
        <v>45</v>
      </c>
      <c r="RR27" s="1533" t="n">
        <v>45</v>
      </c>
      <c r="RS27" s="1533" t="n">
        <v>34.1</v>
      </c>
      <c r="RT27" s="1533" t="n">
        <v>34.1</v>
      </c>
      <c r="RU27" s="1533" t="n">
        <v>34.1</v>
      </c>
      <c r="RV27" s="1533" t="n">
        <v>34.1</v>
      </c>
      <c r="RW27" s="1533" t="n">
        <v>34.1</v>
      </c>
      <c r="RX27" s="1533" t="n">
        <v>34.1</v>
      </c>
      <c r="RY27" s="1533" t="n">
        <v>85</v>
      </c>
      <c r="RZ27" s="1533" t="n">
        <v>85</v>
      </c>
      <c r="SA27" s="1533" t="n">
        <v>1.037</v>
      </c>
      <c r="SB27" s="1533" t="n">
        <v>54.90000000000001</v>
      </c>
      <c r="SC27" s="1533" t="n">
        <v>54.90000000000001</v>
      </c>
      <c r="SD27" s="1533" t="n">
        <v>54.90000000000001</v>
      </c>
      <c r="SE27" s="1533" t="n">
        <v>93.90000000000001</v>
      </c>
      <c r="SF27" s="1533" t="n">
        <v>93.90000000000001</v>
      </c>
      <c r="SG27" s="1533" t="n">
        <v>93</v>
      </c>
      <c r="SH27" s="1533" t="n">
        <v>93</v>
      </c>
      <c r="SI27" s="1533" t="n">
        <v>79.5</v>
      </c>
      <c r="SJ27" s="1533" t="n">
        <v>79.5</v>
      </c>
      <c r="SK27" s="1533" t="n">
        <v>204.9</v>
      </c>
      <c r="SL27" s="1533" t="n">
        <v>204.9</v>
      </c>
      <c r="SM27" s="1533" t="n">
        <v>106.2</v>
      </c>
      <c r="SN27" s="1533" t="n">
        <v>106.2</v>
      </c>
      <c r="SO27" s="1533" t="n">
        <v>106.2</v>
      </c>
      <c r="SP27" s="1533" t="n">
        <v>146</v>
      </c>
      <c r="SQ27" s="1533" t="n">
        <v>146</v>
      </c>
      <c r="SR27" s="1533" t="n">
        <v>146</v>
      </c>
      <c r="SS27" s="1533" t="n">
        <v>1.332</v>
      </c>
      <c r="ST27" s="1533" t="n">
        <v>1.332</v>
      </c>
      <c r="SU27" s="1533" t="n">
        <v>107</v>
      </c>
      <c r="SV27" s="1533" t="n">
        <v>107</v>
      </c>
      <c r="SW27" s="1533" t="n">
        <v>107</v>
      </c>
      <c r="SX27" s="1533" t="n">
        <v>100.1</v>
      </c>
      <c r="SY27" s="1533" t="n">
        <v>100.1</v>
      </c>
      <c r="SZ27" s="1533" t="n">
        <v>100.1</v>
      </c>
      <c r="TA27" s="1533" t="n">
        <v>125.69</v>
      </c>
      <c r="TB27" s="1533" t="n">
        <v>125.69</v>
      </c>
      <c r="TC27" s="1533" t="n">
        <v>168.9</v>
      </c>
      <c r="TD27" s="1533" t="n">
        <v>168.9</v>
      </c>
      <c r="TE27" s="1533" t="n">
        <v>137.17</v>
      </c>
      <c r="TF27" s="1533" t="n">
        <v>124.4</v>
      </c>
      <c r="TG27" s="1533" t="n">
        <v>6.408</v>
      </c>
      <c r="TH27" s="1533" t="n">
        <v>77</v>
      </c>
      <c r="TI27" s="1533" t="n">
        <v>62</v>
      </c>
      <c r="TJ27" s="1533" t="n">
        <v>110.5</v>
      </c>
      <c r="TK27" s="1533" t="n">
        <v>102.405</v>
      </c>
      <c r="TL27" s="1533" t="n">
        <v>140.7</v>
      </c>
      <c r="TM27" s="1533" t="n">
        <v>54</v>
      </c>
      <c r="TN27" s="1533" t="n">
        <v>76.85000000000001</v>
      </c>
      <c r="TO27" s="1533" t="n">
        <v>142.8</v>
      </c>
      <c r="TP27" s="1533" t="n">
        <v>131.27</v>
      </c>
      <c r="TQ27" s="1533" t="n">
        <v>183.88</v>
      </c>
      <c r="TR27" s="1533" t="n">
        <v>60.1</v>
      </c>
      <c r="TS27" s="1533" t="n">
        <v>56.94</v>
      </c>
      <c r="TT27" s="1533" t="n">
        <v>83.5</v>
      </c>
      <c r="TU27" s="1533" t="n">
        <v>166.545</v>
      </c>
      <c r="TV27" s="1533" t="n">
        <v>182.8</v>
      </c>
      <c r="TW27" s="1533" t="n">
        <v>45.2</v>
      </c>
      <c r="TX27" s="1533" t="n">
        <v>139.6</v>
      </c>
      <c r="TY27" s="1533" t="n">
        <v>129.9</v>
      </c>
      <c r="TZ27" s="1533" t="n">
        <v>68.42999999999999</v>
      </c>
      <c r="UA27" s="1533" t="n">
        <v>65.7</v>
      </c>
      <c r="UB27" s="1533" t="n">
        <v>120.67</v>
      </c>
      <c r="UC27" s="1533" t="n">
        <v>117.6</v>
      </c>
      <c r="UD27" s="1533" t="n">
        <v>106.56</v>
      </c>
      <c r="UE27" s="1533" t="n">
        <v>150.5</v>
      </c>
      <c r="UF27" s="1533" t="n">
        <v>95.2</v>
      </c>
      <c r="UG27" s="1533" t="n">
        <v>101.8</v>
      </c>
      <c r="UH27" s="1533" t="n">
        <v>112</v>
      </c>
      <c r="UI27" s="1533" t="n">
        <v>106.558</v>
      </c>
      <c r="UJ27" s="1533" t="n">
        <v>96.7</v>
      </c>
      <c r="UK27" s="1533" t="n">
        <v>34</v>
      </c>
      <c r="UL27" s="1533" t="n">
        <v>87</v>
      </c>
      <c r="UM27" s="1533" t="n">
        <v>73</v>
      </c>
      <c r="UN27" s="1533" t="n">
        <v>107.43</v>
      </c>
      <c r="UO27" s="1533" t="n">
        <v>81.75999999999999</v>
      </c>
      <c r="UP27" s="1533" t="n">
        <v>77.18600000000001</v>
      </c>
      <c r="UQ27" s="1533" t="n">
        <v>61.28</v>
      </c>
      <c r="UR27" s="1533" t="n">
        <v>26.937</v>
      </c>
      <c r="US27" s="1533" t="n">
        <v>50.257</v>
      </c>
      <c r="UT27" s="1533" t="n">
        <v>47.135</v>
      </c>
      <c r="UU27" s="1533" t="n">
        <v>92.85000000000001</v>
      </c>
      <c r="UV27" s="1533" t="n">
        <v>35.8</v>
      </c>
      <c r="UW27" s="1533" t="n">
        <v>50.90000000000001</v>
      </c>
      <c r="UX27" s="1533" t="n">
        <v>30.1</v>
      </c>
      <c r="UY27" s="1533" t="n">
        <v>31.51</v>
      </c>
      <c r="UZ27" s="1533" t="n">
        <v>89.47999999999999</v>
      </c>
      <c r="VA27" s="1533" t="n">
        <v>75.81999999999999</v>
      </c>
      <c r="VB27" s="1533" t="n">
        <v>95</v>
      </c>
      <c r="VC27" s="1533" t="n">
        <v>35.66</v>
      </c>
      <c r="VD27" s="1533" t="n">
        <v>72.2</v>
      </c>
      <c r="VE27" s="1533" t="n">
        <v>72.2</v>
      </c>
      <c r="VF27" s="1533" t="n">
        <v>11.3</v>
      </c>
      <c r="VG27" s="1533" t="n">
        <v>63.05</v>
      </c>
      <c r="VH27" s="1533" t="n">
        <v>84.86500000000001</v>
      </c>
      <c r="VI27" s="1533" t="n">
        <v>144.55</v>
      </c>
      <c r="VJ27" s="1533" t="n">
        <v>135.887</v>
      </c>
      <c r="VK27" s="1533" t="n">
        <v>108.855</v>
      </c>
      <c r="VL27" s="1533" t="n">
        <v>153.87</v>
      </c>
      <c r="VM27" s="1533" t="n">
        <v>2.07</v>
      </c>
      <c r="VN27" s="1533" t="n">
        <v>1.463</v>
      </c>
      <c r="VO27" s="1533" t="n">
        <v>29.565</v>
      </c>
      <c r="VP27" s="1533" t="n">
        <v>25</v>
      </c>
      <c r="VQ27" s="1533" t="n">
        <v>82.84</v>
      </c>
      <c r="VR27" s="1533" t="n">
        <v>0.662</v>
      </c>
      <c r="VS27" s="1533" t="n">
        <v>34.15</v>
      </c>
      <c r="VT27" s="1533" t="n">
        <v>50.352</v>
      </c>
      <c r="VU27" s="1533" t="n">
        <v>0.285</v>
      </c>
      <c r="VV27" s="1533" t="n">
        <v>0.41</v>
      </c>
      <c r="VW27" s="1533" t="n">
        <v>0.3</v>
      </c>
      <c r="VX27" s="1533" t="n">
        <v>12</v>
      </c>
      <c r="VY27" s="1533" t="n">
        <v>57.6</v>
      </c>
      <c r="VZ27" s="1533" t="n">
        <v>63.9</v>
      </c>
      <c r="WA27" s="1533" t="n">
        <v>64.90000000000001</v>
      </c>
      <c r="WB27" s="1533" t="n">
        <v>100.954</v>
      </c>
      <c r="WC27" s="1533" t="n">
        <v>76.36500000000001</v>
      </c>
      <c r="WD27" s="1533" t="n">
        <v>3.703</v>
      </c>
      <c r="WE27" s="1533" t="n">
        <v>22.255</v>
      </c>
      <c r="WF27" s="1533" t="n">
        <v>22.24</v>
      </c>
      <c r="WG27" s="1533" t="n">
        <v>3.75</v>
      </c>
      <c r="WH27" s="1533" t="n">
        <v>71.5</v>
      </c>
      <c r="WI27" s="1533" t="n">
        <v>69.08000000000001</v>
      </c>
      <c r="WJ27" s="1533" t="n">
        <v>91.069</v>
      </c>
      <c r="WK27" s="1533" t="n">
        <v>20.3</v>
      </c>
      <c r="WL27" s="1533" t="n">
        <v>19.834</v>
      </c>
      <c r="WM27" s="1533" t="n">
        <v>17.4</v>
      </c>
      <c r="WN27" s="1533" t="n">
        <v>17.6</v>
      </c>
      <c r="WO27" s="1533" t="n">
        <v>17.878</v>
      </c>
      <c r="WP27" s="1533" t="n">
        <v>0.4</v>
      </c>
      <c r="WQ27" s="1533" t="n">
        <v>13</v>
      </c>
      <c r="WR27" s="1533" t="n">
        <v>3.5</v>
      </c>
      <c r="WS27" s="1533" t="n">
        <v>58.7809</v>
      </c>
      <c r="WT27" s="1533" t="n">
        <v>14.5</v>
      </c>
      <c r="WU27" s="1533" t="n">
        <v>2.351</v>
      </c>
      <c r="WV27" s="1533" t="n">
        <v>4.0358</v>
      </c>
      <c r="WW27" s="1533" t="n">
        <v>2.4697</v>
      </c>
      <c r="WX27" s="1533" t="n">
        <v>39.7</v>
      </c>
      <c r="WY27" s="1533" t="n">
        <v>0.867</v>
      </c>
      <c r="WZ27" s="1533" t="n">
        <v>62.502</v>
      </c>
      <c r="XA27" s="1533" t="n">
        <v>25.7</v>
      </c>
      <c r="XB27" s="1533" t="n">
        <v>10.8</v>
      </c>
      <c r="XC27" s="1533" t="n">
        <v>49.09999999999999</v>
      </c>
      <c r="XD27" s="1533" t="n">
        <v>66.125</v>
      </c>
      <c r="XE27" s="1533" t="n">
        <v>39.0279</v>
      </c>
      <c r="XF27" s="1533" t="n">
        <v>31.621</v>
      </c>
      <c r="XG27" s="1533" t="n">
        <v>0.26</v>
      </c>
      <c r="XH27" s="1533" t="n">
        <v>0.225</v>
      </c>
      <c r="XI27" s="1533" t="n">
        <v>2.85</v>
      </c>
      <c r="XJ27" s="1533" t="n">
        <v>6.218</v>
      </c>
      <c r="XK27" s="1533" t="n">
        <v>14.089</v>
      </c>
      <c r="XL27" s="1533" t="n">
        <v>61.376</v>
      </c>
      <c r="XM27" s="1533" t="n">
        <v>4.2</v>
      </c>
      <c r="XN27" s="1533" t="n">
        <v>48.392</v>
      </c>
      <c r="XO27" s="1533" t="n">
        <v>154.314</v>
      </c>
      <c r="XP27" s="1533" t="n">
        <v>33.086</v>
      </c>
      <c r="XQ27" s="1533" t="n">
        <v>28.487</v>
      </c>
      <c r="XR27" s="1533" t="n">
        <v>27.485</v>
      </c>
      <c r="XS27" s="1533" t="n">
        <v>58.551</v>
      </c>
      <c r="XT27" s="1533" t="n">
        <v>65.804</v>
      </c>
      <c r="XU27" s="1533" t="n">
        <v>73.7</v>
      </c>
      <c r="XV27" s="1533" t="n">
        <v>66.3</v>
      </c>
      <c r="XW27" s="1533" t="n">
        <v>104.7</v>
      </c>
      <c r="XX27" s="1533" t="n">
        <v>102.2</v>
      </c>
      <c r="XY27" s="1533" t="n">
        <v>38.8</v>
      </c>
      <c r="XZ27" s="1533" t="n">
        <v>14.415</v>
      </c>
      <c r="YA27" s="1533" t="n">
        <v>47.48</v>
      </c>
      <c r="YB27" s="1533" t="n">
        <v>55.8</v>
      </c>
      <c r="YC27" s="1533" t="n">
        <v>56.22799999999999</v>
      </c>
      <c r="YD27" s="1533" t="n">
        <v>60.2</v>
      </c>
      <c r="YE27" s="1533" t="n">
        <v>99.13500000000001</v>
      </c>
      <c r="YF27" s="1533" t="n">
        <v>43.172</v>
      </c>
      <c r="YG27" s="1533" t="n">
        <v>42.8</v>
      </c>
      <c r="YH27" s="1533" t="n">
        <v>53.399</v>
      </c>
      <c r="YI27" s="1533" t="n">
        <v>65.575</v>
      </c>
      <c r="YJ27" s="1543" t="n">
        <v>55.38</v>
      </c>
    </row>
    <row r="28">
      <c r="B28" s="917" t="inlineStr">
        <is>
          <t>PPP2</t>
        </is>
      </c>
      <c r="C28" s="1532" t="n">
        <v>34</v>
      </c>
      <c r="D28" s="1533" t="n">
        <v>1.1</v>
      </c>
      <c r="E28" s="1533" t="n">
        <v>1.1</v>
      </c>
      <c r="F28" s="1533" t="n">
        <v>43</v>
      </c>
      <c r="G28" s="1533" t="n">
        <v>24.1</v>
      </c>
      <c r="H28" s="1533" t="n">
        <v>30.9</v>
      </c>
      <c r="I28" s="1533" t="n">
        <v>26</v>
      </c>
      <c r="J28" s="1533" t="n">
        <v>25.8</v>
      </c>
      <c r="K28" s="1533" t="n">
        <v>24.1</v>
      </c>
      <c r="L28" s="1533" t="n">
        <v>23.7</v>
      </c>
      <c r="M28" s="1533" t="n">
        <v>52.7</v>
      </c>
      <c r="N28" s="1533" t="n">
        <v>105.7</v>
      </c>
      <c r="O28" s="1533" t="n">
        <v>14.1</v>
      </c>
      <c r="P28" s="1533" t="n">
        <v>2.7</v>
      </c>
      <c r="Q28" s="1533" t="n">
        <v>4.5</v>
      </c>
      <c r="R28" s="1533" t="n">
        <v>29.6</v>
      </c>
      <c r="S28" s="1533" t="n">
        <v>16.6</v>
      </c>
      <c r="T28" s="1533" t="n">
        <v>0.3</v>
      </c>
      <c r="U28" s="1533" t="n">
        <v>1.2</v>
      </c>
      <c r="V28" s="1533" t="n">
        <v>34</v>
      </c>
      <c r="W28" s="1533" t="n">
        <v>52.2</v>
      </c>
      <c r="X28" s="1533" t="n">
        <v>51</v>
      </c>
      <c r="Y28" s="1533" t="n">
        <v>1.4</v>
      </c>
      <c r="Z28" s="1533" t="n">
        <v>6.4</v>
      </c>
      <c r="AA28" s="1533" t="n">
        <v>2.9</v>
      </c>
      <c r="AB28" s="1533" t="n">
        <v>6.6</v>
      </c>
      <c r="AC28" s="1533" t="n">
        <v>46.5</v>
      </c>
      <c r="AD28" s="1533" t="n">
        <v>0.7</v>
      </c>
      <c r="AE28" s="1533" t="n">
        <v>4.3</v>
      </c>
      <c r="AF28" s="1533" t="n">
        <v>29.2</v>
      </c>
      <c r="AG28" s="1533" t="n">
        <v>27.9</v>
      </c>
      <c r="AH28" s="1533" t="n">
        <v>25.1</v>
      </c>
      <c r="AI28" s="1533" t="n">
        <v>3.9</v>
      </c>
      <c r="AJ28" s="1533" t="n">
        <v>4.3</v>
      </c>
      <c r="AK28" s="1533" t="n">
        <v>34.6</v>
      </c>
      <c r="AL28" s="1533" t="n">
        <v>31.3</v>
      </c>
      <c r="AM28" s="1533" t="n">
        <v>41</v>
      </c>
      <c r="AN28" s="1533" t="n">
        <v>19.6</v>
      </c>
      <c r="AO28" s="1533" t="n">
        <v>19</v>
      </c>
      <c r="AP28" s="1533" t="n">
        <v>73.8</v>
      </c>
      <c r="AQ28" s="1533" t="n">
        <v>21.2</v>
      </c>
      <c r="AR28" s="1533" t="n">
        <v>82.7</v>
      </c>
      <c r="AS28" s="1533" t="n">
        <v>2</v>
      </c>
      <c r="AT28" s="1533" t="n">
        <v>2</v>
      </c>
      <c r="AU28" s="1533" t="n">
        <v>29.6</v>
      </c>
      <c r="AV28" s="1533" t="n">
        <v>29.6</v>
      </c>
      <c r="AW28" s="1533" t="n">
        <v>2.8</v>
      </c>
      <c r="AX28" s="1533" t="n">
        <v>2.8</v>
      </c>
      <c r="AY28" s="1533" t="n">
        <v>2.8</v>
      </c>
      <c r="AZ28" s="1533" t="n">
        <v>45.1</v>
      </c>
      <c r="BA28" s="1533" t="n">
        <v>55.7</v>
      </c>
      <c r="BB28" s="1533" t="n">
        <v>37.8</v>
      </c>
      <c r="BC28" s="1533" t="n">
        <v>88.3</v>
      </c>
      <c r="BD28" s="1533" t="n">
        <v>63.5</v>
      </c>
      <c r="BE28" s="1533" t="n">
        <v>64</v>
      </c>
      <c r="BF28" s="1533" t="n">
        <v>64.3</v>
      </c>
      <c r="BG28" s="1533" t="n">
        <v>52.4</v>
      </c>
      <c r="BH28" s="1533" t="n">
        <v>52.9</v>
      </c>
      <c r="BI28" s="1533" t="n">
        <v>80.09999999999999</v>
      </c>
      <c r="BJ28" s="1533" t="n">
        <v>77.2</v>
      </c>
      <c r="BK28" s="1533" t="n">
        <v>98</v>
      </c>
      <c r="BL28" s="1533" t="n">
        <v>0.2</v>
      </c>
      <c r="BM28" s="1533" t="n">
        <v>0.2</v>
      </c>
      <c r="BN28" s="1533" t="n">
        <v>30.8</v>
      </c>
      <c r="BO28" s="1533" t="n">
        <v>30.5</v>
      </c>
      <c r="BP28" s="1533" t="n">
        <v>15.9</v>
      </c>
      <c r="BQ28" s="1533" t="n">
        <v>5.4</v>
      </c>
      <c r="BR28" s="1533" t="n">
        <v>0.2</v>
      </c>
      <c r="BS28" s="1533" t="n">
        <v>26.8</v>
      </c>
      <c r="BT28" s="1533" t="n">
        <v>44</v>
      </c>
      <c r="BU28" s="1533" t="n">
        <v>27.1</v>
      </c>
      <c r="BV28" s="1533" t="n">
        <v>26.5</v>
      </c>
      <c r="BW28" s="1533" t="n">
        <v>42.7</v>
      </c>
      <c r="BX28" s="1533" t="n">
        <v>1.1</v>
      </c>
      <c r="BY28" s="1533" t="n">
        <v>7.4</v>
      </c>
      <c r="BZ28" s="1533" t="n">
        <v>0.8</v>
      </c>
      <c r="CA28" s="1533" t="n">
        <v>0.5</v>
      </c>
      <c r="CB28" s="1533" t="n">
        <v>0.1</v>
      </c>
      <c r="CC28" s="1533" t="n">
        <v>13.5</v>
      </c>
      <c r="CD28" s="1533" t="n">
        <v>8.9</v>
      </c>
      <c r="CE28" s="1533" t="n">
        <v>0.5</v>
      </c>
      <c r="CF28" s="1533" t="n">
        <v>0.5</v>
      </c>
      <c r="CG28" s="1533" t="n">
        <v>0.3</v>
      </c>
      <c r="CH28" s="1533" t="n">
        <v>28.3</v>
      </c>
      <c r="CI28" s="1533" t="n">
        <v>25.3</v>
      </c>
      <c r="CJ28" s="1533" t="n">
        <v>24.1</v>
      </c>
      <c r="CK28" s="1533" t="n">
        <v>24.3</v>
      </c>
      <c r="CL28" s="1533" t="n">
        <v>0.88</v>
      </c>
      <c r="CM28" s="1533" t="n">
        <v>0.7</v>
      </c>
      <c r="CN28" s="1533" t="n">
        <v>26.4</v>
      </c>
      <c r="CO28" s="1533" t="n">
        <v>18</v>
      </c>
      <c r="CP28" s="1533" t="n">
        <v>1.9</v>
      </c>
      <c r="CQ28" s="1533" t="n">
        <v>1</v>
      </c>
      <c r="CR28" s="1533" t="n">
        <v>36.7</v>
      </c>
      <c r="CS28" s="1533" t="n">
        <v>34.6</v>
      </c>
      <c r="CT28" s="1533" t="n">
        <v>32.7</v>
      </c>
      <c r="CU28" s="1533" t="n">
        <v>33.3</v>
      </c>
      <c r="CV28" s="1533" t="n">
        <v>28.8</v>
      </c>
      <c r="CW28" s="1533" t="n">
        <v>43.9</v>
      </c>
      <c r="CX28" s="1533" t="n">
        <v>43.9</v>
      </c>
      <c r="CY28" s="1533" t="n">
        <v>52.95</v>
      </c>
      <c r="CZ28" s="1533" t="n">
        <v>52.95</v>
      </c>
      <c r="DA28" s="1533" t="n">
        <v>51.6</v>
      </c>
      <c r="DB28" s="1533" t="n">
        <v>99</v>
      </c>
      <c r="DC28" s="1533" t="n">
        <v>114.9</v>
      </c>
      <c r="DD28" s="1533" t="n">
        <v>64.90000000000001</v>
      </c>
      <c r="DE28" s="1533">
        <f>0.6+0.692</f>
        <v/>
      </c>
      <c r="DF28" s="1533">
        <f>0.556+0.692</f>
        <v/>
      </c>
      <c r="DG28" s="1533">
        <f>0.451+0.556</f>
        <v/>
      </c>
      <c r="DH28" s="1533">
        <f>0.451+0.556</f>
        <v/>
      </c>
      <c r="DI28" s="1533" t="n">
        <v>33.4</v>
      </c>
      <c r="DJ28" s="1533" t="n">
        <v>38.9</v>
      </c>
      <c r="DK28" s="1533" t="n">
        <v>1</v>
      </c>
      <c r="DL28" s="1533" t="n">
        <v>36.6</v>
      </c>
      <c r="DM28" s="1533" t="n">
        <v>36.6</v>
      </c>
      <c r="DN28" s="1533" t="n">
        <v>38.7</v>
      </c>
      <c r="DO28" s="1533" t="n">
        <v>3.7</v>
      </c>
      <c r="DP28" s="1533" t="n">
        <v>3.7</v>
      </c>
      <c r="DQ28" s="1533" t="n">
        <v>28.2</v>
      </c>
      <c r="DR28" s="1533" t="n">
        <v>42.1</v>
      </c>
      <c r="DS28" s="1533" t="n">
        <v>42.1</v>
      </c>
      <c r="DT28" s="1533" t="n">
        <v>30.9</v>
      </c>
      <c r="DU28" s="1533" t="n">
        <v>27.9</v>
      </c>
      <c r="DV28" s="1533" t="n">
        <v>82.90000000000001</v>
      </c>
      <c r="DW28" s="1533" t="n">
        <v>116.5</v>
      </c>
      <c r="DX28" s="1533" t="n">
        <v>117.21</v>
      </c>
      <c r="DY28" s="1533">
        <f>46.4+1.7</f>
        <v/>
      </c>
      <c r="DZ28" s="1533" t="n">
        <v>2.3</v>
      </c>
      <c r="EA28" s="1533" t="n">
        <v>40.74</v>
      </c>
      <c r="EB28" s="1533" t="n">
        <v>57.9</v>
      </c>
      <c r="EC28" s="1533" t="n">
        <v>56.9</v>
      </c>
      <c r="ED28" s="1533" t="n">
        <v>1.56</v>
      </c>
      <c r="EE28" s="1533" t="n">
        <v>0.2</v>
      </c>
      <c r="EF28" s="1533" t="n">
        <v>1</v>
      </c>
      <c r="EG28" s="1533" t="n">
        <v>32</v>
      </c>
      <c r="EH28" s="1533" t="n">
        <v>32.54</v>
      </c>
      <c r="EI28" s="1533" t="n">
        <v>19.47</v>
      </c>
      <c r="EJ28" s="1533" t="n">
        <v>17.6</v>
      </c>
      <c r="EK28" s="1533" t="n">
        <v>38.14</v>
      </c>
      <c r="EL28" s="1533" t="n">
        <v>31.64</v>
      </c>
      <c r="EM28" s="1533" t="n">
        <v>29.69</v>
      </c>
      <c r="EN28" s="1533" t="n">
        <v>8.1</v>
      </c>
      <c r="EO28" s="1533" t="n">
        <v>30.69</v>
      </c>
      <c r="EP28" s="1533" t="n">
        <v>37.04</v>
      </c>
      <c r="EQ28" s="1533" t="n">
        <v>80.33</v>
      </c>
      <c r="ER28" s="1533" t="n">
        <v>80.33</v>
      </c>
      <c r="ES28" s="1533" t="n">
        <v>53.24</v>
      </c>
      <c r="ET28" s="1533" t="n">
        <v>53.96</v>
      </c>
      <c r="EU28" s="1533" t="n">
        <v>92.54000000000001</v>
      </c>
      <c r="EV28" s="1533" t="n">
        <v>83.5</v>
      </c>
      <c r="EW28" s="1533" t="n">
        <v>60.28</v>
      </c>
      <c r="EX28" s="1533" t="n">
        <v>92.08</v>
      </c>
      <c r="EY28" s="1533" t="n">
        <v>96.64</v>
      </c>
      <c r="EZ28" s="1533" t="n">
        <v>141.98</v>
      </c>
      <c r="FA28" s="1533" t="n">
        <v>129.12</v>
      </c>
      <c r="FB28" s="1533" t="n">
        <v>140.84</v>
      </c>
      <c r="FC28" s="1533" t="n">
        <v>135.29</v>
      </c>
      <c r="FD28" s="1533" t="n">
        <v>178</v>
      </c>
      <c r="FE28" s="1533" t="n">
        <v>113.9</v>
      </c>
      <c r="FF28" s="1533" t="n">
        <v>114.4</v>
      </c>
      <c r="FG28" s="1533" t="n">
        <v>89.95999999999999</v>
      </c>
      <c r="FH28" s="1533" t="n">
        <v>77.72</v>
      </c>
      <c r="FI28" s="1533" t="n">
        <v>140.97</v>
      </c>
      <c r="FJ28" s="1533" t="n">
        <v>154</v>
      </c>
      <c r="FK28" s="1533" t="n">
        <v>154</v>
      </c>
      <c r="FL28" s="1533" t="n">
        <v>83.7</v>
      </c>
      <c r="FM28" s="1533" t="n">
        <v>98.90000000000001</v>
      </c>
      <c r="FN28" s="1533" t="n">
        <v>150.13</v>
      </c>
      <c r="FO28" s="1533" t="n">
        <v>121.67</v>
      </c>
      <c r="FP28" s="1533" t="n">
        <v>128.94</v>
      </c>
      <c r="FQ28" s="1533" t="n">
        <v>80.3</v>
      </c>
      <c r="FR28" s="1533" t="n">
        <v>111.21</v>
      </c>
      <c r="FS28" s="1533" t="n">
        <v>144.7</v>
      </c>
      <c r="FT28" s="1533" t="n">
        <v>133.59</v>
      </c>
      <c r="FU28" s="1533" t="n">
        <v>78.37</v>
      </c>
      <c r="FV28" s="1533" t="n">
        <v>30.5</v>
      </c>
      <c r="FW28" s="1533">
        <f>1.2+50</f>
        <v/>
      </c>
      <c r="FX28" s="1533">
        <f>32.5+56.3</f>
        <v/>
      </c>
      <c r="FY28" s="1533">
        <f>66.38+32.48</f>
        <v/>
      </c>
      <c r="FZ28" s="1533">
        <f>14.3+0.6+31.15</f>
        <v/>
      </c>
      <c r="GA28" s="1533">
        <f>17.8+0.4+38.9</f>
        <v/>
      </c>
      <c r="GB28" s="1533">
        <f>45.1+0.46+10.3</f>
        <v/>
      </c>
      <c r="GC28" s="1533">
        <f>47.07+58.9</f>
        <v/>
      </c>
      <c r="GD28" s="1533">
        <f>47.17+67.4</f>
        <v/>
      </c>
      <c r="GE28" s="1533">
        <f>43.19+0.9+73.75</f>
        <v/>
      </c>
      <c r="GF28" s="1533">
        <f>13+1.28+58.8</f>
        <v/>
      </c>
      <c r="GG28" s="1533">
        <f>1.1+68.3+13</f>
        <v/>
      </c>
      <c r="GH28" s="1533">
        <f>1.2+78.9+44.2</f>
        <v/>
      </c>
      <c r="GI28" s="1533" t="n">
        <v>96</v>
      </c>
      <c r="GJ28" s="1533" t="n">
        <v>66.5</v>
      </c>
      <c r="GK28" s="1533" t="n">
        <v>153</v>
      </c>
      <c r="GL28" s="1533" t="n">
        <v>160.3</v>
      </c>
      <c r="GM28" s="1533" t="n">
        <v>170.3</v>
      </c>
      <c r="GN28" s="1533" t="n">
        <v>125</v>
      </c>
      <c r="GO28" s="1533" t="n">
        <v>179.9</v>
      </c>
      <c r="GP28" s="1533" t="n">
        <v>175.4</v>
      </c>
      <c r="GQ28" s="1533" t="n">
        <v>157.6</v>
      </c>
      <c r="GR28" s="1533" t="n">
        <v>95.5</v>
      </c>
      <c r="GS28" s="1533" t="n">
        <v>118.3</v>
      </c>
      <c r="GT28" s="1533" t="n">
        <v>178.6</v>
      </c>
      <c r="GU28" s="1533" t="n">
        <v>87</v>
      </c>
      <c r="GV28" s="1533" t="n">
        <v>115.5</v>
      </c>
      <c r="GW28" s="1533" t="n">
        <v>119.2</v>
      </c>
      <c r="GX28" s="1533" t="n">
        <v>93</v>
      </c>
      <c r="GY28" s="1533" t="n">
        <v>100.7</v>
      </c>
      <c r="GZ28" s="1533" t="n">
        <v>163.3</v>
      </c>
      <c r="HA28" s="1533" t="n">
        <v>140.2</v>
      </c>
      <c r="HB28" s="1533" t="n">
        <v>148.5</v>
      </c>
      <c r="HC28" s="1533" t="n">
        <v>147.9</v>
      </c>
      <c r="HD28" s="1533" t="n">
        <v>120.5</v>
      </c>
      <c r="HE28" s="1533" t="n">
        <v>145.5</v>
      </c>
      <c r="HF28" s="1533" t="n">
        <v>149.5</v>
      </c>
      <c r="HG28" s="1533" t="n">
        <v>98</v>
      </c>
      <c r="HH28" s="1533" t="n">
        <v>98</v>
      </c>
      <c r="HI28" s="1533" t="n">
        <v>105.6</v>
      </c>
      <c r="HJ28" s="1533" t="n">
        <v>105.2</v>
      </c>
      <c r="HK28" s="1533" t="n">
        <v>136.6</v>
      </c>
      <c r="HL28" s="1533" t="n">
        <v>189.8</v>
      </c>
      <c r="HM28" s="1533" t="n">
        <v>189.3</v>
      </c>
      <c r="HN28" s="1533" t="n">
        <v>170.3</v>
      </c>
      <c r="HO28" s="1533" t="n">
        <v>422.98</v>
      </c>
      <c r="HP28" s="1533" t="n">
        <v>288.55</v>
      </c>
      <c r="HQ28" s="1533" t="n">
        <v>266.705</v>
      </c>
      <c r="HR28" s="1533" t="n">
        <v>282.393</v>
      </c>
      <c r="HS28" s="1533" t="n">
        <v>288.37</v>
      </c>
      <c r="HT28" s="1533" t="n">
        <v>279.385</v>
      </c>
      <c r="HU28" s="1533" t="n">
        <v>279.385</v>
      </c>
      <c r="HV28" s="1533" t="n">
        <v>178.612</v>
      </c>
      <c r="HW28" s="1533" t="n">
        <v>178.612</v>
      </c>
      <c r="HX28" s="1533" t="n">
        <v>202.328</v>
      </c>
      <c r="HY28" s="1533" t="n">
        <v>202.328</v>
      </c>
      <c r="HZ28" s="1533" t="n">
        <v>174.466</v>
      </c>
      <c r="IA28" s="1533" t="n">
        <v>195.966</v>
      </c>
      <c r="IB28" s="1533" t="n">
        <v>211.566</v>
      </c>
      <c r="IC28" s="1533" t="n">
        <v>211.566</v>
      </c>
      <c r="ID28" s="1533" t="n">
        <v>211.566</v>
      </c>
      <c r="IE28" s="1533" t="n">
        <v>232.466</v>
      </c>
      <c r="IF28" s="1533" t="n">
        <v>232.466</v>
      </c>
      <c r="IG28" s="1533" t="n">
        <v>242.32</v>
      </c>
      <c r="IH28" s="1533" t="n">
        <v>253.42</v>
      </c>
      <c r="II28" s="1533" t="n">
        <v>253.42</v>
      </c>
      <c r="IJ28" s="1533" t="n">
        <v>253.42</v>
      </c>
      <c r="IK28" s="1533" t="n">
        <v>223.52</v>
      </c>
      <c r="IL28" s="1533" t="n">
        <v>223.52</v>
      </c>
      <c r="IM28" s="1533" t="n">
        <v>223.52</v>
      </c>
      <c r="IN28" s="1533" t="n">
        <v>262.14</v>
      </c>
      <c r="IO28" s="1533" t="n">
        <v>189.759</v>
      </c>
      <c r="IP28" s="1533" t="n">
        <v>190.559</v>
      </c>
      <c r="IQ28" s="1533" t="n">
        <v>205.259</v>
      </c>
      <c r="IR28" s="1533" t="n">
        <v>205.259</v>
      </c>
      <c r="IS28" s="1533" t="n">
        <v>216.159</v>
      </c>
      <c r="IT28" s="1533" t="n">
        <v>237.579</v>
      </c>
      <c r="IU28" s="1533" t="n">
        <v>272.179</v>
      </c>
      <c r="IV28" s="1533" t="n">
        <v>272.179</v>
      </c>
      <c r="IW28" s="1533" t="n">
        <v>286.279</v>
      </c>
      <c r="IX28" s="1533" t="n">
        <v>342.879</v>
      </c>
      <c r="IY28" s="1533" t="n">
        <v>399.53</v>
      </c>
      <c r="IZ28" s="1533" t="n">
        <v>367.43</v>
      </c>
      <c r="JA28" s="1533" t="n">
        <v>367.43</v>
      </c>
      <c r="JB28" s="1533" t="n">
        <v>367.43</v>
      </c>
      <c r="JC28" s="1533" t="n">
        <v>302.43</v>
      </c>
      <c r="JD28" s="1533" t="n">
        <v>298.23</v>
      </c>
      <c r="JE28" s="1533" t="n">
        <v>298.23</v>
      </c>
      <c r="JF28" s="1533" t="n">
        <v>298.23</v>
      </c>
      <c r="JG28" s="1533" t="n">
        <v>343.03</v>
      </c>
      <c r="JH28" s="1533" t="n">
        <v>343.03</v>
      </c>
      <c r="JI28" s="1533" t="n">
        <v>343.03</v>
      </c>
      <c r="JJ28" s="1533" t="n">
        <v>265.379</v>
      </c>
      <c r="JK28" s="1533" t="n">
        <v>283.479</v>
      </c>
      <c r="JL28" s="1533" t="n">
        <v>311.429</v>
      </c>
      <c r="JM28" s="1533" t="n">
        <v>335.635</v>
      </c>
      <c r="JN28" s="1533" t="n">
        <v>335.635</v>
      </c>
      <c r="JO28" s="1533" t="n">
        <v>335.635</v>
      </c>
      <c r="JP28" s="1533" t="n">
        <v>326.847</v>
      </c>
      <c r="JQ28" s="1533" t="n">
        <v>326.847</v>
      </c>
      <c r="JR28" s="1533" t="n">
        <v>387.047</v>
      </c>
      <c r="JS28" s="1533" t="n">
        <v>387.047</v>
      </c>
      <c r="JT28" s="1533" t="n">
        <v>366.447</v>
      </c>
      <c r="JU28" s="1533" t="n">
        <v>366.447</v>
      </c>
      <c r="JV28" s="1533" t="n">
        <v>366.447</v>
      </c>
      <c r="JW28" s="1533" t="n">
        <v>430.147</v>
      </c>
      <c r="JX28" s="1533" t="n">
        <v>430.147</v>
      </c>
      <c r="JY28" s="1533" t="n">
        <v>461.347</v>
      </c>
      <c r="JZ28" s="1533" t="n">
        <v>461.347</v>
      </c>
      <c r="KA28" s="1533" t="n">
        <v>227.831</v>
      </c>
      <c r="KB28" s="1533" t="n">
        <v>292.831</v>
      </c>
      <c r="KC28" s="1533" t="n">
        <v>265.831</v>
      </c>
      <c r="KD28" s="1533" t="n">
        <v>201.531</v>
      </c>
      <c r="KE28" s="1533" t="n">
        <v>201.531</v>
      </c>
      <c r="KF28" s="1533" t="n">
        <v>283.479</v>
      </c>
      <c r="KG28" s="1533" t="n">
        <v>261.426</v>
      </c>
      <c r="KH28" s="1533" t="n">
        <v>261.426</v>
      </c>
      <c r="KI28" s="1533" t="n">
        <v>261.986</v>
      </c>
      <c r="KJ28" s="1533" t="n">
        <v>261.986</v>
      </c>
      <c r="KK28" s="1533" t="n">
        <v>320.431</v>
      </c>
      <c r="KL28" s="1533" t="n">
        <v>329.631</v>
      </c>
      <c r="KM28" s="1533" t="n">
        <v>329.631</v>
      </c>
      <c r="KN28" s="1533" t="n">
        <v>362.431</v>
      </c>
      <c r="KO28" s="1533" t="n">
        <v>402.931</v>
      </c>
      <c r="KP28" s="1533" t="n">
        <v>408.531</v>
      </c>
      <c r="KQ28" s="1533" t="n">
        <v>400.931</v>
      </c>
      <c r="KR28" s="1533" t="n">
        <v>400.931</v>
      </c>
      <c r="KS28" s="1533" t="n">
        <v>337.941</v>
      </c>
      <c r="KT28" s="1533" t="n">
        <v>337.941</v>
      </c>
      <c r="KU28" s="1533" t="n">
        <v>385.141</v>
      </c>
      <c r="KV28" s="1533" t="n">
        <v>416.741</v>
      </c>
      <c r="KW28" s="1533" t="n">
        <v>215.941</v>
      </c>
      <c r="KX28" s="1533" t="n">
        <v>85.84100000000001</v>
      </c>
      <c r="KY28" s="1533" t="n">
        <v>85.84100000000001</v>
      </c>
      <c r="KZ28" s="1533" t="n">
        <v>117.941</v>
      </c>
      <c r="LA28" s="1533" t="n">
        <v>117.941</v>
      </c>
      <c r="LB28" s="1533" t="n">
        <v>164.941</v>
      </c>
      <c r="LC28" s="1533" t="n">
        <v>164.941</v>
      </c>
      <c r="LD28" s="1533" t="n">
        <v>164.941</v>
      </c>
      <c r="LE28" s="1533" t="n">
        <v>134.941</v>
      </c>
      <c r="LF28" s="1533" t="n">
        <v>186.941</v>
      </c>
      <c r="LG28" s="1533" t="n">
        <v>186.941</v>
      </c>
      <c r="LH28" s="1533" t="n">
        <v>186.941</v>
      </c>
      <c r="LI28" s="1533" t="n">
        <v>160.198</v>
      </c>
      <c r="LJ28" s="1533" t="n">
        <v>160.198</v>
      </c>
      <c r="LK28" s="1533" t="n">
        <v>160.198</v>
      </c>
      <c r="LL28" s="1533" t="n">
        <v>234.841</v>
      </c>
      <c r="LM28" s="1533" t="n">
        <v>234.841</v>
      </c>
      <c r="LN28" s="1533" t="n">
        <v>214.941</v>
      </c>
      <c r="LO28" s="1533" t="n">
        <v>214.941</v>
      </c>
      <c r="LP28" s="1533" t="n">
        <v>214.941</v>
      </c>
      <c r="LQ28" s="1533" t="n">
        <v>353.441</v>
      </c>
      <c r="LR28" s="1533" t="n">
        <v>120.941</v>
      </c>
      <c r="LS28" s="1533" t="n">
        <v>120.941</v>
      </c>
      <c r="LT28" s="1533" t="n">
        <v>207.441</v>
      </c>
      <c r="LU28" s="1533" t="n">
        <v>276.941</v>
      </c>
      <c r="LV28" s="1533" t="n">
        <v>222.141</v>
      </c>
      <c r="LW28" s="1533" t="n">
        <v>222.141</v>
      </c>
      <c r="LX28" s="1533" t="n">
        <v>239.241</v>
      </c>
      <c r="LY28" s="1533" t="n">
        <v>239.241</v>
      </c>
      <c r="LZ28" s="1533" t="n">
        <v>334.341</v>
      </c>
      <c r="MA28" s="1533" t="n">
        <v>334.341</v>
      </c>
      <c r="MB28" s="1533" t="n">
        <v>334.341</v>
      </c>
      <c r="MC28" s="1533" t="n">
        <v>334.341</v>
      </c>
      <c r="MD28" s="1533" t="n">
        <v>473.441</v>
      </c>
      <c r="ME28" s="1533" t="n">
        <v>511.141</v>
      </c>
      <c r="MF28" s="1533" t="n">
        <v>511.141</v>
      </c>
      <c r="MG28" s="1533" t="n">
        <v>511.141</v>
      </c>
      <c r="MH28" s="1533" t="n">
        <v>785.2410000000001</v>
      </c>
      <c r="MI28" s="1533" t="n">
        <v>785.2410000000001</v>
      </c>
      <c r="MJ28" s="1533" t="n">
        <v>846.941</v>
      </c>
      <c r="MK28" s="1533" t="n">
        <v>755.341</v>
      </c>
      <c r="ML28" s="1533" t="n">
        <v>755.341</v>
      </c>
      <c r="MM28" s="1533" t="n">
        <v>755.341</v>
      </c>
      <c r="MN28" s="1533" t="n">
        <v>755.341</v>
      </c>
      <c r="MO28" s="1533" t="n">
        <v>755.341</v>
      </c>
      <c r="MP28" s="1533" t="n">
        <v>755.341</v>
      </c>
      <c r="MQ28" s="1533" t="n">
        <v>256.174</v>
      </c>
      <c r="MR28" s="1533" t="n">
        <v>256.174</v>
      </c>
      <c r="MS28" s="1533" t="n">
        <v>360.5410000000001</v>
      </c>
      <c r="MT28" s="1533" t="n">
        <v>382.1410000000001</v>
      </c>
      <c r="MU28" s="1533" t="n">
        <v>382.1410000000001</v>
      </c>
      <c r="MV28" s="1533" t="n">
        <v>382.1410000000001</v>
      </c>
      <c r="MW28" s="1533" t="n">
        <v>336.141</v>
      </c>
      <c r="MX28" s="1533" t="n">
        <v>430.625</v>
      </c>
      <c r="MY28" s="1533" t="n">
        <v>430.625</v>
      </c>
      <c r="MZ28" s="1533" t="n">
        <v>430.625</v>
      </c>
      <c r="NA28" s="1533" t="n">
        <v>430.625</v>
      </c>
      <c r="NB28" s="1533" t="n">
        <v>430.625</v>
      </c>
      <c r="NC28" s="1533" t="n">
        <v>430.625</v>
      </c>
      <c r="ND28" s="1533" t="n">
        <v>430.625</v>
      </c>
      <c r="NE28" s="1533" t="n">
        <v>430.625</v>
      </c>
      <c r="NF28" s="1533" t="n">
        <v>332.711</v>
      </c>
      <c r="NG28" s="1533" t="n">
        <v>357.611</v>
      </c>
      <c r="NH28" s="1533" t="n">
        <v>425.711</v>
      </c>
      <c r="NI28" s="1533" t="n">
        <v>386.911</v>
      </c>
      <c r="NJ28" s="1533" t="n">
        <v>386.911</v>
      </c>
      <c r="NK28" s="1533" t="n">
        <v>369.311</v>
      </c>
      <c r="NL28" s="1533" t="n">
        <v>369.311</v>
      </c>
      <c r="NM28" s="1533" t="n">
        <v>395.911</v>
      </c>
      <c r="NN28" s="1533" t="n">
        <v>395.911</v>
      </c>
      <c r="NO28" s="1533" t="n">
        <v>395.911</v>
      </c>
      <c r="NP28" s="1533" t="n">
        <v>465.711</v>
      </c>
      <c r="NQ28" s="1533" t="n">
        <v>465.711</v>
      </c>
      <c r="NR28" s="1533" t="n">
        <v>517.711</v>
      </c>
      <c r="NS28" s="1533" t="n">
        <v>517.711</v>
      </c>
      <c r="NT28" s="1533" t="n">
        <v>517.711</v>
      </c>
      <c r="NU28" s="1533" t="n">
        <v>541.711</v>
      </c>
      <c r="NV28" s="1533" t="n">
        <v>599.711</v>
      </c>
      <c r="NW28" s="1533" t="n">
        <v>599.711</v>
      </c>
      <c r="NX28" s="1533" t="n">
        <v>599.711</v>
      </c>
      <c r="NY28" s="1533" t="n">
        <v>518.451</v>
      </c>
      <c r="NZ28" s="1533" t="n">
        <v>575.451</v>
      </c>
      <c r="OA28" s="1533" t="n">
        <v>575.451</v>
      </c>
      <c r="OB28" s="1533" t="n">
        <v>575.451</v>
      </c>
      <c r="OC28" s="1533" t="n">
        <v>654.351</v>
      </c>
      <c r="OD28" s="1533" t="n">
        <v>654.351</v>
      </c>
      <c r="OE28" s="1533" t="n">
        <v>654.351</v>
      </c>
      <c r="OF28" s="1533" t="n">
        <v>654.351</v>
      </c>
      <c r="OG28" s="1533" t="n">
        <v>424.451</v>
      </c>
      <c r="OH28" s="1533" t="n">
        <v>424.451</v>
      </c>
      <c r="OI28" s="1533" t="n">
        <v>388.251</v>
      </c>
      <c r="OJ28" s="1533" t="n">
        <v>457.7510000000001</v>
      </c>
      <c r="OK28" s="1533" t="n">
        <v>457.7510000000001</v>
      </c>
      <c r="OL28" s="1533" t="n">
        <v>546.851</v>
      </c>
      <c r="OM28" s="1533" t="n">
        <v>546.851</v>
      </c>
      <c r="ON28" s="1533" t="n">
        <v>546.851</v>
      </c>
      <c r="OO28" s="1533" t="n">
        <v>542.951</v>
      </c>
      <c r="OP28" s="1533" t="n">
        <v>606.351</v>
      </c>
      <c r="OQ28" s="1533" t="n">
        <v>606.351</v>
      </c>
      <c r="OR28" s="1533" t="n">
        <v>606.351</v>
      </c>
      <c r="OS28" s="1533" t="n">
        <v>757.451</v>
      </c>
      <c r="OT28" s="1533" t="n">
        <v>795.451</v>
      </c>
      <c r="OU28" s="1533" t="n">
        <v>795.451</v>
      </c>
      <c r="OV28" s="1533" t="n">
        <v>795.451</v>
      </c>
      <c r="OW28" s="1533" t="n">
        <v>922.951</v>
      </c>
      <c r="OX28" s="1533" t="n">
        <v>922.951</v>
      </c>
      <c r="OY28" s="1533" t="n">
        <v>357.451</v>
      </c>
      <c r="OZ28" s="1533" t="n">
        <v>357.451</v>
      </c>
      <c r="PA28" s="1533" t="n">
        <v>357.451</v>
      </c>
      <c r="PB28" s="1533" t="n">
        <v>331.941</v>
      </c>
      <c r="PC28" s="1533" t="n">
        <v>331.941</v>
      </c>
      <c r="PD28" s="1533" t="n">
        <v>331.941</v>
      </c>
      <c r="PE28" s="1533" t="n">
        <v>401.441</v>
      </c>
      <c r="PF28" s="1533" t="n">
        <v>414.541</v>
      </c>
      <c r="PG28" s="1533" t="n">
        <v>414.541</v>
      </c>
      <c r="PH28" s="1533" t="n">
        <v>414.541</v>
      </c>
      <c r="PI28" s="1533" t="n">
        <v>439.241</v>
      </c>
      <c r="PJ28" s="1533" t="n">
        <v>480.741</v>
      </c>
      <c r="PK28" s="1533" t="n">
        <v>480.741</v>
      </c>
      <c r="PL28" s="1533" t="n">
        <v>480.741</v>
      </c>
      <c r="PM28" s="1533" t="n">
        <v>480.741</v>
      </c>
      <c r="PN28" s="1533" t="n">
        <v>502.741</v>
      </c>
      <c r="PO28" s="1533" t="n">
        <v>502.741</v>
      </c>
      <c r="PP28" s="1533" t="n">
        <v>502.741</v>
      </c>
      <c r="PQ28" s="1533" t="n">
        <v>161.5</v>
      </c>
      <c r="PR28" s="1533" t="n">
        <v>161.5</v>
      </c>
      <c r="PS28" s="1533" t="n">
        <v>288.141</v>
      </c>
      <c r="PT28" s="1533" t="n">
        <v>288.141</v>
      </c>
      <c r="PU28" s="1533" t="n">
        <v>290.441</v>
      </c>
      <c r="PV28" s="1533" t="n">
        <v>290.441</v>
      </c>
      <c r="PW28" s="1533" t="n">
        <v>290.441</v>
      </c>
      <c r="PX28" s="1533" t="n">
        <v>373.241</v>
      </c>
      <c r="PY28" s="1533" t="n">
        <v>395.641</v>
      </c>
      <c r="PZ28" s="1533" t="n">
        <v>395.641</v>
      </c>
      <c r="QA28" s="1533" t="n">
        <v>395.641</v>
      </c>
      <c r="QB28" s="1533" t="n">
        <v>477.7409999999999</v>
      </c>
      <c r="QC28" s="1533" t="n">
        <v>276.741</v>
      </c>
      <c r="QD28" s="1533" t="n">
        <v>276.741</v>
      </c>
      <c r="QE28" s="1533" t="n">
        <v>284.141</v>
      </c>
      <c r="QF28" s="1533" t="n">
        <v>284.141</v>
      </c>
      <c r="QG28" s="1533" t="n">
        <v>284.141</v>
      </c>
      <c r="QH28" s="1533" t="n">
        <v>284.141</v>
      </c>
      <c r="QI28" s="1533" t="n">
        <v>408.241</v>
      </c>
      <c r="QJ28" s="1533" t="n">
        <v>408.241</v>
      </c>
      <c r="QK28" s="1533" t="n">
        <v>293.241</v>
      </c>
      <c r="QL28" s="1533" t="n">
        <v>293.241</v>
      </c>
      <c r="QM28" s="1533" t="n">
        <v>293.241</v>
      </c>
      <c r="QN28" s="1533" t="n">
        <v>294.241</v>
      </c>
      <c r="QO28" s="1533" t="n">
        <v>319.174</v>
      </c>
      <c r="QP28" s="1533" t="n">
        <v>319.174</v>
      </c>
      <c r="QQ28" s="1533" t="n">
        <v>386.741</v>
      </c>
      <c r="QR28" s="1533" t="n">
        <v>386.741</v>
      </c>
      <c r="QS28" s="1533" t="n">
        <v>383.0409999999999</v>
      </c>
      <c r="QT28" s="1533" t="n">
        <v>406.541</v>
      </c>
      <c r="QU28" s="1533" t="n">
        <v>406.541</v>
      </c>
      <c r="QV28" s="1533" t="n">
        <v>474.141</v>
      </c>
      <c r="QW28" s="1533" t="n">
        <v>406.541</v>
      </c>
      <c r="QX28" s="1533" t="n">
        <v>406.541</v>
      </c>
      <c r="QY28" s="1533" t="n">
        <v>451.341</v>
      </c>
      <c r="QZ28" s="1533" t="n">
        <v>451.341</v>
      </c>
      <c r="RA28" s="1533" t="n">
        <v>529.941</v>
      </c>
      <c r="RB28" s="1533" t="n">
        <v>529.941</v>
      </c>
      <c r="RC28" s="1533" t="n">
        <v>529.941</v>
      </c>
      <c r="RD28" s="1533" t="n">
        <v>529.941</v>
      </c>
      <c r="RE28" s="1533" t="n">
        <v>119.341</v>
      </c>
      <c r="RF28" s="1533" t="n">
        <v>119.341</v>
      </c>
      <c r="RG28" s="1533" t="n">
        <v>119.341</v>
      </c>
      <c r="RH28" s="1533" t="n">
        <v>158.641</v>
      </c>
      <c r="RI28" s="1533" t="n">
        <v>67.247</v>
      </c>
      <c r="RJ28" s="1533" t="n">
        <v>67.247</v>
      </c>
      <c r="RK28" s="1533" t="n">
        <v>155.241</v>
      </c>
      <c r="RL28" s="1533" t="n">
        <v>155.241</v>
      </c>
      <c r="RM28" s="1533" t="n">
        <v>132.541</v>
      </c>
      <c r="RN28" s="1533" t="n">
        <v>132.541</v>
      </c>
      <c r="RO28" s="1533" t="n">
        <v>132.541</v>
      </c>
      <c r="RP28" s="1533" t="n">
        <v>132.541</v>
      </c>
      <c r="RQ28" s="1533" t="n">
        <v>226.441</v>
      </c>
      <c r="RR28" s="1533" t="n">
        <v>226.441</v>
      </c>
      <c r="RS28" s="1533" t="n">
        <v>180.141</v>
      </c>
      <c r="RT28" s="1533" t="n">
        <v>180.141</v>
      </c>
      <c r="RU28" s="1533" t="n">
        <v>180.141</v>
      </c>
      <c r="RV28" s="1533" t="n">
        <v>180.141</v>
      </c>
      <c r="RW28" s="1533" t="n">
        <v>180.141</v>
      </c>
      <c r="RX28" s="1533" t="n">
        <v>180.141</v>
      </c>
      <c r="RY28" s="1533" t="n">
        <v>323.441</v>
      </c>
      <c r="RZ28" s="1533" t="n">
        <v>323.441</v>
      </c>
      <c r="SA28" s="1533" t="n">
        <v>389.241</v>
      </c>
      <c r="SB28" s="1533" t="n">
        <v>410.241</v>
      </c>
      <c r="SC28" s="1533" t="n">
        <v>410.241</v>
      </c>
      <c r="SD28" s="1533" t="n">
        <v>410.241</v>
      </c>
      <c r="SE28" s="1533" t="n">
        <v>472.241</v>
      </c>
      <c r="SF28" s="1533" t="n">
        <v>472.241</v>
      </c>
      <c r="SG28" s="1533" t="n">
        <v>515.9409999999999</v>
      </c>
      <c r="SH28" s="1533" t="n">
        <v>515.9409999999999</v>
      </c>
      <c r="SI28" s="1533" t="n">
        <v>526.0410000000001</v>
      </c>
      <c r="SJ28" s="1533" t="n">
        <v>526.0410000000001</v>
      </c>
      <c r="SK28" s="1533" t="n">
        <v>598.5409999999999</v>
      </c>
      <c r="SL28" s="1533" t="n">
        <v>598.5409999999999</v>
      </c>
      <c r="SM28" s="1533" t="n">
        <v>546.241</v>
      </c>
      <c r="SN28" s="1533" t="n">
        <v>546.241</v>
      </c>
      <c r="SO28" s="1533" t="n">
        <v>546.241</v>
      </c>
      <c r="SP28" s="1533" t="n">
        <v>668.941</v>
      </c>
      <c r="SQ28" s="1533" t="n">
        <v>668.941</v>
      </c>
      <c r="SR28" s="1533" t="n">
        <v>668.941</v>
      </c>
      <c r="SS28" s="1533" t="n">
        <v>472.841</v>
      </c>
      <c r="ST28" s="1533" t="n">
        <v>472.841</v>
      </c>
      <c r="SU28" s="1533" t="n">
        <v>542.0410000000001</v>
      </c>
      <c r="SV28" s="1533" t="n">
        <v>542.0410000000001</v>
      </c>
      <c r="SW28" s="1533" t="n">
        <v>542.0410000000001</v>
      </c>
      <c r="SX28" s="1533" t="n">
        <v>485.241</v>
      </c>
      <c r="SY28" s="1533" t="n">
        <v>485.241</v>
      </c>
      <c r="SZ28" s="1533" t="n">
        <v>485.241</v>
      </c>
      <c r="TA28" s="1533" t="n">
        <v>523.904</v>
      </c>
      <c r="TB28" s="1533" t="n">
        <v>523.904</v>
      </c>
      <c r="TC28" s="1533" t="n">
        <v>610.1410000000001</v>
      </c>
      <c r="TD28" s="1533" t="n">
        <v>610.1410000000001</v>
      </c>
      <c r="TE28" s="1533" t="n">
        <v>661.341</v>
      </c>
      <c r="TF28" s="1533" t="n">
        <v>677.4050000000001</v>
      </c>
      <c r="TG28" s="1533" t="n">
        <v>223.241</v>
      </c>
      <c r="TH28" s="1533" t="n">
        <v>283.332</v>
      </c>
      <c r="TI28" s="1533" t="n">
        <v>227.641</v>
      </c>
      <c r="TJ28" s="1533" t="n">
        <v>275.341</v>
      </c>
      <c r="TK28" s="1533" t="n">
        <v>358.941</v>
      </c>
      <c r="TL28" s="1533" t="n">
        <v>331.641</v>
      </c>
      <c r="TM28" s="1533" t="n">
        <v>280.041</v>
      </c>
      <c r="TN28" s="1533" t="n">
        <v>399.341</v>
      </c>
      <c r="TO28" s="1533" t="n">
        <v>387.141</v>
      </c>
      <c r="TP28" s="1533" t="n">
        <v>522.852</v>
      </c>
      <c r="TQ28" s="1533" t="n">
        <v>645.341</v>
      </c>
      <c r="TR28" s="1533" t="n">
        <v>526.306</v>
      </c>
      <c r="TS28" s="1533" t="n">
        <v>579.436</v>
      </c>
      <c r="TT28" s="1533" t="n">
        <v>467.916</v>
      </c>
      <c r="TU28" s="1533" t="n">
        <v>567.841</v>
      </c>
      <c r="TV28" s="1533" t="n">
        <v>630.241</v>
      </c>
      <c r="TW28" s="1533" t="n">
        <v>439.941</v>
      </c>
      <c r="TX28" s="1533" t="n">
        <v>547.941</v>
      </c>
      <c r="TY28" s="1533" t="n">
        <v>564.341</v>
      </c>
      <c r="TZ28" s="1533" t="n">
        <v>500.396</v>
      </c>
      <c r="UA28" s="1533" t="n">
        <v>507.341</v>
      </c>
      <c r="UB28" s="1533" t="n">
        <v>641.606</v>
      </c>
      <c r="UC28" s="1533" t="n">
        <v>676.021</v>
      </c>
      <c r="UD28" s="1533" t="n">
        <v>544.556</v>
      </c>
      <c r="UE28" s="1533" t="n">
        <v>637.341</v>
      </c>
      <c r="UF28" s="1533" t="n">
        <v>724.6659999999999</v>
      </c>
      <c r="UG28" s="1533" t="n">
        <v>542.2890000000001</v>
      </c>
      <c r="UH28" s="1533" t="n">
        <v>198.741</v>
      </c>
      <c r="UI28" s="1533" t="n">
        <v>231.941</v>
      </c>
      <c r="UJ28" s="1533" t="n">
        <v>173.366</v>
      </c>
      <c r="UK28" s="1533" t="n">
        <v>187.441</v>
      </c>
      <c r="UL28" s="1533" t="n">
        <v>228.891</v>
      </c>
      <c r="UM28" s="1533" t="n">
        <v>302.511</v>
      </c>
      <c r="UN28" s="1533" t="n">
        <v>371.4179999999999</v>
      </c>
      <c r="UO28" s="1533" t="n">
        <v>398.2209999999999</v>
      </c>
      <c r="UP28" s="1533" t="n">
        <v>325.841</v>
      </c>
      <c r="UQ28" s="1533" t="n">
        <v>473.241</v>
      </c>
      <c r="UR28" s="1533" t="n">
        <v>157.941</v>
      </c>
      <c r="US28" s="1533" t="n">
        <v>128.241</v>
      </c>
      <c r="UT28" s="1533" t="n">
        <v>152.981</v>
      </c>
      <c r="UU28" s="1533" t="n">
        <v>224.761</v>
      </c>
      <c r="UV28" s="1533" t="n">
        <v>223.621</v>
      </c>
      <c r="UW28" s="1533" t="n">
        <v>247.241</v>
      </c>
      <c r="UX28" s="1533" t="n">
        <v>304.841</v>
      </c>
      <c r="UY28" s="1533" t="n">
        <v>275.041</v>
      </c>
      <c r="UZ28" s="1533" t="n">
        <v>344.541</v>
      </c>
      <c r="VA28" s="1533" t="n">
        <v>350.641</v>
      </c>
      <c r="VB28" s="1533" t="n">
        <v>386.901</v>
      </c>
      <c r="VC28" s="1533" t="n">
        <v>409.9209999999999</v>
      </c>
      <c r="VD28" s="1533" t="n">
        <v>220.341</v>
      </c>
      <c r="VE28" s="1533" t="n">
        <v>220.341</v>
      </c>
      <c r="VF28" s="1533" t="n">
        <v>196.241</v>
      </c>
      <c r="VG28" s="1533" t="n">
        <v>309.657</v>
      </c>
      <c r="VH28" s="1533" t="n">
        <v>369.151</v>
      </c>
      <c r="VI28" s="1533" t="n">
        <v>479.881</v>
      </c>
      <c r="VJ28" s="1533" t="n">
        <v>494.371</v>
      </c>
      <c r="VK28" s="1533" t="n">
        <v>600.6410000000001</v>
      </c>
      <c r="VL28" s="1533" t="n">
        <v>107.214</v>
      </c>
      <c r="VM28" s="1533" t="n">
        <v>145.288</v>
      </c>
      <c r="VN28" s="1533" t="n">
        <v>223.867</v>
      </c>
      <c r="VO28" s="1533" t="n">
        <v>155.615</v>
      </c>
      <c r="VP28" s="1533" t="n">
        <v>176.962</v>
      </c>
      <c r="VQ28" s="1533" t="n">
        <v>245.031</v>
      </c>
      <c r="VR28" s="1533" t="n">
        <v>267.122</v>
      </c>
      <c r="VS28" s="1533" t="n">
        <v>168.241</v>
      </c>
      <c r="VT28" s="1533" t="n">
        <v>205.95</v>
      </c>
      <c r="VU28" s="1533" t="n">
        <v>203.412</v>
      </c>
      <c r="VV28" s="1533" t="n">
        <v>144.421</v>
      </c>
      <c r="VW28" s="1533" t="n">
        <v>146.464</v>
      </c>
      <c r="VX28" s="1533" t="n">
        <v>270.841</v>
      </c>
      <c r="VY28" s="1533" t="n">
        <v>391.141</v>
      </c>
      <c r="VZ28" s="1533" t="n">
        <v>455.141</v>
      </c>
      <c r="WA28" s="1533" t="n">
        <v>468.542</v>
      </c>
      <c r="WB28" s="1533" t="n">
        <v>552.641</v>
      </c>
      <c r="WC28" s="1533" t="n">
        <v>488.45</v>
      </c>
      <c r="WD28" s="1533" t="n">
        <v>311.541</v>
      </c>
      <c r="WE28" s="1533" t="n">
        <v>266.341</v>
      </c>
      <c r="WF28" s="1533" t="n">
        <v>310.871</v>
      </c>
      <c r="WG28" s="1533" t="n">
        <v>57.536</v>
      </c>
      <c r="WH28" s="1533" t="n">
        <v>96.617</v>
      </c>
      <c r="WI28" s="1533" t="n">
        <v>133.987</v>
      </c>
      <c r="WJ28" s="1533" t="n">
        <v>93.247</v>
      </c>
      <c r="WK28" s="1533" t="n">
        <v>117.941</v>
      </c>
      <c r="WL28" s="1533" t="n">
        <v>166.041</v>
      </c>
      <c r="WM28" s="1533" t="n">
        <v>199.741</v>
      </c>
      <c r="WN28" s="1533" t="n">
        <v>134.8</v>
      </c>
      <c r="WO28" s="1533" t="n">
        <v>171.033</v>
      </c>
      <c r="WP28" s="1533" t="n">
        <v>9.404999999999999</v>
      </c>
      <c r="WQ28" s="1533" t="n">
        <v>86.59700000000001</v>
      </c>
      <c r="WR28" s="1533" t="n">
        <v>83.16</v>
      </c>
      <c r="WS28" s="1533" t="n">
        <v>11.506</v>
      </c>
      <c r="WT28" s="1533" t="n">
        <v>99.75</v>
      </c>
      <c r="WU28" s="1533" t="n">
        <v>134.7</v>
      </c>
      <c r="WV28" s="1533" t="n">
        <v>26.914</v>
      </c>
      <c r="WW28" s="1533" t="n">
        <v>35.64400000000001</v>
      </c>
      <c r="WX28" s="1533" t="n">
        <v>51.60099999999999</v>
      </c>
      <c r="WY28" s="1533" t="n">
        <v>85.43799999999999</v>
      </c>
      <c r="WZ28" s="1533" t="n">
        <v>142.135</v>
      </c>
      <c r="XA28" s="1533" t="n">
        <v>116.095</v>
      </c>
      <c r="XB28" s="1533" t="n">
        <v>35.68899999999999</v>
      </c>
      <c r="XC28" s="1533" t="n">
        <v>82.99399999999999</v>
      </c>
      <c r="XD28" s="1533" t="n">
        <v>187.45</v>
      </c>
      <c r="XE28" s="1533" t="n">
        <v>53.52200000000001</v>
      </c>
      <c r="XF28" s="1533" t="n">
        <v>204.603</v>
      </c>
      <c r="XG28" s="1533" t="n">
        <v>22.9</v>
      </c>
      <c r="XH28" s="1533" t="n">
        <v>88.776</v>
      </c>
      <c r="XI28" s="1533" t="n">
        <v>93.89100000000001</v>
      </c>
      <c r="XJ28" s="1533" t="n">
        <v>124.662</v>
      </c>
      <c r="XK28" s="1533" t="n">
        <v>82.471</v>
      </c>
      <c r="XL28" s="1533" t="n">
        <v>6.752</v>
      </c>
      <c r="XM28" s="1533" t="n">
        <v>17.919</v>
      </c>
      <c r="XN28" s="1533" t="n">
        <v>81.06299999999999</v>
      </c>
      <c r="XO28" s="1533" t="n">
        <v>96.87899999999999</v>
      </c>
      <c r="XP28" s="1533" t="n">
        <v>37.21</v>
      </c>
      <c r="XQ28" s="1533" t="n">
        <v>178.734</v>
      </c>
      <c r="XR28" s="1533" t="n">
        <v>165.896</v>
      </c>
      <c r="XS28" s="1533" t="n">
        <v>176.148</v>
      </c>
      <c r="XT28" s="1533" t="n">
        <v>17.927</v>
      </c>
      <c r="XU28" s="1533" t="n">
        <v>62.51899999999999</v>
      </c>
      <c r="XV28" s="1533" t="n">
        <v>99.239</v>
      </c>
      <c r="XW28" s="1533" t="n">
        <v>121.043</v>
      </c>
      <c r="XX28" s="1533" t="n">
        <v>120.941</v>
      </c>
      <c r="XY28" s="1533" t="n">
        <v>172.612</v>
      </c>
      <c r="XZ28" s="1533" t="n">
        <v>186.039</v>
      </c>
      <c r="YA28" s="1533" t="n">
        <v>97.5</v>
      </c>
      <c r="YB28" s="1533" t="n">
        <v>190.8</v>
      </c>
      <c r="YC28" s="1533" t="n">
        <v>115.9</v>
      </c>
      <c r="YD28" s="1533" t="n">
        <v>155.1</v>
      </c>
      <c r="YE28" s="1533" t="n">
        <v>69.59999999999999</v>
      </c>
      <c r="YF28" s="1533" t="n">
        <v>507.825</v>
      </c>
      <c r="YG28" s="1533" t="n">
        <v>533.053</v>
      </c>
      <c r="YH28" s="1533" t="n">
        <v>474.1</v>
      </c>
      <c r="YI28" s="1533" t="n">
        <v>335.01</v>
      </c>
      <c r="YJ28" s="1543" t="n">
        <v>318.016</v>
      </c>
    </row>
    <row r="29">
      <c r="B29" s="917" t="inlineStr">
        <is>
          <t>NNPP</t>
        </is>
      </c>
      <c r="C29" s="1532" t="n">
        <v>91.28721657499999</v>
      </c>
      <c r="D29" s="1533" t="n">
        <v>125.28036135</v>
      </c>
      <c r="E29" s="1533" t="n">
        <v>127.8</v>
      </c>
      <c r="F29" s="1533" t="n">
        <v>58</v>
      </c>
      <c r="G29" s="1533" t="n">
        <v>159.7</v>
      </c>
      <c r="H29" s="1533" t="n">
        <v>142.1</v>
      </c>
      <c r="I29" s="1533" t="n">
        <v>135.3</v>
      </c>
      <c r="J29" s="1533" t="n">
        <v>116.3</v>
      </c>
      <c r="K29" s="1533" t="n">
        <v>118.9</v>
      </c>
      <c r="L29" s="1533" t="n">
        <v>118.8</v>
      </c>
      <c r="M29" s="1533" t="n">
        <v>126.7</v>
      </c>
      <c r="N29" s="1533" t="n">
        <v>121</v>
      </c>
      <c r="O29" s="1533" t="n">
        <v>83.2</v>
      </c>
      <c r="P29" s="1533" t="n">
        <v>88.09999999999999</v>
      </c>
      <c r="Q29" s="1533" t="n">
        <v>92.5</v>
      </c>
      <c r="R29" s="1533" t="n">
        <v>96.5</v>
      </c>
      <c r="S29" s="1533" t="n">
        <v>58.5</v>
      </c>
      <c r="T29" s="1533" t="n">
        <v>74.7</v>
      </c>
      <c r="U29" s="1533" t="n">
        <v>75.40000000000001</v>
      </c>
      <c r="V29" s="1533" t="n">
        <v>83.8</v>
      </c>
      <c r="W29" s="1533" t="n">
        <v>87.7</v>
      </c>
      <c r="X29" s="1533" t="n">
        <v>73.3</v>
      </c>
      <c r="Y29" s="1533" t="n">
        <v>63.6</v>
      </c>
      <c r="Z29" s="1533" t="n">
        <v>72.40000000000001</v>
      </c>
      <c r="AA29" s="1533" t="n">
        <v>72.3</v>
      </c>
      <c r="AB29" s="1533" t="n">
        <v>70.59999999999999</v>
      </c>
      <c r="AC29" s="1533" t="n">
        <v>85.09999999999999</v>
      </c>
      <c r="AD29" s="1533" t="n">
        <v>96.90000000000001</v>
      </c>
      <c r="AE29" s="1533" t="n">
        <v>17.1</v>
      </c>
      <c r="AF29" s="1533" t="n">
        <v>18.3</v>
      </c>
      <c r="AG29" s="1533" t="n">
        <v>32.8</v>
      </c>
      <c r="AH29" s="1533" t="n">
        <v>35.3</v>
      </c>
      <c r="AI29" s="1533" t="n">
        <v>13.1</v>
      </c>
      <c r="AJ29" s="1533" t="n">
        <v>12.4</v>
      </c>
      <c r="AK29" s="1533" t="n">
        <v>14.2</v>
      </c>
      <c r="AL29" s="1533" t="n">
        <v>18.9</v>
      </c>
      <c r="AM29" s="1533" t="n">
        <v>14.5</v>
      </c>
      <c r="AN29" s="1533" t="n">
        <v>9.5</v>
      </c>
      <c r="AO29" s="1533" t="n">
        <v>9.9</v>
      </c>
      <c r="AP29" s="1533" t="n">
        <v>4.1</v>
      </c>
      <c r="AQ29" s="1533" t="n">
        <v>7.8</v>
      </c>
      <c r="AR29" s="1533" t="n">
        <v>12.2</v>
      </c>
      <c r="AS29" s="1533" t="n">
        <v>16.1</v>
      </c>
      <c r="AT29" s="1533" t="n">
        <v>27.3</v>
      </c>
      <c r="AU29" s="1533" t="n">
        <v>14.3</v>
      </c>
      <c r="AV29" s="1533" t="n">
        <v>18.45</v>
      </c>
      <c r="AW29" s="1533" t="n">
        <v>35.12</v>
      </c>
      <c r="AX29" s="1533" t="n">
        <v>19.58</v>
      </c>
      <c r="AY29" s="1533" t="n">
        <v>31.5</v>
      </c>
      <c r="AZ29" s="1533" t="n">
        <v>40.3</v>
      </c>
      <c r="BA29" s="1533" t="n">
        <v>50.8</v>
      </c>
      <c r="BB29" s="1533" t="n">
        <v>44.6</v>
      </c>
      <c r="BC29" s="1533" t="n">
        <v>47.3</v>
      </c>
      <c r="BD29" s="1533" t="n">
        <v>61.3</v>
      </c>
      <c r="BE29" s="1533" t="n">
        <v>73</v>
      </c>
      <c r="BF29" s="1533" t="n">
        <v>79.3</v>
      </c>
      <c r="BG29" s="1533" t="n">
        <v>33.7</v>
      </c>
      <c r="BH29" s="1533" t="n">
        <v>19.3</v>
      </c>
      <c r="BI29" s="1533" t="n">
        <v>18.8</v>
      </c>
      <c r="BJ29" s="1533" t="n">
        <v>18.8</v>
      </c>
      <c r="BK29" s="1533" t="n">
        <v>30.1</v>
      </c>
      <c r="BL29" s="1533" t="n">
        <v>49.7</v>
      </c>
      <c r="BM29" s="1533" t="n">
        <v>23.3</v>
      </c>
      <c r="BN29" s="1533" t="n">
        <v>20</v>
      </c>
      <c r="BO29" s="1533" t="n">
        <v>17</v>
      </c>
      <c r="BP29" s="1533" t="n">
        <v>14.3</v>
      </c>
      <c r="BQ29" s="1533" t="n">
        <v>14.3</v>
      </c>
      <c r="BR29" s="1533" t="n">
        <v>13</v>
      </c>
      <c r="BS29" s="1533" t="n">
        <v>38.3</v>
      </c>
      <c r="BT29" s="1533" t="n">
        <v>42.6</v>
      </c>
      <c r="BU29" s="1533" t="n">
        <v>40.8</v>
      </c>
      <c r="BV29" s="1533" t="n">
        <v>43.7</v>
      </c>
      <c r="BW29" s="1533" t="n">
        <v>19.8</v>
      </c>
      <c r="BX29" s="1533" t="n">
        <v>22.6</v>
      </c>
      <c r="BY29" s="1533" t="n">
        <v>29.2</v>
      </c>
      <c r="BZ29" s="1533" t="n">
        <v>14.5</v>
      </c>
      <c r="CA29" s="1533" t="n">
        <v>35.1</v>
      </c>
      <c r="CB29" s="1533" t="n">
        <v>12.8</v>
      </c>
      <c r="CC29" s="1533" t="n">
        <v>17.1</v>
      </c>
      <c r="CD29" s="1533" t="n">
        <v>26.5</v>
      </c>
      <c r="CE29" s="1533" t="n">
        <v>43</v>
      </c>
      <c r="CF29" s="1533" t="n">
        <v>43</v>
      </c>
      <c r="CG29" s="1533" t="n">
        <v>13.9</v>
      </c>
      <c r="CH29" s="1533" t="n">
        <v>25.8</v>
      </c>
      <c r="CI29" s="1533" t="n">
        <v>41.9</v>
      </c>
      <c r="CJ29" s="1533" t="n">
        <v>46.4</v>
      </c>
      <c r="CK29" s="1533" t="n">
        <v>59.7</v>
      </c>
      <c r="CL29" s="1533" t="n">
        <v>25.7</v>
      </c>
      <c r="CM29" s="1533" t="n">
        <v>32.4</v>
      </c>
      <c r="CN29" s="1533" t="n">
        <v>32.4</v>
      </c>
      <c r="CO29" s="1533" t="n">
        <v>52.7</v>
      </c>
      <c r="CP29" s="1533" t="n">
        <v>78.2</v>
      </c>
      <c r="CQ29" s="1533" t="n">
        <v>14.3</v>
      </c>
      <c r="CR29" s="1533" t="n">
        <v>7.8</v>
      </c>
      <c r="CS29" s="1533" t="n">
        <v>15.6</v>
      </c>
      <c r="CT29" s="1533" t="n">
        <v>23.5</v>
      </c>
      <c r="CU29" s="1533" t="n">
        <v>61.2</v>
      </c>
      <c r="CV29" s="1533" t="n">
        <v>16.7</v>
      </c>
      <c r="CW29" s="1533" t="n">
        <v>52.26</v>
      </c>
      <c r="CX29" s="1533" t="n">
        <v>52.26</v>
      </c>
      <c r="CY29" s="1533" t="n">
        <v>50.9</v>
      </c>
      <c r="CZ29" s="1533" t="n">
        <v>50.9</v>
      </c>
      <c r="DA29" s="1533" t="n">
        <v>24</v>
      </c>
      <c r="DB29" s="1533" t="n">
        <v>44.7</v>
      </c>
      <c r="DC29" s="1533" t="n">
        <v>44.8</v>
      </c>
      <c r="DD29" s="1533" t="n">
        <v>88.8</v>
      </c>
      <c r="DE29" s="1533" t="n">
        <v>98.59999999999999</v>
      </c>
      <c r="DF29" s="1533" t="n">
        <v>123.75</v>
      </c>
      <c r="DG29" s="1533" t="n">
        <v>73.40000000000001</v>
      </c>
      <c r="DH29" s="1533" t="n">
        <v>101.3</v>
      </c>
      <c r="DI29" s="1533" t="n">
        <v>107</v>
      </c>
      <c r="DJ29" s="1533" t="n">
        <v>102</v>
      </c>
      <c r="DK29" s="1533" t="n">
        <v>124.5</v>
      </c>
      <c r="DL29" s="1533" t="n">
        <v>136.5</v>
      </c>
      <c r="DM29" s="1533" t="n">
        <v>136.5</v>
      </c>
      <c r="DN29" s="1533" t="n">
        <v>184.9</v>
      </c>
      <c r="DO29" s="1533" t="n">
        <v>170.4</v>
      </c>
      <c r="DP29" s="1533" t="n">
        <v>170.4</v>
      </c>
      <c r="DQ29" s="1533" t="n">
        <v>180.5</v>
      </c>
      <c r="DR29" s="1533" t="n">
        <v>172.1</v>
      </c>
      <c r="DS29" s="1533" t="n">
        <v>172.1</v>
      </c>
      <c r="DT29" s="1533" t="n">
        <v>163.4</v>
      </c>
      <c r="DU29" s="1533" t="n">
        <v>300.7</v>
      </c>
      <c r="DV29" s="1533" t="n">
        <v>312.56</v>
      </c>
      <c r="DW29" s="1533" t="n">
        <v>322.36</v>
      </c>
      <c r="DX29" s="1533" t="n">
        <v>330.2</v>
      </c>
      <c r="DY29" s="1533" t="n">
        <v>362.3</v>
      </c>
      <c r="DZ29" s="1533" t="n">
        <v>332.42</v>
      </c>
      <c r="EA29" s="1533" t="n">
        <v>437.2</v>
      </c>
      <c r="EB29" s="1533" t="n">
        <v>444.33</v>
      </c>
      <c r="EC29" s="1533" t="n">
        <v>405.07</v>
      </c>
      <c r="ED29" s="1533" t="n">
        <v>384.5</v>
      </c>
      <c r="EE29" s="1533" t="n">
        <v>396.28</v>
      </c>
      <c r="EF29" s="1533" t="n">
        <v>257.53</v>
      </c>
      <c r="EG29" s="1533" t="n">
        <v>266.44</v>
      </c>
      <c r="EH29" s="1533" t="n">
        <v>277</v>
      </c>
      <c r="EI29" s="1533" t="n">
        <v>243.29</v>
      </c>
      <c r="EJ29" s="1533" t="n">
        <v>272.6</v>
      </c>
      <c r="EK29" s="1533" t="n">
        <v>283.96</v>
      </c>
      <c r="EL29" s="1533" t="n">
        <v>289.73</v>
      </c>
      <c r="EM29" s="1533" t="n">
        <v>312.23</v>
      </c>
      <c r="EN29" s="1533" t="n">
        <v>263.74</v>
      </c>
      <c r="EO29" s="1533" t="n">
        <v>218.39</v>
      </c>
      <c r="EP29" s="1533" t="n">
        <v>233.5</v>
      </c>
      <c r="EQ29" s="1533" t="n">
        <v>238.7</v>
      </c>
      <c r="ER29" s="1533" t="n">
        <v>238.7</v>
      </c>
      <c r="ES29" s="1533" t="n">
        <v>256.05</v>
      </c>
      <c r="ET29" s="1533" t="n">
        <v>262.11</v>
      </c>
      <c r="EU29" s="1533" t="n">
        <v>262.11</v>
      </c>
      <c r="EV29" s="1533" t="n">
        <v>266.1</v>
      </c>
      <c r="EW29" s="1533" t="n">
        <v>225.22</v>
      </c>
      <c r="EX29" s="1533" t="n">
        <v>231.77</v>
      </c>
      <c r="EY29" s="1533" t="n">
        <v>245.15</v>
      </c>
      <c r="EZ29" s="1533" t="n">
        <v>263.3</v>
      </c>
      <c r="FA29" s="1533" t="n">
        <v>282.3</v>
      </c>
      <c r="FB29" s="1533" t="n">
        <v>292.48</v>
      </c>
      <c r="FC29" s="1533" t="n">
        <v>273.07</v>
      </c>
      <c r="FD29" s="1533" t="n">
        <v>275.09</v>
      </c>
      <c r="FE29" s="1533" t="n">
        <v>294.01</v>
      </c>
      <c r="FF29" s="1533" t="n">
        <v>303.88</v>
      </c>
      <c r="FG29" s="1533" t="n">
        <v>320.68</v>
      </c>
      <c r="FH29" s="1533" t="n">
        <v>333.18</v>
      </c>
      <c r="FI29" s="1533" t="n">
        <v>264.23</v>
      </c>
      <c r="FJ29" s="1533" t="n">
        <v>270.79</v>
      </c>
      <c r="FK29" s="1533" t="n">
        <v>270.79</v>
      </c>
      <c r="FL29" s="1533" t="n">
        <v>276.9</v>
      </c>
      <c r="FM29" s="1533" t="n">
        <v>301.12</v>
      </c>
      <c r="FN29" s="1533" t="n">
        <v>296.1</v>
      </c>
      <c r="FO29" s="1533" t="n">
        <v>305.56</v>
      </c>
      <c r="FP29" s="1533" t="n">
        <v>310.7</v>
      </c>
      <c r="FQ29" s="1533" t="n">
        <v>334.66</v>
      </c>
      <c r="FR29" s="1533" t="n">
        <v>288.47</v>
      </c>
      <c r="FS29" s="1533" t="n">
        <v>290.3</v>
      </c>
      <c r="FT29" s="1533" t="n">
        <v>292.26</v>
      </c>
      <c r="FU29" s="1533" t="n">
        <v>301</v>
      </c>
      <c r="FV29" s="1533" t="n">
        <v>258.76</v>
      </c>
      <c r="FW29" s="1533" t="n">
        <v>269.56</v>
      </c>
      <c r="FX29" s="1533" t="n">
        <v>286.66</v>
      </c>
      <c r="FY29" s="1533" t="n">
        <v>298.75</v>
      </c>
      <c r="FZ29" s="1533" t="n">
        <v>307.49</v>
      </c>
      <c r="GA29" s="1533" t="n">
        <v>271.19</v>
      </c>
      <c r="GB29" s="1533" t="n">
        <v>289.84</v>
      </c>
      <c r="GC29" s="1533" t="n">
        <v>303.41</v>
      </c>
      <c r="GD29" s="1533" t="n">
        <v>308.04</v>
      </c>
      <c r="GE29" s="1533" t="n">
        <v>343.28</v>
      </c>
      <c r="GF29" s="1533" t="n">
        <v>211.13</v>
      </c>
      <c r="GG29" s="1533" t="n">
        <v>253.62</v>
      </c>
      <c r="GH29" s="1533" t="n">
        <v>268.56</v>
      </c>
      <c r="GI29" s="1533" t="n">
        <v>301.8</v>
      </c>
      <c r="GJ29" s="1533" t="n">
        <v>313</v>
      </c>
      <c r="GK29" s="1533" t="n">
        <v>280.1</v>
      </c>
      <c r="GL29" s="1533" t="n">
        <v>284.5</v>
      </c>
      <c r="GM29" s="1533" t="n">
        <v>295.5</v>
      </c>
      <c r="GN29" s="1533" t="n">
        <v>298.7</v>
      </c>
      <c r="GO29" s="1533" t="n">
        <v>227.7</v>
      </c>
      <c r="GP29" s="1533" t="n">
        <v>230</v>
      </c>
      <c r="GQ29" s="1533" t="n">
        <v>234.5</v>
      </c>
      <c r="GR29" s="1533" t="n">
        <v>213.9</v>
      </c>
      <c r="GS29" s="1533" t="n">
        <v>228.8</v>
      </c>
      <c r="GT29" s="1533" t="n">
        <v>236</v>
      </c>
      <c r="GU29" s="1533" t="n">
        <v>246.4</v>
      </c>
      <c r="GV29" s="1533" t="n">
        <v>227.3</v>
      </c>
      <c r="GW29" s="1533" t="n">
        <v>238</v>
      </c>
      <c r="GX29" s="1533" t="n">
        <v>261.2</v>
      </c>
      <c r="GY29" s="1533" t="n">
        <v>246.5</v>
      </c>
      <c r="GZ29" s="1533" t="n">
        <v>269</v>
      </c>
      <c r="HA29" s="1533" t="n">
        <v>429</v>
      </c>
      <c r="HB29" s="1533" t="n">
        <v>410.7</v>
      </c>
      <c r="HC29" s="1533" t="n">
        <v>350</v>
      </c>
      <c r="HD29" s="1533" t="n">
        <v>387.6</v>
      </c>
      <c r="HE29" s="1533" t="n">
        <v>354.5</v>
      </c>
      <c r="HF29" s="1533" t="n">
        <v>390.2</v>
      </c>
      <c r="HG29" s="1533" t="n">
        <v>354.1</v>
      </c>
      <c r="HH29" s="1533" t="n">
        <v>366.9</v>
      </c>
      <c r="HI29" s="1533" t="n">
        <v>368.7</v>
      </c>
      <c r="HJ29" s="1533" t="n">
        <v>276.6</v>
      </c>
      <c r="HK29" s="1533" t="n">
        <v>285</v>
      </c>
      <c r="HL29" s="1533" t="n">
        <v>307</v>
      </c>
      <c r="HM29" s="1533" t="n">
        <v>274</v>
      </c>
      <c r="HN29" s="1533" t="n">
        <v>320.5</v>
      </c>
      <c r="HO29" s="1533" t="n">
        <v>322.2</v>
      </c>
      <c r="HP29" s="1533" t="n">
        <v>307</v>
      </c>
      <c r="HQ29" s="1533" t="n">
        <v>320.9</v>
      </c>
      <c r="HR29" s="1533" t="n">
        <v>322.9</v>
      </c>
      <c r="HS29" s="1533" t="n">
        <v>314.5</v>
      </c>
      <c r="HT29" s="1533" t="n">
        <v>330.3</v>
      </c>
      <c r="HU29" s="1533" t="n">
        <v>330.3</v>
      </c>
      <c r="HV29" s="1533" t="n">
        <v>306.5</v>
      </c>
      <c r="HW29" s="1533" t="n">
        <v>306.5</v>
      </c>
      <c r="HX29" s="1533" t="n">
        <v>631</v>
      </c>
      <c r="HY29" s="1533" t="n">
        <v>631</v>
      </c>
      <c r="HZ29" s="1533" t="n">
        <v>558.8</v>
      </c>
      <c r="IA29" s="1533" t="n">
        <v>546.1</v>
      </c>
      <c r="IB29" s="1533" t="n">
        <v>555.4</v>
      </c>
      <c r="IC29" s="1533" t="n">
        <v>555.4</v>
      </c>
      <c r="ID29" s="1533" t="n">
        <v>555.4</v>
      </c>
      <c r="IE29" s="1533" t="n">
        <v>536.2</v>
      </c>
      <c r="IF29" s="1533" t="n">
        <v>536.2</v>
      </c>
      <c r="IG29" s="1533" t="n">
        <v>595.2</v>
      </c>
      <c r="IH29" s="1533" t="n">
        <v>549.6</v>
      </c>
      <c r="II29" s="1533" t="n">
        <v>549.6</v>
      </c>
      <c r="IJ29" s="1533" t="n">
        <v>549.6</v>
      </c>
      <c r="IK29" s="1533" t="n">
        <v>400.1</v>
      </c>
      <c r="IL29" s="1533" t="n">
        <v>400.1</v>
      </c>
      <c r="IM29" s="1533" t="n">
        <v>400.1</v>
      </c>
      <c r="IN29" s="1533" t="n">
        <v>400.1</v>
      </c>
      <c r="IO29" s="1533" t="n">
        <v>400.1</v>
      </c>
      <c r="IP29" s="1533" t="n">
        <v>321.1</v>
      </c>
      <c r="IQ29" s="1533" t="n">
        <v>342.3</v>
      </c>
      <c r="IR29" s="1533" t="n">
        <v>342.3</v>
      </c>
      <c r="IS29" s="1533" t="n">
        <v>341.7</v>
      </c>
      <c r="IT29" s="1533" t="n">
        <v>376.6</v>
      </c>
      <c r="IU29" s="1533" t="n">
        <v>371.8</v>
      </c>
      <c r="IV29" s="1533" t="n">
        <v>371.8</v>
      </c>
      <c r="IW29" s="1533" t="n">
        <v>402.7</v>
      </c>
      <c r="IX29" s="1533" t="n">
        <v>416.0000000000001</v>
      </c>
      <c r="IY29" s="1533" t="n">
        <v>417.3</v>
      </c>
      <c r="IZ29" s="1533" t="n">
        <v>379.1</v>
      </c>
      <c r="JA29" s="1533" t="n">
        <v>412.1</v>
      </c>
      <c r="JB29" s="1533" t="n">
        <v>412.1</v>
      </c>
      <c r="JC29" s="1533" t="n">
        <v>418</v>
      </c>
      <c r="JD29" s="1533" t="n">
        <v>430.1</v>
      </c>
      <c r="JE29" s="1533" t="n">
        <v>430.1</v>
      </c>
      <c r="JF29" s="1533" t="n">
        <v>430.1</v>
      </c>
      <c r="JG29" s="1533" t="n">
        <v>424.5</v>
      </c>
      <c r="JH29" s="1533" t="n">
        <v>424.5</v>
      </c>
      <c r="JI29" s="1533" t="n">
        <v>424.5</v>
      </c>
      <c r="JJ29" s="1533" t="n">
        <v>365.5</v>
      </c>
      <c r="JK29" s="1533" t="n">
        <v>359.1</v>
      </c>
      <c r="JL29" s="1533" t="n">
        <v>359.1</v>
      </c>
      <c r="JM29" s="1533" t="n">
        <v>396.3</v>
      </c>
      <c r="JN29" s="1533" t="n">
        <v>396.3</v>
      </c>
      <c r="JO29" s="1533" t="n">
        <v>396.3</v>
      </c>
      <c r="JP29" s="1533" t="n">
        <v>366.4</v>
      </c>
      <c r="JQ29" s="1533" t="n">
        <v>366.4</v>
      </c>
      <c r="JR29" s="1533" t="n">
        <v>366.4</v>
      </c>
      <c r="JS29" s="1533" t="n">
        <v>366.4</v>
      </c>
      <c r="JT29" s="1533" t="n">
        <v>385.6</v>
      </c>
      <c r="JU29" s="1533" t="n">
        <v>402.65</v>
      </c>
      <c r="JV29" s="1533" t="n">
        <v>402.65</v>
      </c>
      <c r="JW29" s="1533" t="n">
        <v>419.2</v>
      </c>
      <c r="JX29" s="1533" t="n">
        <v>419.2</v>
      </c>
      <c r="JY29" s="1533" t="n">
        <v>526</v>
      </c>
      <c r="JZ29" s="1533" t="n">
        <v>526</v>
      </c>
      <c r="KA29" s="1533" t="n">
        <v>541.5</v>
      </c>
      <c r="KB29" s="1533" t="n">
        <v>546.6000000000001</v>
      </c>
      <c r="KC29" s="1533" t="n">
        <v>531.8</v>
      </c>
      <c r="KD29" s="1533" t="n">
        <v>555.1</v>
      </c>
      <c r="KE29" s="1533" t="n">
        <v>555.1</v>
      </c>
      <c r="KF29" s="1533" t="n">
        <v>359.1</v>
      </c>
      <c r="KG29" s="1533" t="n">
        <v>396.5</v>
      </c>
      <c r="KH29" s="1533" t="n">
        <v>396.5</v>
      </c>
      <c r="KI29" s="1533" t="n">
        <v>240</v>
      </c>
      <c r="KJ29" s="1533" t="n">
        <v>240</v>
      </c>
      <c r="KK29" s="1533" t="n">
        <v>264.64</v>
      </c>
      <c r="KL29" s="1533" t="n">
        <v>282.6</v>
      </c>
      <c r="KM29" s="1533" t="n">
        <v>282.6</v>
      </c>
      <c r="KN29" s="1533" t="n">
        <v>321.737</v>
      </c>
      <c r="KO29" s="1533" t="n">
        <v>339.745</v>
      </c>
      <c r="KP29" s="1533" t="n">
        <v>356.763</v>
      </c>
      <c r="KQ29" s="1533" t="n">
        <v>368.063</v>
      </c>
      <c r="KR29" s="1533" t="n">
        <v>368.063</v>
      </c>
      <c r="KS29" s="1533" t="n">
        <v>386.9711</v>
      </c>
      <c r="KT29" s="1533" t="n">
        <v>386.9711</v>
      </c>
      <c r="KU29" s="1533" t="n">
        <v>412.202</v>
      </c>
      <c r="KV29" s="1533" t="n">
        <v>420.059</v>
      </c>
      <c r="KW29" s="1533" t="n">
        <v>444.32178347</v>
      </c>
      <c r="KX29" s="1533" t="n">
        <v>450.9935</v>
      </c>
      <c r="KY29" s="1533" t="n">
        <v>450.9935</v>
      </c>
      <c r="KZ29" s="1533" t="n">
        <v>492.42626822</v>
      </c>
      <c r="LA29" s="1533" t="n">
        <v>492.42626822</v>
      </c>
      <c r="LB29" s="1533" t="n">
        <v>456.56476288</v>
      </c>
      <c r="LC29" s="1533" t="n">
        <v>456.56476288</v>
      </c>
      <c r="LD29" s="1533" t="n">
        <v>456.56476288</v>
      </c>
      <c r="LE29" s="1533" t="n">
        <v>470.1</v>
      </c>
      <c r="LF29" s="1533" t="n">
        <v>454.5</v>
      </c>
      <c r="LG29" s="1533" t="n">
        <v>454.5</v>
      </c>
      <c r="LH29" s="1533" t="n">
        <v>454.5</v>
      </c>
      <c r="LI29" s="1533" t="n">
        <v>448.5</v>
      </c>
      <c r="LJ29" s="1533" t="n">
        <v>448.5</v>
      </c>
      <c r="LK29" s="1533" t="n">
        <v>448.5</v>
      </c>
      <c r="LL29" s="1533" t="n">
        <v>502</v>
      </c>
      <c r="LM29" s="1533" t="n">
        <v>502</v>
      </c>
      <c r="LN29" s="1533" t="n">
        <v>454.8</v>
      </c>
      <c r="LO29" s="1533" t="n">
        <v>454.8</v>
      </c>
      <c r="LP29" s="1533" t="n">
        <v>454.8</v>
      </c>
      <c r="LQ29" s="1533" t="n">
        <v>425.43826624</v>
      </c>
      <c r="LR29" s="1533" t="n">
        <v>397.4918598100001</v>
      </c>
      <c r="LS29" s="1533" t="n">
        <v>397.4918598100001</v>
      </c>
      <c r="LT29" s="1533" t="n">
        <v>188.18561146</v>
      </c>
      <c r="LU29" s="1533" t="n">
        <v>188.18561146</v>
      </c>
      <c r="LV29" s="1533" t="n">
        <v>190.23174778</v>
      </c>
      <c r="LW29" s="1533" t="n">
        <v>190.23174778</v>
      </c>
      <c r="LX29" s="1533" t="n">
        <v>151.43487498</v>
      </c>
      <c r="LY29" s="1533" t="n">
        <v>151.43487498</v>
      </c>
      <c r="LZ29" s="1533" t="n">
        <v>170.66305223</v>
      </c>
      <c r="MA29" s="1533" t="n">
        <v>170.66305223</v>
      </c>
      <c r="MB29" s="1533" t="n">
        <v>170.66305223</v>
      </c>
      <c r="MC29" s="1533" t="n">
        <v>170.66305223</v>
      </c>
      <c r="MD29" s="1533" t="n">
        <v>162.13400638</v>
      </c>
      <c r="ME29" s="1533" t="n">
        <v>149.00526249</v>
      </c>
      <c r="MF29" s="1533" t="n">
        <v>149.00526249</v>
      </c>
      <c r="MG29" s="1533" t="n">
        <v>149.00526249</v>
      </c>
      <c r="MH29" s="1533" t="n">
        <v>158.18790866</v>
      </c>
      <c r="MI29" s="1533" t="n">
        <v>158.18790866</v>
      </c>
      <c r="MJ29" s="1533" t="n">
        <v>182.3925221</v>
      </c>
      <c r="MK29" s="1533" t="n">
        <v>205.59328874</v>
      </c>
      <c r="ML29" s="1533" t="n">
        <v>205.59328874</v>
      </c>
      <c r="MM29" s="1533" t="n">
        <v>205.59328874</v>
      </c>
      <c r="MN29" s="1533" t="n">
        <v>205.59328874</v>
      </c>
      <c r="MO29" s="1533" t="n">
        <v>205.59328874</v>
      </c>
      <c r="MP29" s="1533" t="n">
        <v>205.59328874</v>
      </c>
      <c r="MQ29" s="1533" t="n">
        <v>186</v>
      </c>
      <c r="MR29" s="1533" t="n">
        <v>186</v>
      </c>
      <c r="MS29" s="1533" t="n">
        <v>126.84509583</v>
      </c>
      <c r="MT29" s="1533" t="n">
        <v>132.3735516</v>
      </c>
      <c r="MU29" s="1533" t="n">
        <v>132.3735516</v>
      </c>
      <c r="MV29" s="1533" t="n">
        <v>132.3735516</v>
      </c>
      <c r="MW29" s="1533" t="n">
        <v>144.47041085</v>
      </c>
      <c r="MX29" s="1533" t="n">
        <v>147.26238944</v>
      </c>
      <c r="MY29" s="1533" t="n">
        <v>147.26238944</v>
      </c>
      <c r="MZ29" s="1533" t="n">
        <v>147.26238944</v>
      </c>
      <c r="NA29" s="1533" t="n">
        <v>147.26238944</v>
      </c>
      <c r="NB29" s="1533" t="n">
        <v>147.26238944</v>
      </c>
      <c r="NC29" s="1533" t="n">
        <v>147.26238944</v>
      </c>
      <c r="ND29" s="1533" t="n">
        <v>147.26238944</v>
      </c>
      <c r="NE29" s="1533" t="n">
        <v>147.26238944</v>
      </c>
      <c r="NF29" s="1533" t="n">
        <v>45.76996344</v>
      </c>
      <c r="NG29" s="1533" t="n">
        <v>62.66938249</v>
      </c>
      <c r="NH29" s="1533" t="n">
        <v>70.73667066900001</v>
      </c>
      <c r="NI29" s="1533" t="n">
        <v>86.99576068</v>
      </c>
      <c r="NJ29" s="1533" t="n">
        <v>86.99576068</v>
      </c>
      <c r="NK29" s="1533" t="n">
        <v>123.13312534</v>
      </c>
      <c r="NL29" s="1533" t="n">
        <v>123.13312534</v>
      </c>
      <c r="NM29" s="1533" t="n">
        <v>135.91076337</v>
      </c>
      <c r="NN29" s="1533" t="n">
        <v>135.91076337</v>
      </c>
      <c r="NO29" s="1533" t="n">
        <v>135.91076337</v>
      </c>
      <c r="NP29" s="1533" t="n">
        <v>105.71531557</v>
      </c>
      <c r="NQ29" s="1533" t="n">
        <v>105.71531557</v>
      </c>
      <c r="NR29" s="1533" t="n">
        <v>119.59416558</v>
      </c>
      <c r="NS29" s="1533" t="n">
        <v>119.59416558</v>
      </c>
      <c r="NT29" s="1533" t="n">
        <v>119.59416558</v>
      </c>
      <c r="NU29" s="1533" t="n">
        <v>136.87512806</v>
      </c>
      <c r="NV29" s="1533" t="n">
        <v>147.50134557</v>
      </c>
      <c r="NW29" s="1533" t="n">
        <v>147.50134557</v>
      </c>
      <c r="NX29" s="1533" t="n">
        <v>147.50134557</v>
      </c>
      <c r="NY29" s="1533" t="n">
        <v>181.50403205</v>
      </c>
      <c r="NZ29" s="1533" t="n">
        <v>235.71346534</v>
      </c>
      <c r="OA29" s="1533" t="n">
        <v>235.71346534</v>
      </c>
      <c r="OB29" s="1533" t="n">
        <v>235.71346534</v>
      </c>
      <c r="OC29" s="1533" t="n">
        <v>272.23809981</v>
      </c>
      <c r="OD29" s="1533" t="n">
        <v>272.23809981</v>
      </c>
      <c r="OE29" s="1533" t="n">
        <v>272.23809981</v>
      </c>
      <c r="OF29" s="1533" t="n">
        <v>272.23809981</v>
      </c>
      <c r="OG29" s="1533" t="n">
        <v>306.3</v>
      </c>
      <c r="OH29" s="1533" t="n">
        <v>306.3</v>
      </c>
      <c r="OI29" s="1533" t="n">
        <v>323.2</v>
      </c>
      <c r="OJ29" s="1533" t="n">
        <v>323.2</v>
      </c>
      <c r="OK29" s="1533" t="n">
        <v>323.2</v>
      </c>
      <c r="OL29" s="1533" t="n">
        <v>323.2</v>
      </c>
      <c r="OM29" s="1533" t="n">
        <v>323.2</v>
      </c>
      <c r="ON29" s="1533" t="n">
        <v>323.2</v>
      </c>
      <c r="OO29" s="1533" t="n">
        <v>306.16221392</v>
      </c>
      <c r="OP29" s="1533" t="n">
        <v>320.1</v>
      </c>
      <c r="OQ29" s="1533" t="n">
        <v>320.1</v>
      </c>
      <c r="OR29" s="1533" t="n">
        <v>320.1</v>
      </c>
      <c r="OS29" s="1533" t="n">
        <v>281.732203</v>
      </c>
      <c r="OT29" s="1533" t="n">
        <v>304.00875511</v>
      </c>
      <c r="OU29" s="1533" t="n">
        <v>304.00875511</v>
      </c>
      <c r="OV29" s="1533" t="n">
        <v>304.00875511</v>
      </c>
      <c r="OW29" s="1533" t="n">
        <v>362.9</v>
      </c>
      <c r="OX29" s="1533" t="n">
        <v>362.9</v>
      </c>
      <c r="OY29" s="1533" t="n">
        <v>381.34091964</v>
      </c>
      <c r="OZ29" s="1533" t="n">
        <v>381.34091964</v>
      </c>
      <c r="PA29" s="1533" t="n">
        <v>381.34091964</v>
      </c>
      <c r="PB29" s="1533" t="n">
        <v>264.9148304</v>
      </c>
      <c r="PC29" s="1533" t="n">
        <v>264.9148304</v>
      </c>
      <c r="PD29" s="1533" t="n">
        <v>264.9148304</v>
      </c>
      <c r="PE29" s="1533" t="n">
        <v>277.70836993</v>
      </c>
      <c r="PF29" s="1533" t="n">
        <v>277.70836993</v>
      </c>
      <c r="PG29" s="1533" t="n">
        <v>277.70836993</v>
      </c>
      <c r="PH29" s="1533" t="n">
        <v>277.70836993</v>
      </c>
      <c r="PI29" s="1533" t="n">
        <v>278.62653536</v>
      </c>
      <c r="PJ29" s="1533" t="n">
        <v>291.02631084</v>
      </c>
      <c r="PK29" s="1533" t="n">
        <v>291.02631084</v>
      </c>
      <c r="PL29" s="1533" t="n">
        <v>291.02631084</v>
      </c>
      <c r="PM29" s="1533" t="n">
        <v>291.02631084</v>
      </c>
      <c r="PN29" s="1533" t="n">
        <v>274.5</v>
      </c>
      <c r="PO29" s="1533" t="n">
        <v>274.5</v>
      </c>
      <c r="PP29" s="1533" t="n">
        <v>274.5</v>
      </c>
      <c r="PQ29" s="1533" t="n">
        <v>287.29462962</v>
      </c>
      <c r="PR29" s="1533" t="n">
        <v>287.29462962</v>
      </c>
      <c r="PS29" s="1533" t="n">
        <v>354.75835913</v>
      </c>
      <c r="PT29" s="1533" t="n">
        <v>354.75835913</v>
      </c>
      <c r="PU29" s="1533" t="n">
        <v>367.08797082</v>
      </c>
      <c r="PV29" s="1533" t="n">
        <v>367.08797082</v>
      </c>
      <c r="PW29" s="1533" t="n">
        <v>367.08797082</v>
      </c>
      <c r="PX29" s="1533" t="n">
        <v>321.49353127</v>
      </c>
      <c r="PY29" s="1533" t="n">
        <v>324.01378118</v>
      </c>
      <c r="PZ29" s="1533" t="n">
        <v>324.01378118</v>
      </c>
      <c r="QA29" s="1533" t="n">
        <v>324.01378118</v>
      </c>
      <c r="QB29" s="1533" t="n">
        <v>378.39532922</v>
      </c>
      <c r="QC29" s="1533" t="n">
        <v>388.09642068</v>
      </c>
      <c r="QD29" s="1533" t="n">
        <v>388.09642068</v>
      </c>
      <c r="QE29" s="1533" t="n">
        <v>340.89102775</v>
      </c>
      <c r="QF29" s="1533" t="n">
        <v>340.89102775</v>
      </c>
      <c r="QG29" s="1533" t="n">
        <v>340.89102775</v>
      </c>
      <c r="QH29" s="1533" t="n">
        <v>340.89102775</v>
      </c>
      <c r="QI29" s="1533" t="n">
        <v>373.48325164</v>
      </c>
      <c r="QJ29" s="1533" t="n">
        <v>373.48325164</v>
      </c>
      <c r="QK29" s="1533" t="n">
        <v>351.31491585</v>
      </c>
      <c r="QL29" s="1533" t="n">
        <v>351.31491585</v>
      </c>
      <c r="QM29" s="1533" t="n">
        <v>351.31491585</v>
      </c>
      <c r="QN29" s="1533" t="n">
        <v>379.06758251</v>
      </c>
      <c r="QO29" s="1533" t="n">
        <v>325.88100259</v>
      </c>
      <c r="QP29" s="1533" t="n">
        <v>325.88100259</v>
      </c>
      <c r="QQ29" s="1533" t="n">
        <v>351.55429706</v>
      </c>
      <c r="QR29" s="1533" t="n">
        <v>351.55429706</v>
      </c>
      <c r="QS29" s="1533" t="n">
        <v>310.82160325</v>
      </c>
      <c r="QT29" s="1533" t="n">
        <v>290.81497042</v>
      </c>
      <c r="QU29" s="1533" t="n">
        <v>290.81497042</v>
      </c>
      <c r="QV29" s="1533" t="n">
        <v>317.00225337</v>
      </c>
      <c r="QW29" s="1533" t="n">
        <v>290.81497042</v>
      </c>
      <c r="QX29" s="1533" t="n">
        <v>290.81497042</v>
      </c>
      <c r="QY29" s="1533" t="n">
        <v>307.54972009</v>
      </c>
      <c r="QZ29" s="1533" t="n">
        <v>307.54972009</v>
      </c>
      <c r="RA29" s="1533" t="n">
        <v>305.88087112</v>
      </c>
      <c r="RB29" s="1533" t="n">
        <v>305.88087112</v>
      </c>
      <c r="RC29" s="1533" t="n">
        <v>305.88087112</v>
      </c>
      <c r="RD29" s="1533" t="n">
        <v>305.88087112</v>
      </c>
      <c r="RE29" s="1533" t="n">
        <v>378.4324331</v>
      </c>
      <c r="RF29" s="1533" t="n">
        <v>378.4324331</v>
      </c>
      <c r="RG29" s="1533" t="n">
        <v>378.4324331</v>
      </c>
      <c r="RH29" s="1533" t="n">
        <v>362.59732434</v>
      </c>
      <c r="RI29" s="1533" t="n">
        <v>362.59732434</v>
      </c>
      <c r="RJ29" s="1533" t="n">
        <v>362.59732434</v>
      </c>
      <c r="RK29" s="1533" t="n">
        <v>369.22287117</v>
      </c>
      <c r="RL29" s="1533" t="n">
        <v>369.22287117</v>
      </c>
      <c r="RM29" s="1533" t="n">
        <v>342.41963339</v>
      </c>
      <c r="RN29" s="1533" t="n">
        <v>342.41963339</v>
      </c>
      <c r="RO29" s="1533" t="n">
        <v>342.41963339</v>
      </c>
      <c r="RP29" s="1533" t="n">
        <v>342.41963339</v>
      </c>
      <c r="RQ29" s="1533" t="n">
        <v>332.7138766</v>
      </c>
      <c r="RR29" s="1533" t="n">
        <v>332.7138766</v>
      </c>
      <c r="RS29" s="1533" t="n">
        <v>309.52478329</v>
      </c>
      <c r="RT29" s="1533" t="n">
        <v>309.52478329</v>
      </c>
      <c r="RU29" s="1533" t="n">
        <v>309.52478329</v>
      </c>
      <c r="RV29" s="1533" t="n">
        <v>309.52478329</v>
      </c>
      <c r="RW29" s="1533" t="n">
        <v>309.52478329</v>
      </c>
      <c r="RX29" s="1533" t="n">
        <v>309.52478329</v>
      </c>
      <c r="RY29" s="1533" t="n">
        <v>309.52478329</v>
      </c>
      <c r="RZ29" s="1533" t="n">
        <v>309.52478329</v>
      </c>
      <c r="SA29" s="1533" t="n">
        <v>309.52478329</v>
      </c>
      <c r="SB29" s="1533" t="n">
        <v>309.52478329</v>
      </c>
      <c r="SC29" s="1533" t="n">
        <v>309.52478329</v>
      </c>
      <c r="SD29" s="1533" t="n">
        <v>309.52478329</v>
      </c>
      <c r="SE29" s="1533" t="n">
        <v>463.62017475</v>
      </c>
      <c r="SF29" s="1533" t="n">
        <v>463.62017475</v>
      </c>
      <c r="SG29" s="1533" t="n">
        <v>489.52774118</v>
      </c>
      <c r="SH29" s="1533" t="n">
        <v>489.52774118</v>
      </c>
      <c r="SI29" s="1533" t="n">
        <v>486.56957951</v>
      </c>
      <c r="SJ29" s="1533" t="n">
        <v>486.56957951</v>
      </c>
      <c r="SK29" s="1533" t="n">
        <v>490.86236194</v>
      </c>
      <c r="SL29" s="1533" t="n">
        <v>490.86236194</v>
      </c>
      <c r="SM29" s="1533" t="n">
        <v>410.85564358</v>
      </c>
      <c r="SN29" s="1533" t="n">
        <v>410.85564358</v>
      </c>
      <c r="SO29" s="1533" t="n">
        <v>410.85564358</v>
      </c>
      <c r="SP29" s="1533" t="n">
        <v>410.85564358</v>
      </c>
      <c r="SQ29" s="1533" t="n">
        <v>410.85564358</v>
      </c>
      <c r="SR29" s="1533" t="n">
        <v>410.85564358</v>
      </c>
      <c r="SS29" s="1533" t="n">
        <v>526.35507867</v>
      </c>
      <c r="ST29" s="1533" t="n">
        <v>526.35507867</v>
      </c>
      <c r="SU29" s="1533" t="n">
        <v>567.93408247</v>
      </c>
      <c r="SV29" s="1533" t="n">
        <v>567.93408247</v>
      </c>
      <c r="SW29" s="1533" t="n">
        <v>567.93408247</v>
      </c>
      <c r="SX29" s="1533" t="n">
        <v>363.35338554</v>
      </c>
      <c r="SY29" s="1533" t="n">
        <v>363.35338554</v>
      </c>
      <c r="SZ29" s="1533" t="n">
        <v>363.35338554</v>
      </c>
      <c r="TA29" s="1533" t="n">
        <v>430.21240492</v>
      </c>
      <c r="TB29" s="1533" t="n">
        <v>430.21240492</v>
      </c>
      <c r="TC29" s="1533" t="n">
        <v>421.5094279100001</v>
      </c>
      <c r="TD29" s="1533" t="n">
        <v>421.5094279100001</v>
      </c>
      <c r="TE29" s="1533" t="n">
        <v>448.22542913</v>
      </c>
      <c r="TF29" s="1533" t="n">
        <v>248.6388683</v>
      </c>
      <c r="TG29" s="1533" t="n">
        <v>336.16424166</v>
      </c>
      <c r="TH29" s="1533" t="n">
        <v>188.4758104</v>
      </c>
      <c r="TI29" s="1533" t="n">
        <v>102.37752043</v>
      </c>
      <c r="TJ29" s="1533" t="n">
        <v>110.79622585</v>
      </c>
      <c r="TK29" s="1533" t="n">
        <v>123.78479626</v>
      </c>
      <c r="TL29" s="1533" t="n">
        <v>79.27703832</v>
      </c>
      <c r="TM29" s="1533" t="n">
        <v>75.10302108</v>
      </c>
      <c r="TN29" s="1533" t="n">
        <v>102.46762413</v>
      </c>
      <c r="TO29" s="1533" t="n">
        <v>211.51506432</v>
      </c>
      <c r="TP29" s="1533" t="n">
        <v>262.00139753</v>
      </c>
      <c r="TQ29" s="1533" t="n">
        <v>198.85122682</v>
      </c>
      <c r="TR29" s="1533" t="n">
        <v>211.3</v>
      </c>
      <c r="TS29" s="1533" t="n">
        <v>217.276</v>
      </c>
      <c r="TT29" s="1533" t="n">
        <v>217.276</v>
      </c>
      <c r="TU29" s="1533" t="n">
        <v>217.5</v>
      </c>
      <c r="TV29" s="1533" t="n">
        <v>251</v>
      </c>
      <c r="TW29" s="1533" t="n">
        <v>247.83270674</v>
      </c>
      <c r="TX29" s="1533" t="n">
        <v>268.22578171</v>
      </c>
      <c r="TY29" s="1533" t="n">
        <v>282.57253012</v>
      </c>
      <c r="TZ29" s="1533" t="n">
        <v>320.30934434</v>
      </c>
      <c r="UA29" s="1533" t="n">
        <v>323.80574955</v>
      </c>
      <c r="UB29" s="1533" t="n">
        <v>344.8208495</v>
      </c>
      <c r="UC29" s="1533" t="n">
        <v>354.42762024</v>
      </c>
      <c r="UD29" s="1533" t="n">
        <v>392.80401887</v>
      </c>
      <c r="UE29" s="1533" t="n">
        <v>391.63306364</v>
      </c>
      <c r="UF29" s="1533" t="n">
        <v>415.43269399</v>
      </c>
      <c r="UG29" s="1533" t="n">
        <v>432.19796012</v>
      </c>
      <c r="UH29" s="1533" t="n">
        <v>442.20657242</v>
      </c>
      <c r="UI29" s="1533" t="n">
        <v>451.16210854</v>
      </c>
      <c r="UJ29" s="1533" t="n">
        <v>278</v>
      </c>
      <c r="UK29" s="1533" t="n">
        <v>317.99893666</v>
      </c>
      <c r="UL29" s="1533" t="n">
        <v>327.36447707</v>
      </c>
      <c r="UM29" s="1533" t="n">
        <v>309.81433002</v>
      </c>
      <c r="UN29" s="1533" t="n">
        <v>166.27585363</v>
      </c>
      <c r="UO29" s="1533" t="n">
        <v>166.27585363</v>
      </c>
      <c r="UP29" s="1533" t="n">
        <v>166.27585363</v>
      </c>
      <c r="UQ29" s="1533" t="n">
        <v>128.44836234</v>
      </c>
      <c r="UR29" s="1533" t="n">
        <v>73.97294322</v>
      </c>
      <c r="US29" s="1533" t="n">
        <v>62.1795745</v>
      </c>
      <c r="UT29" s="1533" t="n">
        <v>79.53577529</v>
      </c>
      <c r="UU29" s="1533" t="n">
        <v>149.91096812</v>
      </c>
      <c r="UV29" s="1533" t="n">
        <v>113.53604482</v>
      </c>
      <c r="UW29" s="1533" t="n">
        <v>124.09886074</v>
      </c>
      <c r="UX29" s="1533" t="n">
        <v>58.01266736</v>
      </c>
      <c r="UY29" s="1533" t="n">
        <v>77.64417470999999</v>
      </c>
      <c r="UZ29" s="1533" t="n">
        <v>113.87383334</v>
      </c>
      <c r="VA29" s="1533" t="n">
        <v>154.45485123</v>
      </c>
      <c r="VB29" s="1533" t="n">
        <v>191.00176255</v>
      </c>
      <c r="VC29" s="1533" t="n">
        <v>157.08850164</v>
      </c>
      <c r="VD29" s="1533" t="n">
        <v>154.5917259</v>
      </c>
      <c r="VE29" s="1533" t="n">
        <v>154.5917259</v>
      </c>
      <c r="VF29" s="1533" t="n">
        <v>166.90529922</v>
      </c>
      <c r="VG29" s="1533" t="n">
        <v>196.06094754</v>
      </c>
      <c r="VH29" s="1533" t="n">
        <v>173.56973887</v>
      </c>
      <c r="VI29" s="1533" t="n">
        <v>217.44508221</v>
      </c>
      <c r="VJ29" s="1533" t="n">
        <v>165.52519197</v>
      </c>
      <c r="VK29" s="1533" t="n">
        <v>183.8055853</v>
      </c>
      <c r="VL29" s="1533" t="n">
        <v>198</v>
      </c>
      <c r="VM29" s="1533" t="n">
        <v>240.15522683</v>
      </c>
      <c r="VN29" s="1533" t="n">
        <v>248.47984361</v>
      </c>
      <c r="VO29" s="1533" t="n">
        <v>161.87173121</v>
      </c>
      <c r="VP29" s="1533" t="n">
        <v>182.29111022</v>
      </c>
      <c r="VQ29" s="1533" t="n">
        <v>182.52515659</v>
      </c>
      <c r="VR29" s="1533" t="n">
        <v>159.28293853</v>
      </c>
      <c r="VS29" s="1533" t="n">
        <v>199.40590317</v>
      </c>
      <c r="VT29" s="1533" t="n">
        <v>206.27585708</v>
      </c>
      <c r="VU29" s="1533" t="n">
        <v>221.50124194</v>
      </c>
      <c r="VV29" s="1533" t="n">
        <v>185.6699199</v>
      </c>
      <c r="VW29" s="1533" t="n">
        <v>210.59533995</v>
      </c>
      <c r="VX29" s="1533" t="n">
        <v>129.90219062</v>
      </c>
      <c r="VY29" s="1533" t="n">
        <v>79.7855488</v>
      </c>
      <c r="VZ29" s="1533" t="n">
        <v>89.27629603999999</v>
      </c>
      <c r="WA29" s="1533" t="n">
        <v>93.50084415000001</v>
      </c>
      <c r="WB29" s="1533" t="n">
        <v>148.2081364</v>
      </c>
      <c r="WC29" s="1533" t="n">
        <v>119.01485796</v>
      </c>
      <c r="WD29" s="1533" t="n">
        <v>152.244164</v>
      </c>
      <c r="WE29" s="1533" t="n">
        <v>182.05093838</v>
      </c>
      <c r="WF29" s="1533" t="n">
        <v>196.46012969</v>
      </c>
      <c r="WG29" s="1533" t="n">
        <v>2.933501859999999</v>
      </c>
      <c r="WH29" s="1533" t="n">
        <v>1.3883224</v>
      </c>
      <c r="WI29" s="1533" t="n">
        <v>1.68550779</v>
      </c>
      <c r="WJ29" s="1533" t="n">
        <v>7.87638257</v>
      </c>
      <c r="WK29" s="1533" t="n">
        <v>4.34923382</v>
      </c>
      <c r="WL29" s="1533" t="n">
        <v>4.43733391</v>
      </c>
      <c r="WM29" s="1533" t="n">
        <v>10.79388479</v>
      </c>
      <c r="WN29" s="1533" t="n">
        <v>2.37369715</v>
      </c>
      <c r="WO29" s="1533" t="n">
        <v>6.88544469</v>
      </c>
      <c r="WP29" s="1533" t="n">
        <v>40.23582181</v>
      </c>
      <c r="WQ29" s="1533" t="n">
        <v>1.01972501</v>
      </c>
      <c r="WR29" s="1533" t="n">
        <v>17.64483273</v>
      </c>
      <c r="WS29" s="1533" t="n">
        <v>5.81716601</v>
      </c>
      <c r="WT29" s="1533" t="n">
        <v>1.6344181</v>
      </c>
      <c r="WU29" s="1533" t="n">
        <v>1.0818043</v>
      </c>
      <c r="WV29" s="1533" t="n">
        <v>1.0818043</v>
      </c>
      <c r="WW29" s="1533" t="n">
        <v>15.63269967</v>
      </c>
      <c r="WX29" s="1533" t="n">
        <v>4.16847643</v>
      </c>
      <c r="WY29" s="1533" t="n">
        <v>4.16847643</v>
      </c>
      <c r="WZ29" s="1533" t="n">
        <v>5.99581375</v>
      </c>
      <c r="XA29" s="1533" t="n">
        <v>7.39266547</v>
      </c>
      <c r="XB29" s="1533" t="n">
        <v>2.61688108</v>
      </c>
      <c r="XC29" s="1533" t="n">
        <v>2.61688108</v>
      </c>
      <c r="XD29" s="1533" t="n">
        <v>4.1</v>
      </c>
      <c r="XE29" s="1533" t="n">
        <v>7.9</v>
      </c>
      <c r="XF29" s="1533" t="n">
        <v>19.6</v>
      </c>
      <c r="XG29" s="1533" t="n">
        <v>5.9</v>
      </c>
      <c r="XH29" s="1533" t="n">
        <v>23</v>
      </c>
      <c r="XI29" s="1533" t="n">
        <v>1.82</v>
      </c>
      <c r="XJ29" s="1533" t="n">
        <v>23.6</v>
      </c>
      <c r="XK29" s="1533" t="n">
        <v>33</v>
      </c>
      <c r="XL29" s="1533" t="n">
        <v>6.640921660000001</v>
      </c>
      <c r="XM29" s="1533" t="n">
        <v>2.58956084</v>
      </c>
      <c r="XN29" s="1533" t="n">
        <v>15.61566509</v>
      </c>
      <c r="XO29" s="1533" t="n">
        <v>15.61566509</v>
      </c>
      <c r="XP29" s="1533" t="n">
        <v>8.3379387</v>
      </c>
      <c r="XQ29" s="1533" t="n">
        <v>4.590375557</v>
      </c>
      <c r="XR29" s="1533" t="n">
        <v>8.046210660000002</v>
      </c>
      <c r="XS29" s="1533" t="n">
        <v>17.22522334</v>
      </c>
      <c r="XT29" s="1533" t="n">
        <v>17.22522334</v>
      </c>
      <c r="XU29" s="1533" t="n">
        <v>10.81776007</v>
      </c>
      <c r="XV29" s="1533" t="n">
        <v>13.2</v>
      </c>
      <c r="XW29" s="1533" t="n">
        <v>13.2</v>
      </c>
      <c r="XX29" s="1533" t="n">
        <v>13.2</v>
      </c>
      <c r="XY29" s="1533" t="n">
        <v>13.2</v>
      </c>
      <c r="XZ29" s="1533" t="n">
        <v>7.4</v>
      </c>
      <c r="YA29" s="1533" t="n">
        <v>11</v>
      </c>
      <c r="YB29" s="1533" t="n">
        <v>9.676062739999999</v>
      </c>
      <c r="YC29" s="1533" t="n">
        <v>9.676062739999999</v>
      </c>
      <c r="YD29" s="1533" t="n">
        <v>2.67597643</v>
      </c>
      <c r="YE29" s="1533" t="n">
        <v>1.73405698</v>
      </c>
      <c r="YF29" s="1533" t="n">
        <v>2.32594508</v>
      </c>
      <c r="YG29" s="1533" t="n">
        <v>2.32594508</v>
      </c>
      <c r="YH29" s="1533" t="n">
        <v>4.15036355</v>
      </c>
      <c r="YI29" s="1533" t="n">
        <v>3.05110206</v>
      </c>
      <c r="YJ29" s="1543" t="n">
        <v>6.6991105</v>
      </c>
    </row>
    <row r="30">
      <c r="B30" s="917" t="inlineStr">
        <is>
          <t>NNPP2</t>
        </is>
      </c>
      <c r="C30" s="1532" t="n">
        <v>175.1</v>
      </c>
      <c r="D30" s="1533" t="n">
        <v>163.9</v>
      </c>
      <c r="E30" s="1533" t="n">
        <v>151.9</v>
      </c>
      <c r="F30" s="1533" t="n">
        <v>27.5</v>
      </c>
      <c r="G30" s="1533" t="n">
        <v>36.9</v>
      </c>
      <c r="H30" s="1533" t="n">
        <v>35.5</v>
      </c>
      <c r="I30" s="1533" t="n">
        <v>8.6</v>
      </c>
      <c r="J30" s="1533" t="n">
        <v>46.7</v>
      </c>
      <c r="K30" s="1533" t="n">
        <v>17.4</v>
      </c>
      <c r="L30" s="1533" t="n">
        <v>23.9</v>
      </c>
      <c r="M30" s="1533" t="n">
        <v>38.9</v>
      </c>
      <c r="N30" s="1533" t="n">
        <v>41.2</v>
      </c>
      <c r="O30" s="1533" t="n">
        <v>55.5</v>
      </c>
      <c r="P30" s="1533" t="n">
        <v>71.59999999999999</v>
      </c>
      <c r="Q30" s="1533" t="n">
        <v>73.2</v>
      </c>
      <c r="R30" s="1533" t="n">
        <v>72</v>
      </c>
      <c r="S30" s="1533" t="n">
        <v>76.3</v>
      </c>
      <c r="T30" s="1533" t="n">
        <v>88.5</v>
      </c>
      <c r="U30" s="1533" t="n">
        <v>90.59999999999999</v>
      </c>
      <c r="V30" s="1533" t="n">
        <v>94.40000000000001</v>
      </c>
      <c r="W30" s="1533" t="n">
        <v>62.8</v>
      </c>
      <c r="X30" s="1533" t="n">
        <v>52.4</v>
      </c>
      <c r="Y30" s="1533" t="n">
        <v>66.2</v>
      </c>
      <c r="Z30" s="1533" t="n">
        <v>73.2</v>
      </c>
      <c r="AA30" s="1533" t="n">
        <v>80.59999999999999</v>
      </c>
      <c r="AB30" s="1533" t="n">
        <v>88.90000000000001</v>
      </c>
      <c r="AC30" s="1533" t="n">
        <v>59.5</v>
      </c>
      <c r="AD30" s="1533" t="n">
        <v>49</v>
      </c>
      <c r="AE30" s="1533" t="n">
        <v>25.7</v>
      </c>
      <c r="AF30" s="1533" t="n">
        <v>34.2</v>
      </c>
      <c r="AG30" s="1533" t="n">
        <v>34.1</v>
      </c>
      <c r="AH30" s="1533" t="n">
        <v>36.6</v>
      </c>
      <c r="AI30" s="1533" t="n">
        <v>43.3</v>
      </c>
      <c r="AJ30" s="1533" t="n">
        <v>35.7</v>
      </c>
      <c r="AK30" s="1533" t="n">
        <v>54.9</v>
      </c>
      <c r="AL30" s="1533" t="n">
        <v>33.4</v>
      </c>
      <c r="AM30" s="1533" t="n">
        <v>24.6</v>
      </c>
      <c r="AN30" s="1533" t="n">
        <v>16.6</v>
      </c>
      <c r="AO30" s="1533" t="n">
        <v>15.5</v>
      </c>
      <c r="AP30" s="1533" t="n">
        <v>21.9</v>
      </c>
      <c r="AQ30" s="1533" t="n">
        <v>29</v>
      </c>
      <c r="AR30" s="1533" t="n">
        <v>30.7</v>
      </c>
      <c r="AS30" s="1533" t="n">
        <v>41.4</v>
      </c>
      <c r="AT30" s="1533" t="n">
        <v>37.8</v>
      </c>
      <c r="AU30" s="1533" t="n">
        <v>45.1</v>
      </c>
      <c r="AV30" s="1533" t="n">
        <v>49.66</v>
      </c>
      <c r="AW30" s="1533" t="n">
        <v>56.5</v>
      </c>
      <c r="AX30" s="1533" t="n">
        <v>61.78</v>
      </c>
      <c r="AY30" s="1533" t="n">
        <v>61.6</v>
      </c>
      <c r="AZ30" s="1533" t="n">
        <v>31.5</v>
      </c>
      <c r="BA30" s="1533" t="n">
        <v>58.6</v>
      </c>
      <c r="BB30" s="1533" t="n">
        <v>58.6</v>
      </c>
      <c r="BC30" s="1533" t="n">
        <v>81.59999999999999</v>
      </c>
      <c r="BD30" s="1533" t="n">
        <v>74</v>
      </c>
      <c r="BE30" s="1533" t="n">
        <v>29.4</v>
      </c>
      <c r="BF30" s="1533" t="n">
        <v>40.4</v>
      </c>
      <c r="BG30" s="1533" t="n">
        <v>29.7</v>
      </c>
      <c r="BH30" s="1533" t="n">
        <v>28.2</v>
      </c>
      <c r="BI30" s="1533" t="n">
        <v>29.7</v>
      </c>
      <c r="BJ30" s="1533" t="n">
        <v>25</v>
      </c>
      <c r="BK30" s="1533" t="n">
        <v>31.7</v>
      </c>
      <c r="BL30" s="1533" t="n">
        <v>26.5</v>
      </c>
      <c r="BM30" s="1533" t="n">
        <v>28.7</v>
      </c>
      <c r="BN30" s="1533" t="n">
        <v>33.3</v>
      </c>
      <c r="BO30" s="1533" t="n">
        <v>40.7</v>
      </c>
      <c r="BP30" s="1533" t="n">
        <v>38.1</v>
      </c>
      <c r="BQ30" s="1533" t="n">
        <v>35.2</v>
      </c>
      <c r="BR30" s="1533" t="n">
        <v>37.2</v>
      </c>
      <c r="BS30" s="1533" t="n">
        <v>11.3</v>
      </c>
      <c r="BT30" s="1533" t="n">
        <v>20.6</v>
      </c>
      <c r="BU30" s="1533" t="n">
        <v>27.2</v>
      </c>
      <c r="BV30" s="1533" t="n">
        <v>45.4</v>
      </c>
      <c r="BW30" s="1533" t="n">
        <v>44.8</v>
      </c>
      <c r="BX30" s="1533" t="n">
        <v>59.5</v>
      </c>
      <c r="BY30" s="1533" t="n">
        <v>70.3</v>
      </c>
      <c r="BZ30" s="1533" t="n">
        <v>26.8</v>
      </c>
      <c r="CA30" s="1533" t="n">
        <v>20.7</v>
      </c>
      <c r="CB30" s="1533" t="n">
        <v>23.5</v>
      </c>
      <c r="CC30" s="1533" t="n">
        <v>11.2</v>
      </c>
      <c r="CD30" s="1533" t="n">
        <v>38.1</v>
      </c>
      <c r="CE30" s="1533" t="n">
        <v>32.3</v>
      </c>
      <c r="CF30" s="1533" t="n">
        <v>32.3</v>
      </c>
      <c r="CG30" s="1533" t="n">
        <v>53.9</v>
      </c>
      <c r="CH30" s="1533" t="n">
        <v>50.2</v>
      </c>
      <c r="CI30" s="1533" t="n">
        <v>52.2</v>
      </c>
      <c r="CJ30" s="1533" t="n">
        <v>60.7</v>
      </c>
      <c r="CK30" s="1533" t="n">
        <v>55.2</v>
      </c>
      <c r="CL30" s="1533" t="n">
        <v>42.6</v>
      </c>
      <c r="CM30" s="1533" t="n">
        <v>57.7</v>
      </c>
      <c r="CN30" s="1533" t="n">
        <v>57.2</v>
      </c>
      <c r="CO30" s="1533" t="n">
        <v>15.1</v>
      </c>
      <c r="CP30" s="1533" t="n">
        <v>43.2</v>
      </c>
      <c r="CQ30" s="1533" t="n">
        <v>26.8</v>
      </c>
      <c r="CR30" s="1533" t="n">
        <v>26.7</v>
      </c>
      <c r="CS30" s="1533" t="n">
        <v>49.2</v>
      </c>
      <c r="CT30" s="1533" t="n">
        <v>94.59999999999999</v>
      </c>
      <c r="CU30" s="1533" t="n">
        <v>40.2</v>
      </c>
      <c r="CV30" s="1533" t="n">
        <v>51.8</v>
      </c>
      <c r="CW30" s="1533" t="n">
        <v>85.75</v>
      </c>
      <c r="CX30" s="1533" t="n">
        <v>85.75</v>
      </c>
      <c r="CY30" s="1533" t="n">
        <v>79.5</v>
      </c>
      <c r="CZ30" s="1533" t="n">
        <v>79.5</v>
      </c>
      <c r="DA30" s="1533" t="n">
        <v>0.6</v>
      </c>
      <c r="DB30" s="1533" t="n">
        <v>84.90000000000001</v>
      </c>
      <c r="DC30" s="1533" t="n">
        <v>100</v>
      </c>
      <c r="DD30" s="1533" t="n">
        <v>100.7</v>
      </c>
      <c r="DE30" s="1533" t="n">
        <v>90.3</v>
      </c>
      <c r="DF30" s="1533" t="n">
        <v>97</v>
      </c>
      <c r="DG30" s="1533" t="n">
        <v>112.55</v>
      </c>
      <c r="DH30" s="1533" t="n">
        <v>114</v>
      </c>
      <c r="DI30" s="1533" t="n">
        <v>122.5</v>
      </c>
      <c r="DJ30" s="1533" t="n">
        <v>135.7</v>
      </c>
      <c r="DK30" s="1533" t="n">
        <v>78.8</v>
      </c>
      <c r="DL30" s="1533" t="n">
        <v>68</v>
      </c>
      <c r="DM30" s="1533" t="n">
        <v>68</v>
      </c>
      <c r="DN30" s="1533" t="n">
        <v>78.7</v>
      </c>
      <c r="DO30" s="1533" t="n">
        <v>46.9</v>
      </c>
      <c r="DP30" s="1533" t="n">
        <v>46.9</v>
      </c>
      <c r="DQ30" s="1533" t="n">
        <v>58.2</v>
      </c>
      <c r="DR30" s="1533" t="n">
        <v>74.56</v>
      </c>
      <c r="DS30" s="1533" t="n">
        <v>74.56</v>
      </c>
      <c r="DT30" s="1533" t="n">
        <v>55.52</v>
      </c>
      <c r="DU30" s="1533" t="n">
        <v>54.4</v>
      </c>
      <c r="DV30" s="1533" t="n">
        <v>48.64</v>
      </c>
      <c r="DW30" s="1533" t="n">
        <v>59.4</v>
      </c>
      <c r="DX30" s="1533" t="n">
        <v>51.98</v>
      </c>
      <c r="DY30" s="1533" t="n">
        <v>56.28</v>
      </c>
      <c r="DZ30" s="1533" t="n">
        <v>65.28</v>
      </c>
      <c r="EA30" s="1533" t="n">
        <v>83.04000000000001</v>
      </c>
      <c r="EB30" s="1533" t="n">
        <v>93.68000000000001</v>
      </c>
      <c r="EC30" s="1533" t="n">
        <v>103.08</v>
      </c>
      <c r="ED30" s="1533" t="n">
        <v>83.40000000000001</v>
      </c>
      <c r="EE30" s="1533" t="n">
        <v>107.72</v>
      </c>
      <c r="EF30" s="1533" t="n">
        <v>82.2</v>
      </c>
      <c r="EG30" s="1533" t="n">
        <v>91.40000000000001</v>
      </c>
      <c r="EH30" s="1533" t="n">
        <v>108.67</v>
      </c>
      <c r="EI30" s="1533" t="n">
        <v>98.20999999999999</v>
      </c>
      <c r="EJ30" s="1533" t="n">
        <v>107.91</v>
      </c>
      <c r="EK30" s="1533" t="n">
        <v>110.21</v>
      </c>
      <c r="EL30" s="1533" t="n">
        <v>151.68</v>
      </c>
      <c r="EM30" s="1533" t="n">
        <v>158.76</v>
      </c>
      <c r="EN30" s="1533" t="n">
        <v>127.05</v>
      </c>
      <c r="EO30" s="1533" t="n">
        <v>109.06</v>
      </c>
      <c r="EP30" s="1533" t="n">
        <v>115.02</v>
      </c>
      <c r="EQ30" s="1533" t="n">
        <v>114.9</v>
      </c>
      <c r="ER30" s="1533" t="n">
        <v>114.9</v>
      </c>
      <c r="ES30" s="1533" t="n">
        <v>124.92</v>
      </c>
      <c r="ET30" s="1533" t="n">
        <v>98.8</v>
      </c>
      <c r="EU30" s="1533" t="n">
        <v>108.2</v>
      </c>
      <c r="EV30" s="1533" t="n">
        <v>115.03</v>
      </c>
      <c r="EW30" s="1533" t="n">
        <v>111.49</v>
      </c>
      <c r="EX30" s="1533" t="n">
        <v>144.55</v>
      </c>
      <c r="EY30" s="1533" t="n">
        <v>152.79</v>
      </c>
      <c r="EZ30" s="1533" t="n">
        <v>157.2</v>
      </c>
      <c r="FA30" s="1533" t="n">
        <v>160.5</v>
      </c>
      <c r="FB30" s="1533" t="n">
        <v>159.14</v>
      </c>
      <c r="FC30" s="1533" t="n">
        <v>219.28</v>
      </c>
      <c r="FD30" s="1533" t="n">
        <v>233.37</v>
      </c>
      <c r="FE30" s="1533" t="n">
        <v>238.66</v>
      </c>
      <c r="FF30" s="1533" t="n">
        <v>248.14</v>
      </c>
      <c r="FG30" s="1533" t="n">
        <v>265.45</v>
      </c>
      <c r="FH30" s="1533" t="n">
        <v>272.35</v>
      </c>
      <c r="FI30" s="1533" t="n">
        <v>281.27</v>
      </c>
      <c r="FJ30" s="1533" t="n">
        <v>294.91</v>
      </c>
      <c r="FK30" s="1533" t="n">
        <v>294.91</v>
      </c>
      <c r="FL30" s="1533" t="n">
        <v>272.3</v>
      </c>
      <c r="FM30" s="1533" t="n">
        <v>268.02</v>
      </c>
      <c r="FN30" s="1533" t="n">
        <v>279.9</v>
      </c>
      <c r="FO30" s="1533" t="n">
        <v>289.31</v>
      </c>
      <c r="FP30" s="1533" t="n">
        <v>295.4</v>
      </c>
      <c r="FQ30" s="1533" t="n">
        <v>260.49</v>
      </c>
      <c r="FR30" s="1533" t="n">
        <v>270.2</v>
      </c>
      <c r="FS30" s="1533" t="n">
        <v>284.25</v>
      </c>
      <c r="FT30" s="1533" t="n">
        <v>282.61</v>
      </c>
      <c r="FU30" s="1533" t="n">
        <v>295</v>
      </c>
      <c r="FV30" s="1533" t="n">
        <v>249.44</v>
      </c>
      <c r="FW30" s="1533" t="n">
        <v>253.03</v>
      </c>
      <c r="FX30" s="1533" t="n">
        <v>228.28</v>
      </c>
      <c r="FY30" s="1533" t="n">
        <v>239.48</v>
      </c>
      <c r="FZ30" s="1533" t="n">
        <v>258.27</v>
      </c>
      <c r="GA30" s="1533" t="n">
        <v>261.67</v>
      </c>
      <c r="GB30" s="1533" t="n">
        <v>267.71</v>
      </c>
      <c r="GC30" s="1533" t="n">
        <v>276.33</v>
      </c>
      <c r="GD30" s="1533" t="n">
        <v>281.49</v>
      </c>
      <c r="GE30" s="1533" t="n">
        <v>286.76</v>
      </c>
      <c r="GF30" s="1533" t="n">
        <v>259.7</v>
      </c>
      <c r="GG30" s="1533" t="n">
        <v>264.9</v>
      </c>
      <c r="GH30" s="1533" t="n">
        <v>269.79</v>
      </c>
      <c r="GI30" s="1533" t="n">
        <v>314.2</v>
      </c>
      <c r="GJ30" s="1533" t="n">
        <v>286.4</v>
      </c>
      <c r="GK30" s="1533" t="n">
        <v>260.4</v>
      </c>
      <c r="GL30" s="1533" t="n">
        <v>281.4</v>
      </c>
      <c r="GM30" s="1533" t="n">
        <v>290.7</v>
      </c>
      <c r="GN30" s="1533" t="n">
        <v>266.9</v>
      </c>
      <c r="GO30" s="1533" t="n">
        <v>277.4</v>
      </c>
      <c r="GP30" s="1533" t="n">
        <v>272.8</v>
      </c>
      <c r="GQ30" s="1533" t="n">
        <v>248.6</v>
      </c>
      <c r="GR30" s="1533" t="n">
        <v>254.4</v>
      </c>
      <c r="GS30" s="1533" t="n">
        <v>244.5</v>
      </c>
      <c r="GT30" s="1533" t="n">
        <v>262.5</v>
      </c>
      <c r="GU30" s="1533" t="n">
        <v>263.5</v>
      </c>
      <c r="GV30" s="1533" t="n">
        <v>269</v>
      </c>
      <c r="GW30" s="1533" t="n">
        <v>277.3</v>
      </c>
      <c r="GX30" s="1533" t="n">
        <v>278.9</v>
      </c>
      <c r="GY30" s="1533" t="n">
        <v>288.1</v>
      </c>
      <c r="GZ30" s="1533" t="n">
        <v>303.2</v>
      </c>
      <c r="HA30" s="1533" t="n">
        <v>328.4</v>
      </c>
      <c r="HB30" s="1533" t="n">
        <v>346.4</v>
      </c>
      <c r="HC30" s="1533" t="n">
        <v>319.7</v>
      </c>
      <c r="HD30" s="1533" t="n">
        <v>319.7</v>
      </c>
      <c r="HE30" s="1533" t="n">
        <v>330.8</v>
      </c>
      <c r="HF30" s="1533" t="n">
        <v>331.2</v>
      </c>
      <c r="HG30" s="1533" t="n">
        <v>306.9</v>
      </c>
      <c r="HH30" s="1533" t="n">
        <v>301.9</v>
      </c>
      <c r="HI30" s="1533" t="n">
        <v>311</v>
      </c>
      <c r="HJ30" s="1533" t="n">
        <v>497.7</v>
      </c>
      <c r="HK30" s="1533" t="n">
        <v>481.8</v>
      </c>
      <c r="HL30" s="1533" t="n">
        <v>507.3</v>
      </c>
      <c r="HM30" s="1533" t="n">
        <v>518.9000000000001</v>
      </c>
      <c r="HN30" s="1533" t="n">
        <v>525.9000000000001</v>
      </c>
      <c r="HO30" s="1533" t="n">
        <v>535.7</v>
      </c>
      <c r="HP30" s="1533" t="n">
        <v>327.1</v>
      </c>
      <c r="HQ30" s="1533" t="n">
        <v>330.1</v>
      </c>
      <c r="HR30" s="1533" t="n">
        <v>349.1999999999999</v>
      </c>
      <c r="HS30" s="1533" t="n">
        <v>358.1999999999999</v>
      </c>
      <c r="HT30" s="1533" t="n">
        <v>348.8</v>
      </c>
      <c r="HU30" s="1533" t="n">
        <v>348.8</v>
      </c>
      <c r="HV30" s="1533" t="n">
        <v>366.9999999999999</v>
      </c>
      <c r="HW30" s="1533" t="n">
        <v>366.9999999999999</v>
      </c>
      <c r="HX30" s="1533" t="n">
        <v>391.1</v>
      </c>
      <c r="HY30" s="1533" t="n">
        <v>391.1</v>
      </c>
      <c r="HZ30" s="1533" t="n">
        <v>201.3</v>
      </c>
      <c r="IA30" s="1533" t="n">
        <v>159.6</v>
      </c>
      <c r="IB30" s="1533" t="n">
        <v>141.6</v>
      </c>
      <c r="IC30" s="1533" t="n">
        <v>141.6</v>
      </c>
      <c r="ID30" s="1533" t="n">
        <v>141.6</v>
      </c>
      <c r="IE30" s="1533" t="n">
        <v>176.8</v>
      </c>
      <c r="IF30" s="1533" t="n">
        <v>176.8</v>
      </c>
      <c r="IG30" s="1533" t="n">
        <v>179.1</v>
      </c>
      <c r="IH30" s="1533" t="n">
        <v>187.1</v>
      </c>
      <c r="II30" s="1533" t="n">
        <v>187.1</v>
      </c>
      <c r="IJ30" s="1533" t="n">
        <v>187.1</v>
      </c>
      <c r="IK30" s="1533" t="n">
        <v>250.5</v>
      </c>
      <c r="IL30" s="1533" t="n">
        <v>250.5</v>
      </c>
      <c r="IM30" s="1533" t="n">
        <v>250.5</v>
      </c>
      <c r="IN30" s="1533" t="n">
        <v>243.6</v>
      </c>
      <c r="IO30" s="1533" t="n">
        <v>197.1</v>
      </c>
      <c r="IP30" s="1533" t="n">
        <v>254.6</v>
      </c>
      <c r="IQ30" s="1533" t="n">
        <v>242.8</v>
      </c>
      <c r="IR30" s="1533" t="n">
        <v>242.8</v>
      </c>
      <c r="IS30" s="1533" t="n">
        <v>322.1</v>
      </c>
      <c r="IT30" s="1533" t="n">
        <v>329.8</v>
      </c>
      <c r="IU30" s="1533" t="n">
        <v>308.8000000000001</v>
      </c>
      <c r="IV30" s="1533" t="n">
        <v>308.8000000000001</v>
      </c>
      <c r="IW30" s="1533" t="n">
        <v>328.1</v>
      </c>
      <c r="IX30" s="1533" t="n">
        <v>340.5</v>
      </c>
      <c r="IY30" s="1533" t="n">
        <v>351.4</v>
      </c>
      <c r="IZ30" s="1533" t="n">
        <v>348.0999999999999</v>
      </c>
      <c r="JA30" s="1533" t="n">
        <v>353.1999999999999</v>
      </c>
      <c r="JB30" s="1533" t="n">
        <v>353.1999999999999</v>
      </c>
      <c r="JC30" s="1533" t="n">
        <v>377.5999999999999</v>
      </c>
      <c r="JD30" s="1533" t="n">
        <v>365.6999999999999</v>
      </c>
      <c r="JE30" s="1533" t="n">
        <v>365.6999999999999</v>
      </c>
      <c r="JF30" s="1533" t="n">
        <v>365.6999999999999</v>
      </c>
      <c r="JG30" s="1533" t="n">
        <v>366.7</v>
      </c>
      <c r="JH30" s="1533" t="n">
        <v>366.7</v>
      </c>
      <c r="JI30" s="1533" t="n">
        <v>366.7</v>
      </c>
      <c r="JJ30" s="1533" t="n">
        <v>345.4999999999999</v>
      </c>
      <c r="JK30" s="1533" t="n">
        <v>346.1999999999999</v>
      </c>
      <c r="JL30" s="1533" t="n">
        <v>380.8999999999999</v>
      </c>
      <c r="JM30" s="1533" t="n">
        <v>383.9999999999999</v>
      </c>
      <c r="JN30" s="1533" t="n">
        <v>383.9999999999999</v>
      </c>
      <c r="JO30" s="1533" t="n">
        <v>383.9999999999999</v>
      </c>
      <c r="JP30" s="1533" t="n">
        <v>333.8</v>
      </c>
      <c r="JQ30" s="1533" t="n">
        <v>333.8</v>
      </c>
      <c r="JR30" s="1533" t="n">
        <v>374.3</v>
      </c>
      <c r="JS30" s="1533" t="n">
        <v>374.3</v>
      </c>
      <c r="JT30" s="1533" t="n">
        <v>374.3</v>
      </c>
      <c r="JU30" s="1533" t="n">
        <v>409.9</v>
      </c>
      <c r="JV30" s="1533" t="n">
        <v>409.9</v>
      </c>
      <c r="JW30" s="1533" t="n">
        <v>423.9</v>
      </c>
      <c r="JX30" s="1533" t="n">
        <v>423.9</v>
      </c>
      <c r="JY30" s="1533" t="n">
        <v>617</v>
      </c>
      <c r="JZ30" s="1533" t="n">
        <v>617</v>
      </c>
      <c r="KA30" s="1533" t="n">
        <v>1535.1</v>
      </c>
      <c r="KB30" s="1533" t="n">
        <v>843.3</v>
      </c>
      <c r="KC30" s="1533" t="n">
        <v>854.6</v>
      </c>
      <c r="KD30" s="1533" t="n">
        <v>849.7</v>
      </c>
      <c r="KE30" s="1533" t="n">
        <v>849.7</v>
      </c>
      <c r="KF30" s="1533" t="n">
        <v>346.1999999999999</v>
      </c>
      <c r="KG30" s="1533" t="n">
        <v>655</v>
      </c>
      <c r="KH30" s="1533" t="n">
        <v>655</v>
      </c>
      <c r="KI30" s="1533" t="n">
        <v>422.6</v>
      </c>
      <c r="KJ30" s="1533" t="n">
        <v>422.6</v>
      </c>
      <c r="KK30" s="1533" t="n">
        <v>419.4</v>
      </c>
      <c r="KL30" s="1533" t="n">
        <v>428.4</v>
      </c>
      <c r="KM30" s="1533" t="n">
        <v>428.4</v>
      </c>
      <c r="KN30" s="1533" t="n">
        <v>436.7</v>
      </c>
      <c r="KO30" s="1533" t="n">
        <v>452.1</v>
      </c>
      <c r="KP30" s="1533" t="n">
        <v>457.7</v>
      </c>
      <c r="KQ30" s="1533" t="n">
        <v>468.4</v>
      </c>
      <c r="KR30" s="1533" t="n">
        <v>468.4</v>
      </c>
      <c r="KS30" s="1533" t="n">
        <v>470</v>
      </c>
      <c r="KT30" s="1533" t="n">
        <v>470</v>
      </c>
      <c r="KU30" s="1533" t="n">
        <v>447.7</v>
      </c>
      <c r="KV30" s="1533" t="n">
        <v>460.7</v>
      </c>
      <c r="KW30" s="1533" t="n">
        <v>495</v>
      </c>
      <c r="KX30" s="1533" t="n">
        <v>501.8</v>
      </c>
      <c r="KY30" s="1533" t="n">
        <v>501.8</v>
      </c>
      <c r="KZ30" s="1533" t="n">
        <v>541.1</v>
      </c>
      <c r="LA30" s="1533" t="n">
        <v>541.1</v>
      </c>
      <c r="LB30" s="1533" t="n">
        <v>554.4</v>
      </c>
      <c r="LC30" s="1533" t="n">
        <v>554.4</v>
      </c>
      <c r="LD30" s="1533" t="n">
        <v>554.4</v>
      </c>
      <c r="LE30" s="1533" t="n">
        <v>554.1999999999999</v>
      </c>
      <c r="LF30" s="1533" t="n">
        <v>569.1</v>
      </c>
      <c r="LG30" s="1533" t="n">
        <v>569.1</v>
      </c>
      <c r="LH30" s="1533" t="n">
        <v>569.1</v>
      </c>
      <c r="LI30" s="1533" t="n">
        <v>554.1</v>
      </c>
      <c r="LJ30" s="1533" t="n">
        <v>554.1</v>
      </c>
      <c r="LK30" s="1533" t="n">
        <v>554.1</v>
      </c>
      <c r="LL30" s="1533" t="n">
        <v>520.2</v>
      </c>
      <c r="LM30" s="1533" t="n">
        <v>520.2</v>
      </c>
      <c r="LN30" s="1533" t="n">
        <v>511.3</v>
      </c>
      <c r="LO30" s="1533" t="n">
        <v>511.3</v>
      </c>
      <c r="LP30" s="1533" t="n">
        <v>511.3</v>
      </c>
      <c r="LQ30" s="1533" t="n">
        <v>559.1</v>
      </c>
      <c r="LR30" s="1533" t="n">
        <v>548.7</v>
      </c>
      <c r="LS30" s="1533" t="n">
        <v>548.7</v>
      </c>
      <c r="LT30" s="1533" t="n">
        <v>429.3</v>
      </c>
      <c r="LU30" s="1533" t="n">
        <v>436.4</v>
      </c>
      <c r="LV30" s="1533" t="n">
        <v>450.2</v>
      </c>
      <c r="LW30" s="1533" t="n">
        <v>450.2</v>
      </c>
      <c r="LX30" s="1533" t="n">
        <v>178.9</v>
      </c>
      <c r="LY30" s="1533" t="n">
        <v>178.9</v>
      </c>
      <c r="LZ30" s="1533" t="n">
        <v>166.1</v>
      </c>
      <c r="MA30" s="1533" t="n">
        <v>166.1</v>
      </c>
      <c r="MB30" s="1533" t="n">
        <v>166.1</v>
      </c>
      <c r="MC30" s="1533" t="n">
        <v>166.1</v>
      </c>
      <c r="MD30" s="1533" t="n">
        <v>179.2</v>
      </c>
      <c r="ME30" s="1533" t="n">
        <v>162.5</v>
      </c>
      <c r="MF30" s="1533" t="n">
        <v>162.5</v>
      </c>
      <c r="MG30" s="1533" t="n">
        <v>162.5</v>
      </c>
      <c r="MH30" s="1533" t="n">
        <v>164.04</v>
      </c>
      <c r="MI30" s="1533" t="n">
        <v>164.04</v>
      </c>
      <c r="MJ30" s="1533" t="n">
        <v>161.5</v>
      </c>
      <c r="MK30" s="1533" t="n">
        <v>146.2</v>
      </c>
      <c r="ML30" s="1533" t="n">
        <v>146.2</v>
      </c>
      <c r="MM30" s="1533" t="n">
        <v>146.2</v>
      </c>
      <c r="MN30" s="1533" t="n">
        <v>146.2</v>
      </c>
      <c r="MO30" s="1533" t="n">
        <v>146.2</v>
      </c>
      <c r="MP30" s="1533" t="n">
        <v>146.2</v>
      </c>
      <c r="MQ30" s="1533" t="n">
        <v>150.5</v>
      </c>
      <c r="MR30" s="1533" t="n">
        <v>150.5</v>
      </c>
      <c r="MS30" s="1533" t="n">
        <v>156.3</v>
      </c>
      <c r="MT30" s="1533" t="n">
        <v>140.9</v>
      </c>
      <c r="MU30" s="1533" t="n">
        <v>140.9</v>
      </c>
      <c r="MV30" s="1533" t="n">
        <v>140.9</v>
      </c>
      <c r="MW30" s="1533" t="n">
        <v>124.8</v>
      </c>
      <c r="MX30" s="1533" t="n">
        <v>137.4</v>
      </c>
      <c r="MY30" s="1533" t="n">
        <v>137.4</v>
      </c>
      <c r="MZ30" s="1533" t="n">
        <v>137.4</v>
      </c>
      <c r="NA30" s="1533" t="n">
        <v>137.4</v>
      </c>
      <c r="NB30" s="1533" t="n">
        <v>137.4</v>
      </c>
      <c r="NC30" s="1533" t="n">
        <v>137.4</v>
      </c>
      <c r="ND30" s="1533" t="n">
        <v>137.4</v>
      </c>
      <c r="NE30" s="1533" t="n">
        <v>137.4</v>
      </c>
      <c r="NF30" s="1533" t="n">
        <v>19.2</v>
      </c>
      <c r="NG30" s="1533" t="n">
        <v>43.8</v>
      </c>
      <c r="NH30" s="1533" t="n">
        <v>48.7</v>
      </c>
      <c r="NI30" s="1533" t="n">
        <v>53.1</v>
      </c>
      <c r="NJ30" s="1533" t="n">
        <v>53.1</v>
      </c>
      <c r="NK30" s="1533" t="n">
        <v>57.7</v>
      </c>
      <c r="NL30" s="1533" t="n">
        <v>57.7</v>
      </c>
      <c r="NM30" s="1533" t="n">
        <v>104.3</v>
      </c>
      <c r="NN30" s="1533" t="n">
        <v>104.3</v>
      </c>
      <c r="NO30" s="1533" t="n">
        <v>104.3</v>
      </c>
      <c r="NP30" s="1533" t="n">
        <v>64.3</v>
      </c>
      <c r="NQ30" s="1533" t="n">
        <v>64.3</v>
      </c>
      <c r="NR30" s="1533" t="n">
        <v>84.90000000000001</v>
      </c>
      <c r="NS30" s="1533" t="n">
        <v>84.90000000000001</v>
      </c>
      <c r="NT30" s="1533" t="n">
        <v>84.90000000000001</v>
      </c>
      <c r="NU30" s="1533" t="n">
        <v>118</v>
      </c>
      <c r="NV30" s="1533" t="n">
        <v>128.8</v>
      </c>
      <c r="NW30" s="1533" t="n">
        <v>128.8</v>
      </c>
      <c r="NX30" s="1533" t="n">
        <v>128.8</v>
      </c>
      <c r="NY30" s="1533" t="n">
        <v>129.6</v>
      </c>
      <c r="NZ30" s="1533" t="n">
        <v>126.8</v>
      </c>
      <c r="OA30" s="1533" t="n">
        <v>126.8</v>
      </c>
      <c r="OB30" s="1533" t="n">
        <v>126.8</v>
      </c>
      <c r="OC30" s="1533" t="n">
        <v>132</v>
      </c>
      <c r="OD30" s="1533" t="n">
        <v>132</v>
      </c>
      <c r="OE30" s="1533" t="n">
        <v>132</v>
      </c>
      <c r="OF30" s="1533" t="n">
        <v>132</v>
      </c>
      <c r="OG30" s="1533" t="n">
        <v>201.4</v>
      </c>
      <c r="OH30" s="1533" t="n">
        <v>201.4</v>
      </c>
      <c r="OI30" s="1533" t="n">
        <v>173.4</v>
      </c>
      <c r="OJ30" s="1533" t="n">
        <v>193.7</v>
      </c>
      <c r="OK30" s="1533" t="n">
        <v>193.7</v>
      </c>
      <c r="OL30" s="1533" t="n">
        <v>188.1</v>
      </c>
      <c r="OM30" s="1533" t="n">
        <v>188.1</v>
      </c>
      <c r="ON30" s="1533" t="n">
        <v>188.1</v>
      </c>
      <c r="OO30" s="1533" t="n">
        <v>177.8</v>
      </c>
      <c r="OP30" s="1533" t="n">
        <v>191.4</v>
      </c>
      <c r="OQ30" s="1533" t="n">
        <v>191.4</v>
      </c>
      <c r="OR30" s="1533" t="n">
        <v>191.4</v>
      </c>
      <c r="OS30" s="1533" t="n">
        <v>209.5</v>
      </c>
      <c r="OT30" s="1533" t="n">
        <v>234.8</v>
      </c>
      <c r="OU30" s="1533" t="n">
        <v>234.8</v>
      </c>
      <c r="OV30" s="1533" t="n">
        <v>234.8</v>
      </c>
      <c r="OW30" s="1533" t="n">
        <v>1309.7</v>
      </c>
      <c r="OX30" s="1533" t="n">
        <v>1309.7</v>
      </c>
      <c r="OY30" s="1533" t="n">
        <v>249.8</v>
      </c>
      <c r="OZ30" s="1533" t="n">
        <v>249.8</v>
      </c>
      <c r="PA30" s="1533" t="n">
        <v>249.8</v>
      </c>
      <c r="PB30" s="1533" t="n">
        <v>229.2</v>
      </c>
      <c r="PC30" s="1533" t="n">
        <v>229.2</v>
      </c>
      <c r="PD30" s="1533" t="n">
        <v>229.2</v>
      </c>
      <c r="PE30" s="1533" t="n">
        <v>251.6</v>
      </c>
      <c r="PF30" s="1533" t="n">
        <v>257.2</v>
      </c>
      <c r="PG30" s="1533" t="n">
        <v>257.2</v>
      </c>
      <c r="PH30" s="1533" t="n">
        <v>257.2</v>
      </c>
      <c r="PI30" s="1533" t="n">
        <v>309.2</v>
      </c>
      <c r="PJ30" s="1533" t="n">
        <v>317.1</v>
      </c>
      <c r="PK30" s="1533" t="n">
        <v>317.1</v>
      </c>
      <c r="PL30" s="1533" t="n">
        <v>317.1</v>
      </c>
      <c r="PM30" s="1533" t="n">
        <v>317.1</v>
      </c>
      <c r="PN30" s="1533" t="n">
        <v>325.9</v>
      </c>
      <c r="PO30" s="1533" t="n">
        <v>325.9</v>
      </c>
      <c r="PP30" s="1533" t="n">
        <v>325.9</v>
      </c>
      <c r="PQ30" s="1533" t="n">
        <v>353.8</v>
      </c>
      <c r="PR30" s="1533" t="n">
        <v>353.8</v>
      </c>
      <c r="PS30" s="1533" t="n">
        <v>392.5</v>
      </c>
      <c r="PT30" s="1533" t="n">
        <v>392.5</v>
      </c>
      <c r="PU30" s="1533" t="n">
        <v>452.9</v>
      </c>
      <c r="PV30" s="1533" t="n">
        <v>452.9</v>
      </c>
      <c r="PW30" s="1533" t="n">
        <v>452.9</v>
      </c>
      <c r="PX30" s="1533" t="n">
        <v>434.2</v>
      </c>
      <c r="PY30" s="1533" t="n">
        <v>448.1</v>
      </c>
      <c r="PZ30" s="1533" t="n">
        <v>448.1</v>
      </c>
      <c r="QA30" s="1533" t="n">
        <v>448.1</v>
      </c>
      <c r="QB30" s="1533" t="n">
        <v>516.9</v>
      </c>
      <c r="QC30" s="1533" t="n">
        <v>534.3000000000001</v>
      </c>
      <c r="QD30" s="1533" t="n">
        <v>534.3000000000001</v>
      </c>
      <c r="QE30" s="1533" t="n">
        <v>556.1</v>
      </c>
      <c r="QF30" s="1533" t="n">
        <v>556.1</v>
      </c>
      <c r="QG30" s="1533" t="n">
        <v>556.1</v>
      </c>
      <c r="QH30" s="1533" t="n">
        <v>556.1</v>
      </c>
      <c r="QI30" s="1533" t="n">
        <v>515.1</v>
      </c>
      <c r="QJ30" s="1533" t="n">
        <v>515.1</v>
      </c>
      <c r="QK30" s="1533" t="n">
        <v>195.1</v>
      </c>
      <c r="QL30" s="1533" t="n">
        <v>195.1</v>
      </c>
      <c r="QM30" s="1533" t="n">
        <v>195.1</v>
      </c>
      <c r="QN30" s="1533" t="n">
        <v>168.1</v>
      </c>
      <c r="QO30" s="1533" t="n">
        <v>186.2</v>
      </c>
      <c r="QP30" s="1533" t="n">
        <v>186.2</v>
      </c>
      <c r="QQ30" s="1533" t="n">
        <v>148.7</v>
      </c>
      <c r="QR30" s="1533" t="n">
        <v>148.7</v>
      </c>
      <c r="QS30" s="1533" t="n">
        <v>124.4</v>
      </c>
      <c r="QT30" s="1533" t="n">
        <v>143.2</v>
      </c>
      <c r="QU30" s="1533" t="n">
        <v>143.2</v>
      </c>
      <c r="QV30" s="1533" t="n">
        <v>163.7</v>
      </c>
      <c r="QW30" s="1533" t="n">
        <v>143.2</v>
      </c>
      <c r="QX30" s="1533" t="n">
        <v>143.2</v>
      </c>
      <c r="QY30" s="1533" t="n">
        <v>129</v>
      </c>
      <c r="QZ30" s="1533" t="n">
        <v>129</v>
      </c>
      <c r="RA30" s="1533" t="n">
        <v>122.46</v>
      </c>
      <c r="RB30" s="1533" t="n">
        <v>122.46</v>
      </c>
      <c r="RC30" s="1533" t="n">
        <v>122.46</v>
      </c>
      <c r="RD30" s="1533" t="n">
        <v>122.46</v>
      </c>
      <c r="RE30" s="1533" t="n">
        <v>127</v>
      </c>
      <c r="RF30" s="1533" t="n">
        <v>127</v>
      </c>
      <c r="RG30" s="1533" t="n">
        <v>127</v>
      </c>
      <c r="RH30" s="1533" t="n">
        <v>123.4</v>
      </c>
      <c r="RI30" s="1533" t="n">
        <v>122.28</v>
      </c>
      <c r="RJ30" s="1533" t="n">
        <v>122.28</v>
      </c>
      <c r="RK30" s="1533" t="n">
        <v>141.14</v>
      </c>
      <c r="RL30" s="1533" t="n">
        <v>141.14</v>
      </c>
      <c r="RM30" s="1533" t="n">
        <v>91.05000000000001</v>
      </c>
      <c r="RN30" s="1533" t="n">
        <v>91.05000000000001</v>
      </c>
      <c r="RO30" s="1533" t="n">
        <v>91.05000000000001</v>
      </c>
      <c r="RP30" s="1533" t="n">
        <v>91.05000000000001</v>
      </c>
      <c r="RQ30" s="1533" t="n">
        <v>148.64</v>
      </c>
      <c r="RR30" s="1533" t="n">
        <v>148.64</v>
      </c>
      <c r="RS30" s="1533" t="n">
        <v>146.928</v>
      </c>
      <c r="RT30" s="1533" t="n">
        <v>146.928</v>
      </c>
      <c r="RU30" s="1533" t="n">
        <v>146.928</v>
      </c>
      <c r="RV30" s="1533" t="n">
        <v>146.928</v>
      </c>
      <c r="RW30" s="1533" t="n">
        <v>146.928</v>
      </c>
      <c r="RX30" s="1533" t="n">
        <v>146.928</v>
      </c>
      <c r="RY30" s="1533" t="n">
        <v>213.2</v>
      </c>
      <c r="RZ30" s="1533" t="n">
        <v>213.2</v>
      </c>
      <c r="SA30" s="1533" t="n">
        <v>257.471</v>
      </c>
      <c r="SB30" s="1533" t="n">
        <v>257.471</v>
      </c>
      <c r="SC30" s="1533" t="n">
        <v>257.471</v>
      </c>
      <c r="SD30" s="1533" t="n">
        <v>257.471</v>
      </c>
      <c r="SE30" s="1533" t="n">
        <v>273.323</v>
      </c>
      <c r="SF30" s="1533" t="n">
        <v>273.323</v>
      </c>
      <c r="SG30" s="1533" t="n">
        <v>302.047</v>
      </c>
      <c r="SH30" s="1533" t="n">
        <v>302.047</v>
      </c>
      <c r="SI30" s="1533" t="n">
        <v>396.42</v>
      </c>
      <c r="SJ30" s="1533" t="n">
        <v>396.42</v>
      </c>
      <c r="SK30" s="1533" t="n">
        <v>404.19</v>
      </c>
      <c r="SL30" s="1533" t="n">
        <v>404.19</v>
      </c>
      <c r="SM30" s="1533" t="n">
        <v>298.247</v>
      </c>
      <c r="SN30" s="1533" t="n">
        <v>298.247</v>
      </c>
      <c r="SO30" s="1533" t="n">
        <v>298.247</v>
      </c>
      <c r="SP30" s="1533" t="n">
        <v>323.84</v>
      </c>
      <c r="SQ30" s="1533" t="n">
        <v>323.84</v>
      </c>
      <c r="SR30" s="1533" t="n">
        <v>323.84</v>
      </c>
      <c r="SS30" s="1533" t="n">
        <v>329.3</v>
      </c>
      <c r="ST30" s="1533" t="n">
        <v>329.3</v>
      </c>
      <c r="SU30" s="1533" t="n">
        <v>356.93</v>
      </c>
      <c r="SV30" s="1533" t="n">
        <v>356.93</v>
      </c>
      <c r="SW30" s="1533" t="n">
        <v>356.93</v>
      </c>
      <c r="SX30" s="1533" t="n">
        <v>354.262</v>
      </c>
      <c r="SY30" s="1533" t="n">
        <v>354.262</v>
      </c>
      <c r="SZ30" s="1533" t="n">
        <v>354.262</v>
      </c>
      <c r="TA30" s="1533" t="n">
        <v>378.779</v>
      </c>
      <c r="TB30" s="1533" t="n">
        <v>378.779</v>
      </c>
      <c r="TC30" s="1533" t="n">
        <v>402.38</v>
      </c>
      <c r="TD30" s="1533" t="n">
        <v>402.38</v>
      </c>
      <c r="TE30" s="1533" t="n">
        <v>425.02</v>
      </c>
      <c r="TF30" s="1533" t="n">
        <v>384.643</v>
      </c>
      <c r="TG30" s="1533" t="n">
        <v>382.8</v>
      </c>
      <c r="TH30" s="1533" t="n">
        <v>385.7</v>
      </c>
      <c r="TI30" s="1533" t="n">
        <v>408</v>
      </c>
      <c r="TJ30" s="1533" t="n">
        <v>408</v>
      </c>
      <c r="TK30" s="1533" t="n">
        <v>408</v>
      </c>
      <c r="TL30" s="1533" t="n">
        <v>268.595</v>
      </c>
      <c r="TM30" s="1533" t="n">
        <v>211.991</v>
      </c>
      <c r="TN30" s="1533" t="n">
        <v>207.339</v>
      </c>
      <c r="TO30" s="1533" t="n">
        <v>208.468</v>
      </c>
      <c r="TP30" s="1533" t="n">
        <v>185.752</v>
      </c>
      <c r="TQ30" s="1533" t="n">
        <v>168.835</v>
      </c>
      <c r="TR30" s="1533" t="n">
        <v>201.828</v>
      </c>
      <c r="TS30" s="1533" t="n">
        <v>201.799</v>
      </c>
      <c r="TT30" s="1533" t="n">
        <v>228.775</v>
      </c>
      <c r="TU30" s="1533" t="n">
        <v>216.655</v>
      </c>
      <c r="TV30" s="1533" t="n">
        <v>211.265</v>
      </c>
      <c r="TW30" s="1533" t="n">
        <v>242.2</v>
      </c>
      <c r="TX30" s="1533" t="n">
        <v>239.4</v>
      </c>
      <c r="TY30" s="1533" t="n">
        <v>238.464</v>
      </c>
      <c r="TZ30" s="1533" t="n">
        <v>188.568</v>
      </c>
      <c r="UA30" s="1533" t="n">
        <v>182.368</v>
      </c>
      <c r="UB30" s="1533" t="n">
        <v>266.905</v>
      </c>
      <c r="UC30" s="1533" t="n">
        <v>274.857</v>
      </c>
      <c r="UD30" s="1533" t="n">
        <v>272.675</v>
      </c>
      <c r="UE30" s="1533" t="n">
        <v>286.4</v>
      </c>
      <c r="UF30" s="1533" t="n">
        <v>286.4</v>
      </c>
      <c r="UG30" s="1533" t="n">
        <v>281.973</v>
      </c>
      <c r="UH30" s="1533" t="n">
        <v>276.3</v>
      </c>
      <c r="UI30" s="1533" t="n">
        <v>276.205</v>
      </c>
      <c r="UJ30" s="1533" t="n">
        <v>232.821</v>
      </c>
      <c r="UK30" s="1533" t="n">
        <v>234.957</v>
      </c>
      <c r="UL30" s="1533" t="n">
        <v>37.35299999999999</v>
      </c>
      <c r="UM30" s="1533" t="n">
        <v>411.298</v>
      </c>
      <c r="UN30" s="1533" t="n">
        <v>397.799</v>
      </c>
      <c r="UO30" s="1533" t="n">
        <v>399.548</v>
      </c>
      <c r="UP30" s="1533" t="n">
        <v>293.277</v>
      </c>
      <c r="UQ30" s="1533" t="n">
        <v>287.641</v>
      </c>
      <c r="UR30" s="1533" t="n">
        <v>269.846</v>
      </c>
      <c r="US30" s="1533" t="n">
        <v>274.925</v>
      </c>
      <c r="UT30" s="1533" t="n">
        <v>287.748</v>
      </c>
      <c r="UU30" s="1533" t="n">
        <v>219.325</v>
      </c>
      <c r="UV30" s="1533" t="n">
        <v>154.326</v>
      </c>
      <c r="UW30" s="1533" t="n">
        <v>154.326</v>
      </c>
      <c r="UX30" s="1533" t="n">
        <v>172.427</v>
      </c>
      <c r="UY30" s="1533" t="n">
        <v>150.274</v>
      </c>
      <c r="UZ30" s="1533" t="n">
        <v>177.397</v>
      </c>
      <c r="VA30" s="1533" t="n">
        <v>175.34</v>
      </c>
      <c r="VB30" s="1533" t="n">
        <v>149.415</v>
      </c>
      <c r="VC30" s="1533" t="n">
        <v>118.082</v>
      </c>
      <c r="VD30" s="1533" t="n">
        <v>120.88</v>
      </c>
      <c r="VE30" s="1533" t="n">
        <v>120.88</v>
      </c>
      <c r="VF30" s="1533" t="n">
        <v>67.54600000000001</v>
      </c>
      <c r="VG30" s="1533" t="n">
        <v>26.541</v>
      </c>
      <c r="VH30" s="1533" t="n">
        <v>19.595</v>
      </c>
      <c r="VI30" s="1533" t="n">
        <v>66.7</v>
      </c>
      <c r="VJ30" s="1533" t="n">
        <v>34.865</v>
      </c>
      <c r="VK30" s="1533" t="n">
        <v>43.445</v>
      </c>
      <c r="VL30" s="1533" t="n">
        <v>28.358</v>
      </c>
      <c r="VM30" s="1533" t="n">
        <v>40.318</v>
      </c>
      <c r="VN30" s="1533" t="n">
        <v>42.144</v>
      </c>
      <c r="VO30" s="1533" t="n">
        <v>47.153</v>
      </c>
      <c r="VP30" s="1533" t="n">
        <v>47.153</v>
      </c>
      <c r="VQ30" s="1533" t="n">
        <v>59.759</v>
      </c>
      <c r="VR30" s="1533" t="n">
        <v>57.94</v>
      </c>
      <c r="VS30" s="1533" t="n">
        <v>75.66</v>
      </c>
      <c r="VT30" s="1533" t="n">
        <v>18.371</v>
      </c>
      <c r="VU30" s="1533" t="n">
        <v>15.581</v>
      </c>
      <c r="VV30" s="1533" t="n">
        <v>13.8</v>
      </c>
      <c r="VW30" s="1533" t="n">
        <v>24</v>
      </c>
      <c r="VX30" s="1533" t="n">
        <v>23.764</v>
      </c>
      <c r="VY30" s="1533" t="n">
        <v>39.764</v>
      </c>
      <c r="VZ30" s="1533" t="n">
        <v>50.307</v>
      </c>
      <c r="WA30" s="1533" t="n">
        <v>45.158</v>
      </c>
      <c r="WB30" s="1533" t="n">
        <v>41.749</v>
      </c>
      <c r="WC30" s="1533" t="n">
        <v>39.884</v>
      </c>
      <c r="WD30" s="1533" t="n">
        <v>58.711</v>
      </c>
      <c r="WE30" s="1533" t="n">
        <v>68.617</v>
      </c>
      <c r="WF30" s="1533" t="n">
        <v>95.348</v>
      </c>
      <c r="WG30" s="1533" t="n">
        <v>0.3</v>
      </c>
      <c r="WH30" s="1533" t="n">
        <v>0.3</v>
      </c>
      <c r="WI30" s="1533" t="n">
        <v>2</v>
      </c>
      <c r="WJ30" s="1533" t="n">
        <v>0.415</v>
      </c>
      <c r="WK30" s="1533" t="n">
        <v>0.418</v>
      </c>
      <c r="WL30" s="1533" t="n">
        <v>0.418</v>
      </c>
      <c r="WM30" s="1533" t="n">
        <v>5</v>
      </c>
      <c r="WN30" s="1533" t="n">
        <v>5.461</v>
      </c>
      <c r="WO30" s="1533" t="n">
        <v>0.383</v>
      </c>
      <c r="WP30" s="1533" t="n">
        <v>1.407</v>
      </c>
      <c r="WQ30" s="1533" t="n">
        <v>0.423</v>
      </c>
      <c r="WR30" s="1533" t="n">
        <v>0.825</v>
      </c>
      <c r="WS30" s="1533" t="n">
        <v>1.0623948</v>
      </c>
      <c r="WT30" s="1533" t="n">
        <v>1.05658448</v>
      </c>
      <c r="WU30" s="1533" t="n">
        <v>1.05658448</v>
      </c>
      <c r="WV30" s="1533" t="n">
        <v>1.05658448</v>
      </c>
      <c r="WW30" s="1533" t="n">
        <v>0.5</v>
      </c>
      <c r="WX30" s="1533" t="n">
        <v>0.5</v>
      </c>
      <c r="WY30" s="1533" t="n">
        <v>0.433</v>
      </c>
      <c r="WZ30" s="1533" t="n">
        <v>0.5</v>
      </c>
      <c r="XA30" s="1533" t="n">
        <v>0.5</v>
      </c>
      <c r="XB30" s="1533" t="n">
        <v>6.6</v>
      </c>
      <c r="XC30" s="1533" t="n">
        <v>3.2</v>
      </c>
      <c r="XD30" s="1533" t="n">
        <v>0.2</v>
      </c>
      <c r="XE30" s="1533" t="n">
        <v>0.448</v>
      </c>
      <c r="XF30" s="1533" t="n">
        <v>0.7</v>
      </c>
      <c r="XG30" s="1533" t="n">
        <v>0.535</v>
      </c>
      <c r="XH30" s="1533" t="n">
        <v>1</v>
      </c>
      <c r="XI30" s="1533" t="n">
        <v>3.3</v>
      </c>
      <c r="XJ30" s="1533" t="n">
        <v>1</v>
      </c>
      <c r="XK30" s="1533" t="n">
        <v>0.6</v>
      </c>
      <c r="XL30" s="1533" t="n">
        <v>3.5</v>
      </c>
      <c r="XM30" s="1533" t="n">
        <v>0.768</v>
      </c>
      <c r="XN30" s="1533" t="n">
        <v>0.4</v>
      </c>
      <c r="XO30" s="1533" t="n">
        <v>0.4</v>
      </c>
      <c r="XP30" s="1533" t="n">
        <v>3.7</v>
      </c>
      <c r="XQ30" s="1533" t="n">
        <v>0.418</v>
      </c>
      <c r="XR30" s="1533" t="n">
        <v>0.6</v>
      </c>
      <c r="XS30" s="1533" t="n">
        <v>0.5</v>
      </c>
      <c r="XT30" s="1533" t="n">
        <v>1.774</v>
      </c>
      <c r="XU30" s="1533" t="n">
        <v>0.429</v>
      </c>
      <c r="XV30" s="1533" t="n">
        <v>0.6</v>
      </c>
      <c r="XW30" s="1533" t="n">
        <v>0.6</v>
      </c>
      <c r="XX30" s="1533" t="n">
        <v>0.794</v>
      </c>
      <c r="XY30" s="1533" t="n">
        <v>0.699</v>
      </c>
      <c r="XZ30" s="1533" t="n">
        <v>0.9</v>
      </c>
      <c r="YA30" s="1533" t="n">
        <v>1.1</v>
      </c>
      <c r="YB30" s="1533" t="n">
        <v>0.6</v>
      </c>
      <c r="YC30" s="1533" t="n">
        <v>17.1</v>
      </c>
      <c r="YD30" s="1533" t="n">
        <v>1.094</v>
      </c>
      <c r="YE30" s="1533" t="n">
        <v>14.4</v>
      </c>
      <c r="YF30" s="1533" t="n">
        <v>0.6</v>
      </c>
      <c r="YG30" s="1533" t="n">
        <v>1</v>
      </c>
      <c r="YH30" s="1533" t="n">
        <v>1.5</v>
      </c>
      <c r="YI30" s="1533" t="n">
        <v>1.5</v>
      </c>
      <c r="YJ30" s="1543" t="n">
        <v>0.8</v>
      </c>
    </row>
    <row r="31">
      <c r="B31" s="917" t="inlineStr">
        <is>
          <t>Kornevo</t>
        </is>
      </c>
      <c r="C31" s="1532" t="n">
        <v>19.9</v>
      </c>
      <c r="D31" s="1533" t="n">
        <v>10.8</v>
      </c>
      <c r="E31" s="1533" t="n">
        <v>11</v>
      </c>
      <c r="F31" s="1533" t="n">
        <v>11</v>
      </c>
      <c r="G31" s="1533" t="n">
        <v>16.5</v>
      </c>
      <c r="H31" s="1533" t="n">
        <v>6.6</v>
      </c>
      <c r="I31" s="1533" t="n">
        <v>5.2</v>
      </c>
      <c r="J31" s="1533" t="n">
        <v>5.3</v>
      </c>
      <c r="K31" s="1533" t="n">
        <v>5.3</v>
      </c>
      <c r="L31" s="1533" t="n">
        <v>5.3</v>
      </c>
      <c r="M31" s="1533" t="n">
        <v>3.6</v>
      </c>
      <c r="N31" s="1533" t="n">
        <v>9.800000000000001</v>
      </c>
      <c r="O31" s="1533" t="n">
        <v>9.800000000000001</v>
      </c>
      <c r="P31" s="1533" t="n">
        <v>17.8</v>
      </c>
      <c r="Q31" s="1533" t="n">
        <v>17.8</v>
      </c>
      <c r="R31" s="1533" t="n">
        <v>6.9</v>
      </c>
      <c r="S31" s="1533" t="n">
        <v>11.5</v>
      </c>
      <c r="T31" s="1533" t="n">
        <v>11.5</v>
      </c>
      <c r="U31" s="1533" t="n">
        <v>10</v>
      </c>
      <c r="V31" s="1533" t="n">
        <v>1.8</v>
      </c>
      <c r="W31" s="1533" t="n">
        <v>1.8</v>
      </c>
      <c r="X31" s="1533" t="n">
        <v>0.3</v>
      </c>
      <c r="Y31" s="1533" t="n">
        <v>0.2</v>
      </c>
      <c r="Z31" s="1533" t="n">
        <v>1.6</v>
      </c>
      <c r="AA31" s="1533" t="n">
        <v>0.1</v>
      </c>
      <c r="AB31" s="1533" t="n">
        <v>5.7</v>
      </c>
      <c r="AC31" s="1533" t="n">
        <v>9.199999999999999</v>
      </c>
      <c r="AD31" s="1533" t="n">
        <v>7.6</v>
      </c>
      <c r="AE31" s="1533" t="n">
        <v>10.1</v>
      </c>
      <c r="AF31" s="1533" t="n">
        <v>10.1</v>
      </c>
      <c r="AG31" s="1533" t="n">
        <v>13</v>
      </c>
      <c r="AH31" s="1533" t="n">
        <v>18.8</v>
      </c>
      <c r="AI31" s="1533" t="n">
        <v>1.5</v>
      </c>
      <c r="AJ31" s="1533" t="n">
        <v>1.1</v>
      </c>
      <c r="AK31" s="1533" t="n">
        <v>1.1</v>
      </c>
      <c r="AL31" s="1533" t="n">
        <v>10.1</v>
      </c>
      <c r="AM31" s="1533" t="n">
        <v>9.4</v>
      </c>
      <c r="AN31" s="1533" t="n">
        <v>57.6</v>
      </c>
      <c r="AO31" s="1533" t="n">
        <v>56.1</v>
      </c>
      <c r="AP31" s="1533" t="n">
        <v>0.7</v>
      </c>
      <c r="AQ31" s="1533" t="n">
        <v>0.7</v>
      </c>
      <c r="AR31" s="1533" t="n">
        <v>0.7</v>
      </c>
      <c r="AS31" s="1533" t="n">
        <v>12.9</v>
      </c>
      <c r="AT31" s="1533" t="n">
        <v>12.9</v>
      </c>
      <c r="AU31" s="1533" t="n">
        <v>12.5</v>
      </c>
      <c r="AV31" s="1533" t="n">
        <v>12.1</v>
      </c>
      <c r="AW31" s="1533" t="n">
        <v>48.4</v>
      </c>
      <c r="AX31" s="1533" t="n">
        <v>48.4</v>
      </c>
      <c r="AY31" s="1533" t="n">
        <v>45.5</v>
      </c>
      <c r="AZ31" s="1533" t="n">
        <v>7</v>
      </c>
      <c r="BA31" s="1533" t="n">
        <v>9.1</v>
      </c>
      <c r="BB31" s="1533" t="n">
        <v>1.2</v>
      </c>
      <c r="BC31" s="1533" t="n">
        <v>4.1</v>
      </c>
      <c r="BD31" s="1533" t="n">
        <v>8.9</v>
      </c>
      <c r="BE31" s="1533" t="n">
        <v>7.7</v>
      </c>
      <c r="BF31" s="1533" t="n">
        <v>7.6</v>
      </c>
      <c r="BG31" s="1533" t="n">
        <v>3.5</v>
      </c>
      <c r="BH31" s="1533" t="n">
        <v>3.5</v>
      </c>
      <c r="BI31" s="1533" t="n">
        <v>3.5</v>
      </c>
      <c r="BJ31" s="1533" t="n">
        <v>4.5</v>
      </c>
      <c r="BK31" s="1533" t="n">
        <v>2</v>
      </c>
      <c r="BL31" s="1533" t="n">
        <v>1.8</v>
      </c>
      <c r="BM31" s="1533" t="n">
        <v>1.1</v>
      </c>
      <c r="BN31" s="1533" t="n">
        <v>8.6</v>
      </c>
      <c r="BO31" s="1533" t="n">
        <v>8.6</v>
      </c>
      <c r="BP31" s="1533" t="n">
        <v>8.199999999999999</v>
      </c>
      <c r="BQ31" s="1533" t="n">
        <v>5</v>
      </c>
      <c r="BR31" s="1533" t="n">
        <v>4.8</v>
      </c>
      <c r="BS31" s="1533" t="n">
        <v>8.6</v>
      </c>
      <c r="BT31" s="1533" t="n">
        <v>8.6</v>
      </c>
      <c r="BU31" s="1533" t="n">
        <v>8.6</v>
      </c>
      <c r="BV31" s="1533" t="n">
        <v>4.5</v>
      </c>
      <c r="BW31" s="1533" t="n">
        <v>4.3</v>
      </c>
      <c r="BX31" s="1533" t="n">
        <v>10.3</v>
      </c>
      <c r="BY31" s="1533" t="n">
        <v>10.3</v>
      </c>
      <c r="BZ31" s="1533" t="n">
        <v>9.1</v>
      </c>
      <c r="CA31" s="1533" t="n">
        <v>5.7</v>
      </c>
      <c r="CB31" s="1533" t="n">
        <v>5.7</v>
      </c>
      <c r="CC31" s="1533" t="n">
        <v>3.5</v>
      </c>
      <c r="CD31" s="1533" t="n">
        <v>2.7</v>
      </c>
      <c r="CE31" s="1533" t="n">
        <v>0.8</v>
      </c>
      <c r="CF31" s="1533" t="n">
        <v>0.8</v>
      </c>
      <c r="CG31" s="1533" t="n">
        <v>3.3</v>
      </c>
      <c r="CH31" s="1533" t="n">
        <v>3.3</v>
      </c>
      <c r="CI31" s="1533" t="n">
        <v>3.3</v>
      </c>
      <c r="CJ31" s="1533" t="n">
        <v>3.3</v>
      </c>
      <c r="CK31" s="1533" t="n">
        <v>4.4</v>
      </c>
      <c r="CL31" s="1533" t="n">
        <v>0.38</v>
      </c>
      <c r="CM31" s="1533" t="n">
        <v>1.2</v>
      </c>
      <c r="CN31" s="1533" t="n">
        <v>0.3</v>
      </c>
      <c r="CO31" s="1533" t="n">
        <v>5</v>
      </c>
      <c r="CP31" s="1533" t="n">
        <v>1.3</v>
      </c>
      <c r="CQ31" s="1533" t="n">
        <v>1.4</v>
      </c>
      <c r="CR31" s="1533" t="n">
        <v>3.7</v>
      </c>
      <c r="CS31" s="1533" t="n">
        <v>3.7</v>
      </c>
      <c r="CT31" s="1533" t="n">
        <v>3.7</v>
      </c>
      <c r="CU31" s="1533" t="n">
        <v>9.699999999999999</v>
      </c>
      <c r="CV31" s="1533" t="n">
        <v>4.3</v>
      </c>
      <c r="CW31" s="1533" t="n">
        <v>9.199999999999999</v>
      </c>
      <c r="CX31" s="1533" t="n">
        <v>9.199999999999999</v>
      </c>
      <c r="CY31" s="1533" t="n">
        <v>6.9</v>
      </c>
      <c r="CZ31" s="1533" t="n">
        <v>6.9</v>
      </c>
      <c r="DA31" s="1533" t="n">
        <v>0.961</v>
      </c>
      <c r="DB31" s="1533" t="n">
        <v>0.8</v>
      </c>
      <c r="DC31" s="1533" t="n">
        <v>5.95</v>
      </c>
      <c r="DD31" s="1533" t="n">
        <v>5.998</v>
      </c>
      <c r="DE31" s="1533" t="n">
        <v>1.9</v>
      </c>
      <c r="DF31" s="1533" t="n">
        <v>11.7</v>
      </c>
      <c r="DG31" s="1533" t="n">
        <v>18.074</v>
      </c>
      <c r="DH31" s="1533" t="n">
        <v>17.9</v>
      </c>
      <c r="DI31" s="1533" t="n">
        <v>17.37</v>
      </c>
      <c r="DJ31" s="1533" t="n">
        <v>12.8</v>
      </c>
      <c r="DK31" s="1533" t="n">
        <v>12.8</v>
      </c>
      <c r="DL31" s="1533" t="n">
        <v>17</v>
      </c>
      <c r="DM31" s="1533" t="n">
        <v>17</v>
      </c>
      <c r="DN31" s="1533" t="n">
        <v>14.5</v>
      </c>
      <c r="DO31" s="1533" t="n">
        <v>17.1</v>
      </c>
      <c r="DP31" s="1533" t="n">
        <v>17.1</v>
      </c>
      <c r="DQ31" s="1533" t="n">
        <v>16.8</v>
      </c>
      <c r="DR31" s="1533" t="n">
        <v>16.8</v>
      </c>
      <c r="DS31" s="1533" t="n">
        <v>16.8</v>
      </c>
      <c r="DT31" s="1533" t="n">
        <v>18.6</v>
      </c>
      <c r="DU31" s="1533" t="n">
        <v>21.7</v>
      </c>
      <c r="DV31" s="1533" t="n">
        <v>15.76</v>
      </c>
      <c r="DW31" s="1533" t="n">
        <v>19.54</v>
      </c>
      <c r="DX31" s="1533" t="n">
        <v>19.54</v>
      </c>
      <c r="DY31" s="1533" t="n">
        <v>19.54</v>
      </c>
      <c r="DZ31" s="1533" t="n">
        <v>20.5</v>
      </c>
      <c r="EA31" s="1533" t="n">
        <v>20.3</v>
      </c>
      <c r="EB31" s="1533" t="n">
        <v>18.28</v>
      </c>
      <c r="EC31" s="1533" t="n">
        <v>18.28</v>
      </c>
      <c r="ED31" s="1533" t="n">
        <v>16</v>
      </c>
      <c r="EE31" s="1533" t="n">
        <v>14.8</v>
      </c>
      <c r="EF31" s="1533" t="n">
        <v>10.3</v>
      </c>
      <c r="EG31" s="1533" t="n">
        <v>12.9</v>
      </c>
      <c r="EH31" s="1533" t="n">
        <v>12.9</v>
      </c>
      <c r="EI31" s="1533" t="n">
        <v>15.5</v>
      </c>
      <c r="EJ31" s="1533" t="n">
        <v>5.9</v>
      </c>
      <c r="EK31" s="1533" t="n">
        <v>8.69</v>
      </c>
      <c r="EL31" s="1533" t="n">
        <v>8.640000000000001</v>
      </c>
      <c r="EM31" s="1533" t="n">
        <v>8.640000000000001</v>
      </c>
      <c r="EN31" s="1533" t="n">
        <v>8.199999999999999</v>
      </c>
      <c r="EO31" s="1533" t="n">
        <v>37.7</v>
      </c>
      <c r="EP31" s="1533" t="n">
        <v>46.73</v>
      </c>
      <c r="EQ31" s="1533" t="n">
        <v>48.72</v>
      </c>
      <c r="ER31" s="1533" t="n">
        <v>48.72</v>
      </c>
      <c r="ES31" s="1533" t="n">
        <v>47.01</v>
      </c>
      <c r="ET31" s="1533" t="n">
        <v>48.8</v>
      </c>
      <c r="EU31" s="1533" t="n">
        <v>51.06</v>
      </c>
      <c r="EV31" s="1533" t="n">
        <v>51.36</v>
      </c>
      <c r="EW31" s="1533" t="n">
        <v>50.16</v>
      </c>
      <c r="EX31" s="1533" t="n">
        <v>49.67</v>
      </c>
      <c r="EY31" s="1533" t="n">
        <v>48.54</v>
      </c>
      <c r="EZ31" s="1533" t="n">
        <v>26.1</v>
      </c>
      <c r="FA31" s="1533" t="n">
        <v>26.1</v>
      </c>
      <c r="FB31" s="1533" t="n">
        <v>66.92</v>
      </c>
      <c r="FC31" s="1533" t="n">
        <v>69</v>
      </c>
      <c r="FD31" s="1533" t="n">
        <v>73.29000000000001</v>
      </c>
      <c r="FE31" s="1533" t="n">
        <v>63.23</v>
      </c>
      <c r="FF31" s="1533" t="n">
        <v>63.3</v>
      </c>
      <c r="FG31" s="1533" t="n">
        <v>66.31999999999999</v>
      </c>
      <c r="FH31" s="1533" t="n">
        <v>66.95</v>
      </c>
      <c r="FI31" s="1533" t="n">
        <v>67.70999999999999</v>
      </c>
      <c r="FJ31" s="1533" t="n">
        <v>66.7</v>
      </c>
      <c r="FK31" s="1533" t="n">
        <v>66.7</v>
      </c>
      <c r="FL31" s="1533" t="n">
        <v>69.2</v>
      </c>
      <c r="FM31" s="1533" t="n">
        <v>73.09999999999999</v>
      </c>
      <c r="FN31" s="1533" t="n">
        <v>77.5</v>
      </c>
      <c r="FO31" s="1533" t="n">
        <v>77.8</v>
      </c>
      <c r="FP31" s="1533" t="n">
        <v>77.75</v>
      </c>
      <c r="FQ31" s="1533" t="n">
        <v>85.23999999999999</v>
      </c>
      <c r="FR31" s="1533" t="n">
        <v>86.65000000000001</v>
      </c>
      <c r="FS31" s="1533" t="n">
        <v>92.7</v>
      </c>
      <c r="FT31" s="1533" t="n">
        <v>92.09999999999999</v>
      </c>
      <c r="FU31" s="1533" t="n">
        <v>91.03</v>
      </c>
      <c r="FV31" s="1533" t="n">
        <v>106.7</v>
      </c>
      <c r="FW31" s="1533" t="n">
        <v>103.1</v>
      </c>
      <c r="FX31" s="1533" t="n">
        <v>106.55</v>
      </c>
      <c r="FY31" s="1533" t="n">
        <v>106.63</v>
      </c>
      <c r="FZ31" s="1533" t="n">
        <v>114.34</v>
      </c>
      <c r="GA31" s="1533" t="n">
        <v>118.34</v>
      </c>
      <c r="GB31" s="1533" t="n">
        <v>133.3</v>
      </c>
      <c r="GC31" s="1533" t="n">
        <v>9.800000000000001</v>
      </c>
      <c r="GD31" s="1533" t="n">
        <v>18.84</v>
      </c>
      <c r="GE31" s="1533" t="n">
        <v>21.41</v>
      </c>
      <c r="GF31" s="1533" t="n">
        <v>23.23</v>
      </c>
      <c r="GG31" s="1533" t="n">
        <v>23.32</v>
      </c>
      <c r="GH31" s="1533" t="n">
        <v>23.32</v>
      </c>
      <c r="GI31" s="1533" t="n">
        <v>21.279</v>
      </c>
      <c r="GJ31" s="1533" t="n">
        <v>30</v>
      </c>
      <c r="GK31" s="1533" t="n">
        <v>30</v>
      </c>
      <c r="GL31" s="1533" t="n">
        <v>30</v>
      </c>
      <c r="GM31" s="1533" t="n">
        <v>30</v>
      </c>
      <c r="GN31" s="1533" t="n">
        <v>40</v>
      </c>
      <c r="GO31" s="1533" t="n">
        <v>40</v>
      </c>
      <c r="GP31" s="1533" t="n">
        <v>40</v>
      </c>
      <c r="GQ31" s="1533" t="n">
        <v>38</v>
      </c>
      <c r="GR31" s="1533" t="n">
        <v>35.3</v>
      </c>
      <c r="GS31" s="1533" t="n">
        <v>35.3</v>
      </c>
      <c r="GT31" s="1533" t="n">
        <v>35.3</v>
      </c>
      <c r="GU31" s="1533" t="n">
        <v>35</v>
      </c>
      <c r="GV31" s="1533" t="n">
        <v>35</v>
      </c>
      <c r="GW31" s="1533" t="n">
        <v>35</v>
      </c>
      <c r="GX31" s="1533" t="n">
        <v>27.15</v>
      </c>
      <c r="GY31" s="1533" t="n">
        <v>27.15</v>
      </c>
      <c r="GZ31" s="1533" t="n">
        <v>27.15</v>
      </c>
      <c r="HA31" s="1533" t="n">
        <v>30.1</v>
      </c>
      <c r="HB31" s="1533" t="n">
        <v>30.1</v>
      </c>
      <c r="HC31" s="1533" t="n">
        <v>30.1</v>
      </c>
      <c r="HD31" s="1533" t="n">
        <v>31.1</v>
      </c>
      <c r="HE31" s="1533" t="n">
        <v>31.1</v>
      </c>
      <c r="HF31" s="1533" t="n">
        <v>39.2</v>
      </c>
      <c r="HG31" s="1533" t="n"/>
      <c r="HH31" s="1533" t="n"/>
      <c r="HI31" s="1533" t="n"/>
      <c r="HJ31" s="1533" t="n"/>
      <c r="HK31" s="1533" t="n"/>
      <c r="HL31" s="1533" t="n">
        <v>10.7</v>
      </c>
      <c r="HM31" s="1533" t="n">
        <v>10</v>
      </c>
      <c r="HN31" s="1533" t="n">
        <v>10</v>
      </c>
      <c r="HO31" s="1533" t="n">
        <v>12.9</v>
      </c>
      <c r="HP31" s="1533" t="n">
        <v>24.8</v>
      </c>
      <c r="HQ31" s="1533" t="n">
        <v>30</v>
      </c>
      <c r="HR31" s="1533" t="n">
        <v>49</v>
      </c>
      <c r="HS31" s="1533" t="n">
        <v>49</v>
      </c>
      <c r="HT31" s="1533" t="n">
        <v>36.6</v>
      </c>
      <c r="HU31" s="1533" t="n">
        <v>36.6</v>
      </c>
      <c r="HV31" s="1533" t="n">
        <v>1.295</v>
      </c>
      <c r="HW31" s="1533" t="n">
        <v>1.295</v>
      </c>
      <c r="HX31" s="1533" t="n">
        <v>7.397</v>
      </c>
      <c r="HY31" s="1533" t="n">
        <v>7.397</v>
      </c>
      <c r="HZ31" s="1533" t="n">
        <v>4.926</v>
      </c>
      <c r="IA31" s="1533" t="n">
        <v>4.607</v>
      </c>
      <c r="IB31" s="1533" t="n">
        <v>10.785</v>
      </c>
      <c r="IC31" s="1533" t="n">
        <v>10.785</v>
      </c>
      <c r="ID31" s="1533" t="n">
        <v>10.785</v>
      </c>
      <c r="IE31" s="1533" t="n">
        <v>10</v>
      </c>
      <c r="IF31" s="1533" t="n">
        <v>10</v>
      </c>
      <c r="IG31" s="1533" t="n">
        <v>21.2</v>
      </c>
      <c r="IH31" s="1533" t="n">
        <v>21</v>
      </c>
      <c r="II31" s="1533" t="n">
        <v>21</v>
      </c>
      <c r="IJ31" s="1533" t="n">
        <v>21</v>
      </c>
      <c r="IK31" s="1533" t="n">
        <v>15</v>
      </c>
      <c r="IL31" s="1533" t="n">
        <v>15</v>
      </c>
      <c r="IM31" s="1533" t="n">
        <v>15</v>
      </c>
      <c r="IN31" s="1533" t="n">
        <v>16</v>
      </c>
      <c r="IO31" s="1533" t="n">
        <v>14.9</v>
      </c>
      <c r="IP31" s="1533" t="n">
        <v>14.9</v>
      </c>
      <c r="IQ31" s="1533" t="n">
        <v>14.9</v>
      </c>
      <c r="IR31" s="1533" t="n">
        <v>14.9</v>
      </c>
      <c r="IS31" s="1533" t="n">
        <v>13.6</v>
      </c>
      <c r="IT31" s="1533" t="n">
        <v>12.5</v>
      </c>
      <c r="IU31" s="1533" t="n">
        <v>12.7</v>
      </c>
      <c r="IV31" s="1533" t="n">
        <v>12.7</v>
      </c>
      <c r="IW31" s="1533" t="n">
        <v>11.2</v>
      </c>
      <c r="IX31" s="1533" t="n">
        <v>11.2</v>
      </c>
      <c r="IY31" s="1533" t="n">
        <v>11.2</v>
      </c>
      <c r="IZ31" s="1533" t="n">
        <v>7.9</v>
      </c>
      <c r="JA31" s="1533" t="n">
        <v>10</v>
      </c>
      <c r="JB31" s="1533" t="n">
        <v>10</v>
      </c>
      <c r="JC31" s="1533" t="n">
        <v>16.4</v>
      </c>
      <c r="JD31" s="1533" t="n">
        <v>16.4</v>
      </c>
      <c r="JE31" s="1533" t="n">
        <v>16.4</v>
      </c>
      <c r="JF31" s="1533" t="n">
        <v>16.4</v>
      </c>
      <c r="JG31" s="1533" t="n">
        <v>18</v>
      </c>
      <c r="JH31" s="1533" t="n">
        <v>18</v>
      </c>
      <c r="JI31" s="1533" t="n">
        <v>18</v>
      </c>
      <c r="JJ31" s="1533" t="n">
        <v>18</v>
      </c>
      <c r="JK31" s="1533" t="n">
        <v>17</v>
      </c>
      <c r="JL31" s="1533" t="n">
        <v>17</v>
      </c>
      <c r="JM31" s="1533" t="n">
        <v>22.5</v>
      </c>
      <c r="JN31" s="1533" t="n">
        <v>22.5</v>
      </c>
      <c r="JO31" s="1533" t="n">
        <v>22.5</v>
      </c>
      <c r="JP31" s="1533" t="n">
        <v>18.4</v>
      </c>
      <c r="JQ31" s="1533" t="n">
        <v>18.4</v>
      </c>
      <c r="JR31" s="1533" t="n">
        <v>25.2</v>
      </c>
      <c r="JS31" s="1533" t="n">
        <v>25.2</v>
      </c>
      <c r="JT31" s="1533" t="n">
        <v>33.8</v>
      </c>
      <c r="JU31" s="1533" t="n">
        <v>33.8</v>
      </c>
      <c r="JV31" s="1533" t="n">
        <v>33.8</v>
      </c>
      <c r="JW31" s="1533" t="n">
        <v>42.3</v>
      </c>
      <c r="JX31" s="1533" t="n">
        <v>42.3</v>
      </c>
      <c r="JY31" s="1533" t="n">
        <v>39.9</v>
      </c>
      <c r="JZ31" s="1533" t="n">
        <v>39.9</v>
      </c>
      <c r="KA31" s="1533" t="n">
        <v>61.9</v>
      </c>
      <c r="KB31" s="1533" t="n">
        <v>69</v>
      </c>
      <c r="KC31" s="1533" t="n">
        <v>69</v>
      </c>
      <c r="KD31" s="1533" t="n">
        <v>70.5</v>
      </c>
      <c r="KE31" s="1533" t="n">
        <v>70.5</v>
      </c>
      <c r="KF31" s="1533" t="n">
        <v>17</v>
      </c>
      <c r="KG31" s="1533" t="n">
        <v>78</v>
      </c>
      <c r="KH31" s="1533" t="n">
        <v>78</v>
      </c>
      <c r="KI31" s="1533" t="n">
        <v>75</v>
      </c>
      <c r="KJ31" s="1533" t="n">
        <v>75</v>
      </c>
      <c r="KK31" s="1533" t="n">
        <v>79</v>
      </c>
      <c r="KL31" s="1533" t="n">
        <v>79</v>
      </c>
      <c r="KM31" s="1533" t="n">
        <v>79</v>
      </c>
      <c r="KN31" s="1533" t="n">
        <v>76</v>
      </c>
      <c r="KO31" s="1533" t="n">
        <v>79.7</v>
      </c>
      <c r="KP31" s="1533" t="n">
        <v>79.7</v>
      </c>
      <c r="KQ31" s="1533" t="n">
        <v>79.7</v>
      </c>
      <c r="KR31" s="1533" t="n">
        <v>79.7</v>
      </c>
      <c r="KS31" s="1533" t="n">
        <v>70</v>
      </c>
      <c r="KT31" s="1533" t="n">
        <v>70</v>
      </c>
      <c r="KU31" s="1533" t="n">
        <v>77.09999999999999</v>
      </c>
      <c r="KV31" s="1533" t="n">
        <v>65</v>
      </c>
      <c r="KW31" s="1533" t="n">
        <v>65</v>
      </c>
      <c r="KX31" s="1533" t="n">
        <v>61.797</v>
      </c>
      <c r="KY31" s="1533" t="n">
        <v>61.797</v>
      </c>
      <c r="KZ31" s="1533" t="n">
        <v>66.7</v>
      </c>
      <c r="LA31" s="1533" t="n">
        <v>66.7</v>
      </c>
      <c r="LB31" s="1533" t="n">
        <v>66.7</v>
      </c>
      <c r="LC31" s="1533" t="n">
        <v>66.7</v>
      </c>
      <c r="LD31" s="1533" t="n">
        <v>66.7</v>
      </c>
      <c r="LE31" s="1533" t="n">
        <v>68.89</v>
      </c>
      <c r="LF31" s="1533" t="n">
        <v>68.89</v>
      </c>
      <c r="LG31" s="1533" t="n">
        <v>68.89</v>
      </c>
      <c r="LH31" s="1533" t="n">
        <v>68.89</v>
      </c>
      <c r="LI31" s="1533" t="n">
        <v>63.545</v>
      </c>
      <c r="LJ31" s="1533" t="n">
        <v>63.545</v>
      </c>
      <c r="LK31" s="1533" t="n">
        <v>63.545</v>
      </c>
      <c r="LL31" s="1533" t="n">
        <v>73</v>
      </c>
      <c r="LM31" s="1533" t="n">
        <v>73</v>
      </c>
      <c r="LN31" s="1533" t="n">
        <v>71.90000000000001</v>
      </c>
      <c r="LO31" s="1533" t="n">
        <v>71.90000000000001</v>
      </c>
      <c r="LP31" s="1533" t="n">
        <v>71.90000000000001</v>
      </c>
      <c r="LQ31" s="1533" t="n">
        <v>14</v>
      </c>
      <c r="LR31" s="1533" t="n">
        <v>13.462</v>
      </c>
      <c r="LS31" s="1533" t="n">
        <v>13.462</v>
      </c>
      <c r="LT31" s="1533" t="n">
        <v>11.163</v>
      </c>
      <c r="LU31" s="1533" t="n">
        <v>11.2</v>
      </c>
      <c r="LV31" s="1533" t="n">
        <v>11.2</v>
      </c>
      <c r="LW31" s="1533" t="n">
        <v>11.2</v>
      </c>
      <c r="LX31" s="1533" t="n">
        <v>11.075</v>
      </c>
      <c r="LY31" s="1533" t="n">
        <v>11.075</v>
      </c>
      <c r="LZ31" s="1533" t="n">
        <v>14.34</v>
      </c>
      <c r="MA31" s="1533" t="n">
        <v>14.34</v>
      </c>
      <c r="MB31" s="1533" t="n">
        <v>14.34</v>
      </c>
      <c r="MC31" s="1533" t="n">
        <v>14.34</v>
      </c>
      <c r="MD31" s="1533" t="n">
        <v>17.25</v>
      </c>
      <c r="ME31" s="1533" t="n">
        <v>17.25</v>
      </c>
      <c r="MF31" s="1533" t="n">
        <v>17.25</v>
      </c>
      <c r="MG31" s="1533" t="n">
        <v>17.25</v>
      </c>
      <c r="MH31" s="1533" t="n">
        <v>109.791</v>
      </c>
      <c r="MI31" s="1533" t="n">
        <v>109.791</v>
      </c>
      <c r="MJ31" s="1533" t="n">
        <v>116.95</v>
      </c>
      <c r="MK31" s="1533" t="n">
        <v>114</v>
      </c>
      <c r="ML31" s="1533" t="n">
        <v>114</v>
      </c>
      <c r="MM31" s="1533" t="n">
        <v>114</v>
      </c>
      <c r="MN31" s="1533" t="n">
        <v>114</v>
      </c>
      <c r="MO31" s="1533" t="n">
        <v>114</v>
      </c>
      <c r="MP31" s="1533" t="n">
        <v>114</v>
      </c>
      <c r="MQ31" s="1533" t="n">
        <v>120.85</v>
      </c>
      <c r="MR31" s="1533" t="n">
        <v>120.85</v>
      </c>
      <c r="MS31" s="1533" t="n">
        <v>130.5</v>
      </c>
      <c r="MT31" s="1533" t="n">
        <v>130.687</v>
      </c>
      <c r="MU31" s="1533" t="n">
        <v>130.687</v>
      </c>
      <c r="MV31" s="1533" t="n">
        <v>130.687</v>
      </c>
      <c r="MW31" s="1533" t="n">
        <v>123</v>
      </c>
      <c r="MX31" s="1533" t="n">
        <v>127</v>
      </c>
      <c r="MY31" s="1533" t="n">
        <v>127</v>
      </c>
      <c r="MZ31" s="1533" t="n">
        <v>127</v>
      </c>
      <c r="NA31" s="1533" t="n">
        <v>127</v>
      </c>
      <c r="NB31" s="1533" t="n">
        <v>127</v>
      </c>
      <c r="NC31" s="1533" t="n">
        <v>127</v>
      </c>
      <c r="ND31" s="1533" t="n">
        <v>127</v>
      </c>
      <c r="NE31" s="1533" t="n">
        <v>127</v>
      </c>
      <c r="NF31" s="1533" t="n">
        <v>142.7</v>
      </c>
      <c r="NG31" s="1533" t="n">
        <v>142.7</v>
      </c>
      <c r="NH31" s="1533" t="n">
        <v>149.9</v>
      </c>
      <c r="NI31" s="1533" t="n">
        <v>149.9</v>
      </c>
      <c r="NJ31" s="1533" t="n">
        <v>149.9</v>
      </c>
      <c r="NK31" s="1533" t="n">
        <v>149.9</v>
      </c>
      <c r="NL31" s="1533" t="n">
        <v>149.9</v>
      </c>
      <c r="NM31" s="1533" t="n">
        <v>131.2</v>
      </c>
      <c r="NN31" s="1533" t="n">
        <v>131.2</v>
      </c>
      <c r="NO31" s="1533" t="n">
        <v>131.2</v>
      </c>
      <c r="NP31" s="1533" t="n">
        <v>133.661</v>
      </c>
      <c r="NQ31" s="1533" t="n">
        <v>133.661</v>
      </c>
      <c r="NR31" s="1533" t="n">
        <v>141.641</v>
      </c>
      <c r="NS31" s="1533" t="n">
        <v>141.641</v>
      </c>
      <c r="NT31" s="1533" t="n">
        <v>141.641</v>
      </c>
      <c r="NU31" s="1533" t="n">
        <v>142</v>
      </c>
      <c r="NV31" s="1533" t="n">
        <v>118.2</v>
      </c>
      <c r="NW31" s="1533" t="n">
        <v>118.2</v>
      </c>
      <c r="NX31" s="1533" t="n">
        <v>118.2</v>
      </c>
      <c r="NY31" s="1533" t="n">
        <v>137.4</v>
      </c>
      <c r="NZ31" s="1533" t="n">
        <v>141.7</v>
      </c>
      <c r="OA31" s="1533" t="n">
        <v>141.7</v>
      </c>
      <c r="OB31" s="1533" t="n">
        <v>141.7</v>
      </c>
      <c r="OC31" s="1533" t="n">
        <v>154.9</v>
      </c>
      <c r="OD31" s="1533" t="n">
        <v>154.9</v>
      </c>
      <c r="OE31" s="1533" t="n">
        <v>154.9</v>
      </c>
      <c r="OF31" s="1533" t="n">
        <v>154.9</v>
      </c>
      <c r="OG31" s="1533" t="n">
        <v>171.3</v>
      </c>
      <c r="OH31" s="1533" t="n">
        <v>171.3</v>
      </c>
      <c r="OI31" s="1533" t="n">
        <v>167.2</v>
      </c>
      <c r="OJ31" s="1533" t="n">
        <v>167.9</v>
      </c>
      <c r="OK31" s="1533" t="n">
        <v>167.9</v>
      </c>
      <c r="OL31" s="1533" t="n">
        <v>167.9</v>
      </c>
      <c r="OM31" s="1533" t="n">
        <v>167.9</v>
      </c>
      <c r="ON31" s="1533" t="n">
        <v>167.9</v>
      </c>
      <c r="OO31" s="1533" t="n">
        <v>24.5</v>
      </c>
      <c r="OP31" s="1533" t="n">
        <v>29.8</v>
      </c>
      <c r="OQ31" s="1533" t="n">
        <v>29.8</v>
      </c>
      <c r="OR31" s="1533" t="n">
        <v>29.8</v>
      </c>
      <c r="OS31" s="1533" t="n">
        <v>15</v>
      </c>
      <c r="OT31" s="1533" t="n">
        <v>15.5</v>
      </c>
      <c r="OU31" s="1533" t="n">
        <v>15.5</v>
      </c>
      <c r="OV31" s="1533" t="n">
        <v>15.5</v>
      </c>
      <c r="OW31" s="1533" t="n">
        <v>32</v>
      </c>
      <c r="OX31" s="1533" t="n">
        <v>32</v>
      </c>
      <c r="OY31" s="1533" t="n">
        <v>22.942</v>
      </c>
      <c r="OZ31" s="1533" t="n">
        <v>22.942</v>
      </c>
      <c r="PA31" s="1533" t="n">
        <v>22.942</v>
      </c>
      <c r="PB31" s="1533" t="n">
        <v>32.8</v>
      </c>
      <c r="PC31" s="1533" t="n">
        <v>32.8</v>
      </c>
      <c r="PD31" s="1533" t="n">
        <v>32.8</v>
      </c>
      <c r="PE31" s="1533" t="n">
        <v>32.5</v>
      </c>
      <c r="PF31" s="1533" t="n">
        <v>32.5</v>
      </c>
      <c r="PG31" s="1533" t="n">
        <v>32.5</v>
      </c>
      <c r="PH31" s="1533" t="n">
        <v>32.5</v>
      </c>
      <c r="PI31" s="1533" t="n">
        <v>36.5</v>
      </c>
      <c r="PJ31" s="1533" t="n">
        <v>36.5</v>
      </c>
      <c r="PK31" s="1533" t="n">
        <v>36.5</v>
      </c>
      <c r="PL31" s="1533" t="n">
        <v>36.5</v>
      </c>
      <c r="PM31" s="1533" t="n">
        <v>36.5</v>
      </c>
      <c r="PN31" s="1533" t="n">
        <v>31</v>
      </c>
      <c r="PO31" s="1533" t="n">
        <v>31</v>
      </c>
      <c r="PP31" s="1533" t="n">
        <v>31</v>
      </c>
      <c r="PQ31" s="1533" t="n">
        <v>30.4</v>
      </c>
      <c r="PR31" s="1533" t="n">
        <v>30.4</v>
      </c>
      <c r="PS31" s="1533" t="n">
        <v>30.2</v>
      </c>
      <c r="PT31" s="1533" t="n">
        <v>30.2</v>
      </c>
      <c r="PU31" s="1533" t="n">
        <v>53.45</v>
      </c>
      <c r="PV31" s="1533" t="n">
        <v>53.45</v>
      </c>
      <c r="PW31" s="1533" t="n">
        <v>53.45</v>
      </c>
      <c r="PX31" s="1533" t="n">
        <v>62.3</v>
      </c>
      <c r="PY31" s="1533" t="n">
        <v>62.2</v>
      </c>
      <c r="PZ31" s="1533" t="n">
        <v>62.2</v>
      </c>
      <c r="QA31" s="1533" t="n">
        <v>62.2</v>
      </c>
      <c r="QB31" s="1533" t="n">
        <v>77</v>
      </c>
      <c r="QC31" s="1533" t="n">
        <v>81</v>
      </c>
      <c r="QD31" s="1533" t="n">
        <v>81</v>
      </c>
      <c r="QE31" s="1533" t="n">
        <v>79</v>
      </c>
      <c r="QF31" s="1533" t="n">
        <v>79</v>
      </c>
      <c r="QG31" s="1533" t="n">
        <v>79</v>
      </c>
      <c r="QH31" s="1533" t="n">
        <v>79</v>
      </c>
      <c r="QI31" s="1533" t="n">
        <v>77.59999999999999</v>
      </c>
      <c r="QJ31" s="1533" t="n">
        <v>77.59999999999999</v>
      </c>
      <c r="QK31" s="1533" t="n">
        <v>77.7</v>
      </c>
      <c r="QL31" s="1533" t="n">
        <v>77.7</v>
      </c>
      <c r="QM31" s="1533" t="n">
        <v>77.7</v>
      </c>
      <c r="QN31" s="1533" t="n">
        <v>77.40000000000001</v>
      </c>
      <c r="QO31" s="1533" t="n">
        <v>77.41</v>
      </c>
      <c r="QP31" s="1533" t="n">
        <v>77.41</v>
      </c>
      <c r="QQ31" s="1533" t="n">
        <v>79.95</v>
      </c>
      <c r="QR31" s="1533" t="n">
        <v>79.95</v>
      </c>
      <c r="QS31" s="1533" t="n">
        <v>67.898</v>
      </c>
      <c r="QT31" s="1533" t="n">
        <v>67.898</v>
      </c>
      <c r="QU31" s="1533" t="n">
        <v>67.898</v>
      </c>
      <c r="QV31" s="1533" t="n">
        <v>72.2</v>
      </c>
      <c r="QW31" s="1533" t="n">
        <v>67.898</v>
      </c>
      <c r="QX31" s="1533" t="n">
        <v>67.898</v>
      </c>
      <c r="QY31" s="1533" t="n">
        <v>65.93300000000001</v>
      </c>
      <c r="QZ31" s="1533" t="n">
        <v>65.93300000000001</v>
      </c>
      <c r="RA31" s="1533" t="n">
        <v>78.7</v>
      </c>
      <c r="RB31" s="1533" t="n">
        <v>78.7</v>
      </c>
      <c r="RC31" s="1533" t="n">
        <v>78.7</v>
      </c>
      <c r="RD31" s="1533" t="n">
        <v>78.7</v>
      </c>
      <c r="RE31" s="1533" t="n">
        <v>76</v>
      </c>
      <c r="RF31" s="1533" t="n">
        <v>76</v>
      </c>
      <c r="RG31" s="1533" t="n">
        <v>76</v>
      </c>
      <c r="RH31" s="1533" t="n">
        <v>78.15000000000001</v>
      </c>
      <c r="RI31" s="1533" t="n">
        <v>64.59999999999999</v>
      </c>
      <c r="RJ31" s="1533" t="n">
        <v>64.59999999999999</v>
      </c>
      <c r="RK31" s="1533" t="n">
        <v>69.90000000000001</v>
      </c>
      <c r="RL31" s="1533" t="n">
        <v>69.90000000000001</v>
      </c>
      <c r="RM31" s="1533" t="n">
        <v>70.3</v>
      </c>
      <c r="RN31" s="1533" t="n">
        <v>70.3</v>
      </c>
      <c r="RO31" s="1533" t="n">
        <v>70.3</v>
      </c>
      <c r="RP31" s="1533" t="n">
        <v>70.3</v>
      </c>
      <c r="RQ31" s="1533" t="n">
        <v>78.7</v>
      </c>
      <c r="RR31" s="1533" t="n">
        <v>78.7</v>
      </c>
      <c r="RS31" s="1533" t="n">
        <v>77</v>
      </c>
      <c r="RT31" s="1533" t="n">
        <v>77</v>
      </c>
      <c r="RU31" s="1533" t="n">
        <v>77</v>
      </c>
      <c r="RV31" s="1533" t="n">
        <v>77</v>
      </c>
      <c r="RW31" s="1533" t="n">
        <v>77</v>
      </c>
      <c r="RX31" s="1533" t="n">
        <v>77</v>
      </c>
      <c r="RY31" s="1533" t="n">
        <v>84.84999999999999</v>
      </c>
      <c r="RZ31" s="1533" t="n">
        <v>84.84999999999999</v>
      </c>
      <c r="SA31" s="1533" t="n">
        <v>108.83</v>
      </c>
      <c r="SB31" s="1533" t="n">
        <v>114.16</v>
      </c>
      <c r="SC31" s="1533" t="n">
        <v>114.16</v>
      </c>
      <c r="SD31" s="1533" t="n">
        <v>114.16</v>
      </c>
      <c r="SE31" s="1533" t="n">
        <v>115.8</v>
      </c>
      <c r="SF31" s="1533" t="n">
        <v>115.8</v>
      </c>
      <c r="SG31" s="1533" t="n">
        <v>115.5</v>
      </c>
      <c r="SH31" s="1533" t="n">
        <v>115.5</v>
      </c>
      <c r="SI31" s="1533" t="n">
        <v>115.2</v>
      </c>
      <c r="SJ31" s="1533" t="n">
        <v>115.2</v>
      </c>
      <c r="SK31" s="1533" t="n">
        <v>117.979</v>
      </c>
      <c r="SL31" s="1533" t="n">
        <v>117.979</v>
      </c>
      <c r="SM31" s="1533" t="n">
        <v>117.854</v>
      </c>
      <c r="SN31" s="1533" t="n">
        <v>117.854</v>
      </c>
      <c r="SO31" s="1533" t="n">
        <v>117.854</v>
      </c>
      <c r="SP31" s="1533" t="n">
        <v>106.727</v>
      </c>
      <c r="SQ31" s="1533" t="n">
        <v>106.727</v>
      </c>
      <c r="SR31" s="1533" t="n">
        <v>106.727</v>
      </c>
      <c r="SS31" s="1533" t="n">
        <v>139.335</v>
      </c>
      <c r="ST31" s="1533" t="n">
        <v>139.335</v>
      </c>
      <c r="SU31" s="1533" t="n">
        <v>147.15</v>
      </c>
      <c r="SV31" s="1533" t="n">
        <v>147.15</v>
      </c>
      <c r="SW31" s="1533" t="n">
        <v>147.15</v>
      </c>
      <c r="SX31" s="1533" t="n">
        <v>159.766</v>
      </c>
      <c r="SY31" s="1533" t="n">
        <v>159.766</v>
      </c>
      <c r="SZ31" s="1533" t="n">
        <v>159.766</v>
      </c>
      <c r="TA31" s="1533" t="n">
        <v>200.93</v>
      </c>
      <c r="TB31" s="1533" t="n">
        <v>200.93</v>
      </c>
      <c r="TC31" s="1533" t="n">
        <v>206.8</v>
      </c>
      <c r="TD31" s="1533" t="n">
        <v>206.8</v>
      </c>
      <c r="TE31" s="1533" t="n">
        <v>217</v>
      </c>
      <c r="TF31" s="1533" t="n">
        <v>233.15</v>
      </c>
      <c r="TG31" s="1533" t="n">
        <v>218.917</v>
      </c>
      <c r="TH31" s="1533" t="n">
        <v>204.095</v>
      </c>
      <c r="TI31" s="1533" t="n">
        <v>205.3</v>
      </c>
      <c r="TJ31" s="1533" t="n">
        <v>188.06</v>
      </c>
      <c r="TK31" s="1533" t="n">
        <v>188.813</v>
      </c>
      <c r="TL31" s="1533" t="n">
        <v>190.8</v>
      </c>
      <c r="TM31" s="1533" t="n">
        <v>193.7</v>
      </c>
      <c r="TN31" s="1533" t="n">
        <v>195.6</v>
      </c>
      <c r="TO31" s="1533" t="n">
        <v>206.86</v>
      </c>
      <c r="TP31" s="1533" t="n">
        <v>186.525</v>
      </c>
      <c r="TQ31" s="1533" t="n">
        <v>192.115</v>
      </c>
      <c r="TR31" s="1533" t="n">
        <v>208.242</v>
      </c>
      <c r="TS31" s="1533" t="n">
        <v>209.677</v>
      </c>
      <c r="TT31" s="1533" t="n">
        <v>207.7</v>
      </c>
      <c r="TU31" s="1533" t="n">
        <v>25.2</v>
      </c>
      <c r="TV31" s="1533" t="n">
        <v>25.2</v>
      </c>
      <c r="TW31" s="1533" t="n">
        <v>23</v>
      </c>
      <c r="TX31" s="1533" t="n">
        <v>30.775</v>
      </c>
      <c r="TY31" s="1533" t="n">
        <v>30.775</v>
      </c>
      <c r="TZ31" s="1533" t="n">
        <v>41.485</v>
      </c>
      <c r="UA31" s="1533" t="n">
        <v>43.45</v>
      </c>
      <c r="UB31" s="1533" t="n">
        <v>35.266</v>
      </c>
      <c r="UC31" s="1533" t="n">
        <v>35.26</v>
      </c>
      <c r="UD31" s="1533" t="n">
        <v>35.184</v>
      </c>
      <c r="UE31" s="1533" t="n">
        <v>36.8</v>
      </c>
      <c r="UF31" s="1533" t="n">
        <v>41.8</v>
      </c>
      <c r="UG31" s="1533" t="n">
        <v>29.845</v>
      </c>
      <c r="UH31" s="1533" t="n">
        <v>50.756</v>
      </c>
      <c r="UI31" s="1533" t="n">
        <v>50.797</v>
      </c>
      <c r="UJ31" s="1533" t="n">
        <v>37.35</v>
      </c>
      <c r="UK31" s="1533" t="n">
        <v>38.3</v>
      </c>
      <c r="UL31" s="1533" t="n">
        <v>42.8</v>
      </c>
      <c r="UM31" s="1533" t="n">
        <v>41</v>
      </c>
      <c r="UN31" s="1533" t="n">
        <v>45.73</v>
      </c>
      <c r="UO31" s="1533" t="n">
        <v>43.88</v>
      </c>
      <c r="UP31" s="1533" t="n">
        <v>44.5</v>
      </c>
      <c r="UQ31" s="1533" t="n">
        <v>42</v>
      </c>
      <c r="UR31" s="1533" t="n">
        <v>46.2</v>
      </c>
      <c r="US31" s="1533" t="n">
        <v>46.2</v>
      </c>
      <c r="UT31" s="1533" t="n">
        <v>46.36</v>
      </c>
      <c r="UU31" s="1533" t="n">
        <v>43.14</v>
      </c>
      <c r="UV31" s="1533" t="n">
        <v>48.868</v>
      </c>
      <c r="UW31" s="1533" t="n">
        <v>48.86</v>
      </c>
      <c r="UX31" s="1533" t="n">
        <v>53.8</v>
      </c>
      <c r="UY31" s="1533" t="n">
        <v>70.44</v>
      </c>
      <c r="UZ31" s="1533" t="n">
        <v>70.12</v>
      </c>
      <c r="VA31" s="1533" t="n">
        <v>75.8</v>
      </c>
      <c r="VB31" s="1533" t="n">
        <v>77.18000000000001</v>
      </c>
      <c r="VC31" s="1533" t="n">
        <v>69.95</v>
      </c>
      <c r="VD31" s="1533" t="n">
        <v>75.913</v>
      </c>
      <c r="VE31" s="1533" t="n">
        <v>75.913</v>
      </c>
      <c r="VF31" s="1533" t="n">
        <v>26.241</v>
      </c>
      <c r="VG31" s="1533" t="n">
        <v>27.268</v>
      </c>
      <c r="VH31" s="1533" t="n">
        <v>22.59</v>
      </c>
      <c r="VI31" s="1533" t="n">
        <v>23.39</v>
      </c>
      <c r="VJ31" s="1533" t="n">
        <v>3.3</v>
      </c>
      <c r="VK31" s="1533" t="n">
        <v>6.73</v>
      </c>
      <c r="VL31" s="1533" t="n">
        <v>36.145</v>
      </c>
      <c r="VM31" s="1533" t="n">
        <v>35.31</v>
      </c>
      <c r="VN31" s="1533" t="n">
        <v>45.29</v>
      </c>
      <c r="VO31" s="1533" t="n">
        <v>50.373</v>
      </c>
      <c r="VP31" s="1533" t="n">
        <v>49.618</v>
      </c>
      <c r="VQ31" s="1533" t="n">
        <v>51.2</v>
      </c>
      <c r="VR31" s="1533" t="n">
        <v>21.66</v>
      </c>
      <c r="VS31" s="1533" t="n">
        <v>19.3</v>
      </c>
      <c r="VT31" s="1533" t="n">
        <v>19.065</v>
      </c>
      <c r="VU31" s="1533" t="n">
        <v>17.57</v>
      </c>
      <c r="VV31" s="1533" t="n">
        <v>18.33</v>
      </c>
      <c r="VW31" s="1533" t="n">
        <v>18.2</v>
      </c>
      <c r="VX31" s="1533" t="n">
        <v>18.3</v>
      </c>
      <c r="VY31" s="1533" t="n">
        <v>21.56</v>
      </c>
      <c r="VZ31" s="1533" t="n">
        <v>21.56</v>
      </c>
      <c r="WA31" s="1533" t="n">
        <v>18.252</v>
      </c>
      <c r="WB31" s="1533" t="n">
        <v>17</v>
      </c>
      <c r="WC31" s="1533" t="n">
        <v>8.702999999999999</v>
      </c>
      <c r="WD31" s="1533" t="n">
        <v>11.01</v>
      </c>
      <c r="WE31" s="1533" t="n">
        <v>5.89</v>
      </c>
      <c r="WF31" s="1533" t="n">
        <v>5.875</v>
      </c>
      <c r="WG31" s="1533" t="n">
        <v>3.2</v>
      </c>
      <c r="WH31" s="1533" t="n">
        <v>1.71</v>
      </c>
      <c r="WI31" s="1533" t="n">
        <v>12.05</v>
      </c>
      <c r="WJ31" s="1533" t="n">
        <v>11.337</v>
      </c>
      <c r="WK31" s="1533" t="n">
        <v>11.6</v>
      </c>
      <c r="WL31" s="1533" t="n">
        <v>65.01000000000001</v>
      </c>
      <c r="WM31" s="1533" t="n">
        <v>48.51000000000001</v>
      </c>
      <c r="WN31" s="1533" t="n">
        <v>52.01</v>
      </c>
      <c r="WO31" s="1533" t="n">
        <v>54.4</v>
      </c>
      <c r="WP31" s="1533" t="n">
        <v>48.212</v>
      </c>
      <c r="WQ31" s="1533" t="n">
        <v>50.745</v>
      </c>
      <c r="WR31" s="1533" t="n">
        <v>84.09999999999999</v>
      </c>
      <c r="WS31" s="1533" t="n">
        <v>93.84</v>
      </c>
      <c r="WT31" s="1533" t="n">
        <v>91.97799999999999</v>
      </c>
      <c r="WU31" s="1533" t="n">
        <v>91.97799999999999</v>
      </c>
      <c r="WV31" s="1533" t="n">
        <v>86.492</v>
      </c>
      <c r="WW31" s="1533" t="n">
        <v>86.492</v>
      </c>
      <c r="WX31" s="1533" t="n">
        <v>80.94499999999999</v>
      </c>
      <c r="WY31" s="1533" t="n">
        <v>80.929</v>
      </c>
      <c r="WZ31" s="1533" t="n">
        <v>83.86999999999999</v>
      </c>
      <c r="XA31" s="1533" t="n">
        <v>78.73</v>
      </c>
      <c r="XB31" s="1533" t="n">
        <v>78.575</v>
      </c>
      <c r="XC31" s="1533" t="n">
        <v>82.5</v>
      </c>
      <c r="XD31" s="1533" t="n">
        <v>89.93000000000001</v>
      </c>
      <c r="XE31" s="1533" t="n">
        <v>100.653</v>
      </c>
      <c r="XF31" s="1533" t="n">
        <v>97.08799999999999</v>
      </c>
      <c r="XG31" s="1533" t="n">
        <v>111.08</v>
      </c>
      <c r="XH31" s="1533" t="n">
        <v>114.7</v>
      </c>
      <c r="XI31" s="1533" t="n">
        <v>72.17</v>
      </c>
      <c r="XJ31" s="1533" t="n">
        <v>72.789</v>
      </c>
      <c r="XK31" s="1533" t="n">
        <v>102.15</v>
      </c>
      <c r="XL31" s="1533" t="n">
        <v>89.5</v>
      </c>
      <c r="XM31" s="1533" t="n">
        <v>89.98</v>
      </c>
      <c r="XN31" s="1533" t="n">
        <v>92.663</v>
      </c>
      <c r="XO31" s="1533" t="n">
        <v>92.59999999999999</v>
      </c>
      <c r="XP31" s="1533" t="n">
        <v>58.473</v>
      </c>
      <c r="XQ31" s="1533" t="n">
        <v>77.172</v>
      </c>
      <c r="XR31" s="1533" t="n">
        <v>75.77800000000001</v>
      </c>
      <c r="XS31" s="1533" t="n">
        <v>90.904</v>
      </c>
      <c r="XT31" s="1533" t="n">
        <v>94.48699999999999</v>
      </c>
      <c r="XU31" s="1533" t="n">
        <v>84.786</v>
      </c>
      <c r="XV31" s="1533" t="n">
        <v>84.72499999999999</v>
      </c>
      <c r="XW31" s="1533" t="n">
        <v>91.69499999999999</v>
      </c>
      <c r="XX31" s="1533" t="n">
        <v>107.152</v>
      </c>
      <c r="XY31" s="1533" t="n">
        <v>107.704</v>
      </c>
      <c r="XZ31" s="1533" t="n">
        <v>107.578</v>
      </c>
      <c r="YA31" s="1533" t="n">
        <v>107.4</v>
      </c>
      <c r="YB31" s="1533" t="n">
        <v>110.1</v>
      </c>
      <c r="YC31" s="1533" t="n">
        <v>34.7</v>
      </c>
      <c r="YD31" s="1533" t="n">
        <v>54.8</v>
      </c>
      <c r="YE31" s="1533" t="n">
        <v>53.4</v>
      </c>
      <c r="YF31" s="1533" t="n">
        <v>66.89700000000001</v>
      </c>
      <c r="YG31" s="1533" t="n">
        <v>62.571</v>
      </c>
      <c r="YH31" s="1533" t="n">
        <v>73.261</v>
      </c>
      <c r="YI31" s="1533" t="n">
        <v>13.226</v>
      </c>
      <c r="YJ31" s="1543" t="n">
        <v>16.535</v>
      </c>
    </row>
    <row r="32">
      <c r="B32" s="917" t="inlineStr">
        <is>
          <t>Rechnoe</t>
        </is>
      </c>
      <c r="C32" s="1532" t="n">
        <v>70.09999999999999</v>
      </c>
      <c r="D32" s="1533" t="n">
        <v>50.6</v>
      </c>
      <c r="E32" s="1533" t="n">
        <v>50.6</v>
      </c>
      <c r="F32" s="1533" t="n">
        <v>50.6</v>
      </c>
      <c r="G32" s="1533" t="n">
        <v>50.6</v>
      </c>
      <c r="H32" s="1533" t="n">
        <v>49.3</v>
      </c>
      <c r="I32" s="1533" t="n">
        <v>49.3</v>
      </c>
      <c r="J32" s="1533" t="n">
        <v>49.3</v>
      </c>
      <c r="K32" s="1533" t="n">
        <v>49.3</v>
      </c>
      <c r="L32" s="1533" t="n">
        <v>49.3</v>
      </c>
      <c r="M32" s="1533" t="n">
        <v>49.8</v>
      </c>
      <c r="N32" s="1533" t="n">
        <v>49.8</v>
      </c>
      <c r="O32" s="1533" t="n">
        <v>45.3</v>
      </c>
      <c r="P32" s="1533" t="n">
        <v>45.3</v>
      </c>
      <c r="Q32" s="1533" t="n">
        <v>46.4</v>
      </c>
      <c r="R32" s="1533" t="n">
        <v>45.9</v>
      </c>
      <c r="S32" s="1533" t="n">
        <v>45.1</v>
      </c>
      <c r="T32" s="1533" t="n">
        <v>46.9</v>
      </c>
      <c r="U32" s="1533" t="n">
        <v>46.9</v>
      </c>
      <c r="V32" s="1533" t="n">
        <v>46.8</v>
      </c>
      <c r="W32" s="1533" t="n">
        <v>47.8</v>
      </c>
      <c r="X32" s="1533" t="n">
        <v>47.8</v>
      </c>
      <c r="Y32" s="1533" t="n">
        <v>45.6</v>
      </c>
      <c r="Z32" s="1533" t="n">
        <v>45.5</v>
      </c>
      <c r="AA32" s="1533" t="n">
        <v>41.6</v>
      </c>
      <c r="AB32" s="1533" t="n">
        <v>40.7</v>
      </c>
      <c r="AC32" s="1533" t="n">
        <v>42.6</v>
      </c>
      <c r="AD32" s="1533" t="n">
        <v>68.90000000000001</v>
      </c>
      <c r="AE32" s="1533" t="n">
        <v>67.90000000000001</v>
      </c>
      <c r="AF32" s="1533" t="n">
        <v>67.8</v>
      </c>
      <c r="AG32" s="1533" t="n">
        <v>67.40000000000001</v>
      </c>
      <c r="AH32" s="1533" t="n">
        <v>68.59999999999999</v>
      </c>
      <c r="AI32" s="1533" t="n">
        <v>68</v>
      </c>
      <c r="AJ32" s="1533" t="n">
        <v>67.40000000000001</v>
      </c>
      <c r="AK32" s="1533" t="n">
        <v>68.8</v>
      </c>
      <c r="AL32" s="1533" t="n">
        <v>68.8</v>
      </c>
      <c r="AM32" s="1533" t="n">
        <v>68.90000000000001</v>
      </c>
      <c r="AN32" s="1533" t="n">
        <v>68.90000000000001</v>
      </c>
      <c r="AO32" s="1533" t="n">
        <v>68.8</v>
      </c>
      <c r="AP32" s="1533" t="n">
        <v>66.8</v>
      </c>
      <c r="AQ32" s="1533" t="n">
        <v>66.3</v>
      </c>
      <c r="AR32" s="1533" t="n">
        <v>67.3</v>
      </c>
      <c r="AS32" s="1533" t="n">
        <v>67.5</v>
      </c>
      <c r="AT32" s="1533" t="n">
        <v>66.5</v>
      </c>
      <c r="AU32" s="1533" t="n">
        <v>66.5</v>
      </c>
      <c r="AV32" s="1533" t="n">
        <v>65.03</v>
      </c>
      <c r="AW32" s="1533" t="n">
        <v>68</v>
      </c>
      <c r="AX32" s="1533" t="n">
        <v>61.78</v>
      </c>
      <c r="AY32" s="1533" t="n">
        <v>62.3</v>
      </c>
      <c r="AZ32" s="1533" t="n">
        <v>62.3</v>
      </c>
      <c r="BA32" s="1533" t="n">
        <v>62.4</v>
      </c>
      <c r="BB32" s="1533" t="n">
        <v>62.2</v>
      </c>
      <c r="BC32" s="1533" t="n">
        <v>62.1</v>
      </c>
      <c r="BD32" s="1533" t="n">
        <v>62.4</v>
      </c>
      <c r="BE32" s="1533" t="n">
        <v>62.4</v>
      </c>
      <c r="BF32" s="1533" t="n">
        <v>62.6</v>
      </c>
      <c r="BG32" s="1533" t="n">
        <v>62.9</v>
      </c>
      <c r="BH32" s="1533" t="n">
        <v>62.8</v>
      </c>
      <c r="BI32" s="1533" t="n">
        <v>49.9</v>
      </c>
      <c r="BJ32" s="1533" t="n">
        <v>51</v>
      </c>
      <c r="BK32" s="1533" t="n">
        <v>13</v>
      </c>
      <c r="BL32" s="1533" t="n">
        <v>12.4</v>
      </c>
      <c r="BM32" s="1533" t="n">
        <v>13.3</v>
      </c>
      <c r="BN32" s="1533" t="n">
        <v>14.3</v>
      </c>
      <c r="BO32" s="1533" t="n">
        <v>14.3</v>
      </c>
      <c r="BP32" s="1533" t="n">
        <v>14.3</v>
      </c>
      <c r="BQ32" s="1533" t="n">
        <v>14.3</v>
      </c>
      <c r="BR32" s="1533" t="n">
        <v>14.3</v>
      </c>
      <c r="BS32" s="1533" t="n">
        <v>14.3</v>
      </c>
      <c r="BT32" s="1533" t="n">
        <v>14.3</v>
      </c>
      <c r="BU32" s="1533" t="n">
        <v>15</v>
      </c>
      <c r="BV32" s="1533" t="n">
        <v>12.4</v>
      </c>
      <c r="BW32" s="1533" t="n">
        <v>12.4</v>
      </c>
      <c r="BX32" s="1533" t="n">
        <v>14.3</v>
      </c>
      <c r="BY32" s="1533" t="n">
        <v>14.3</v>
      </c>
      <c r="BZ32" s="1533" t="n">
        <v>16</v>
      </c>
      <c r="CA32" s="1533" t="n">
        <v>16</v>
      </c>
      <c r="CB32" s="1533" t="n">
        <v>17.1</v>
      </c>
      <c r="CC32" s="1533" t="n">
        <v>17.1</v>
      </c>
      <c r="CD32" s="1533" t="n">
        <v>17.9</v>
      </c>
      <c r="CE32" s="1533" t="n">
        <v>20.2</v>
      </c>
      <c r="CF32" s="1533" t="n">
        <v>20.2</v>
      </c>
      <c r="CG32" s="1533" t="n">
        <v>20.2</v>
      </c>
      <c r="CH32" s="1533" t="n">
        <v>21.1</v>
      </c>
      <c r="CI32" s="1533" t="n">
        <v>21.1</v>
      </c>
      <c r="CJ32" s="1533" t="n">
        <v>22.7</v>
      </c>
      <c r="CK32" s="1533" t="n">
        <v>22.7</v>
      </c>
      <c r="CL32" s="1533" t="n">
        <v>22.8</v>
      </c>
      <c r="CM32" s="1533" t="n">
        <v>22.8</v>
      </c>
      <c r="CN32" s="1533" t="n">
        <v>22.8</v>
      </c>
      <c r="CO32" s="1533" t="n">
        <v>22.8</v>
      </c>
      <c r="CP32" s="1533" t="n">
        <v>22.3</v>
      </c>
      <c r="CQ32" s="1533" t="n">
        <v>23.4</v>
      </c>
      <c r="CR32" s="1533" t="n">
        <v>23.6</v>
      </c>
      <c r="CS32" s="1533" t="n">
        <v>23.6</v>
      </c>
      <c r="CT32" s="1533" t="n">
        <v>23.6</v>
      </c>
      <c r="CU32" s="1533" t="n">
        <v>25.5</v>
      </c>
      <c r="CV32" s="1533" t="n">
        <v>25.2</v>
      </c>
      <c r="CW32" s="1533" t="n">
        <v>26.5</v>
      </c>
      <c r="CX32" s="1533" t="n">
        <v>26.5</v>
      </c>
      <c r="CY32" s="1533" t="n">
        <v>28.4</v>
      </c>
      <c r="CZ32" s="1533" t="n">
        <v>28.4</v>
      </c>
      <c r="DA32" s="1533" t="n">
        <v>28.4</v>
      </c>
      <c r="DB32" s="1533" t="n">
        <v>88.59999999999999</v>
      </c>
      <c r="DC32" s="1533" t="n">
        <v>88.59999999999999</v>
      </c>
      <c r="DD32" s="1533" t="n">
        <v>88.59999999999999</v>
      </c>
      <c r="DE32" s="1533" t="n">
        <v>87.7</v>
      </c>
      <c r="DF32" s="1533" t="n">
        <v>87.7</v>
      </c>
      <c r="DG32" s="1533" t="n">
        <v>88.8</v>
      </c>
      <c r="DH32" s="1533" t="n">
        <v>88</v>
      </c>
      <c r="DI32" s="1533" t="n">
        <v>88</v>
      </c>
      <c r="DJ32" s="1533" t="n">
        <v>84.8</v>
      </c>
      <c r="DK32" s="1533" t="n">
        <v>29.6</v>
      </c>
      <c r="DL32" s="1533" t="n">
        <v>29.6</v>
      </c>
      <c r="DM32" s="1533" t="n">
        <v>29.6</v>
      </c>
      <c r="DN32" s="1533" t="n">
        <v>31.2</v>
      </c>
      <c r="DO32" s="1533" t="n">
        <v>30.5</v>
      </c>
      <c r="DP32" s="1533" t="n">
        <v>30.5</v>
      </c>
      <c r="DQ32" s="1533" t="n">
        <v>30.5</v>
      </c>
      <c r="DR32" s="1533" t="n">
        <v>30.5</v>
      </c>
      <c r="DS32" s="1533" t="n">
        <v>30.5</v>
      </c>
      <c r="DT32" s="1533" t="n">
        <v>31.2</v>
      </c>
      <c r="DU32" s="1533" t="n">
        <v>31.2</v>
      </c>
      <c r="DV32" s="1533" t="n">
        <v>31.2</v>
      </c>
      <c r="DW32" s="1533" t="n">
        <v>32.4</v>
      </c>
      <c r="DX32" s="1533" t="n">
        <v>32.4</v>
      </c>
      <c r="DY32" s="1533" t="n">
        <v>32.4</v>
      </c>
      <c r="DZ32" s="1533" t="n">
        <v>35.6</v>
      </c>
      <c r="EA32" s="1533" t="n">
        <v>35.6</v>
      </c>
      <c r="EB32" s="1533" t="n">
        <v>35.6</v>
      </c>
      <c r="EC32" s="1533" t="n">
        <v>35.6</v>
      </c>
      <c r="ED32" s="1533" t="n">
        <v>36.2</v>
      </c>
      <c r="EE32" s="1533" t="n">
        <v>36.2</v>
      </c>
      <c r="EF32" s="1533" t="n">
        <v>36.2</v>
      </c>
      <c r="EG32" s="1533" t="n">
        <v>37.1</v>
      </c>
      <c r="EH32" s="1533" t="n">
        <v>38.2</v>
      </c>
      <c r="EI32" s="1533" t="n">
        <v>37.9</v>
      </c>
      <c r="EJ32" s="1533" t="n">
        <v>38.48</v>
      </c>
      <c r="EK32" s="1533" t="n">
        <v>38.9</v>
      </c>
      <c r="EL32" s="1533" t="n">
        <v>38.9</v>
      </c>
      <c r="EM32" s="1533" t="n">
        <v>38.9</v>
      </c>
      <c r="EN32" s="1533" t="n">
        <v>39.8</v>
      </c>
      <c r="EO32" s="1533" t="n">
        <v>41.35</v>
      </c>
      <c r="EP32" s="1533" t="n">
        <v>41.35</v>
      </c>
      <c r="EQ32" s="1533" t="n">
        <v>41.7</v>
      </c>
      <c r="ER32" s="1533" t="n">
        <v>41.7</v>
      </c>
      <c r="ES32" s="1533" t="n">
        <v>41.7</v>
      </c>
      <c r="ET32" s="1533" t="n">
        <v>42.7</v>
      </c>
      <c r="EU32" s="1533" t="n">
        <v>42.7</v>
      </c>
      <c r="EV32" s="1533" t="n">
        <v>42.7</v>
      </c>
      <c r="EW32" s="1533" t="n">
        <v>42.2</v>
      </c>
      <c r="EX32" s="1533" t="n">
        <v>43.1</v>
      </c>
      <c r="EY32" s="1533" t="n">
        <v>43.9</v>
      </c>
      <c r="EZ32" s="1533" t="n">
        <v>44.6</v>
      </c>
      <c r="FA32" s="1533" t="n">
        <v>46.9</v>
      </c>
      <c r="FB32" s="1533" t="n">
        <v>46.9</v>
      </c>
      <c r="FC32" s="1533" t="n">
        <v>46.9</v>
      </c>
      <c r="FD32" s="1533" t="n">
        <v>46.9</v>
      </c>
      <c r="FE32" s="1533" t="n">
        <v>48.6</v>
      </c>
      <c r="FF32" s="1533">
        <f>3+45.5</f>
        <v/>
      </c>
      <c r="FG32" s="1533">
        <f>3.3+45.5</f>
        <v/>
      </c>
      <c r="FH32" s="1533" t="n">
        <v>48.8</v>
      </c>
      <c r="FI32" s="1533" t="n">
        <v>48.8</v>
      </c>
      <c r="FJ32" s="1533" t="n">
        <v>48.9</v>
      </c>
      <c r="FK32" s="1533" t="n">
        <v>48.9</v>
      </c>
      <c r="FL32" s="1533" t="n">
        <v>69.31999999999999</v>
      </c>
      <c r="FM32" s="1533" t="n">
        <v>48.2</v>
      </c>
      <c r="FN32" s="1533" t="n">
        <v>48.2</v>
      </c>
      <c r="FO32" s="1533">
        <f>2.7+45.5</f>
        <v/>
      </c>
      <c r="FP32" s="1533">
        <f>2.7+45.5</f>
        <v/>
      </c>
      <c r="FQ32" s="1533">
        <f>2.45+45.5</f>
        <v/>
      </c>
      <c r="FR32" s="1533" t="n">
        <v>47.95</v>
      </c>
      <c r="FS32" s="1533" t="n">
        <v>47.95</v>
      </c>
      <c r="FT32" s="1533">
        <f>2.45+45.5</f>
        <v/>
      </c>
      <c r="FU32" s="1533">
        <f>5+45.5</f>
        <v/>
      </c>
      <c r="FV32" s="1533">
        <f>5.7+45.5</f>
        <v/>
      </c>
      <c r="FW32" s="1533">
        <f>5.79+45.5</f>
        <v/>
      </c>
      <c r="FX32" s="1533">
        <f>5.79+45.5</f>
        <v/>
      </c>
      <c r="FY32" s="1533">
        <f>5.79+45.5</f>
        <v/>
      </c>
      <c r="FZ32" s="1533">
        <f>9.45+45.5</f>
        <v/>
      </c>
      <c r="GA32" s="1533">
        <f>8.45+45.5</f>
        <v/>
      </c>
      <c r="GB32" s="1533" t="n">
        <v>8.4</v>
      </c>
      <c r="GC32" s="1533" t="n">
        <v>8.550000000000001</v>
      </c>
      <c r="GD32" s="1533" t="n">
        <v>8.550000000000001</v>
      </c>
      <c r="GE32" s="1533" t="n">
        <v>8.6</v>
      </c>
      <c r="GF32" s="1533" t="n">
        <v>10.1</v>
      </c>
      <c r="GG32" s="1533" t="n">
        <v>10.6</v>
      </c>
      <c r="GH32" s="1533" t="n">
        <v>10.6</v>
      </c>
      <c r="GI32" s="1533" t="n">
        <v>14.7</v>
      </c>
      <c r="GJ32" s="1533" t="n">
        <v>13</v>
      </c>
      <c r="GK32" s="1533" t="n">
        <v>13</v>
      </c>
      <c r="GL32" s="1533" t="n">
        <v>12.5</v>
      </c>
      <c r="GM32" s="1533" t="n">
        <v>12.5</v>
      </c>
      <c r="GN32" s="1533" t="n">
        <v>12</v>
      </c>
      <c r="GO32" s="1533" t="n">
        <v>12</v>
      </c>
      <c r="GP32" s="1533" t="n">
        <v>12</v>
      </c>
      <c r="GQ32" s="1533" t="n">
        <v>9.800000000000001</v>
      </c>
      <c r="GR32" s="1533" t="n">
        <v>8.1</v>
      </c>
      <c r="GS32" s="1533" t="n">
        <v>7.8</v>
      </c>
      <c r="GT32" s="1533" t="n">
        <v>8.5</v>
      </c>
      <c r="GU32" s="1533" t="n">
        <v>5.5</v>
      </c>
      <c r="GV32" s="1533" t="n">
        <v>6.3</v>
      </c>
      <c r="GW32" s="1533" t="n">
        <v>6.5</v>
      </c>
      <c r="GX32" s="1533" t="n">
        <v>5.5</v>
      </c>
      <c r="GY32" s="1533" t="n">
        <v>5.5</v>
      </c>
      <c r="GZ32" s="1533" t="n">
        <v>6.3</v>
      </c>
      <c r="HA32" s="1533" t="n">
        <v>7.6</v>
      </c>
      <c r="HB32" s="1533" t="n">
        <v>9.5</v>
      </c>
      <c r="HC32" s="1533" t="n">
        <v>10</v>
      </c>
      <c r="HD32" s="1533" t="n">
        <v>10</v>
      </c>
      <c r="HE32" s="1533" t="n">
        <v>9.1</v>
      </c>
      <c r="HF32" s="1533" t="n">
        <v>9.9</v>
      </c>
      <c r="HG32" s="1533" t="n">
        <v>8.9</v>
      </c>
      <c r="HH32" s="1533" t="n">
        <v>9.6</v>
      </c>
      <c r="HI32" s="1533" t="n">
        <v>12.5</v>
      </c>
      <c r="HJ32" s="1533" t="n">
        <v>12.5</v>
      </c>
      <c r="HK32" s="1533" t="n">
        <v>16.4</v>
      </c>
      <c r="HL32" s="1533" t="n">
        <v>16.35</v>
      </c>
      <c r="HM32" s="1533" t="n">
        <v>15.7</v>
      </c>
      <c r="HN32" s="1533" t="n">
        <v>15.5</v>
      </c>
      <c r="HO32" s="1533" t="n">
        <v>101.2</v>
      </c>
      <c r="HP32" s="1533" t="n">
        <v>102.4</v>
      </c>
      <c r="HQ32" s="1533" t="n">
        <v>100.5</v>
      </c>
      <c r="HR32" s="1533" t="n">
        <v>100.7</v>
      </c>
      <c r="HS32" s="1533" t="n">
        <v>100.7</v>
      </c>
      <c r="HT32" s="1533" t="n">
        <v>101.6</v>
      </c>
      <c r="HU32" s="1533" t="n">
        <v>101.6</v>
      </c>
      <c r="HV32" s="1533" t="n">
        <v>86.5</v>
      </c>
      <c r="HW32" s="1533" t="n">
        <v>86.5</v>
      </c>
      <c r="HX32" s="1533" t="n">
        <v>86.5</v>
      </c>
      <c r="HY32" s="1533" t="n">
        <v>86.5</v>
      </c>
      <c r="HZ32" s="1533" t="n">
        <v>86.5</v>
      </c>
      <c r="IA32" s="1533" t="n">
        <v>86.5</v>
      </c>
      <c r="IB32" s="1533" t="n">
        <v>86.5</v>
      </c>
      <c r="IC32" s="1533" t="n">
        <v>86.5</v>
      </c>
      <c r="ID32" s="1533" t="n">
        <v>86.5</v>
      </c>
      <c r="IE32" s="1533" t="n">
        <v>89.8</v>
      </c>
      <c r="IF32" s="1533" t="n">
        <v>89.8</v>
      </c>
      <c r="IG32" s="1533" t="n">
        <v>91.2</v>
      </c>
      <c r="IH32" s="1533" t="n">
        <v>92.2</v>
      </c>
      <c r="II32" s="1533" t="n">
        <v>92.2</v>
      </c>
      <c r="IJ32" s="1533" t="n">
        <v>92.2</v>
      </c>
      <c r="IK32" s="1533" t="n">
        <v>85.64999999999999</v>
      </c>
      <c r="IL32" s="1533" t="n">
        <v>85.64999999999999</v>
      </c>
      <c r="IM32" s="1533" t="n">
        <v>85.64999999999999</v>
      </c>
      <c r="IN32" s="1533" t="n">
        <v>87.14999999999999</v>
      </c>
      <c r="IO32" s="1533" t="n">
        <v>87.14999999999999</v>
      </c>
      <c r="IP32" s="1533" t="n">
        <v>78.26100000000001</v>
      </c>
      <c r="IQ32" s="1533" t="n">
        <v>78.94</v>
      </c>
      <c r="IR32" s="1533" t="n">
        <v>78.94</v>
      </c>
      <c r="IS32" s="1533" t="n">
        <v>80.5</v>
      </c>
      <c r="IT32" s="1533" t="n">
        <v>80.8</v>
      </c>
      <c r="IU32" s="1533" t="n">
        <v>80.8</v>
      </c>
      <c r="IV32" s="1533" t="n">
        <v>80.8</v>
      </c>
      <c r="IW32" s="1533" t="n">
        <v>80.5</v>
      </c>
      <c r="IX32" s="1533" t="n">
        <v>80.5</v>
      </c>
      <c r="IY32" s="1533" t="n">
        <v>80.5</v>
      </c>
      <c r="IZ32" s="1533" t="n">
        <v>82.59999999999999</v>
      </c>
      <c r="JA32" s="1533" t="n">
        <v>83.40000000000001</v>
      </c>
      <c r="JB32" s="1533" t="n">
        <v>83.40000000000001</v>
      </c>
      <c r="JC32" s="1533" t="n">
        <v>83.40000000000001</v>
      </c>
      <c r="JD32" s="1533" t="n">
        <v>83.40000000000001</v>
      </c>
      <c r="JE32" s="1533" t="n">
        <v>83.40000000000001</v>
      </c>
      <c r="JF32" s="1533" t="n">
        <v>83.40000000000001</v>
      </c>
      <c r="JG32" s="1533" t="n">
        <v>78.7</v>
      </c>
      <c r="JH32" s="1533" t="n">
        <v>78.7</v>
      </c>
      <c r="JI32" s="1533" t="n">
        <v>78.7</v>
      </c>
      <c r="JJ32" s="1533" t="n">
        <v>82.09999999999999</v>
      </c>
      <c r="JK32" s="1533" t="n">
        <v>82</v>
      </c>
      <c r="JL32" s="1533" t="n">
        <v>83.09999999999999</v>
      </c>
      <c r="JM32" s="1533" t="n">
        <v>81.59999999999999</v>
      </c>
      <c r="JN32" s="1533" t="n">
        <v>81.59999999999999</v>
      </c>
      <c r="JO32" s="1533" t="n">
        <v>81.59999999999999</v>
      </c>
      <c r="JP32" s="1533" t="n">
        <v>79.5</v>
      </c>
      <c r="JQ32" s="1533" t="n">
        <v>79.5</v>
      </c>
      <c r="JR32" s="1533" t="n">
        <v>80.5</v>
      </c>
      <c r="JS32" s="1533" t="n">
        <v>80.5</v>
      </c>
      <c r="JT32" s="1533" t="n">
        <v>109.5</v>
      </c>
      <c r="JU32" s="1533" t="n">
        <v>109.5</v>
      </c>
      <c r="JV32" s="1533" t="n">
        <v>109.5</v>
      </c>
      <c r="JW32" s="1533" t="n">
        <v>109.5</v>
      </c>
      <c r="JX32" s="1533" t="n">
        <v>109.5</v>
      </c>
      <c r="JY32" s="1533" t="n">
        <v>109.5</v>
      </c>
      <c r="JZ32" s="1533" t="n">
        <v>109.5</v>
      </c>
      <c r="KA32" s="1533" t="n">
        <v>116.2</v>
      </c>
      <c r="KB32" s="1533" t="n">
        <v>118.9</v>
      </c>
      <c r="KC32" s="1533" t="n">
        <v>116</v>
      </c>
      <c r="KD32" s="1533" t="n">
        <v>82.76300000000001</v>
      </c>
      <c r="KE32" s="1533" t="n">
        <v>82.76300000000001</v>
      </c>
      <c r="KF32" s="1533" t="n">
        <v>82</v>
      </c>
      <c r="KG32" s="1533" t="n">
        <v>84.2</v>
      </c>
      <c r="KH32" s="1533" t="n">
        <v>84.2</v>
      </c>
      <c r="KI32" s="1533" t="n">
        <v>82</v>
      </c>
      <c r="KJ32" s="1533" t="n">
        <v>82</v>
      </c>
      <c r="KK32" s="1533" t="n">
        <v>82</v>
      </c>
      <c r="KL32" s="1533" t="n">
        <v>82</v>
      </c>
      <c r="KM32" s="1533" t="n">
        <v>82</v>
      </c>
      <c r="KN32" s="1533" t="n">
        <v>69.7</v>
      </c>
      <c r="KO32" s="1533" t="n">
        <v>77</v>
      </c>
      <c r="KP32" s="1533" t="n">
        <v>77</v>
      </c>
      <c r="KQ32" s="1533" t="n">
        <v>77</v>
      </c>
      <c r="KR32" s="1533" t="n">
        <v>77</v>
      </c>
      <c r="KS32" s="1533" t="n">
        <v>72.8</v>
      </c>
      <c r="KT32" s="1533" t="n">
        <v>72.8</v>
      </c>
      <c r="KU32" s="1533" t="n">
        <v>74.2</v>
      </c>
      <c r="KV32" s="1533" t="n">
        <v>71.7</v>
      </c>
      <c r="KW32" s="1533" t="n">
        <v>71.7</v>
      </c>
      <c r="KX32" s="1533" t="n">
        <v>71.7</v>
      </c>
      <c r="KY32" s="1533" t="n">
        <v>71.7</v>
      </c>
      <c r="KZ32" s="1533" t="n">
        <v>67.15000000000001</v>
      </c>
      <c r="LA32" s="1533" t="n">
        <v>67.15000000000001</v>
      </c>
      <c r="LB32" s="1533" t="n">
        <v>68.5</v>
      </c>
      <c r="LC32" s="1533" t="n">
        <v>68.5</v>
      </c>
      <c r="LD32" s="1533" t="n">
        <v>68.5</v>
      </c>
      <c r="LE32" s="1533" t="n">
        <v>67.3</v>
      </c>
      <c r="LF32" s="1533" t="n">
        <v>67.7</v>
      </c>
      <c r="LG32" s="1533" t="n">
        <v>67.7</v>
      </c>
      <c r="LH32" s="1533" t="n">
        <v>67.7</v>
      </c>
      <c r="LI32" s="1533" t="n">
        <v>66.09999999999999</v>
      </c>
      <c r="LJ32" s="1533" t="n">
        <v>66.09999999999999</v>
      </c>
      <c r="LK32" s="1533" t="n">
        <v>66.09999999999999</v>
      </c>
      <c r="LL32" s="1533" t="n">
        <v>67.125</v>
      </c>
      <c r="LM32" s="1533" t="n">
        <v>67.125</v>
      </c>
      <c r="LN32" s="1533" t="n">
        <v>67.19</v>
      </c>
      <c r="LO32" s="1533" t="n">
        <v>67.19</v>
      </c>
      <c r="LP32" s="1533" t="n">
        <v>67.19</v>
      </c>
      <c r="LQ32" s="1533" t="n">
        <v>67.081</v>
      </c>
      <c r="LR32" s="1533" t="n">
        <v>66.035</v>
      </c>
      <c r="LS32" s="1533" t="n">
        <v>66.035</v>
      </c>
      <c r="LT32" s="1533" t="n">
        <v>68</v>
      </c>
      <c r="LU32" s="1533" t="n">
        <v>68</v>
      </c>
      <c r="LV32" s="1533" t="n">
        <v>67.5</v>
      </c>
      <c r="LW32" s="1533" t="n">
        <v>67.5</v>
      </c>
      <c r="LX32" s="1533" t="n">
        <v>66.3</v>
      </c>
      <c r="LY32" s="1533" t="n">
        <v>66.3</v>
      </c>
      <c r="LZ32" s="1533" t="n">
        <v>67.5</v>
      </c>
      <c r="MA32" s="1533" t="n">
        <v>67.5</v>
      </c>
      <c r="MB32" s="1533" t="n">
        <v>67.5</v>
      </c>
      <c r="MC32" s="1533" t="n">
        <v>67.5</v>
      </c>
      <c r="MD32" s="1533" t="n">
        <v>111.734</v>
      </c>
      <c r="ME32" s="1533" t="n">
        <v>113.1</v>
      </c>
      <c r="MF32" s="1533" t="n">
        <v>113.1</v>
      </c>
      <c r="MG32" s="1533" t="n">
        <v>113.1</v>
      </c>
      <c r="MH32" s="1533" t="n">
        <v>123.103</v>
      </c>
      <c r="MI32" s="1533" t="n">
        <v>123.103</v>
      </c>
      <c r="MJ32" s="1533" t="n">
        <v>124</v>
      </c>
      <c r="MK32" s="1533" t="n">
        <v>124.647</v>
      </c>
      <c r="ML32" s="1533" t="n">
        <v>124.647</v>
      </c>
      <c r="MM32" s="1533" t="n">
        <v>124.647</v>
      </c>
      <c r="MN32" s="1533" t="n">
        <v>124.647</v>
      </c>
      <c r="MO32" s="1533" t="n">
        <v>124.647</v>
      </c>
      <c r="MP32" s="1533" t="n">
        <v>124.647</v>
      </c>
      <c r="MQ32" s="1533" t="n">
        <v>109.69</v>
      </c>
      <c r="MR32" s="1533" t="n">
        <v>109.69</v>
      </c>
      <c r="MS32" s="1533" t="n">
        <v>108.8</v>
      </c>
      <c r="MT32" s="1533" t="n">
        <v>108.9</v>
      </c>
      <c r="MU32" s="1533" t="n">
        <v>108.9</v>
      </c>
      <c r="MV32" s="1533" t="n">
        <v>108.9</v>
      </c>
      <c r="MW32" s="1533" t="n">
        <v>107.9</v>
      </c>
      <c r="MX32" s="1533" t="n">
        <v>110</v>
      </c>
      <c r="MY32" s="1533" t="n">
        <v>110</v>
      </c>
      <c r="MZ32" s="1533" t="n">
        <v>110</v>
      </c>
      <c r="NA32" s="1533" t="n">
        <v>110</v>
      </c>
      <c r="NB32" s="1533" t="n">
        <v>110</v>
      </c>
      <c r="NC32" s="1533" t="n">
        <v>110</v>
      </c>
      <c r="ND32" s="1533" t="n">
        <v>110</v>
      </c>
      <c r="NE32" s="1533" t="n">
        <v>110</v>
      </c>
      <c r="NF32" s="1533" t="n">
        <v>104.5</v>
      </c>
      <c r="NG32" s="1533" t="n">
        <v>105.4</v>
      </c>
      <c r="NH32" s="1533" t="n">
        <v>106.4</v>
      </c>
      <c r="NI32" s="1533" t="n">
        <v>108.5</v>
      </c>
      <c r="NJ32" s="1533" t="n">
        <v>108.5</v>
      </c>
      <c r="NK32" s="1533" t="n">
        <v>87.09999999999999</v>
      </c>
      <c r="NL32" s="1533" t="n">
        <v>87.09999999999999</v>
      </c>
      <c r="NM32" s="1533" t="n">
        <v>106.9</v>
      </c>
      <c r="NN32" s="1533" t="n">
        <v>106.9</v>
      </c>
      <c r="NO32" s="1533" t="n">
        <v>106.9</v>
      </c>
      <c r="NP32" s="1533" t="n">
        <v>102.3</v>
      </c>
      <c r="NQ32" s="1533" t="n">
        <v>102.3</v>
      </c>
      <c r="NR32" s="1533" t="n">
        <v>103</v>
      </c>
      <c r="NS32" s="1533" t="n">
        <v>103</v>
      </c>
      <c r="NT32" s="1533" t="n">
        <v>103</v>
      </c>
      <c r="NU32" s="1533" t="n">
        <v>102.7</v>
      </c>
      <c r="NV32" s="1533" t="n">
        <v>101.7</v>
      </c>
      <c r="NW32" s="1533" t="n">
        <v>101.7</v>
      </c>
      <c r="NX32" s="1533" t="n">
        <v>101.7</v>
      </c>
      <c r="NY32" s="1533" t="n">
        <v>97.19999999999999</v>
      </c>
      <c r="NZ32" s="1533" t="n">
        <v>98.19999999999999</v>
      </c>
      <c r="OA32" s="1533" t="n">
        <v>98.19999999999999</v>
      </c>
      <c r="OB32" s="1533" t="n">
        <v>98.19999999999999</v>
      </c>
      <c r="OC32" s="1533" t="n">
        <v>100.5</v>
      </c>
      <c r="OD32" s="1533" t="n">
        <v>100.5</v>
      </c>
      <c r="OE32" s="1533" t="n">
        <v>100.5</v>
      </c>
      <c r="OF32" s="1533" t="n">
        <v>100.5</v>
      </c>
      <c r="OG32" s="1533" t="n">
        <v>101.1</v>
      </c>
      <c r="OH32" s="1533" t="n">
        <v>101.1</v>
      </c>
      <c r="OI32" s="1533" t="n">
        <v>95.3</v>
      </c>
      <c r="OJ32" s="1533" t="n">
        <v>95.3</v>
      </c>
      <c r="OK32" s="1533" t="n">
        <v>95.3</v>
      </c>
      <c r="OL32" s="1533" t="n">
        <v>96.5</v>
      </c>
      <c r="OM32" s="1533" t="n">
        <v>96.5</v>
      </c>
      <c r="ON32" s="1533" t="n">
        <v>96.5</v>
      </c>
      <c r="OO32" s="1533" t="n">
        <v>93.3</v>
      </c>
      <c r="OP32" s="1533" t="n">
        <v>93.3</v>
      </c>
      <c r="OQ32" s="1533" t="n">
        <v>93.3</v>
      </c>
      <c r="OR32" s="1533" t="n">
        <v>93.3</v>
      </c>
      <c r="OS32" s="1533" t="n">
        <v>92.3</v>
      </c>
      <c r="OT32" s="1533" t="n">
        <v>93.2</v>
      </c>
      <c r="OU32" s="1533" t="n">
        <v>93.2</v>
      </c>
      <c r="OV32" s="1533" t="n">
        <v>93.2</v>
      </c>
      <c r="OW32" s="1533" t="n">
        <v>97.3</v>
      </c>
      <c r="OX32" s="1533" t="n">
        <v>97.3</v>
      </c>
      <c r="OY32" s="1533" t="n">
        <v>67.328</v>
      </c>
      <c r="OZ32" s="1533" t="n">
        <v>67.328</v>
      </c>
      <c r="PA32" s="1533" t="n">
        <v>67.328</v>
      </c>
      <c r="PB32" s="1533" t="n">
        <v>65.40000000000001</v>
      </c>
      <c r="PC32" s="1533" t="n">
        <v>65.40000000000001</v>
      </c>
      <c r="PD32" s="1533" t="n">
        <v>65.40000000000001</v>
      </c>
      <c r="PE32" s="1533" t="n">
        <v>68.2</v>
      </c>
      <c r="PF32" s="1533" t="n">
        <v>68.2</v>
      </c>
      <c r="PG32" s="1533" t="n">
        <v>68.2</v>
      </c>
      <c r="PH32" s="1533" t="n">
        <v>68.2</v>
      </c>
      <c r="PI32" s="1533" t="n">
        <v>65</v>
      </c>
      <c r="PJ32" s="1533" t="n">
        <v>66.8</v>
      </c>
      <c r="PK32" s="1533" t="n">
        <v>66.8</v>
      </c>
      <c r="PL32" s="1533" t="n">
        <v>66.8</v>
      </c>
      <c r="PM32" s="1533" t="n">
        <v>66.8</v>
      </c>
      <c r="PN32" s="1533" t="n">
        <v>64.59999999999999</v>
      </c>
      <c r="PO32" s="1533" t="n">
        <v>64.59999999999999</v>
      </c>
      <c r="PP32" s="1533" t="n">
        <v>64.59999999999999</v>
      </c>
      <c r="PQ32" s="1533" t="n">
        <v>13.4</v>
      </c>
      <c r="PR32" s="1533" t="n">
        <v>13.4</v>
      </c>
      <c r="PS32" s="1533" t="n">
        <v>66.90000000000001</v>
      </c>
      <c r="PT32" s="1533" t="n">
        <v>66.90000000000001</v>
      </c>
      <c r="PU32" s="1533" t="n">
        <v>62.6</v>
      </c>
      <c r="PV32" s="1533" t="n">
        <v>62.6</v>
      </c>
      <c r="PW32" s="1533" t="n">
        <v>62.6</v>
      </c>
      <c r="PX32" s="1533" t="n">
        <v>64.2</v>
      </c>
      <c r="PY32" s="1533" t="n">
        <v>65.8</v>
      </c>
      <c r="PZ32" s="1533" t="n">
        <v>65.8</v>
      </c>
      <c r="QA32" s="1533" t="n">
        <v>65.8</v>
      </c>
      <c r="QB32" s="1533" t="n">
        <v>61.7</v>
      </c>
      <c r="QC32" s="1533" t="n">
        <v>62.1</v>
      </c>
      <c r="QD32" s="1533" t="n">
        <v>62.1</v>
      </c>
      <c r="QE32" s="1533" t="n">
        <v>61.5</v>
      </c>
      <c r="QF32" s="1533" t="n">
        <v>61.5</v>
      </c>
      <c r="QG32" s="1533" t="n">
        <v>61.5</v>
      </c>
      <c r="QH32" s="1533" t="n">
        <v>61.5</v>
      </c>
      <c r="QI32" s="1533" t="n">
        <v>59.7</v>
      </c>
      <c r="QJ32" s="1533" t="n">
        <v>59.7</v>
      </c>
      <c r="QK32" s="1533" t="n">
        <v>55</v>
      </c>
      <c r="QL32" s="1533" t="n">
        <v>55</v>
      </c>
      <c r="QM32" s="1533" t="n">
        <v>55</v>
      </c>
      <c r="QN32" s="1533" t="n">
        <v>52.4</v>
      </c>
      <c r="QO32" s="1533" t="n">
        <v>52.5</v>
      </c>
      <c r="QP32" s="1533" t="n">
        <v>52.5</v>
      </c>
      <c r="QQ32" s="1533" t="n">
        <v>53.2</v>
      </c>
      <c r="QR32" s="1533" t="n">
        <v>53.2</v>
      </c>
      <c r="QS32" s="1533" t="n">
        <v>52.8</v>
      </c>
      <c r="QT32" s="1533" t="n">
        <v>73.8</v>
      </c>
      <c r="QU32" s="1533" t="n">
        <v>73.8</v>
      </c>
      <c r="QV32" s="1533" t="n">
        <v>73.8</v>
      </c>
      <c r="QW32" s="1533" t="n">
        <v>73.8</v>
      </c>
      <c r="QX32" s="1533" t="n">
        <v>73.8</v>
      </c>
      <c r="QY32" s="1533" t="n">
        <v>72.31999999999999</v>
      </c>
      <c r="QZ32" s="1533" t="n">
        <v>72.31999999999999</v>
      </c>
      <c r="RA32" s="1533" t="n">
        <v>72.59999999999999</v>
      </c>
      <c r="RB32" s="1533" t="n">
        <v>72.59999999999999</v>
      </c>
      <c r="RC32" s="1533" t="n">
        <v>72.59999999999999</v>
      </c>
      <c r="RD32" s="1533" t="n">
        <v>72.59999999999999</v>
      </c>
      <c r="RE32" s="1533" t="n">
        <v>56.5</v>
      </c>
      <c r="RF32" s="1533" t="n">
        <v>56.5</v>
      </c>
      <c r="RG32" s="1533" t="n">
        <v>56.5</v>
      </c>
      <c r="RH32" s="1533" t="n">
        <v>53.9</v>
      </c>
      <c r="RI32" s="1533" t="n">
        <v>52.6</v>
      </c>
      <c r="RJ32" s="1533" t="n">
        <v>52.6</v>
      </c>
      <c r="RK32" s="1533" t="n">
        <v>53.8</v>
      </c>
      <c r="RL32" s="1533" t="n">
        <v>53.8</v>
      </c>
      <c r="RM32" s="1533" t="n">
        <v>52.6</v>
      </c>
      <c r="RN32" s="1533" t="n">
        <v>52.6</v>
      </c>
      <c r="RO32" s="1533" t="n">
        <v>52.6</v>
      </c>
      <c r="RP32" s="1533" t="n">
        <v>52.6</v>
      </c>
      <c r="RQ32" s="1533" t="n">
        <v>54.4</v>
      </c>
      <c r="RR32" s="1533" t="n">
        <v>54.4</v>
      </c>
      <c r="RS32" s="1533" t="n">
        <v>53.6</v>
      </c>
      <c r="RT32" s="1533" t="n">
        <v>53.6</v>
      </c>
      <c r="RU32" s="1533" t="n">
        <v>53.6</v>
      </c>
      <c r="RV32" s="1533" t="n">
        <v>53.6</v>
      </c>
      <c r="RW32" s="1533" t="n">
        <v>53.6</v>
      </c>
      <c r="RX32" s="1533" t="n">
        <v>53.6</v>
      </c>
      <c r="RY32" s="1533" t="n">
        <v>51.72</v>
      </c>
      <c r="RZ32" s="1533" t="n">
        <v>51.72</v>
      </c>
      <c r="SA32" s="1533" t="n">
        <v>53.1</v>
      </c>
      <c r="SB32" s="1533" t="n">
        <v>51.82</v>
      </c>
      <c r="SC32" s="1533" t="n">
        <v>51.82</v>
      </c>
      <c r="SD32" s="1533" t="n">
        <v>51.82</v>
      </c>
      <c r="SE32" s="1533" t="n">
        <v>52.56</v>
      </c>
      <c r="SF32" s="1533" t="n">
        <v>52.56</v>
      </c>
      <c r="SG32" s="1533" t="n">
        <v>53.2</v>
      </c>
      <c r="SH32" s="1533" t="n">
        <v>53.2</v>
      </c>
      <c r="SI32" s="1533" t="n">
        <v>53.5</v>
      </c>
      <c r="SJ32" s="1533" t="n">
        <v>53.5</v>
      </c>
      <c r="SK32" s="1533" t="n">
        <v>53</v>
      </c>
      <c r="SL32" s="1533" t="n">
        <v>53</v>
      </c>
      <c r="SM32" s="1533" t="n">
        <v>51.5</v>
      </c>
      <c r="SN32" s="1533" t="n">
        <v>51.5</v>
      </c>
      <c r="SO32" s="1533" t="n">
        <v>51.5</v>
      </c>
      <c r="SP32" s="1533" t="n">
        <v>54</v>
      </c>
      <c r="SQ32" s="1533" t="n">
        <v>54</v>
      </c>
      <c r="SR32" s="1533" t="n">
        <v>54</v>
      </c>
      <c r="SS32" s="1533" t="n">
        <v>53.832</v>
      </c>
      <c r="ST32" s="1533" t="n">
        <v>53.832</v>
      </c>
      <c r="SU32" s="1533" t="n">
        <v>54.1</v>
      </c>
      <c r="SV32" s="1533" t="n">
        <v>54.1</v>
      </c>
      <c r="SW32" s="1533" t="n">
        <v>54.1</v>
      </c>
      <c r="SX32" s="1533" t="n">
        <v>53.6</v>
      </c>
      <c r="SY32" s="1533" t="n">
        <v>53.6</v>
      </c>
      <c r="SZ32" s="1533" t="n">
        <v>53.6</v>
      </c>
      <c r="TA32" s="1533" t="n">
        <v>64.59999999999999</v>
      </c>
      <c r="TB32" s="1533" t="n">
        <v>64.59999999999999</v>
      </c>
      <c r="TC32" s="1533" t="n">
        <v>66.90000000000001</v>
      </c>
      <c r="TD32" s="1533" t="n">
        <v>66.90000000000001</v>
      </c>
      <c r="TE32" s="1533" t="n">
        <v>66.5</v>
      </c>
      <c r="TF32" s="1533" t="n">
        <v>61.4</v>
      </c>
      <c r="TG32" s="1533" t="n">
        <v>53.40000000000001</v>
      </c>
      <c r="TH32" s="1533" t="n">
        <v>52.6</v>
      </c>
      <c r="TI32" s="1533" t="n">
        <v>53.2</v>
      </c>
      <c r="TJ32" s="1533" t="n">
        <v>53.95</v>
      </c>
      <c r="TK32" s="1533" t="n">
        <v>54.59</v>
      </c>
      <c r="TL32" s="1533" t="n">
        <v>52.3</v>
      </c>
      <c r="TM32" s="1533" t="n">
        <v>52.9</v>
      </c>
      <c r="TN32" s="1533" t="n">
        <v>53.9</v>
      </c>
      <c r="TO32" s="1533" t="n">
        <v>51.5</v>
      </c>
      <c r="TP32" s="1533" t="n">
        <v>52.7</v>
      </c>
      <c r="TQ32" s="1533" t="n">
        <v>53.3</v>
      </c>
      <c r="TR32" s="1533" t="n">
        <v>52.1</v>
      </c>
      <c r="TS32" s="1533" t="n">
        <v>53.4</v>
      </c>
      <c r="TT32" s="1533" t="n">
        <v>51.69</v>
      </c>
      <c r="TU32" s="1533" t="n">
        <v>51.69</v>
      </c>
      <c r="TV32" s="1533" t="n">
        <v>52.133</v>
      </c>
      <c r="TW32" s="1533" t="n">
        <v>53.2</v>
      </c>
      <c r="TX32" s="1533" t="n">
        <v>53.4</v>
      </c>
      <c r="TY32" s="1533" t="n">
        <v>53.4</v>
      </c>
      <c r="TZ32" s="1533" t="n">
        <v>52.7</v>
      </c>
      <c r="UA32" s="1533" t="n">
        <v>68.035</v>
      </c>
      <c r="UB32" s="1533" t="n">
        <v>69.44999999999999</v>
      </c>
      <c r="UC32" s="1533" t="n">
        <v>69.22</v>
      </c>
      <c r="UD32" s="1533" t="n">
        <v>71.3</v>
      </c>
      <c r="UE32" s="1533" t="n">
        <v>68.8</v>
      </c>
      <c r="UF32" s="1533" t="n">
        <v>68.59999999999999</v>
      </c>
      <c r="UG32" s="1533" t="n">
        <v>68.845</v>
      </c>
      <c r="UH32" s="1533" t="n">
        <v>52.5</v>
      </c>
      <c r="UI32" s="1533" t="n">
        <v>53.1</v>
      </c>
      <c r="UJ32" s="1533" t="n">
        <v>52.505</v>
      </c>
      <c r="UK32" s="1533" t="n">
        <v>51.9</v>
      </c>
      <c r="UL32" s="1533" t="n">
        <v>53</v>
      </c>
      <c r="UM32" s="1533" t="n">
        <v>54.75</v>
      </c>
      <c r="UN32" s="1533" t="n">
        <v>52.8</v>
      </c>
      <c r="UO32" s="1533" t="n">
        <v>53.066</v>
      </c>
      <c r="UP32" s="1533" t="n">
        <v>56.8</v>
      </c>
      <c r="UQ32" s="1533" t="n">
        <v>56.8</v>
      </c>
      <c r="UR32" s="1533" t="n">
        <v>53.6</v>
      </c>
      <c r="US32" s="1533" t="n">
        <v>53.6</v>
      </c>
      <c r="UT32" s="1533" t="n">
        <v>53.728</v>
      </c>
      <c r="UU32" s="1533" t="n">
        <v>52.8</v>
      </c>
      <c r="UV32" s="1533" t="n">
        <v>52.1</v>
      </c>
      <c r="UW32" s="1533" t="n">
        <v>52.1</v>
      </c>
      <c r="UX32" s="1533" t="n">
        <v>52.2</v>
      </c>
      <c r="UY32" s="1533" t="n">
        <v>52.7</v>
      </c>
      <c r="UZ32" s="1533" t="n">
        <v>53.6</v>
      </c>
      <c r="VA32" s="1533" t="n">
        <v>53.37</v>
      </c>
      <c r="VB32" s="1533" t="n">
        <v>52.2</v>
      </c>
      <c r="VC32" s="1533" t="n">
        <v>52.01</v>
      </c>
      <c r="VD32" s="1533" t="n">
        <v>52.03</v>
      </c>
      <c r="VE32" s="1533" t="n">
        <v>52.03</v>
      </c>
      <c r="VF32" s="1533" t="n">
        <v>52.1</v>
      </c>
      <c r="VG32" s="1533" t="n">
        <v>53.99</v>
      </c>
      <c r="VH32" s="1533" t="n">
        <v>54.5</v>
      </c>
      <c r="VI32" s="1533" t="n">
        <v>55.78</v>
      </c>
      <c r="VJ32" s="1533" t="n">
        <v>53.41</v>
      </c>
      <c r="VK32" s="1533" t="n">
        <v>55.8</v>
      </c>
      <c r="VL32" s="1533" t="n">
        <v>51.921</v>
      </c>
      <c r="VM32" s="1533" t="n">
        <v>51.961</v>
      </c>
      <c r="VN32" s="1533" t="n">
        <v>52.136</v>
      </c>
      <c r="VO32" s="1533" t="n">
        <v>53.79</v>
      </c>
      <c r="VP32" s="1533" t="n">
        <v>53.821</v>
      </c>
      <c r="VQ32" s="1533" t="n">
        <v>53.2</v>
      </c>
      <c r="VR32" s="1533" t="n">
        <v>54.545</v>
      </c>
      <c r="VS32" s="1533" t="n">
        <v>54.8</v>
      </c>
      <c r="VT32" s="1533" t="n">
        <v>52.02</v>
      </c>
      <c r="VU32" s="1533" t="n">
        <v>52.23</v>
      </c>
      <c r="VV32" s="1533" t="n">
        <v>51.5</v>
      </c>
      <c r="VW32" s="1533" t="n">
        <v>51.5</v>
      </c>
      <c r="VX32" s="1533" t="n">
        <v>52.5</v>
      </c>
      <c r="VY32" s="1533" t="n">
        <v>54</v>
      </c>
      <c r="VZ32" s="1533" t="n">
        <v>56.9</v>
      </c>
      <c r="WA32" s="1533" t="n">
        <v>54.77</v>
      </c>
      <c r="WB32" s="1533" t="n">
        <v>54.94</v>
      </c>
      <c r="WC32" s="1533" t="n">
        <v>53.99</v>
      </c>
      <c r="WD32" s="1533" t="n">
        <v>52.84</v>
      </c>
      <c r="WE32" s="1533" t="n">
        <v>52.395</v>
      </c>
      <c r="WF32" s="1533" t="n">
        <v>52.37</v>
      </c>
      <c r="WG32" s="1533" t="n">
        <v>52.623</v>
      </c>
      <c r="WH32" s="1533" t="n">
        <v>55.735</v>
      </c>
      <c r="WI32" s="1533" t="n">
        <v>58.4</v>
      </c>
      <c r="WJ32" s="1533" t="n">
        <v>51.852</v>
      </c>
      <c r="WK32" s="1533" t="n">
        <v>53.613</v>
      </c>
      <c r="WL32" s="1533" t="n">
        <v>54.3</v>
      </c>
      <c r="WM32" s="1533" t="n">
        <v>54.12</v>
      </c>
      <c r="WN32" s="1533" t="n">
        <v>53.6</v>
      </c>
      <c r="WO32" s="1533" t="n">
        <v>56.8</v>
      </c>
      <c r="WP32" s="1533" t="n">
        <v>52.493</v>
      </c>
      <c r="WQ32" s="1533" t="n">
        <v>54.5</v>
      </c>
      <c r="WR32" s="1533" t="n">
        <v>52.4</v>
      </c>
      <c r="WS32" s="1533" t="n">
        <v>53.75</v>
      </c>
      <c r="WT32" s="1533" t="n">
        <v>55.55</v>
      </c>
      <c r="WU32" s="1533" t="n">
        <v>55.635</v>
      </c>
      <c r="WV32" s="1533" t="n">
        <v>55.135</v>
      </c>
      <c r="WW32" s="1533" t="n">
        <v>55.075</v>
      </c>
      <c r="WX32" s="1533" t="n">
        <v>54.2</v>
      </c>
      <c r="WY32" s="1533" t="n">
        <v>52.5</v>
      </c>
      <c r="WZ32" s="1533" t="n">
        <v>52.917</v>
      </c>
      <c r="XA32" s="1533" t="n">
        <v>51.74</v>
      </c>
      <c r="XB32" s="1533" t="n">
        <v>53.117</v>
      </c>
      <c r="XC32" s="1533" t="n">
        <v>54.29</v>
      </c>
      <c r="XD32" s="1533" t="n">
        <v>55.39</v>
      </c>
      <c r="XE32" s="1533" t="n">
        <v>53.013</v>
      </c>
      <c r="XF32" s="1533" t="n">
        <v>53.717</v>
      </c>
      <c r="XG32" s="1533" t="n">
        <v>53.341</v>
      </c>
      <c r="XH32" s="1533" t="n">
        <v>53.441</v>
      </c>
      <c r="XI32" s="1533" t="n">
        <v>55.86</v>
      </c>
      <c r="XJ32" s="1533" t="n">
        <v>56.041</v>
      </c>
      <c r="XK32" s="1533" t="n">
        <v>53.9</v>
      </c>
      <c r="XL32" s="1533" t="n">
        <v>53.417</v>
      </c>
      <c r="XM32" s="1533" t="n">
        <v>53.898</v>
      </c>
      <c r="XN32" s="1533" t="n">
        <v>53.664</v>
      </c>
      <c r="XO32" s="1533" t="n">
        <v>54</v>
      </c>
      <c r="XP32" s="1533" t="n">
        <v>55.851</v>
      </c>
      <c r="XQ32" s="1533" t="n">
        <v>54.165</v>
      </c>
      <c r="XR32" s="1533" t="n">
        <v>52.223</v>
      </c>
      <c r="XS32" s="1533" t="n">
        <v>52.545</v>
      </c>
      <c r="XT32" s="1533" t="n">
        <v>52.642</v>
      </c>
      <c r="XU32" s="1533" t="n">
        <v>53.865</v>
      </c>
      <c r="XV32" s="1533" t="n">
        <v>53.892</v>
      </c>
      <c r="XW32" s="1533" t="n">
        <v>55.081</v>
      </c>
      <c r="XX32" s="1533" t="n">
        <v>51.772</v>
      </c>
      <c r="XY32" s="1533" t="n">
        <v>52.124</v>
      </c>
      <c r="XZ32" s="1533" t="n">
        <v>55.128</v>
      </c>
      <c r="YA32" s="1533" t="n">
        <v>51.728</v>
      </c>
      <c r="YB32" s="1533" t="n">
        <v>53.328</v>
      </c>
      <c r="YC32" s="1533" t="n">
        <v>53.728</v>
      </c>
      <c r="YD32" s="1533" t="n">
        <v>51.628</v>
      </c>
      <c r="YE32" s="1533" t="n">
        <v>51.5</v>
      </c>
      <c r="YF32" s="1533" t="n">
        <v>52.762</v>
      </c>
      <c r="YG32" s="1533" t="n">
        <v>52.236</v>
      </c>
      <c r="YH32" s="1533" t="n">
        <v>52.665</v>
      </c>
      <c r="YI32" s="1533" t="n">
        <v>54.675</v>
      </c>
      <c r="YJ32" s="1543" t="n">
        <v>51.62</v>
      </c>
    </row>
    <row r="33">
      <c r="B33" s="917" t="inlineStr">
        <is>
          <t>FC</t>
        </is>
      </c>
      <c r="C33" s="1532" t="n">
        <v>25.3</v>
      </c>
      <c r="D33" s="1533" t="n">
        <v>25.3</v>
      </c>
      <c r="E33" s="1533" t="n">
        <v>15.2</v>
      </c>
      <c r="F33" s="1533" t="n">
        <v>15.2</v>
      </c>
      <c r="G33" s="1533" t="n">
        <v>15.2</v>
      </c>
      <c r="H33" s="1533" t="n">
        <v>8.9</v>
      </c>
      <c r="I33" s="1533" t="n">
        <v>6.8</v>
      </c>
      <c r="J33" s="1533" t="n">
        <v>8.300000000000001</v>
      </c>
      <c r="K33" s="1533" t="n">
        <v>8.800000000000001</v>
      </c>
      <c r="L33" s="1533" t="n">
        <v>8.6</v>
      </c>
      <c r="M33" s="1533" t="n">
        <v>8.4</v>
      </c>
      <c r="N33" s="1533" t="n">
        <v>54</v>
      </c>
      <c r="O33" s="1533" t="n">
        <v>13.6</v>
      </c>
      <c r="P33" s="1533" t="n">
        <v>12.4</v>
      </c>
      <c r="Q33" s="1533" t="n">
        <v>12.5</v>
      </c>
      <c r="R33" s="1533" t="n">
        <v>6.5</v>
      </c>
      <c r="S33" s="1533" t="n">
        <v>12.2</v>
      </c>
      <c r="T33" s="1533" t="n">
        <v>9.5</v>
      </c>
      <c r="U33" s="1533" t="n">
        <v>6.7</v>
      </c>
      <c r="V33" s="1533" t="n">
        <v>13.8</v>
      </c>
      <c r="W33" s="1533" t="n">
        <v>13.8</v>
      </c>
      <c r="X33" s="1533" t="n">
        <v>50.6</v>
      </c>
      <c r="Y33" s="1533" t="n">
        <v>42.8</v>
      </c>
      <c r="Z33" s="1533" t="n">
        <v>8.4</v>
      </c>
      <c r="AA33" s="1533" t="n">
        <v>6.3</v>
      </c>
      <c r="AB33" s="1533" t="n">
        <v>23.6</v>
      </c>
      <c r="AC33" s="1533" t="n">
        <v>19.5</v>
      </c>
      <c r="AD33" s="1533" t="n">
        <v>10.2</v>
      </c>
      <c r="AE33" s="1533" t="n">
        <v>10.2</v>
      </c>
      <c r="AF33" s="1533" t="n">
        <v>14.2</v>
      </c>
      <c r="AG33" s="1533" t="n">
        <v>14.6</v>
      </c>
      <c r="AH33" s="1533" t="n">
        <v>56.1</v>
      </c>
      <c r="AI33" s="1533" t="n">
        <v>32.8</v>
      </c>
      <c r="AJ33" s="1533" t="n">
        <v>18</v>
      </c>
      <c r="AK33" s="1533" t="n">
        <v>18</v>
      </c>
      <c r="AL33" s="1533" t="n">
        <v>17.9</v>
      </c>
      <c r="AM33" s="1533" t="n">
        <v>50.8</v>
      </c>
      <c r="AN33" s="1533" t="n">
        <v>5.3</v>
      </c>
      <c r="AO33" s="1533" t="n">
        <v>5.3</v>
      </c>
      <c r="AP33" s="1533" t="n">
        <v>5.3</v>
      </c>
      <c r="AQ33" s="1533" t="n">
        <v>4.1</v>
      </c>
      <c r="AR33" s="1533" t="n">
        <v>5.3</v>
      </c>
      <c r="AS33" s="1533" t="n">
        <v>21.6</v>
      </c>
      <c r="AT33" s="1533" t="n">
        <v>7.5</v>
      </c>
      <c r="AU33" s="1533" t="n">
        <v>10.2</v>
      </c>
      <c r="AV33" s="1533" t="n">
        <v>4.7</v>
      </c>
      <c r="AW33" s="1533" t="n">
        <v>31</v>
      </c>
      <c r="AX33" s="1533" t="n">
        <v>6.9</v>
      </c>
      <c r="AY33" s="1533" t="n">
        <v>2</v>
      </c>
      <c r="AZ33" s="1533" t="n">
        <v>1.9</v>
      </c>
      <c r="BA33" s="1533" t="n">
        <v>2</v>
      </c>
      <c r="BB33" s="1533" t="n">
        <v>24.5</v>
      </c>
      <c r="BC33" s="1533" t="n">
        <v>23.8</v>
      </c>
      <c r="BD33" s="1533" t="n">
        <v>23.1</v>
      </c>
      <c r="BE33" s="1533" t="n">
        <v>20.7</v>
      </c>
      <c r="BF33" s="1533" t="n">
        <v>65.40000000000001</v>
      </c>
      <c r="BG33" s="1533" t="n">
        <v>6.7</v>
      </c>
      <c r="BH33" s="1533" t="n">
        <v>4.1</v>
      </c>
      <c r="BI33" s="1533" t="n">
        <v>4.1</v>
      </c>
      <c r="BJ33" s="1533" t="n">
        <v>2.3</v>
      </c>
      <c r="BK33" s="1533" t="n">
        <v>0.8</v>
      </c>
      <c r="BL33" s="1533" t="n">
        <v>0.8</v>
      </c>
      <c r="BM33" s="1533" t="n">
        <v>4.3</v>
      </c>
      <c r="BN33" s="1533" t="n">
        <v>4.1</v>
      </c>
      <c r="BO33" s="1533" t="n">
        <v>4.1</v>
      </c>
      <c r="BP33" s="1533" t="n">
        <v>5.7</v>
      </c>
      <c r="BQ33" s="1533" t="n">
        <v>0.4</v>
      </c>
      <c r="BR33" s="1533" t="n">
        <v>0.2</v>
      </c>
      <c r="BS33" s="1533" t="n">
        <v>0.2</v>
      </c>
      <c r="BT33" s="1533" t="n">
        <v>0.2</v>
      </c>
      <c r="BU33" s="1533" t="n">
        <v>6.5</v>
      </c>
      <c r="BV33" s="1533" t="n">
        <v>8.699999999999999</v>
      </c>
      <c r="BW33" s="1533" t="n">
        <v>16.6</v>
      </c>
      <c r="BX33" s="1533" t="n">
        <v>16.5</v>
      </c>
      <c r="BY33" s="1533" t="n">
        <v>16.6</v>
      </c>
      <c r="BZ33" s="1533" t="n">
        <v>4.8</v>
      </c>
      <c r="CA33" s="1533" t="n">
        <v>4.8</v>
      </c>
      <c r="CB33" s="1533" t="n">
        <v>231.3</v>
      </c>
      <c r="CC33" s="1533" t="n">
        <v>230.4</v>
      </c>
      <c r="CD33" s="1533" t="n">
        <v>165</v>
      </c>
      <c r="CE33" s="1533" t="n">
        <v>158.5</v>
      </c>
      <c r="CF33" s="1533" t="n">
        <v>158.5</v>
      </c>
      <c r="CG33" s="1533" t="n">
        <v>52.8</v>
      </c>
      <c r="CH33" s="1533" t="n">
        <v>185.3</v>
      </c>
      <c r="CI33" s="1533" t="n">
        <v>185.23</v>
      </c>
      <c r="CJ33" s="1533" t="n">
        <v>177.6</v>
      </c>
      <c r="CK33" s="1533" t="n">
        <v>207.45</v>
      </c>
      <c r="CL33" s="1533" t="n">
        <v>190</v>
      </c>
      <c r="CM33" s="1533" t="n">
        <v>183.3</v>
      </c>
      <c r="CN33" s="1533" t="n">
        <v>182.7</v>
      </c>
      <c r="CO33" s="1533" t="n">
        <v>182.7</v>
      </c>
      <c r="CP33" s="1533" t="n">
        <v>185.4</v>
      </c>
      <c r="CQ33" s="1533" t="n">
        <v>185.5</v>
      </c>
      <c r="CR33" s="1533" t="n">
        <v>185.5</v>
      </c>
      <c r="CS33" s="1533" t="n">
        <v>185.1</v>
      </c>
      <c r="CT33" s="1533" t="n">
        <v>185.1</v>
      </c>
      <c r="CU33" s="1533" t="n">
        <v>183.8</v>
      </c>
      <c r="CV33" s="1533" t="n">
        <v>164.1</v>
      </c>
      <c r="CW33" s="1533" t="n">
        <v>182.4</v>
      </c>
      <c r="CX33" s="1533" t="n">
        <v>182.4</v>
      </c>
      <c r="CY33" s="1533" t="n">
        <v>179</v>
      </c>
      <c r="CZ33" s="1533" t="n">
        <v>179</v>
      </c>
      <c r="DA33" s="1533" t="n">
        <v>179</v>
      </c>
      <c r="DB33" s="1533" t="n">
        <v>192</v>
      </c>
      <c r="DC33" s="1533" t="n">
        <v>187</v>
      </c>
      <c r="DD33" s="1533" t="n">
        <v>187.3</v>
      </c>
      <c r="DE33" s="1533" t="n">
        <v>146.5</v>
      </c>
      <c r="DF33" s="1533" t="n">
        <v>159</v>
      </c>
      <c r="DG33" s="1533" t="n">
        <v>159.3</v>
      </c>
      <c r="DH33" s="1533" t="n">
        <v>153.4</v>
      </c>
      <c r="DI33" s="1533" t="n">
        <v>153.5</v>
      </c>
      <c r="DJ33" s="1533" t="n">
        <v>106.8</v>
      </c>
      <c r="DK33" s="1533" t="n">
        <v>102.9</v>
      </c>
      <c r="DL33" s="1533" t="n">
        <v>169.42</v>
      </c>
      <c r="DM33" s="1533" t="n">
        <v>169.42</v>
      </c>
      <c r="DN33" s="1533" t="n">
        <v>169.42</v>
      </c>
      <c r="DO33" s="1533" t="n">
        <v>176.6</v>
      </c>
      <c r="DP33" s="1533" t="n">
        <v>176.6</v>
      </c>
      <c r="DQ33" s="1533" t="n">
        <v>194.7</v>
      </c>
      <c r="DR33" s="1533" t="n">
        <v>190.5</v>
      </c>
      <c r="DS33" s="1533" t="n">
        <v>190.5</v>
      </c>
      <c r="DT33" s="1533" t="n">
        <v>183.42</v>
      </c>
      <c r="DU33" s="1533" t="n">
        <v>183.42</v>
      </c>
      <c r="DV33" s="1533" t="n">
        <v>411.55</v>
      </c>
      <c r="DW33" s="1533" t="n">
        <v>410.81</v>
      </c>
      <c r="DX33" s="1533">
        <f>410.53+459.4</f>
        <v/>
      </c>
      <c r="DY33" s="1533">
        <f>410.53+459.4</f>
        <v/>
      </c>
      <c r="DZ33" s="1533" t="n">
        <v>819.48</v>
      </c>
      <c r="EA33" s="1533" t="n">
        <v>871.12</v>
      </c>
      <c r="EB33" s="1533" t="n">
        <v>870</v>
      </c>
      <c r="EC33" s="1533" t="n">
        <v>870.61</v>
      </c>
      <c r="ED33" s="1533" t="n">
        <v>846.41</v>
      </c>
      <c r="EE33" s="1533" t="n">
        <v>845.36</v>
      </c>
      <c r="EF33" s="1533" t="n">
        <v>845.36</v>
      </c>
      <c r="EG33" s="1533" t="n">
        <v>845.36</v>
      </c>
      <c r="EH33" s="1533" t="n">
        <v>842.7</v>
      </c>
      <c r="EI33" s="1533" t="n">
        <v>764.53</v>
      </c>
      <c r="EJ33" s="1533" t="n">
        <v>763.36</v>
      </c>
      <c r="EK33" s="1533" t="n">
        <v>763.5599999999999</v>
      </c>
      <c r="EL33" s="1533" t="n">
        <v>762.54</v>
      </c>
      <c r="EM33" s="1533" t="n">
        <v>763.4400000000001</v>
      </c>
      <c r="EN33" s="1533" t="n">
        <v>741.67</v>
      </c>
      <c r="EO33" s="1533" t="n">
        <v>740.6900000000001</v>
      </c>
      <c r="EP33" s="1533" t="n">
        <v>739.9</v>
      </c>
      <c r="EQ33" s="1533" t="n">
        <v>703.29</v>
      </c>
      <c r="ER33" s="1533" t="n">
        <v>703.29</v>
      </c>
      <c r="ES33" s="1533" t="n">
        <v>651.46</v>
      </c>
      <c r="ET33" s="1533" t="n">
        <v>648.1</v>
      </c>
      <c r="EU33" s="1533" t="n">
        <v>655.3</v>
      </c>
      <c r="EV33" s="1533" t="n">
        <v>655.3</v>
      </c>
      <c r="EW33" s="1533" t="n">
        <v>654.55</v>
      </c>
      <c r="EX33" s="1533" t="n">
        <v>653.39</v>
      </c>
      <c r="EY33" s="1533" t="n">
        <v>650.8200000000001</v>
      </c>
      <c r="EZ33" s="1533" t="n">
        <v>650.1900000000001</v>
      </c>
      <c r="FA33" s="1533" t="n">
        <v>649.1</v>
      </c>
      <c r="FB33" s="1533" t="n">
        <v>613.95</v>
      </c>
      <c r="FC33" s="1533" t="n">
        <v>623.35</v>
      </c>
      <c r="FD33" s="1533" t="n">
        <v>625.9400000000001</v>
      </c>
      <c r="FE33" s="1533" t="n">
        <v>619.74</v>
      </c>
      <c r="FF33" s="1533" t="n">
        <v>619.74</v>
      </c>
      <c r="FG33" s="1533" t="n">
        <v>596.2</v>
      </c>
      <c r="FH33" s="1533" t="n">
        <v>596.2</v>
      </c>
      <c r="FI33" s="1533" t="n">
        <v>595.84</v>
      </c>
      <c r="FJ33" s="1533" t="n">
        <v>595.88</v>
      </c>
      <c r="FK33" s="1533" t="n">
        <v>595.88</v>
      </c>
      <c r="FL33" s="1533" t="n">
        <v>551.9</v>
      </c>
      <c r="FM33" s="1533" t="n">
        <v>551.9</v>
      </c>
      <c r="FN33" s="1533" t="n">
        <v>552.5599999999999</v>
      </c>
      <c r="FO33" s="1533" t="n">
        <v>548.2</v>
      </c>
      <c r="FP33" s="1533" t="n">
        <v>548.2</v>
      </c>
      <c r="FQ33" s="1533" t="n">
        <v>510.73</v>
      </c>
      <c r="FR33" s="1533" t="n">
        <v>510.73</v>
      </c>
      <c r="FS33" s="1533" t="n">
        <v>510.73</v>
      </c>
      <c r="FT33" s="1533" t="n">
        <v>502.23</v>
      </c>
      <c r="FU33" s="1533" t="n">
        <v>501.02</v>
      </c>
      <c r="FV33" s="1533" t="n">
        <v>470.3</v>
      </c>
      <c r="FW33" s="1533" t="n">
        <v>466.07</v>
      </c>
      <c r="FX33" s="1533" t="n">
        <v>465.38</v>
      </c>
      <c r="FY33" s="1533" t="n">
        <v>465.54</v>
      </c>
      <c r="FZ33" s="1533" t="n">
        <v>462.8</v>
      </c>
      <c r="GA33" s="1533" t="n">
        <v>411.07</v>
      </c>
      <c r="GB33" s="1533" t="n">
        <v>410.99</v>
      </c>
      <c r="GC33" s="1533" t="n">
        <v>411.43</v>
      </c>
      <c r="GD33" s="1533" t="n">
        <v>408.12</v>
      </c>
      <c r="GE33" s="1533" t="n">
        <v>408.39</v>
      </c>
      <c r="GF33" s="1533" t="n">
        <v>347.52</v>
      </c>
      <c r="GG33" s="1533" t="n">
        <v>347.85</v>
      </c>
      <c r="GH33" s="1533" t="n">
        <v>348.03</v>
      </c>
      <c r="GI33" s="1533" t="n">
        <v>614.5</v>
      </c>
      <c r="GJ33" s="1533" t="n">
        <v>602</v>
      </c>
      <c r="GK33" s="1533" t="n">
        <v>602</v>
      </c>
      <c r="GL33" s="1533" t="n">
        <v>602</v>
      </c>
      <c r="GM33" s="1533" t="n">
        <v>614.3</v>
      </c>
      <c r="GN33" s="1533" t="n">
        <v>589.7</v>
      </c>
      <c r="GO33" s="1533" t="n">
        <v>589.7</v>
      </c>
      <c r="GP33" s="1533" t="n">
        <v>589.7</v>
      </c>
      <c r="GQ33" s="1533" t="n">
        <v>583</v>
      </c>
      <c r="GR33" s="1533" t="n">
        <v>580.9</v>
      </c>
      <c r="GS33" s="1533" t="n">
        <v>564</v>
      </c>
      <c r="GT33" s="1533" t="n">
        <v>550.8</v>
      </c>
      <c r="GU33" s="1533" t="n">
        <v>517.5</v>
      </c>
      <c r="GV33" s="1533" t="n">
        <v>510.5</v>
      </c>
      <c r="GW33" s="1533" t="n">
        <v>510.5</v>
      </c>
      <c r="GX33" s="1533" t="n">
        <v>510.7</v>
      </c>
      <c r="GY33" s="1533" t="n">
        <v>509</v>
      </c>
      <c r="GZ33" s="1533" t="n">
        <v>509</v>
      </c>
      <c r="HA33" s="1533" t="n">
        <v>483.5</v>
      </c>
      <c r="HB33" s="1533" t="n">
        <v>481.5</v>
      </c>
      <c r="HC33" s="1533" t="n">
        <v>438.7</v>
      </c>
      <c r="HD33" s="1533" t="n">
        <v>438.7</v>
      </c>
      <c r="HE33" s="1533" t="n">
        <v>477.4</v>
      </c>
      <c r="HF33" s="1533" t="n">
        <v>469.5</v>
      </c>
      <c r="HG33" s="1533" t="n">
        <v>458</v>
      </c>
      <c r="HH33" s="1533" t="n">
        <v>458</v>
      </c>
      <c r="HI33" s="1533" t="n">
        <v>453</v>
      </c>
      <c r="HJ33" s="1533" t="n"/>
      <c r="HK33" s="1533" t="n"/>
      <c r="HL33" s="1533" t="n"/>
      <c r="HM33" s="1533" t="n"/>
      <c r="HN33" s="1533" t="n"/>
      <c r="HO33" s="1533" t="n">
        <v>0</v>
      </c>
      <c r="HP33" s="1533" t="n">
        <v>0</v>
      </c>
      <c r="HQ33" s="1533" t="n">
        <v>0</v>
      </c>
      <c r="HR33" s="1533" t="n">
        <v>0</v>
      </c>
      <c r="HS33" s="1533" t="n">
        <v>0</v>
      </c>
      <c r="HT33" s="1533" t="n">
        <v>0</v>
      </c>
      <c r="HU33" s="1533" t="n">
        <v>0</v>
      </c>
      <c r="HV33" s="1533" t="n">
        <v>0</v>
      </c>
      <c r="HW33" s="1533" t="n">
        <v>0</v>
      </c>
      <c r="HX33" s="1533" t="n">
        <v>0</v>
      </c>
      <c r="HY33" s="1533" t="n">
        <v>0</v>
      </c>
      <c r="HZ33" s="1533" t="n">
        <v>0</v>
      </c>
      <c r="IA33" s="1533" t="n">
        <v>0</v>
      </c>
      <c r="IB33" s="1533" t="n">
        <v>0</v>
      </c>
      <c r="IC33" s="1533" t="n">
        <v>0</v>
      </c>
      <c r="ID33" s="1533" t="n">
        <v>0</v>
      </c>
      <c r="IE33" s="1533" t="n">
        <v>0</v>
      </c>
      <c r="IF33" s="1533" t="n">
        <v>0</v>
      </c>
      <c r="IG33" s="1533" t="n">
        <v>0</v>
      </c>
      <c r="IH33" s="1533" t="n">
        <v>0</v>
      </c>
      <c r="II33" s="1533" t="n">
        <v>0</v>
      </c>
      <c r="IJ33" s="1533" t="n">
        <v>0</v>
      </c>
      <c r="IK33" s="1533" t="n">
        <v>0</v>
      </c>
      <c r="IL33" s="1533" t="n">
        <v>0</v>
      </c>
      <c r="IM33" s="1533" t="n">
        <v>0</v>
      </c>
      <c r="IN33" s="1533" t="n">
        <v>0</v>
      </c>
      <c r="IO33" s="1533" t="n">
        <v>0</v>
      </c>
      <c r="IP33" s="1533" t="n">
        <v>0</v>
      </c>
      <c r="IQ33" s="1533" t="n">
        <v>0</v>
      </c>
      <c r="IR33" s="1533" t="n">
        <v>0</v>
      </c>
      <c r="IS33" s="1533" t="n">
        <v>0</v>
      </c>
      <c r="IT33" s="1533" t="n">
        <v>0</v>
      </c>
      <c r="IU33" s="1533" t="n">
        <v>0</v>
      </c>
      <c r="IV33" s="1533" t="n">
        <v>0</v>
      </c>
      <c r="IW33" s="1533" t="n">
        <v>0</v>
      </c>
      <c r="IX33" s="1533" t="n">
        <v>0</v>
      </c>
      <c r="IY33" s="1533" t="n">
        <v>0</v>
      </c>
      <c r="IZ33" s="1533" t="n">
        <v>0</v>
      </c>
      <c r="JA33" s="1533" t="n">
        <v>0</v>
      </c>
      <c r="JB33" s="1533" t="n">
        <v>0</v>
      </c>
      <c r="JC33" s="1533" t="n">
        <v>0</v>
      </c>
      <c r="JD33" s="1533" t="n">
        <v>0</v>
      </c>
      <c r="JE33" s="1533" t="n">
        <v>0</v>
      </c>
      <c r="JF33" s="1533" t="n">
        <v>0</v>
      </c>
      <c r="JG33" s="1533" t="n">
        <v>0</v>
      </c>
      <c r="JH33" s="1533" t="n">
        <v>0</v>
      </c>
      <c r="JI33" s="1533" t="n">
        <v>0</v>
      </c>
      <c r="JJ33" s="1533" t="n">
        <v>0</v>
      </c>
      <c r="JK33" s="1533" t="n">
        <v>0</v>
      </c>
      <c r="JL33" s="1533" t="n">
        <v>0</v>
      </c>
      <c r="JM33" s="1533" t="n">
        <v>1.7</v>
      </c>
      <c r="JN33" s="1533" t="n">
        <v>1.7</v>
      </c>
      <c r="JO33" s="1533" t="n">
        <v>1.7</v>
      </c>
      <c r="JP33" s="1533" t="n">
        <v>0</v>
      </c>
      <c r="JQ33" s="1533" t="n">
        <v>0</v>
      </c>
      <c r="JR33" s="1533" t="n">
        <v>3.8</v>
      </c>
      <c r="JS33" s="1533" t="n">
        <v>3.8</v>
      </c>
      <c r="JT33" s="1533" t="n">
        <v>3.5</v>
      </c>
      <c r="JU33" s="1533" t="n">
        <v>3.5</v>
      </c>
      <c r="JV33" s="1533" t="n">
        <v>3.5</v>
      </c>
      <c r="JW33" s="1533" t="n">
        <v>0</v>
      </c>
      <c r="JX33" s="1533" t="n">
        <v>0</v>
      </c>
      <c r="JY33" s="1533" t="n">
        <v>0</v>
      </c>
      <c r="JZ33" s="1533" t="n">
        <v>0</v>
      </c>
      <c r="KA33" s="1533" t="n">
        <v>0.272</v>
      </c>
      <c r="KB33" s="1533" t="n">
        <v>0.272</v>
      </c>
      <c r="KC33" s="1533" t="n">
        <v>3.2</v>
      </c>
      <c r="KD33" s="1533" t="n">
        <v>3.2</v>
      </c>
      <c r="KE33" s="1533" t="n">
        <v>3.2</v>
      </c>
      <c r="KF33" s="1533" t="n">
        <v>0</v>
      </c>
      <c r="KG33" s="1533" t="n">
        <v>21</v>
      </c>
      <c r="KH33" s="1533" t="n">
        <v>21</v>
      </c>
      <c r="KI33" s="1533" t="n">
        <v>22.5</v>
      </c>
      <c r="KJ33" s="1533" t="n">
        <v>22.5</v>
      </c>
      <c r="KK33" s="1533" t="n">
        <v>3</v>
      </c>
      <c r="KL33" s="1533" t="n">
        <v>3</v>
      </c>
      <c r="KM33" s="1533" t="n">
        <v>3</v>
      </c>
      <c r="KN33" s="1533" t="n">
        <v>0</v>
      </c>
      <c r="KO33" s="1533" t="n">
        <v>0</v>
      </c>
      <c r="KP33" s="1533" t="n">
        <v>0</v>
      </c>
      <c r="KQ33" s="1533" t="n">
        <v>0</v>
      </c>
      <c r="KR33" s="1533" t="n">
        <v>0</v>
      </c>
      <c r="KS33" s="1533" t="n">
        <v>0</v>
      </c>
      <c r="KT33" s="1533" t="n">
        <v>0</v>
      </c>
      <c r="KU33" s="1533" t="n">
        <v>0</v>
      </c>
      <c r="KV33" s="1533" t="n">
        <v>0</v>
      </c>
      <c r="KW33" s="1533" t="n">
        <v>0</v>
      </c>
      <c r="KX33" s="1533" t="n">
        <v>1.7</v>
      </c>
      <c r="KY33" s="1533" t="n">
        <v>1.7</v>
      </c>
      <c r="KZ33" s="1533" t="n">
        <v>0</v>
      </c>
      <c r="LA33" s="1533" t="n">
        <v>0</v>
      </c>
      <c r="LB33" s="1533" t="n">
        <v>0</v>
      </c>
      <c r="LC33" s="1533" t="n">
        <v>0</v>
      </c>
      <c r="LD33" s="1533" t="n">
        <v>0</v>
      </c>
      <c r="LE33" s="1533" t="n">
        <v>34.3</v>
      </c>
      <c r="LF33" s="1533" t="n">
        <v>34.3</v>
      </c>
      <c r="LG33" s="1533" t="n">
        <v>34.3</v>
      </c>
      <c r="LH33" s="1533" t="n">
        <v>34.3</v>
      </c>
      <c r="LI33" s="1533" t="n">
        <v>33.6</v>
      </c>
      <c r="LJ33" s="1533" t="n">
        <v>33.6</v>
      </c>
      <c r="LK33" s="1533" t="n">
        <v>33.6</v>
      </c>
      <c r="LL33" s="1533" t="n">
        <v>33.4</v>
      </c>
      <c r="LM33" s="1533" t="n">
        <v>33.4</v>
      </c>
      <c r="LN33" s="1533" t="n">
        <v>38.3</v>
      </c>
      <c r="LO33" s="1533" t="n">
        <v>38.3</v>
      </c>
      <c r="LP33" s="1533" t="n">
        <v>38.3</v>
      </c>
      <c r="LQ33" s="1533" t="n">
        <v>38.3</v>
      </c>
      <c r="LR33" s="1533" t="n">
        <v>38.3</v>
      </c>
      <c r="LS33" s="1533" t="n">
        <v>38.3</v>
      </c>
      <c r="LT33" s="1533" t="n">
        <v>38.3</v>
      </c>
      <c r="LU33" s="1533" t="n">
        <v>39.1</v>
      </c>
      <c r="LV33" s="1533" t="n">
        <v>8.800000000000001</v>
      </c>
      <c r="LW33" s="1533" t="n">
        <v>8.800000000000001</v>
      </c>
      <c r="LX33" s="1533" t="n">
        <v>9</v>
      </c>
      <c r="LY33" s="1533" t="n">
        <v>9</v>
      </c>
      <c r="LZ33" s="1533" t="n">
        <v>12</v>
      </c>
      <c r="MA33" s="1533" t="n">
        <v>12</v>
      </c>
      <c r="MB33" s="1533" t="n">
        <v>12</v>
      </c>
      <c r="MC33" s="1533" t="n">
        <v>12</v>
      </c>
      <c r="MD33" s="1533" t="n">
        <v>0.8</v>
      </c>
      <c r="ME33" s="1533" t="n">
        <v>0.8</v>
      </c>
      <c r="MF33" s="1533" t="n">
        <v>0.8</v>
      </c>
      <c r="MG33" s="1533" t="n">
        <v>0.8</v>
      </c>
      <c r="MH33" s="1533" t="n">
        <v>9.800000000000001</v>
      </c>
      <c r="MI33" s="1533" t="n">
        <v>9.800000000000001</v>
      </c>
      <c r="MJ33" s="1533" t="n">
        <v>9.699999999999999</v>
      </c>
      <c r="MK33" s="1533" t="n">
        <v>9.699999999999999</v>
      </c>
      <c r="ML33" s="1533" t="n">
        <v>9.699999999999999</v>
      </c>
      <c r="MM33" s="1533" t="n">
        <v>9.699999999999999</v>
      </c>
      <c r="MN33" s="1533" t="n">
        <v>9.699999999999999</v>
      </c>
      <c r="MO33" s="1533" t="n">
        <v>9.699999999999999</v>
      </c>
      <c r="MP33" s="1533" t="n">
        <v>9.699999999999999</v>
      </c>
      <c r="MQ33" s="1533" t="n">
        <v>4.199999999999999</v>
      </c>
      <c r="MR33" s="1533" t="n">
        <v>4.199999999999999</v>
      </c>
      <c r="MS33" s="1533" t="n">
        <v>3.3</v>
      </c>
      <c r="MT33" s="1533" t="n">
        <v>3.3</v>
      </c>
      <c r="MU33" s="1533" t="n">
        <v>3.3</v>
      </c>
      <c r="MV33" s="1533" t="n">
        <v>3.3</v>
      </c>
      <c r="MW33" s="1533" t="n">
        <v>4.8</v>
      </c>
      <c r="MX33" s="1533" t="n">
        <v>4.8</v>
      </c>
      <c r="MY33" s="1533" t="n">
        <v>4.8</v>
      </c>
      <c r="MZ33" s="1533" t="n">
        <v>4.8</v>
      </c>
      <c r="NA33" s="1533" t="n">
        <v>4.8</v>
      </c>
      <c r="NB33" s="1533" t="n">
        <v>4.8</v>
      </c>
      <c r="NC33" s="1533" t="n">
        <v>4.8</v>
      </c>
      <c r="ND33" s="1533" t="n">
        <v>4.8</v>
      </c>
      <c r="NE33" s="1533" t="n">
        <v>4.8</v>
      </c>
      <c r="NF33" s="1533" t="n">
        <v>0.6</v>
      </c>
      <c r="NG33" s="1533" t="n">
        <v>0.6</v>
      </c>
      <c r="NH33" s="1533" t="n">
        <v>0.6</v>
      </c>
      <c r="NI33" s="1533" t="n">
        <v>0.6</v>
      </c>
      <c r="NJ33" s="1533" t="n">
        <v>0.6</v>
      </c>
      <c r="NK33" s="1533" t="n">
        <v>15</v>
      </c>
      <c r="NL33" s="1533" t="n">
        <v>15</v>
      </c>
      <c r="NM33" s="1533" t="n">
        <v>1.5</v>
      </c>
      <c r="NN33" s="1533" t="n">
        <v>1.5</v>
      </c>
      <c r="NO33" s="1533" t="n">
        <v>1.5</v>
      </c>
      <c r="NP33" s="1533" t="n">
        <v>0.8</v>
      </c>
      <c r="NQ33" s="1533" t="n">
        <v>0.8</v>
      </c>
      <c r="NR33" s="1533" t="n">
        <v>0.8</v>
      </c>
      <c r="NS33" s="1533" t="n">
        <v>0.8</v>
      </c>
      <c r="NT33" s="1533" t="n">
        <v>0.8</v>
      </c>
      <c r="NU33" s="1533" t="n">
        <v>2.3</v>
      </c>
      <c r="NV33" s="1533" t="n">
        <v>1.9</v>
      </c>
      <c r="NW33" s="1533" t="n">
        <v>1.9</v>
      </c>
      <c r="NX33" s="1533" t="n">
        <v>1.9</v>
      </c>
      <c r="NY33" s="1533" t="n">
        <v>1.9</v>
      </c>
      <c r="NZ33" s="1533" t="n">
        <v>0.9</v>
      </c>
      <c r="OA33" s="1533" t="n">
        <v>0.9</v>
      </c>
      <c r="OB33" s="1533" t="n">
        <v>0.9</v>
      </c>
      <c r="OC33" s="1533" t="n">
        <v>0.9</v>
      </c>
      <c r="OD33" s="1533" t="n">
        <v>0.9</v>
      </c>
      <c r="OE33" s="1533" t="n">
        <v>0.9</v>
      </c>
      <c r="OF33" s="1533" t="n">
        <v>0.9</v>
      </c>
      <c r="OG33" s="1533" t="n">
        <v>1.6</v>
      </c>
      <c r="OH33" s="1533" t="n">
        <v>1.6</v>
      </c>
      <c r="OI33" s="1533" t="n">
        <v>1</v>
      </c>
      <c r="OJ33" s="1533" t="n">
        <v>1</v>
      </c>
      <c r="OK33" s="1533" t="n">
        <v>1</v>
      </c>
      <c r="OL33" s="1533" t="n">
        <v>1</v>
      </c>
      <c r="OM33" s="1533" t="n">
        <v>1</v>
      </c>
      <c r="ON33" s="1533" t="n">
        <v>1</v>
      </c>
      <c r="OO33" s="1533" t="n">
        <v>1</v>
      </c>
      <c r="OP33" s="1533" t="n">
        <v>1</v>
      </c>
      <c r="OQ33" s="1533" t="n">
        <v>1</v>
      </c>
      <c r="OR33" s="1533" t="n">
        <v>1</v>
      </c>
      <c r="OS33" s="1533" t="n">
        <v>0.6</v>
      </c>
      <c r="OT33" s="1533" t="n">
        <v>0.6</v>
      </c>
      <c r="OU33" s="1533" t="n">
        <v>0.6</v>
      </c>
      <c r="OV33" s="1533" t="n">
        <v>0.6</v>
      </c>
      <c r="OW33" s="1533" t="n">
        <v>0.6</v>
      </c>
      <c r="OX33" s="1533" t="n">
        <v>0.6</v>
      </c>
      <c r="OY33" s="1533" t="n">
        <v>3</v>
      </c>
      <c r="OZ33" s="1533" t="n">
        <v>3</v>
      </c>
      <c r="PA33" s="1533" t="n">
        <v>3</v>
      </c>
      <c r="PB33" s="1533" t="n">
        <v>6.8</v>
      </c>
      <c r="PC33" s="1533" t="n">
        <v>6.8</v>
      </c>
      <c r="PD33" s="1533" t="n">
        <v>6.8</v>
      </c>
      <c r="PE33" s="1533" t="n">
        <v>6.899999999999999</v>
      </c>
      <c r="PF33" s="1533" t="n">
        <v>6.899999999999999</v>
      </c>
      <c r="PG33" s="1533" t="n">
        <v>6.899999999999999</v>
      </c>
      <c r="PH33" s="1533" t="n">
        <v>6.899999999999999</v>
      </c>
      <c r="PI33" s="1533" t="n">
        <v>3.1</v>
      </c>
      <c r="PJ33" s="1533" t="n">
        <v>3.1</v>
      </c>
      <c r="PK33" s="1533" t="n">
        <v>3.1</v>
      </c>
      <c r="PL33" s="1533" t="n">
        <v>3.1</v>
      </c>
      <c r="PM33" s="1533" t="n">
        <v>3.1</v>
      </c>
      <c r="PN33" s="1533" t="n">
        <v>2.4</v>
      </c>
      <c r="PO33" s="1533" t="n">
        <v>2.4</v>
      </c>
      <c r="PP33" s="1533" t="n">
        <v>2.4</v>
      </c>
      <c r="PQ33" s="1533" t="n">
        <v>2.4</v>
      </c>
      <c r="PR33" s="1533" t="n">
        <v>2.4</v>
      </c>
      <c r="PS33" s="1533" t="n">
        <v>2.4</v>
      </c>
      <c r="PT33" s="1533" t="n">
        <v>2.4</v>
      </c>
      <c r="PU33" s="1533" t="n">
        <v>1</v>
      </c>
      <c r="PV33" s="1533" t="n">
        <v>1</v>
      </c>
      <c r="PW33" s="1533" t="n">
        <v>1</v>
      </c>
      <c r="PX33" s="1533" t="n">
        <v>1.8</v>
      </c>
      <c r="PY33" s="1533" t="n">
        <v>1.8</v>
      </c>
      <c r="PZ33" s="1533" t="n">
        <v>1.8</v>
      </c>
      <c r="QA33" s="1533" t="n">
        <v>1.8</v>
      </c>
      <c r="QB33" s="1533" t="n">
        <v>0.7</v>
      </c>
      <c r="QC33" s="1533" t="n">
        <v>0.7</v>
      </c>
      <c r="QD33" s="1533" t="n">
        <v>0.7</v>
      </c>
      <c r="QE33" s="1533" t="n">
        <v>18</v>
      </c>
      <c r="QF33" s="1533" t="n">
        <v>18</v>
      </c>
      <c r="QG33" s="1533" t="n">
        <v>18</v>
      </c>
      <c r="QH33" s="1533" t="n">
        <v>18</v>
      </c>
      <c r="QI33" s="1533" t="n">
        <v>4.4</v>
      </c>
      <c r="QJ33" s="1533" t="n">
        <v>4.4</v>
      </c>
      <c r="QK33" s="1533" t="n">
        <v>4.4</v>
      </c>
      <c r="QL33" s="1533" t="n">
        <v>4.4</v>
      </c>
      <c r="QM33" s="1533" t="n">
        <v>4.4</v>
      </c>
      <c r="QN33" s="1533" t="n">
        <v>3.9</v>
      </c>
      <c r="QO33" s="1533" t="n">
        <v>1</v>
      </c>
      <c r="QP33" s="1533" t="n">
        <v>1</v>
      </c>
      <c r="QQ33" s="1533" t="n">
        <v>1</v>
      </c>
      <c r="QR33" s="1533" t="n">
        <v>1</v>
      </c>
      <c r="QS33" s="1533" t="n">
        <v>0.9</v>
      </c>
      <c r="QT33" s="1533" t="n">
        <v>0.9</v>
      </c>
      <c r="QU33" s="1533" t="n">
        <v>0.9</v>
      </c>
      <c r="QV33" s="1533" t="n">
        <v>0.9</v>
      </c>
      <c r="QW33" s="1533" t="n">
        <v>0.9</v>
      </c>
      <c r="QX33" s="1533" t="n">
        <v>0.9</v>
      </c>
      <c r="QY33" s="1533" t="n">
        <v>1</v>
      </c>
      <c r="QZ33" s="1533" t="n">
        <v>1</v>
      </c>
      <c r="RA33" s="1533" t="n">
        <v>1</v>
      </c>
      <c r="RB33" s="1533" t="n">
        <v>1</v>
      </c>
      <c r="RC33" s="1533" t="n">
        <v>1</v>
      </c>
      <c r="RD33" s="1533" t="n">
        <v>1</v>
      </c>
      <c r="RE33" s="1533" t="n">
        <v>0</v>
      </c>
      <c r="RF33" s="1533" t="n">
        <v>0</v>
      </c>
      <c r="RG33" s="1533" t="n">
        <v>0</v>
      </c>
      <c r="RH33" s="1533" t="n">
        <v>1.5</v>
      </c>
      <c r="RI33" s="1533" t="n">
        <v>0.8</v>
      </c>
      <c r="RJ33" s="1533" t="n">
        <v>0.8</v>
      </c>
      <c r="RK33" s="1533" t="n">
        <v>0.8</v>
      </c>
      <c r="RL33" s="1533" t="n">
        <v>0.8</v>
      </c>
      <c r="RM33" s="1533" t="n">
        <v>0.8</v>
      </c>
      <c r="RN33" s="1533" t="n">
        <v>0.8</v>
      </c>
      <c r="RO33" s="1533" t="n">
        <v>0.8</v>
      </c>
      <c r="RP33" s="1533" t="n">
        <v>0.8</v>
      </c>
      <c r="RQ33" s="1533" t="n">
        <v>0.8</v>
      </c>
      <c r="RR33" s="1533" t="n">
        <v>0.8</v>
      </c>
      <c r="RS33" s="1533" t="n">
        <v>2.39017476</v>
      </c>
      <c r="RT33" s="1533" t="n">
        <v>2.39017476</v>
      </c>
      <c r="RU33" s="1533" t="n">
        <v>2.39017476</v>
      </c>
      <c r="RV33" s="1533" t="n">
        <v>2.39017476</v>
      </c>
      <c r="RW33" s="1533" t="n">
        <v>2.39017476</v>
      </c>
      <c r="RX33" s="1533" t="n">
        <v>2.39017476</v>
      </c>
      <c r="RY33" s="1533" t="n">
        <v>1.69017476</v>
      </c>
      <c r="RZ33" s="1533" t="n">
        <v>1.69017476</v>
      </c>
      <c r="SA33" s="1533" t="n">
        <v>1.69017476</v>
      </c>
      <c r="SB33" s="1533" t="n">
        <v>1.69017476</v>
      </c>
      <c r="SC33" s="1533" t="n">
        <v>1.69017476</v>
      </c>
      <c r="SD33" s="1533" t="n">
        <v>1.69017476</v>
      </c>
      <c r="SE33" s="1533" t="n">
        <v>0.6</v>
      </c>
      <c r="SF33" s="1533" t="n">
        <v>0.6</v>
      </c>
      <c r="SG33" s="1533" t="n">
        <v>0.4</v>
      </c>
      <c r="SH33" s="1533" t="n">
        <v>0.4</v>
      </c>
      <c r="SI33" s="1533" t="n">
        <v>2.4</v>
      </c>
      <c r="SJ33" s="1533" t="n">
        <v>2.4</v>
      </c>
      <c r="SK33" s="1533" t="n">
        <v>2</v>
      </c>
      <c r="SL33" s="1533" t="n">
        <v>2</v>
      </c>
      <c r="SM33" s="1533" t="n">
        <v>8.6</v>
      </c>
      <c r="SN33" s="1533" t="n">
        <v>8.6</v>
      </c>
      <c r="SO33" s="1533" t="n">
        <v>8.6</v>
      </c>
      <c r="SP33" s="1533" t="n">
        <v>0.7</v>
      </c>
      <c r="SQ33" s="1533" t="n">
        <v>0.7</v>
      </c>
      <c r="SR33" s="1533" t="n">
        <v>0.7</v>
      </c>
      <c r="SS33" s="1533" t="n">
        <v>0.4</v>
      </c>
      <c r="ST33" s="1533" t="n">
        <v>0.4</v>
      </c>
      <c r="SU33" s="1533" t="n">
        <v>0.4</v>
      </c>
      <c r="SV33" s="1533" t="n">
        <v>0.4</v>
      </c>
      <c r="SW33" s="1533" t="n">
        <v>0.4</v>
      </c>
      <c r="SX33" s="1533" t="n">
        <v>1</v>
      </c>
      <c r="SY33" s="1533" t="n">
        <v>1</v>
      </c>
      <c r="SZ33" s="1533" t="n">
        <v>1</v>
      </c>
      <c r="TA33" s="1533" t="n">
        <v>1</v>
      </c>
      <c r="TB33" s="1533" t="n">
        <v>1</v>
      </c>
      <c r="TC33" s="1533" t="n">
        <v>1</v>
      </c>
      <c r="TD33" s="1533" t="n">
        <v>1</v>
      </c>
      <c r="TE33" s="1533" t="n">
        <v>27.5</v>
      </c>
      <c r="TF33" s="1533" t="n">
        <v>1.7</v>
      </c>
      <c r="TG33" s="1533" t="n">
        <v>2.3</v>
      </c>
      <c r="TH33" s="1533" t="n">
        <v>1.2</v>
      </c>
      <c r="TI33" s="1533" t="n">
        <v>1.2</v>
      </c>
      <c r="TJ33" s="1533" t="n">
        <v>1.2</v>
      </c>
      <c r="TK33" s="1533" t="n">
        <v>1.2</v>
      </c>
      <c r="TL33" s="1533" t="n">
        <v>1</v>
      </c>
      <c r="TM33" s="1533" t="n">
        <v>1</v>
      </c>
      <c r="TN33" s="1533" t="n">
        <v>1</v>
      </c>
      <c r="TO33" s="1533" t="n">
        <v>0.9</v>
      </c>
      <c r="TP33" s="1533" t="n">
        <v>1</v>
      </c>
      <c r="TQ33" s="1533" t="n">
        <v>1.8</v>
      </c>
      <c r="TR33" s="1533" t="n">
        <v>4.1</v>
      </c>
      <c r="TS33" s="1533" t="n">
        <v>4.1</v>
      </c>
      <c r="TT33" s="1533" t="n">
        <v>2.1</v>
      </c>
      <c r="TU33" s="1533" t="n">
        <v>2.1</v>
      </c>
      <c r="TV33" s="1533" t="n">
        <v>1.6</v>
      </c>
      <c r="TW33" s="1533" t="n">
        <v>1</v>
      </c>
      <c r="TX33" s="1533" t="n">
        <v>1</v>
      </c>
      <c r="TY33" s="1533" t="n">
        <v>1</v>
      </c>
      <c r="TZ33" s="1533" t="n">
        <v>1.9</v>
      </c>
      <c r="UA33" s="1533" t="n">
        <v>3.4</v>
      </c>
      <c r="UB33" s="1533" t="n">
        <v>3.2</v>
      </c>
      <c r="UC33" s="1533" t="n">
        <v>3.2</v>
      </c>
      <c r="UD33" s="1533" t="n">
        <v>3.2</v>
      </c>
      <c r="UE33" s="1533" t="n">
        <v>2.5</v>
      </c>
      <c r="UF33" s="1533" t="n">
        <v>2.5</v>
      </c>
      <c r="UG33" s="1533" t="n">
        <v>1.455</v>
      </c>
      <c r="UH33" s="1533" t="n">
        <v>1</v>
      </c>
      <c r="UI33" s="1533" t="n">
        <v>1</v>
      </c>
      <c r="UJ33" s="1533" t="n">
        <v>3</v>
      </c>
      <c r="UK33" s="1533" t="n">
        <v>3</v>
      </c>
      <c r="UL33" s="1533" t="n">
        <v>3</v>
      </c>
      <c r="UM33" s="1533" t="n">
        <v>2.7</v>
      </c>
      <c r="UN33" s="1533" t="n">
        <v>1.8</v>
      </c>
      <c r="UO33" s="1533" t="n">
        <v>1.8</v>
      </c>
      <c r="UP33" s="1533" t="n">
        <v>1.2</v>
      </c>
      <c r="UQ33" s="1533" t="n">
        <v>1.2</v>
      </c>
      <c r="UR33" s="1533" t="n">
        <v>1.163</v>
      </c>
      <c r="US33" s="1533" t="n">
        <v>1.163</v>
      </c>
      <c r="UT33" s="1533" t="n">
        <v>1.163</v>
      </c>
      <c r="UU33" s="1533" t="n">
        <v>1</v>
      </c>
      <c r="UV33" s="1533" t="n">
        <v>1</v>
      </c>
      <c r="UW33" s="1533" t="n">
        <v>1</v>
      </c>
      <c r="UX33" s="1533" t="n">
        <v>4.7</v>
      </c>
      <c r="UY33" s="1533" t="n">
        <v>4.1</v>
      </c>
      <c r="UZ33" s="1533" t="n">
        <v>4.1</v>
      </c>
      <c r="VA33" s="1533" t="n">
        <v>8.1</v>
      </c>
      <c r="VB33" s="1533" t="n">
        <v>1.2</v>
      </c>
      <c r="VC33" s="1533" t="n">
        <v>1.2</v>
      </c>
      <c r="VD33" s="1533" t="n">
        <v>1.1</v>
      </c>
      <c r="VE33" s="1533" t="n">
        <v>1.1</v>
      </c>
      <c r="VF33" s="1533" t="n">
        <v>4</v>
      </c>
      <c r="VG33" s="1533" t="n">
        <v>3</v>
      </c>
      <c r="VH33" s="1533" t="n">
        <v>3.1</v>
      </c>
      <c r="VI33" s="1533" t="n">
        <v>3.4</v>
      </c>
      <c r="VJ33" s="1533" t="n">
        <v>3.4</v>
      </c>
      <c r="VK33" s="1533" t="n">
        <v>2.5</v>
      </c>
      <c r="VL33" s="1533" t="n">
        <v>3.5</v>
      </c>
      <c r="VM33" s="1533" t="n">
        <v>3.1</v>
      </c>
      <c r="VN33" s="1533" t="n">
        <v>3.1</v>
      </c>
      <c r="VO33" s="1533" t="n">
        <v>2.7</v>
      </c>
      <c r="VP33" s="1533" t="n">
        <v>5.4</v>
      </c>
      <c r="VQ33" s="1533" t="n">
        <v>7.6</v>
      </c>
      <c r="VR33" s="1533" t="n">
        <v>7.94</v>
      </c>
      <c r="VS33" s="1533" t="n">
        <v>37</v>
      </c>
      <c r="VT33" s="1533" t="n">
        <v>7.8</v>
      </c>
      <c r="VU33" s="1533" t="n">
        <v>7.8</v>
      </c>
      <c r="VV33" s="1533" t="n">
        <v>2.7</v>
      </c>
      <c r="VW33" s="1533" t="n">
        <v>2.7</v>
      </c>
      <c r="VX33" s="1533" t="n">
        <v>2.8</v>
      </c>
      <c r="VY33" s="1533" t="n">
        <v>2.8</v>
      </c>
      <c r="VZ33" s="1533" t="n">
        <v>4.9</v>
      </c>
      <c r="WA33" s="1533" t="n">
        <v>5.300000000000001</v>
      </c>
      <c r="WB33" s="1533" t="n">
        <v>5.4</v>
      </c>
      <c r="WC33" s="1533" t="n">
        <v>3.1</v>
      </c>
      <c r="WD33" s="1533" t="n">
        <v>3.1</v>
      </c>
      <c r="WE33" s="1533" t="n">
        <v>1.4</v>
      </c>
      <c r="WF33" s="1533" t="n">
        <v>1.8</v>
      </c>
      <c r="WG33" s="1533" t="n">
        <v>2</v>
      </c>
      <c r="WH33" s="1533" t="n">
        <v>2</v>
      </c>
      <c r="WI33" s="1533" t="n">
        <v>2</v>
      </c>
      <c r="WJ33" s="1533" t="n">
        <v>0.128</v>
      </c>
      <c r="WK33" s="1533" t="n">
        <v>0.128</v>
      </c>
      <c r="WL33" s="1533" t="n">
        <v>0.128</v>
      </c>
      <c r="WM33" s="1533" t="n">
        <v>0.4</v>
      </c>
      <c r="WN33" s="1533" t="n">
        <v>0.4</v>
      </c>
      <c r="WO33" s="1533" t="n">
        <v>0.4</v>
      </c>
      <c r="WP33" s="1533" t="n">
        <v>2.2</v>
      </c>
      <c r="WQ33" s="1533" t="n">
        <v>3.161</v>
      </c>
      <c r="WR33" s="1533" t="n">
        <v>8.800000000000001</v>
      </c>
      <c r="WS33" s="1533" t="n">
        <v>7.60468913</v>
      </c>
      <c r="WT33" s="1533" t="n">
        <v>7.60468913</v>
      </c>
      <c r="WU33" s="1533" t="n">
        <v>7.60468913</v>
      </c>
      <c r="WV33" s="1533" t="n">
        <v>7.60468913</v>
      </c>
      <c r="WW33" s="1533" t="n">
        <v>5.60468913</v>
      </c>
      <c r="WX33" s="1533" t="n">
        <v>5.5</v>
      </c>
      <c r="WY33" s="1533" t="n">
        <v>1.971</v>
      </c>
      <c r="WZ33" s="1533" t="n">
        <v>1.971</v>
      </c>
      <c r="XA33" s="1533" t="n">
        <v>1.971</v>
      </c>
      <c r="XB33" s="1533" t="n">
        <v>9</v>
      </c>
      <c r="XC33" s="1533" t="n">
        <v>9</v>
      </c>
      <c r="XD33" s="1533" t="n">
        <v>9.699999999999999</v>
      </c>
      <c r="XE33" s="1533" t="n">
        <v>9.683999999999999</v>
      </c>
      <c r="XF33" s="1533" t="n">
        <v>8.699999999999999</v>
      </c>
      <c r="XG33" s="1533" t="n">
        <v>7.375</v>
      </c>
      <c r="XH33" s="1533" t="n">
        <v>7.375</v>
      </c>
      <c r="XI33" s="1533" t="n">
        <v>7.2</v>
      </c>
      <c r="XJ33" s="1533" t="n">
        <v>7.2</v>
      </c>
      <c r="XK33" s="1533" t="n">
        <v>3.5</v>
      </c>
      <c r="XL33" s="1533" t="n">
        <v>6.9</v>
      </c>
      <c r="XM33" s="1533" t="n">
        <v>7.5</v>
      </c>
      <c r="XN33" s="1533" t="n">
        <v>7.1</v>
      </c>
      <c r="XO33" s="1533" t="n">
        <v>7.1</v>
      </c>
      <c r="XP33" s="1533" t="n">
        <v>6</v>
      </c>
      <c r="XQ33" s="1533" t="n">
        <v>0.25</v>
      </c>
      <c r="XR33" s="1533" t="n">
        <v>10.924</v>
      </c>
      <c r="XS33" s="1533" t="n">
        <v>12</v>
      </c>
      <c r="XT33" s="1533" t="n">
        <v>10.5</v>
      </c>
      <c r="XU33" s="1533" t="n">
        <v>10.5</v>
      </c>
      <c r="XV33" s="1533" t="n">
        <v>10.5</v>
      </c>
      <c r="XW33" s="1533" t="n">
        <v>10.5</v>
      </c>
      <c r="XX33" s="1533" t="n">
        <v>10.694</v>
      </c>
      <c r="XY33" s="1533" t="n">
        <v>15.176</v>
      </c>
      <c r="XZ33" s="1533" t="n">
        <v>15.6</v>
      </c>
      <c r="YA33" s="1533" t="n">
        <v>14.56</v>
      </c>
      <c r="YB33" s="1533" t="n">
        <v>14.56</v>
      </c>
      <c r="YC33" s="1533" t="n">
        <v>12.7</v>
      </c>
      <c r="YD33" s="1533" t="n">
        <v>39.376</v>
      </c>
      <c r="YE33" s="1533" t="n">
        <v>38.75</v>
      </c>
      <c r="YF33" s="1533" t="n">
        <v>38.75</v>
      </c>
      <c r="YG33" s="1533" t="n">
        <v>42.6</v>
      </c>
      <c r="YH33" s="1533" t="n">
        <v>11.6</v>
      </c>
      <c r="YI33" s="1533" t="n">
        <v>11.6</v>
      </c>
      <c r="YJ33" s="1543" t="n">
        <v>5.6</v>
      </c>
    </row>
    <row r="34">
      <c r="B34" s="917" t="inlineStr">
        <is>
          <t>MC</t>
        </is>
      </c>
      <c r="C34" s="1532" t="n">
        <v>0.6</v>
      </c>
      <c r="D34" s="1533" t="n">
        <v>0.2</v>
      </c>
      <c r="E34" s="1533" t="n">
        <v>0.2</v>
      </c>
      <c r="F34" s="1533" t="n">
        <v>0.7</v>
      </c>
      <c r="G34" s="1533" t="n">
        <v>9.300000000000001</v>
      </c>
      <c r="H34" s="1533" t="n">
        <v>1.5</v>
      </c>
      <c r="I34" s="1533" t="n">
        <v>1.3</v>
      </c>
      <c r="J34" s="1533" t="n">
        <v>1.2</v>
      </c>
      <c r="K34" s="1533" t="n">
        <v>0.4</v>
      </c>
      <c r="L34" s="1533" t="n">
        <v>0.4</v>
      </c>
      <c r="M34" s="1533" t="n">
        <v>0.4</v>
      </c>
      <c r="N34" s="1533" t="n">
        <v>46.2</v>
      </c>
      <c r="O34" s="1533" t="n">
        <v>0.7</v>
      </c>
      <c r="P34" s="1533" t="n">
        <v>0.3</v>
      </c>
      <c r="Q34" s="1533" t="n">
        <v>4.3</v>
      </c>
      <c r="R34" s="1533" t="n">
        <v>3.7</v>
      </c>
      <c r="S34" s="1533" t="n">
        <v>0.5</v>
      </c>
      <c r="T34" s="1533" t="n">
        <v>0.5</v>
      </c>
      <c r="U34" s="1533" t="n">
        <v>1.2</v>
      </c>
      <c r="V34" s="1533" t="n">
        <v>1.1</v>
      </c>
      <c r="W34" s="1533" t="n">
        <v>1.1</v>
      </c>
      <c r="X34" s="1533" t="n">
        <v>0.1</v>
      </c>
      <c r="Y34" s="1533" t="n">
        <v>0.9</v>
      </c>
      <c r="Z34" s="1533" t="n">
        <v>0.9</v>
      </c>
      <c r="AA34" s="1533" t="n">
        <v>0.9</v>
      </c>
      <c r="AB34" s="1533" t="n">
        <v>6.6</v>
      </c>
      <c r="AC34" s="1533" t="n">
        <v>9.1</v>
      </c>
      <c r="AD34" s="1533" t="n">
        <v>9.1</v>
      </c>
      <c r="AE34" s="1533" t="n">
        <v>5.3</v>
      </c>
      <c r="AF34" s="1533" t="n">
        <v>5.3</v>
      </c>
      <c r="AG34" s="1533" t="n">
        <v>5.3</v>
      </c>
      <c r="AH34" s="1533" t="n">
        <v>5.3</v>
      </c>
      <c r="AI34" s="1533" t="n">
        <v>4</v>
      </c>
      <c r="AJ34" s="1533" t="n">
        <v>7.4</v>
      </c>
      <c r="AK34" s="1533" t="n">
        <v>6.8</v>
      </c>
      <c r="AL34" s="1533" t="n">
        <v>6.8</v>
      </c>
      <c r="AM34" s="1533" t="n">
        <v>6.8</v>
      </c>
      <c r="AN34" s="1533" t="n">
        <v>7.8</v>
      </c>
      <c r="AO34" s="1533" t="n">
        <v>9.300000000000001</v>
      </c>
      <c r="AP34" s="1533" t="n">
        <v>9.9</v>
      </c>
      <c r="AQ34" s="1533" t="n">
        <v>7.5</v>
      </c>
      <c r="AR34" s="1533" t="n">
        <v>6.2</v>
      </c>
      <c r="AS34" s="1533" t="n">
        <v>13.8</v>
      </c>
      <c r="AT34" s="1533" t="n">
        <v>17.3</v>
      </c>
      <c r="AU34" s="1533" t="n">
        <v>0.4</v>
      </c>
      <c r="AV34" s="1533" t="n">
        <v>1.69</v>
      </c>
      <c r="AW34" s="1533" t="n">
        <v>5.85</v>
      </c>
      <c r="AX34" s="1533" t="n">
        <v>2.2</v>
      </c>
      <c r="AY34" s="1533" t="n">
        <v>2.1</v>
      </c>
      <c r="AZ34" s="1533" t="n">
        <v>0.4</v>
      </c>
      <c r="BA34" s="1533" t="n">
        <v>0.4</v>
      </c>
      <c r="BB34" s="1533" t="n">
        <v>0.4</v>
      </c>
      <c r="BC34" s="1533" t="n">
        <v>13.6</v>
      </c>
      <c r="BD34" s="1533" t="n">
        <v>6.6</v>
      </c>
      <c r="BE34" s="1533" t="n">
        <v>6.2</v>
      </c>
      <c r="BF34" s="1533" t="n">
        <v>6.2</v>
      </c>
      <c r="BG34" s="1533" t="n">
        <v>1.2</v>
      </c>
      <c r="BH34" s="1533" t="n">
        <v>1.2</v>
      </c>
      <c r="BI34" s="1533" t="n">
        <v>1.2</v>
      </c>
      <c r="BJ34" s="1533" t="n">
        <v>2</v>
      </c>
      <c r="BK34" s="1533" t="n">
        <v>1.5</v>
      </c>
      <c r="BL34" s="1533" t="n">
        <v>0.1</v>
      </c>
      <c r="BM34" s="1533" t="n">
        <v>0.2</v>
      </c>
      <c r="BN34" s="1533" t="n">
        <v>0.2</v>
      </c>
      <c r="BO34" s="1533" t="n">
        <v>9.300000000000001</v>
      </c>
      <c r="BP34" s="1533" t="n">
        <v>6.7</v>
      </c>
      <c r="BQ34" s="1533" t="n">
        <v>2.1</v>
      </c>
      <c r="BR34" s="1533" t="n">
        <v>1.5</v>
      </c>
      <c r="BS34" s="1533" t="n">
        <v>1.4</v>
      </c>
      <c r="BT34" s="1533" t="n">
        <v>2.1</v>
      </c>
      <c r="BU34" s="1533" t="n">
        <v>2.1</v>
      </c>
      <c r="BV34" s="1533" t="n">
        <v>2.1</v>
      </c>
      <c r="BW34" s="1533" t="n">
        <v>1.1</v>
      </c>
      <c r="BX34" s="1533" t="n">
        <v>4.2</v>
      </c>
      <c r="BY34" s="1533" t="n">
        <v>4.2</v>
      </c>
      <c r="BZ34" s="1533" t="n">
        <v>2.9</v>
      </c>
      <c r="CA34" s="1533" t="n">
        <v>2.9</v>
      </c>
      <c r="CB34" s="1533" t="n">
        <v>0.1</v>
      </c>
      <c r="CC34" s="1533" t="n">
        <v>0.1</v>
      </c>
      <c r="CD34" s="1533" t="n">
        <v>4.5</v>
      </c>
      <c r="CE34" s="1533" t="n">
        <v>0.01</v>
      </c>
      <c r="CF34" s="1533" t="n">
        <v>0.01</v>
      </c>
      <c r="CG34" s="1533" t="n">
        <v>0.7</v>
      </c>
      <c r="CH34" s="1533" t="n">
        <v>0.3</v>
      </c>
      <c r="CI34" s="1533" t="n">
        <v>0.2</v>
      </c>
      <c r="CJ34" s="1533" t="n">
        <v>0.3</v>
      </c>
      <c r="CK34" s="1533" t="n">
        <v>5.8</v>
      </c>
      <c r="CL34" s="1533" t="n">
        <v>0.2</v>
      </c>
      <c r="CM34" s="1533" t="n">
        <v>1.1</v>
      </c>
      <c r="CN34" s="1533" t="n">
        <v>2</v>
      </c>
      <c r="CO34" s="1533" t="n">
        <v>1.7</v>
      </c>
      <c r="CP34" s="1533" t="n">
        <v>1.7</v>
      </c>
      <c r="CQ34" s="1533" t="n">
        <v>2.3</v>
      </c>
      <c r="CR34" s="1533" t="n">
        <v>2.3</v>
      </c>
      <c r="CS34" s="1533" t="n">
        <v>4.7</v>
      </c>
      <c r="CT34" s="1533" t="n">
        <v>4.7</v>
      </c>
      <c r="CU34" s="1533" t="n">
        <v>15</v>
      </c>
      <c r="CV34" s="1533" t="n">
        <v>15</v>
      </c>
      <c r="CW34" s="1533" t="n">
        <v>3.2</v>
      </c>
      <c r="CX34" s="1533" t="n">
        <v>3.2</v>
      </c>
      <c r="CY34" s="1533" t="n">
        <v>0.1</v>
      </c>
      <c r="CZ34" s="1533" t="n">
        <v>0.1</v>
      </c>
      <c r="DA34" s="1533" t="n">
        <v>1.5</v>
      </c>
      <c r="DB34" s="1533" t="n">
        <v>1.5</v>
      </c>
      <c r="DC34" s="1533" t="n">
        <v>0.5</v>
      </c>
      <c r="DD34" s="1533" t="n">
        <v>0.5</v>
      </c>
      <c r="DE34" s="1533" t="n">
        <v>0.3</v>
      </c>
      <c r="DF34" s="1533" t="n">
        <v>8.56</v>
      </c>
      <c r="DG34" s="1533" t="n">
        <v>8.5</v>
      </c>
      <c r="DH34" s="1533" t="n">
        <v>8.300000000000001</v>
      </c>
      <c r="DI34" s="1533" t="n">
        <v>4.2</v>
      </c>
      <c r="DJ34" s="1533" t="n">
        <v>10.3</v>
      </c>
      <c r="DK34" s="1533" t="n">
        <v>10.6</v>
      </c>
      <c r="DL34" s="1533" t="n">
        <v>10.6</v>
      </c>
      <c r="DM34" s="1533" t="n">
        <v>10.6</v>
      </c>
      <c r="DN34" s="1533" t="n">
        <v>22.5</v>
      </c>
      <c r="DO34" s="1533" t="n">
        <v>2.5</v>
      </c>
      <c r="DP34" s="1533" t="n">
        <v>2.5</v>
      </c>
      <c r="DQ34" s="1533" t="n">
        <v>11</v>
      </c>
      <c r="DR34" s="1533" t="n">
        <v>6.2</v>
      </c>
      <c r="DS34" s="1533" t="n">
        <v>6.2</v>
      </c>
      <c r="DT34" s="1533" t="n">
        <v>8.199999999999999</v>
      </c>
      <c r="DU34" s="1533" t="n">
        <v>0.5</v>
      </c>
      <c r="DV34" s="1533" t="n">
        <v>4.5</v>
      </c>
      <c r="DW34" s="1533" t="n">
        <v>4.5</v>
      </c>
      <c r="DX34" s="1533" t="n">
        <v>10.6</v>
      </c>
      <c r="DY34" s="1533" t="n">
        <v>10.6</v>
      </c>
      <c r="DZ34" s="1533" t="n">
        <v>14.5</v>
      </c>
      <c r="EA34" s="1533" t="n">
        <v>14.3</v>
      </c>
      <c r="EB34" s="1533" t="n">
        <v>14.3</v>
      </c>
      <c r="EC34" s="1533" t="n">
        <v>14.3</v>
      </c>
      <c r="ED34" s="1533" t="n">
        <v>14.3</v>
      </c>
      <c r="EE34" s="1533" t="n">
        <v>4.4</v>
      </c>
      <c r="EF34" s="1533" t="n">
        <v>2.5</v>
      </c>
      <c r="EG34" s="1533" t="n">
        <v>3.65</v>
      </c>
      <c r="EH34" s="1533" t="n">
        <v>6.4</v>
      </c>
      <c r="EI34" s="1533" t="n">
        <v>2.3</v>
      </c>
      <c r="EJ34" s="1533" t="n">
        <v>2.2</v>
      </c>
      <c r="EK34" s="1533" t="n">
        <v>2.2</v>
      </c>
      <c r="EL34" s="1533" t="n">
        <v>2.2</v>
      </c>
      <c r="EM34" s="1533" t="n">
        <v>2.2</v>
      </c>
      <c r="EN34" s="1533" t="n">
        <v>14.3</v>
      </c>
      <c r="EO34" s="1533" t="n">
        <v>14.4</v>
      </c>
      <c r="EP34" s="1533" t="n">
        <v>14.3</v>
      </c>
      <c r="EQ34" s="1533" t="n">
        <v>1.64</v>
      </c>
      <c r="ER34" s="1533" t="n">
        <v>1.64</v>
      </c>
      <c r="ES34" s="1533" t="n">
        <v>6.8</v>
      </c>
      <c r="ET34" s="1533" t="n">
        <v>6.29</v>
      </c>
      <c r="EU34" s="1533" t="n">
        <v>6.29</v>
      </c>
      <c r="EV34" s="1533" t="n">
        <v>6.29</v>
      </c>
      <c r="EW34" s="1533" t="n">
        <v>21.3</v>
      </c>
      <c r="EX34" s="1533" t="n">
        <v>71.7</v>
      </c>
      <c r="EY34" s="1533" t="n">
        <v>71.7</v>
      </c>
      <c r="EZ34" s="1533" t="n">
        <v>69.2</v>
      </c>
      <c r="FA34" s="1533" t="n">
        <v>69.90000000000001</v>
      </c>
      <c r="FB34" s="1533" t="n">
        <v>72.40000000000001</v>
      </c>
      <c r="FC34" s="1533" t="n">
        <v>100</v>
      </c>
      <c r="FD34" s="1533" t="n">
        <v>100.9</v>
      </c>
      <c r="FE34" s="1533" t="n">
        <v>100.7</v>
      </c>
      <c r="FF34" s="1533" t="n">
        <v>100.7</v>
      </c>
      <c r="FG34" s="1533" t="n">
        <v>119.5</v>
      </c>
      <c r="FH34" s="1533" t="n">
        <v>100.6</v>
      </c>
      <c r="FI34" s="1533" t="n">
        <v>102.5</v>
      </c>
      <c r="FJ34" s="1533" t="n">
        <v>102.7</v>
      </c>
      <c r="FK34" s="1533" t="n">
        <v>102.7</v>
      </c>
      <c r="FL34" s="1533" t="n">
        <v>101.2</v>
      </c>
      <c r="FM34" s="1533" t="n">
        <v>101.8</v>
      </c>
      <c r="FN34" s="1533" t="n">
        <v>100.9</v>
      </c>
      <c r="FO34" s="1533" t="n">
        <v>100.9</v>
      </c>
      <c r="FP34" s="1533" t="n">
        <v>0.4</v>
      </c>
      <c r="FQ34" s="1533" t="n">
        <v>0.2</v>
      </c>
      <c r="FR34" s="1533" t="n">
        <v>0.2</v>
      </c>
      <c r="FS34" s="1533" t="n">
        <v>7</v>
      </c>
      <c r="FT34" s="1533" t="n">
        <v>7</v>
      </c>
      <c r="FU34" s="1533" t="n">
        <v>5.2</v>
      </c>
      <c r="FV34" s="1533" t="n">
        <v>10.1</v>
      </c>
      <c r="FW34" s="1533" t="n">
        <v>10.1</v>
      </c>
      <c r="FX34" s="1533" t="n">
        <v>10.1</v>
      </c>
      <c r="FY34" s="1533" t="n">
        <v>9.5</v>
      </c>
      <c r="FZ34" s="1533" t="n">
        <v>10.1</v>
      </c>
      <c r="GA34" s="1533" t="n">
        <v>2.6</v>
      </c>
      <c r="GB34" s="1533" t="n">
        <v>2.6</v>
      </c>
      <c r="GC34" s="1533" t="n">
        <v>10.7</v>
      </c>
      <c r="GD34" s="1533" t="n">
        <v>10.7</v>
      </c>
      <c r="GE34" s="1533" t="n">
        <v>14.4</v>
      </c>
      <c r="GF34" s="1533" t="n">
        <v>0.8</v>
      </c>
      <c r="GG34" s="1533" t="n">
        <v>1.6</v>
      </c>
      <c r="GH34" s="1533" t="n">
        <v>1.65</v>
      </c>
      <c r="GI34" s="1533" t="n">
        <v>4.672</v>
      </c>
      <c r="GJ34" s="1533" t="n">
        <v>6</v>
      </c>
      <c r="GK34" s="1533" t="n">
        <v>6</v>
      </c>
      <c r="GL34" s="1533" t="n">
        <v>6</v>
      </c>
      <c r="GM34" s="1533" t="n">
        <v>12</v>
      </c>
      <c r="GN34" s="1533" t="n">
        <v>3.8</v>
      </c>
      <c r="GO34" s="1533" t="n">
        <v>3.8</v>
      </c>
      <c r="GP34" s="1533" t="n">
        <v>3.3</v>
      </c>
      <c r="GQ34" s="1533" t="n"/>
      <c r="GR34" s="1533" t="n"/>
      <c r="GS34" s="1533" t="n"/>
      <c r="GT34" s="1533" t="n"/>
      <c r="GU34" s="1533" t="n"/>
      <c r="GV34" s="1533" t="n"/>
      <c r="GW34" s="1533" t="n"/>
      <c r="GX34" s="1533" t="n">
        <v>3.7</v>
      </c>
      <c r="GY34" s="1533" t="n">
        <v>12.4</v>
      </c>
      <c r="GZ34" s="1533" t="n">
        <v>12.3</v>
      </c>
      <c r="HA34" s="1533" t="n">
        <v>17</v>
      </c>
      <c r="HB34" s="1533" t="n">
        <v>7.8</v>
      </c>
      <c r="HC34" s="1533" t="n">
        <v>6.1</v>
      </c>
      <c r="HD34" s="1533" t="n">
        <v>6.1</v>
      </c>
      <c r="HE34" s="1533" t="n"/>
      <c r="HF34" s="1533" t="n"/>
      <c r="HG34" s="1533" t="n">
        <v>5</v>
      </c>
      <c r="HH34" s="1533" t="n">
        <v>5</v>
      </c>
      <c r="HI34" s="1533" t="n">
        <v>6.7</v>
      </c>
      <c r="HJ34" s="1533" t="n">
        <v>9.199999999999999</v>
      </c>
      <c r="HK34" s="1533" t="n"/>
      <c r="HL34" s="1533" t="n"/>
      <c r="HM34" s="1533" t="n">
        <v>6</v>
      </c>
      <c r="HN34" s="1533" t="n">
        <v>3.65</v>
      </c>
      <c r="HO34" s="1533" t="n">
        <v>3.3</v>
      </c>
      <c r="HP34" s="1533" t="n">
        <v>8.4</v>
      </c>
      <c r="HQ34" s="1533" t="n">
        <v>2.4</v>
      </c>
      <c r="HR34" s="1533" t="n">
        <v>2.4</v>
      </c>
      <c r="HS34" s="1533" t="n">
        <v>5.5</v>
      </c>
      <c r="HT34" s="1533" t="n">
        <v>5.7</v>
      </c>
      <c r="HU34" s="1533" t="n">
        <v>5.7</v>
      </c>
      <c r="HV34" s="1533" t="n">
        <v>3.8</v>
      </c>
      <c r="HW34" s="1533" t="n">
        <v>3.8</v>
      </c>
      <c r="HX34" s="1533" t="n">
        <v>4</v>
      </c>
      <c r="HY34" s="1533" t="n">
        <v>4</v>
      </c>
      <c r="HZ34" s="1533" t="n">
        <v>12</v>
      </c>
      <c r="IA34" s="1533" t="n">
        <v>8</v>
      </c>
      <c r="IB34" s="1533" t="n">
        <v>8.5</v>
      </c>
      <c r="IC34" s="1533" t="n">
        <v>8.5</v>
      </c>
      <c r="ID34" s="1533" t="n">
        <v>8.5</v>
      </c>
      <c r="IE34" s="1533" t="n">
        <v>5.5</v>
      </c>
      <c r="IF34" s="1533" t="n">
        <v>5.5</v>
      </c>
      <c r="IG34" s="1533" t="n">
        <v>4.3</v>
      </c>
      <c r="IH34" s="1533" t="n">
        <v>4.3</v>
      </c>
      <c r="II34" s="1533" t="n">
        <v>4.3</v>
      </c>
      <c r="IJ34" s="1533" t="n">
        <v>4.3</v>
      </c>
      <c r="IK34" s="1533" t="n">
        <v>15</v>
      </c>
      <c r="IL34" s="1533" t="n">
        <v>15</v>
      </c>
      <c r="IM34" s="1533" t="n">
        <v>15</v>
      </c>
      <c r="IN34" s="1533" t="n">
        <v>24.8</v>
      </c>
      <c r="IO34" s="1533" t="n">
        <v>3.3</v>
      </c>
      <c r="IP34" s="1533" t="n">
        <v>4.2</v>
      </c>
      <c r="IQ34" s="1533" t="n">
        <v>4.2</v>
      </c>
      <c r="IR34" s="1533" t="n">
        <v>4.2</v>
      </c>
      <c r="IS34" s="1533" t="n">
        <v>5.7</v>
      </c>
      <c r="IT34" s="1533" t="n">
        <v>7.1</v>
      </c>
      <c r="IU34" s="1533" t="n">
        <v>7</v>
      </c>
      <c r="IV34" s="1533" t="n">
        <v>7</v>
      </c>
      <c r="IW34" s="1533" t="n">
        <v>4.2</v>
      </c>
      <c r="IX34" s="1533" t="n">
        <v>4.2</v>
      </c>
      <c r="IY34" s="1533" t="n">
        <v>5.3</v>
      </c>
      <c r="IZ34" s="1533" t="n">
        <v>8.4</v>
      </c>
      <c r="JA34" s="1533" t="n">
        <v>3.5</v>
      </c>
      <c r="JB34" s="1533" t="n">
        <v>3.5</v>
      </c>
      <c r="JC34" s="1533" t="n">
        <v>3.2</v>
      </c>
      <c r="JD34" s="1533" t="n">
        <v>3.2</v>
      </c>
      <c r="JE34" s="1533" t="n">
        <v>3.2</v>
      </c>
      <c r="JF34" s="1533" t="n">
        <v>3.2</v>
      </c>
      <c r="JG34" s="1533" t="n">
        <v>0.091</v>
      </c>
      <c r="JH34" s="1533" t="n">
        <v>0.091</v>
      </c>
      <c r="JI34" s="1533" t="n">
        <v>0.091</v>
      </c>
      <c r="JJ34" s="1533" t="n">
        <v>7.3</v>
      </c>
      <c r="JK34" s="1533" t="n">
        <v>14.5</v>
      </c>
      <c r="JL34" s="1533" t="n">
        <v>14.4</v>
      </c>
      <c r="JM34" s="1533" t="n">
        <v>7.3</v>
      </c>
      <c r="JN34" s="1533" t="n">
        <v>7.3</v>
      </c>
      <c r="JO34" s="1533" t="n">
        <v>7.3</v>
      </c>
      <c r="JP34" s="1533" t="n">
        <v>9.4</v>
      </c>
      <c r="JQ34" s="1533" t="n">
        <v>9.4</v>
      </c>
      <c r="JR34" s="1533" t="n">
        <v>10.2</v>
      </c>
      <c r="JS34" s="1533" t="n">
        <v>10.2</v>
      </c>
      <c r="JT34" s="1533" t="n">
        <v>8.4</v>
      </c>
      <c r="JU34" s="1533" t="n">
        <v>8.4</v>
      </c>
      <c r="JV34" s="1533" t="n">
        <v>8.4</v>
      </c>
      <c r="JW34" s="1533" t="n">
        <v>2</v>
      </c>
      <c r="JX34" s="1533" t="n">
        <v>2</v>
      </c>
      <c r="JY34" s="1533" t="n">
        <v>20.2</v>
      </c>
      <c r="JZ34" s="1533" t="n">
        <v>20.2</v>
      </c>
      <c r="KA34" s="1533" t="n">
        <v>20.3</v>
      </c>
      <c r="KB34" s="1533" t="n">
        <v>2.9</v>
      </c>
      <c r="KC34" s="1533" t="n">
        <v>3.5</v>
      </c>
      <c r="KD34" s="1533" t="n">
        <v>3.3</v>
      </c>
      <c r="KE34" s="1533" t="n">
        <v>3.3</v>
      </c>
      <c r="KF34" s="1533" t="n">
        <v>14.5</v>
      </c>
      <c r="KG34" s="1533" t="n">
        <v>29</v>
      </c>
      <c r="KH34" s="1533" t="n">
        <v>29</v>
      </c>
      <c r="KI34" s="1533" t="n">
        <v>9</v>
      </c>
      <c r="KJ34" s="1533" t="n">
        <v>9</v>
      </c>
      <c r="KK34" s="1533" t="n">
        <v>8.9</v>
      </c>
      <c r="KL34" s="1533" t="n">
        <v>7</v>
      </c>
      <c r="KM34" s="1533" t="n">
        <v>7</v>
      </c>
      <c r="KN34" s="1533" t="n">
        <v>6</v>
      </c>
      <c r="KO34" s="1533" t="n">
        <v>4</v>
      </c>
      <c r="KP34" s="1533" t="n">
        <v>4</v>
      </c>
      <c r="KQ34" s="1533" t="n">
        <v>12</v>
      </c>
      <c r="KR34" s="1533" t="n">
        <v>12</v>
      </c>
      <c r="KS34" s="1533" t="n">
        <v>0.9</v>
      </c>
      <c r="KT34" s="1533" t="n">
        <v>0.9</v>
      </c>
      <c r="KU34" s="1533" t="n">
        <v>9.199999999999999</v>
      </c>
      <c r="KV34" s="1533" t="n">
        <v>3.7</v>
      </c>
      <c r="KW34" s="1533" t="n">
        <v>15.395</v>
      </c>
      <c r="KX34" s="1533" t="n">
        <v>19</v>
      </c>
      <c r="KY34" s="1533" t="n">
        <v>19</v>
      </c>
      <c r="KZ34" s="1533" t="n">
        <v>0.395</v>
      </c>
      <c r="LA34" s="1533" t="n">
        <v>0.395</v>
      </c>
      <c r="LB34" s="1533" t="n">
        <v>0.395</v>
      </c>
      <c r="LC34" s="1533" t="n">
        <v>0.395</v>
      </c>
      <c r="LD34" s="1533" t="n">
        <v>0.395</v>
      </c>
      <c r="LE34" s="1533" t="n">
        <v>0.15</v>
      </c>
      <c r="LF34" s="1533" t="n">
        <v>1.19</v>
      </c>
      <c r="LG34" s="1533" t="n">
        <v>1.19</v>
      </c>
      <c r="LH34" s="1533" t="n">
        <v>1.19</v>
      </c>
      <c r="LI34" s="1533" t="n">
        <v>1.88</v>
      </c>
      <c r="LJ34" s="1533" t="n">
        <v>1.88</v>
      </c>
      <c r="LK34" s="1533" t="n">
        <v>1.88</v>
      </c>
      <c r="LL34" s="1533" t="n">
        <v>1.52</v>
      </c>
      <c r="LM34" s="1533" t="n">
        <v>1.52</v>
      </c>
      <c r="LN34" s="1533" t="n">
        <v>0.88</v>
      </c>
      <c r="LO34" s="1533" t="n">
        <v>0.88</v>
      </c>
      <c r="LP34" s="1533" t="n">
        <v>0.88</v>
      </c>
      <c r="LQ34" s="1533" t="n">
        <v>1.692</v>
      </c>
      <c r="LR34" s="1533" t="n">
        <v>0.486</v>
      </c>
      <c r="LS34" s="1533" t="n">
        <v>0.486</v>
      </c>
      <c r="LT34" s="1533" t="n">
        <v>0.408</v>
      </c>
      <c r="LU34" s="1533" t="n">
        <v>12.343</v>
      </c>
      <c r="LV34" s="1533" t="n">
        <v>5.901000000000001</v>
      </c>
      <c r="LW34" s="1533" t="n">
        <v>5.901000000000001</v>
      </c>
      <c r="LX34" s="1533" t="n">
        <v>10.95</v>
      </c>
      <c r="LY34" s="1533" t="n">
        <v>10.95</v>
      </c>
      <c r="LZ34" s="1533" t="n">
        <v>9.5</v>
      </c>
      <c r="MA34" s="1533" t="n">
        <v>9.5</v>
      </c>
      <c r="MB34" s="1533" t="n">
        <v>9.5</v>
      </c>
      <c r="MC34" s="1533" t="n">
        <v>9.5</v>
      </c>
      <c r="MD34" s="1533" t="n">
        <v>6.4</v>
      </c>
      <c r="ME34" s="1533" t="n">
        <v>5.547</v>
      </c>
      <c r="MF34" s="1533" t="n">
        <v>5.547</v>
      </c>
      <c r="MG34" s="1533" t="n">
        <v>5.547</v>
      </c>
      <c r="MH34" s="1533" t="n">
        <v>3.55</v>
      </c>
      <c r="MI34" s="1533" t="n">
        <v>3.55</v>
      </c>
      <c r="MJ34" s="1533" t="n">
        <v>3.5</v>
      </c>
      <c r="MK34" s="1533" t="n">
        <v>5.1</v>
      </c>
      <c r="ML34" s="1533" t="n">
        <v>5.1</v>
      </c>
      <c r="MM34" s="1533" t="n">
        <v>5.1</v>
      </c>
      <c r="MN34" s="1533" t="n">
        <v>5.1</v>
      </c>
      <c r="MO34" s="1533" t="n">
        <v>5.1</v>
      </c>
      <c r="MP34" s="1533" t="n">
        <v>5.1</v>
      </c>
      <c r="MQ34" s="1533" t="n">
        <v>17.135</v>
      </c>
      <c r="MR34" s="1533" t="n">
        <v>17.135</v>
      </c>
      <c r="MS34" s="1533" t="n">
        <v>10</v>
      </c>
      <c r="MT34" s="1533" t="n">
        <v>9.699999999999999</v>
      </c>
      <c r="MU34" s="1533" t="n">
        <v>9.699999999999999</v>
      </c>
      <c r="MV34" s="1533" t="n">
        <v>9.699999999999999</v>
      </c>
      <c r="MW34" s="1533" t="n">
        <v>6.45</v>
      </c>
      <c r="MX34" s="1533" t="n">
        <v>6.45</v>
      </c>
      <c r="MY34" s="1533" t="n">
        <v>6.45</v>
      </c>
      <c r="MZ34" s="1533" t="n">
        <v>6.45</v>
      </c>
      <c r="NA34" s="1533" t="n">
        <v>6.45</v>
      </c>
      <c r="NB34" s="1533" t="n">
        <v>6.45</v>
      </c>
      <c r="NC34" s="1533" t="n">
        <v>6.45</v>
      </c>
      <c r="ND34" s="1533" t="n">
        <v>6.45</v>
      </c>
      <c r="NE34" s="1533" t="n">
        <v>6.45</v>
      </c>
      <c r="NF34" s="1533" t="n">
        <v>23.4</v>
      </c>
      <c r="NG34" s="1533" t="n">
        <v>0.7</v>
      </c>
      <c r="NH34" s="1533" t="n">
        <v>0.2</v>
      </c>
      <c r="NI34" s="1533" t="n">
        <v>0.2</v>
      </c>
      <c r="NJ34" s="1533" t="n">
        <v>0.2</v>
      </c>
      <c r="NK34" s="1533" t="n">
        <v>17.5</v>
      </c>
      <c r="NL34" s="1533" t="n">
        <v>17.5</v>
      </c>
      <c r="NM34" s="1533" t="n">
        <v>9.5</v>
      </c>
      <c r="NN34" s="1533" t="n">
        <v>9.5</v>
      </c>
      <c r="NO34" s="1533" t="n">
        <v>9.5</v>
      </c>
      <c r="NP34" s="1533" t="n">
        <v>25.9</v>
      </c>
      <c r="NQ34" s="1533" t="n">
        <v>25.9</v>
      </c>
      <c r="NR34" s="1533" t="n">
        <v>24</v>
      </c>
      <c r="NS34" s="1533" t="n">
        <v>24</v>
      </c>
      <c r="NT34" s="1533" t="n">
        <v>24</v>
      </c>
      <c r="NU34" s="1533" t="n">
        <v>22</v>
      </c>
      <c r="NV34" s="1533" t="n">
        <v>15</v>
      </c>
      <c r="NW34" s="1533" t="n">
        <v>15</v>
      </c>
      <c r="NX34" s="1533" t="n">
        <v>15</v>
      </c>
      <c r="NY34" s="1533" t="n">
        <v>12.5</v>
      </c>
      <c r="NZ34" s="1533" t="n">
        <v>12.45</v>
      </c>
      <c r="OA34" s="1533" t="n">
        <v>12.45</v>
      </c>
      <c r="OB34" s="1533" t="n">
        <v>12.45</v>
      </c>
      <c r="OC34" s="1533" t="n">
        <v>22.9</v>
      </c>
      <c r="OD34" s="1533" t="n">
        <v>22.9</v>
      </c>
      <c r="OE34" s="1533" t="n">
        <v>22.9</v>
      </c>
      <c r="OF34" s="1533" t="n">
        <v>22.9</v>
      </c>
      <c r="OG34" s="1533" t="n">
        <v>46.6</v>
      </c>
      <c r="OH34" s="1533" t="n">
        <v>46.6</v>
      </c>
      <c r="OI34" s="1533" t="n">
        <v>48</v>
      </c>
      <c r="OJ34" s="1533" t="n">
        <v>48.3</v>
      </c>
      <c r="OK34" s="1533" t="n">
        <v>48.3</v>
      </c>
      <c r="OL34" s="1533" t="n">
        <v>48.2</v>
      </c>
      <c r="OM34" s="1533" t="n">
        <v>48.2</v>
      </c>
      <c r="ON34" s="1533" t="n">
        <v>48.2</v>
      </c>
      <c r="OO34" s="1533" t="n">
        <v>34.5</v>
      </c>
      <c r="OP34" s="1533" t="n">
        <v>26.2</v>
      </c>
      <c r="OQ34" s="1533" t="n">
        <v>26.2</v>
      </c>
      <c r="OR34" s="1533" t="n">
        <v>26.2</v>
      </c>
      <c r="OS34" s="1533" t="n">
        <v>23</v>
      </c>
      <c r="OT34" s="1533" t="n">
        <v>23</v>
      </c>
      <c r="OU34" s="1533" t="n">
        <v>23</v>
      </c>
      <c r="OV34" s="1533" t="n">
        <v>23</v>
      </c>
      <c r="OW34" s="1533" t="n">
        <v>31</v>
      </c>
      <c r="OX34" s="1533" t="n">
        <v>31</v>
      </c>
      <c r="OY34" s="1533" t="n">
        <v>12.594</v>
      </c>
      <c r="OZ34" s="1533" t="n">
        <v>12.594</v>
      </c>
      <c r="PA34" s="1533" t="n">
        <v>12.594</v>
      </c>
      <c r="PB34" s="1533" t="n">
        <v>5.75</v>
      </c>
      <c r="PC34" s="1533" t="n">
        <v>5.75</v>
      </c>
      <c r="PD34" s="1533" t="n">
        <v>5.75</v>
      </c>
      <c r="PE34" s="1533" t="n">
        <v>5.5</v>
      </c>
      <c r="PF34" s="1533" t="n">
        <v>4.8</v>
      </c>
      <c r="PG34" s="1533" t="n">
        <v>4.8</v>
      </c>
      <c r="PH34" s="1533" t="n">
        <v>4.8</v>
      </c>
      <c r="PI34" s="1533" t="n">
        <v>9.949999999999999</v>
      </c>
      <c r="PJ34" s="1533" t="n">
        <v>9.949999999999999</v>
      </c>
      <c r="PK34" s="1533" t="n">
        <v>9.949999999999999</v>
      </c>
      <c r="PL34" s="1533" t="n">
        <v>9.949999999999999</v>
      </c>
      <c r="PM34" s="1533" t="n">
        <v>9.949999999999999</v>
      </c>
      <c r="PN34" s="1533" t="n">
        <v>0.2</v>
      </c>
      <c r="PO34" s="1533" t="n">
        <v>0.2</v>
      </c>
      <c r="PP34" s="1533" t="n">
        <v>0.2</v>
      </c>
      <c r="PQ34" s="1533" t="n">
        <v>15</v>
      </c>
      <c r="PR34" s="1533" t="n">
        <v>15</v>
      </c>
      <c r="PS34" s="1533" t="n">
        <v>14.5</v>
      </c>
      <c r="PT34" s="1533" t="n">
        <v>14.5</v>
      </c>
      <c r="PU34" s="1533" t="n">
        <v>12.4</v>
      </c>
      <c r="PV34" s="1533" t="n">
        <v>12.4</v>
      </c>
      <c r="PW34" s="1533" t="n">
        <v>12.4</v>
      </c>
      <c r="PX34" s="1533" t="n">
        <v>9.1</v>
      </c>
      <c r="PY34" s="1533" t="n">
        <v>9.550000000000001</v>
      </c>
      <c r="PZ34" s="1533" t="n">
        <v>9.550000000000001</v>
      </c>
      <c r="QA34" s="1533" t="n">
        <v>9.550000000000001</v>
      </c>
      <c r="QB34" s="1533" t="n">
        <v>7.13</v>
      </c>
      <c r="QC34" s="1533" t="n">
        <v>7.13</v>
      </c>
      <c r="QD34" s="1533" t="n">
        <v>7.13</v>
      </c>
      <c r="QE34" s="1533" t="n">
        <v>4.7</v>
      </c>
      <c r="QF34" s="1533" t="n">
        <v>4.7</v>
      </c>
      <c r="QG34" s="1533" t="n">
        <v>4.7</v>
      </c>
      <c r="QH34" s="1533" t="n">
        <v>4.7</v>
      </c>
      <c r="QI34" s="1533" t="n">
        <v>1.7</v>
      </c>
      <c r="QJ34" s="1533" t="n">
        <v>1.7</v>
      </c>
      <c r="QK34" s="1533" t="n">
        <v>1.19</v>
      </c>
      <c r="QL34" s="1533" t="n">
        <v>1.19</v>
      </c>
      <c r="QM34" s="1533" t="n">
        <v>1.19</v>
      </c>
      <c r="QN34" s="1533" t="n">
        <v>5.3</v>
      </c>
      <c r="QO34" s="1533" t="n">
        <v>8.765000000000001</v>
      </c>
      <c r="QP34" s="1533" t="n">
        <v>8.765000000000001</v>
      </c>
      <c r="QQ34" s="1533" t="n">
        <v>8.605</v>
      </c>
      <c r="QR34" s="1533" t="n">
        <v>8.605</v>
      </c>
      <c r="QS34" s="1533" t="n">
        <v>6.9</v>
      </c>
      <c r="QT34" s="1533" t="n">
        <v>6.7</v>
      </c>
      <c r="QU34" s="1533" t="n">
        <v>6.7</v>
      </c>
      <c r="QV34" s="1533" t="n">
        <v>6.3</v>
      </c>
      <c r="QW34" s="1533" t="n">
        <v>6.7</v>
      </c>
      <c r="QX34" s="1533" t="n">
        <v>6.7</v>
      </c>
      <c r="QY34" s="1533" t="n">
        <v>0.51</v>
      </c>
      <c r="QZ34" s="1533" t="n">
        <v>0.51</v>
      </c>
      <c r="RA34" s="1533" t="n">
        <v>0.4</v>
      </c>
      <c r="RB34" s="1533" t="n">
        <v>0.4</v>
      </c>
      <c r="RC34" s="1533" t="n">
        <v>0.4</v>
      </c>
      <c r="RD34" s="1533" t="n">
        <v>0.4</v>
      </c>
      <c r="RE34" s="1533" t="n">
        <v>9.935</v>
      </c>
      <c r="RF34" s="1533" t="n">
        <v>9.935</v>
      </c>
      <c r="RG34" s="1533" t="n">
        <v>9.935</v>
      </c>
      <c r="RH34" s="1533" t="n">
        <v>6.085</v>
      </c>
      <c r="RI34" s="1533" t="n">
        <v>6.085</v>
      </c>
      <c r="RJ34" s="1533" t="n">
        <v>6.085</v>
      </c>
      <c r="RK34" s="1533" t="n">
        <v>9.800000000000001</v>
      </c>
      <c r="RL34" s="1533" t="n">
        <v>9.800000000000001</v>
      </c>
      <c r="RM34" s="1533" t="n">
        <v>7.9</v>
      </c>
      <c r="RN34" s="1533" t="n">
        <v>7.9</v>
      </c>
      <c r="RO34" s="1533" t="n">
        <v>7.9</v>
      </c>
      <c r="RP34" s="1533" t="n">
        <v>7.9</v>
      </c>
      <c r="RQ34" s="1533" t="n">
        <v>5.8</v>
      </c>
      <c r="RR34" s="1533" t="n">
        <v>5.8</v>
      </c>
      <c r="RS34" s="1533" t="n">
        <v>3</v>
      </c>
      <c r="RT34" s="1533" t="n">
        <v>3</v>
      </c>
      <c r="RU34" s="1533" t="n">
        <v>3</v>
      </c>
      <c r="RV34" s="1533" t="n">
        <v>3</v>
      </c>
      <c r="RW34" s="1533" t="n">
        <v>3</v>
      </c>
      <c r="RX34" s="1533" t="n">
        <v>3</v>
      </c>
      <c r="RY34" s="1533" t="n">
        <v>0.5</v>
      </c>
      <c r="RZ34" s="1533" t="n">
        <v>0.5</v>
      </c>
      <c r="SA34" s="1533" t="n">
        <v>6.87</v>
      </c>
      <c r="SB34" s="1533" t="n">
        <v>0</v>
      </c>
      <c r="SC34" s="1533" t="n">
        <v>0</v>
      </c>
      <c r="SD34" s="1533" t="n">
        <v>0</v>
      </c>
      <c r="SE34" s="1533" t="n">
        <v>6.8</v>
      </c>
      <c r="SF34" s="1533" t="n">
        <v>6.8</v>
      </c>
      <c r="SG34" s="1533" t="n">
        <v>6.6</v>
      </c>
      <c r="SH34" s="1533" t="n">
        <v>6.6</v>
      </c>
      <c r="SI34" s="1533" t="n">
        <v>4.4</v>
      </c>
      <c r="SJ34" s="1533" t="n">
        <v>4.4</v>
      </c>
      <c r="SK34" s="1533" t="n">
        <v>103.5</v>
      </c>
      <c r="SL34" s="1533" t="n">
        <v>103.5</v>
      </c>
      <c r="SM34" s="1533" t="n">
        <v>2.8</v>
      </c>
      <c r="SN34" s="1533" t="n">
        <v>2.8</v>
      </c>
      <c r="SO34" s="1533" t="n">
        <v>2.8</v>
      </c>
      <c r="SP34" s="1533" t="n">
        <v>3.055</v>
      </c>
      <c r="SQ34" s="1533" t="n">
        <v>3.055</v>
      </c>
      <c r="SR34" s="1533" t="n">
        <v>3.055</v>
      </c>
      <c r="SS34" s="1533" t="n">
        <v>1.488</v>
      </c>
      <c r="ST34" s="1533" t="n">
        <v>1.488</v>
      </c>
      <c r="SU34" s="1533" t="n">
        <v>1.3</v>
      </c>
      <c r="SV34" s="1533" t="n">
        <v>1.3</v>
      </c>
      <c r="SW34" s="1533" t="n">
        <v>1.3</v>
      </c>
      <c r="SX34" s="1533" t="n">
        <v>35.93</v>
      </c>
      <c r="SY34" s="1533" t="n">
        <v>35.93</v>
      </c>
      <c r="SZ34" s="1533" t="n">
        <v>35.93</v>
      </c>
      <c r="TA34" s="1533" t="n">
        <v>38.5</v>
      </c>
      <c r="TB34" s="1533" t="n">
        <v>38.5</v>
      </c>
      <c r="TC34" s="1533" t="n">
        <v>28.7</v>
      </c>
      <c r="TD34" s="1533" t="n">
        <v>28.7</v>
      </c>
      <c r="TE34" s="1533" t="n">
        <v>30.3</v>
      </c>
      <c r="TF34" s="1533" t="n">
        <v>0.461</v>
      </c>
      <c r="TG34" s="1533" t="n">
        <v>5.045</v>
      </c>
      <c r="TH34" s="1533" t="n">
        <v>11.5</v>
      </c>
      <c r="TI34" s="1533" t="n">
        <v>39.35</v>
      </c>
      <c r="TJ34" s="1533" t="n">
        <v>8.640000000000001</v>
      </c>
      <c r="TK34" s="1533" t="n">
        <v>8.904</v>
      </c>
      <c r="TL34" s="1533" t="n">
        <v>1</v>
      </c>
      <c r="TM34" s="1533" t="n">
        <v>8</v>
      </c>
      <c r="TN34" s="1533" t="n">
        <v>10.1</v>
      </c>
      <c r="TO34" s="1533" t="n">
        <v>24.1</v>
      </c>
      <c r="TP34" s="1533" t="n">
        <v>3.612</v>
      </c>
      <c r="TQ34" s="1533" t="n">
        <v>2.755</v>
      </c>
      <c r="TR34" s="1533" t="n">
        <v>4.613</v>
      </c>
      <c r="TS34" s="1533" t="n">
        <v>10.645</v>
      </c>
      <c r="TT34" s="1533" t="n">
        <v>16.913</v>
      </c>
      <c r="TU34" s="1533" t="n">
        <v>16.393</v>
      </c>
      <c r="TV34" s="1533" t="n">
        <v>14.735</v>
      </c>
      <c r="TW34" s="1533" t="n">
        <v>12.4</v>
      </c>
      <c r="TX34" s="1533" t="n">
        <v>12.05</v>
      </c>
      <c r="TY34" s="1533" t="n">
        <v>13.05</v>
      </c>
      <c r="TZ34" s="1533" t="n">
        <v>18.615</v>
      </c>
      <c r="UA34" s="1533" t="n">
        <v>13.9</v>
      </c>
      <c r="UB34" s="1533" t="n">
        <v>13.815</v>
      </c>
      <c r="UC34" s="1533" t="n">
        <v>13.823</v>
      </c>
      <c r="UD34" s="1533" t="n">
        <v>12.077</v>
      </c>
      <c r="UE34" s="1533" t="n">
        <v>3.9</v>
      </c>
      <c r="UF34" s="1533" t="n">
        <v>6.2</v>
      </c>
      <c r="UG34" s="1533" t="n">
        <v>4.444999999999999</v>
      </c>
      <c r="UH34" s="1533" t="n">
        <v>4.145</v>
      </c>
      <c r="UI34" s="1533" t="n">
        <v>4</v>
      </c>
      <c r="UJ34" s="1533" t="n">
        <v>12.45</v>
      </c>
      <c r="UK34" s="1533" t="n">
        <v>12.451</v>
      </c>
      <c r="UL34" s="1533" t="n">
        <v>12.46</v>
      </c>
      <c r="UM34" s="1533" t="n">
        <v>15.87</v>
      </c>
      <c r="UN34" s="1533" t="n">
        <v>5.065</v>
      </c>
      <c r="UO34" s="1533" t="n">
        <v>9.26</v>
      </c>
      <c r="UP34" s="1533" t="n">
        <v>2.16</v>
      </c>
      <c r="UQ34" s="1533" t="n">
        <v>1.36</v>
      </c>
      <c r="UR34" s="1533" t="n">
        <v>2.46</v>
      </c>
      <c r="US34" s="1533" t="n">
        <v>2.36</v>
      </c>
      <c r="UT34" s="1533" t="n">
        <v>1.2</v>
      </c>
      <c r="UU34" s="1533" t="n">
        <v>11.6</v>
      </c>
      <c r="UV34" s="1533" t="n">
        <v>0.454</v>
      </c>
      <c r="UW34" s="1533" t="n">
        <v>0.4</v>
      </c>
      <c r="UX34" s="1533" t="n">
        <v>1.35</v>
      </c>
      <c r="UY34" s="1533" t="n">
        <v>6.42</v>
      </c>
      <c r="UZ34" s="1533" t="n">
        <v>8.609999999999999</v>
      </c>
      <c r="VA34" s="1533" t="n">
        <v>0.2</v>
      </c>
      <c r="VB34" s="1533" t="n">
        <v>2.3</v>
      </c>
      <c r="VC34" s="1533" t="n">
        <v>5.65</v>
      </c>
      <c r="VD34" s="1533" t="n">
        <v>5.542000000000001</v>
      </c>
      <c r="VE34" s="1533" t="n">
        <v>5.542000000000001</v>
      </c>
      <c r="VF34" s="1533" t="n">
        <v>19.6</v>
      </c>
      <c r="VG34" s="1533" t="n">
        <v>9.65</v>
      </c>
      <c r="VH34" s="1533" t="n">
        <v>0.3</v>
      </c>
      <c r="VI34" s="1533" t="n">
        <v>0.111</v>
      </c>
      <c r="VJ34" s="1533" t="n">
        <v>0.392</v>
      </c>
      <c r="VK34" s="1533" t="n">
        <v>16.5</v>
      </c>
      <c r="VL34" s="1533" t="n">
        <v>2.095</v>
      </c>
      <c r="VM34" s="1533" t="n">
        <v>3.64</v>
      </c>
      <c r="VN34" s="1533" t="n">
        <v>3.42</v>
      </c>
      <c r="VO34" s="1533" t="n">
        <v>13.2</v>
      </c>
      <c r="VP34" s="1533" t="n">
        <v>13.4</v>
      </c>
      <c r="VQ34" s="1533" t="n">
        <v>0.1</v>
      </c>
      <c r="VR34" s="1533" t="n">
        <v>0.676</v>
      </c>
      <c r="VS34" s="1533" t="n">
        <v>8</v>
      </c>
      <c r="VT34" s="1533" t="n">
        <v>9.744999999999999</v>
      </c>
      <c r="VU34" s="1533" t="n">
        <v>9.445</v>
      </c>
      <c r="VV34" s="1533" t="n">
        <v>0.9330000000000001</v>
      </c>
      <c r="VW34" s="1533" t="n">
        <v>0.2</v>
      </c>
      <c r="VX34" s="1533" t="n">
        <v>1.4</v>
      </c>
      <c r="VY34" s="1533" t="n">
        <v>5.055000000000001</v>
      </c>
      <c r="VZ34" s="1533" t="n">
        <v>17.872</v>
      </c>
      <c r="WA34" s="1533" t="n">
        <v>1.975</v>
      </c>
      <c r="WB34" s="1533" t="n">
        <v>8.017000000000001</v>
      </c>
      <c r="WC34" s="1533" t="n">
        <v>5.766</v>
      </c>
      <c r="WD34" s="1533" t="n">
        <v>6.510000000000001</v>
      </c>
      <c r="WE34" s="1533" t="n">
        <v>14.88</v>
      </c>
      <c r="WF34" s="1533" t="n">
        <v>14.81</v>
      </c>
      <c r="WG34" s="1533" t="n">
        <v>0.4</v>
      </c>
      <c r="WH34" s="1533" t="n">
        <v>0.337</v>
      </c>
      <c r="WI34" s="1533" t="n">
        <v>0.35</v>
      </c>
      <c r="WJ34" s="1533" t="n">
        <v>15.571</v>
      </c>
      <c r="WK34" s="1533" t="n">
        <v>11.233</v>
      </c>
      <c r="WL34" s="1533" t="n">
        <v>13</v>
      </c>
      <c r="WM34" s="1533" t="n">
        <v>0.2</v>
      </c>
      <c r="WN34" s="1533" t="n">
        <v>5.17</v>
      </c>
      <c r="WO34" s="1533" t="n">
        <v>16.635</v>
      </c>
      <c r="WP34" s="1533" t="n">
        <v>24.4</v>
      </c>
      <c r="WQ34" s="1533" t="n">
        <v>21.97</v>
      </c>
      <c r="WR34" s="1533" t="n">
        <v>11.7</v>
      </c>
      <c r="WS34" s="1533" t="n">
        <v>0.27</v>
      </c>
      <c r="WT34" s="1533" t="n">
        <v>2.25</v>
      </c>
      <c r="WU34" s="1533" t="n">
        <v>8.050000000000001</v>
      </c>
      <c r="WV34" s="1533" t="n">
        <v>26.19</v>
      </c>
      <c r="WW34" s="1533" t="n">
        <v>7.890000000000001</v>
      </c>
      <c r="WX34" s="1533" t="n">
        <v>11.44</v>
      </c>
      <c r="WY34" s="1533" t="n">
        <v>15.555</v>
      </c>
      <c r="WZ34" s="1533" t="n">
        <v>21.625</v>
      </c>
      <c r="XA34" s="1533" t="n">
        <v>9.040000000000001</v>
      </c>
      <c r="XB34" s="1533" t="n">
        <v>8.805</v>
      </c>
      <c r="XC34" s="1533" t="n">
        <v>8.537000000000001</v>
      </c>
      <c r="XD34" s="1533" t="n">
        <v>8.25</v>
      </c>
      <c r="XE34" s="1533" t="n">
        <v>8.860999999999999</v>
      </c>
      <c r="XF34" s="1533" t="n">
        <v>1.413</v>
      </c>
      <c r="XG34" s="1533" t="n">
        <v>0.42</v>
      </c>
      <c r="XH34" s="1533" t="n">
        <v>0.381</v>
      </c>
      <c r="XI34" s="1533" t="n">
        <v>99.925</v>
      </c>
      <c r="XJ34" s="1533" t="n">
        <v>98.75</v>
      </c>
      <c r="XK34" s="1533" t="n">
        <v>31</v>
      </c>
      <c r="XL34" s="1533" t="n">
        <v>20.64</v>
      </c>
      <c r="XM34" s="1533" t="n">
        <v>5.597</v>
      </c>
      <c r="XN34" s="1533" t="n">
        <v>4.850000000000001</v>
      </c>
      <c r="XO34" s="1533" t="n">
        <v>4.771</v>
      </c>
      <c r="XP34" s="1533" t="n">
        <v>2.21</v>
      </c>
      <c r="XQ34" s="1533" t="n">
        <v>2.12</v>
      </c>
      <c r="XR34" s="1533" t="n">
        <v>4.152</v>
      </c>
      <c r="XS34" s="1533" t="n">
        <v>31.735</v>
      </c>
      <c r="XT34" s="1533" t="n">
        <v>24.858</v>
      </c>
      <c r="XU34" s="1533" t="n">
        <v>24.827</v>
      </c>
      <c r="XV34" s="1533" t="n">
        <v>24.865</v>
      </c>
      <c r="XW34" s="1533" t="n">
        <v>24.861</v>
      </c>
      <c r="XX34" s="1533" t="n">
        <v>24.5</v>
      </c>
      <c r="XY34" s="1533" t="n">
        <v>15.446</v>
      </c>
      <c r="XZ34" s="1533" t="n">
        <v>13.655</v>
      </c>
      <c r="YA34" s="1533" t="n">
        <v>2.755</v>
      </c>
      <c r="YB34" s="1533" t="n">
        <v>2.755</v>
      </c>
      <c r="YC34" s="1533" t="n">
        <v>2.755</v>
      </c>
      <c r="YD34" s="1533" t="n">
        <v>29.255</v>
      </c>
      <c r="YE34" s="1533" t="n">
        <v>34.755</v>
      </c>
      <c r="YF34" s="1533" t="n">
        <v>38.88500000000001</v>
      </c>
      <c r="YG34" s="1533" t="n">
        <v>41.641</v>
      </c>
      <c r="YH34" s="1533" t="n">
        <v>51.4</v>
      </c>
      <c r="YI34" s="1533" t="n">
        <v>51.34500000000001</v>
      </c>
      <c r="YJ34" s="1543" t="n">
        <v>45.285</v>
      </c>
    </row>
    <row r="35">
      <c r="B35" s="917" t="inlineStr">
        <is>
          <t>Partner West</t>
        </is>
      </c>
      <c r="C35" s="1532" t="n">
        <v>50</v>
      </c>
      <c r="D35" s="1533" t="n">
        <v>3.4</v>
      </c>
      <c r="E35" s="1533" t="n">
        <v>17.6</v>
      </c>
      <c r="F35" s="1533" t="n">
        <v>11.7</v>
      </c>
      <c r="G35" s="1533" t="n">
        <v>17.9</v>
      </c>
      <c r="H35" s="1533" t="n">
        <v>27</v>
      </c>
      <c r="I35" s="1533" t="n">
        <v>6.6</v>
      </c>
      <c r="J35" s="1533" t="n">
        <v>18.8</v>
      </c>
      <c r="K35" s="1533" t="n">
        <v>18.8</v>
      </c>
      <c r="L35" s="1533" t="n">
        <v>11.4</v>
      </c>
      <c r="M35" s="1533" t="n">
        <v>9.5</v>
      </c>
      <c r="N35" s="1533" t="n">
        <v>8.9</v>
      </c>
      <c r="O35" s="1533" t="n">
        <v>6.9</v>
      </c>
      <c r="P35" s="1533" t="n">
        <v>11.5</v>
      </c>
      <c r="Q35" s="1533" t="n">
        <v>28.1</v>
      </c>
      <c r="R35" s="1533" t="n">
        <v>34.5</v>
      </c>
      <c r="S35" s="1533" t="n">
        <v>7.2</v>
      </c>
      <c r="T35" s="1533" t="n">
        <v>13</v>
      </c>
      <c r="U35" s="1533" t="n">
        <v>15.1</v>
      </c>
      <c r="V35" s="1533" t="n">
        <v>33.9</v>
      </c>
      <c r="W35" s="1533" t="n">
        <v>13.7</v>
      </c>
      <c r="X35" s="1533" t="n">
        <v>3</v>
      </c>
      <c r="Y35" s="1533" t="n">
        <v>10.9</v>
      </c>
      <c r="Z35" s="1533" t="n">
        <v>22.9</v>
      </c>
      <c r="AA35" s="1533" t="n">
        <v>47.4</v>
      </c>
      <c r="AB35" s="1533" t="n">
        <v>46.8</v>
      </c>
      <c r="AC35" s="1533" t="n">
        <v>78.7</v>
      </c>
      <c r="AD35" s="1533" t="n">
        <v>31.7</v>
      </c>
      <c r="AE35" s="1533" t="n">
        <v>10.5</v>
      </c>
      <c r="AF35" s="1533" t="n">
        <v>17.8</v>
      </c>
      <c r="AG35" s="1533" t="n">
        <v>26.6</v>
      </c>
      <c r="AH35" s="1533" t="n">
        <v>26.2</v>
      </c>
      <c r="AI35" s="1533" t="n">
        <v>8.5</v>
      </c>
      <c r="AJ35" s="1533" t="n">
        <v>16.4</v>
      </c>
      <c r="AK35" s="1533" t="n">
        <v>23</v>
      </c>
      <c r="AL35" s="1533" t="n">
        <v>25.3</v>
      </c>
      <c r="AM35" s="1533" t="n">
        <v>61</v>
      </c>
      <c r="AN35" s="1533" t="n">
        <v>2.6</v>
      </c>
      <c r="AO35" s="1533" t="n">
        <v>0.5</v>
      </c>
      <c r="AP35" s="1533" t="n">
        <v>9.300000000000001</v>
      </c>
      <c r="AQ35" s="1533" t="n">
        <v>5.4</v>
      </c>
      <c r="AR35" s="1533" t="n">
        <v>10.1</v>
      </c>
      <c r="AS35" s="1533" t="n">
        <v>6.5</v>
      </c>
      <c r="AT35" s="1533" t="n">
        <v>16.4</v>
      </c>
      <c r="AU35" s="1533" t="n">
        <v>2.6</v>
      </c>
      <c r="AV35" s="1533" t="n">
        <v>12.7</v>
      </c>
      <c r="AW35" s="1533" t="n">
        <v>6.9</v>
      </c>
      <c r="AX35" s="1533" t="n">
        <v>5.2</v>
      </c>
      <c r="AY35" s="1533" t="n">
        <v>23.1</v>
      </c>
      <c r="AZ35" s="1533" t="n">
        <v>6.7</v>
      </c>
      <c r="BA35" s="1533" t="n">
        <v>2</v>
      </c>
      <c r="BB35" s="1533" t="n">
        <v>9</v>
      </c>
      <c r="BC35" s="1533" t="n">
        <v>6.9</v>
      </c>
      <c r="BD35" s="1533" t="n">
        <v>2.7</v>
      </c>
      <c r="BE35" s="1533" t="n">
        <v>13.3</v>
      </c>
      <c r="BF35" s="1533" t="n">
        <v>8.5</v>
      </c>
      <c r="BG35" s="1533" t="n">
        <v>2.3</v>
      </c>
      <c r="BH35" s="1533" t="n">
        <v>2.8</v>
      </c>
      <c r="BI35" s="1533" t="n">
        <v>13</v>
      </c>
      <c r="BJ35" s="1533" t="n">
        <v>12.9</v>
      </c>
      <c r="BK35" s="1533" t="n">
        <v>1.7</v>
      </c>
      <c r="BL35" s="1533" t="n">
        <v>3.1</v>
      </c>
      <c r="BM35" s="1533" t="n">
        <v>4.5</v>
      </c>
      <c r="BN35" s="1533" t="n">
        <v>9.199999999999999</v>
      </c>
      <c r="BO35" s="1533" t="n">
        <v>26</v>
      </c>
      <c r="BP35" s="1533" t="n">
        <v>26</v>
      </c>
      <c r="BQ35" s="1533" t="n">
        <v>7.1</v>
      </c>
      <c r="BR35" s="1533" t="n">
        <v>5</v>
      </c>
      <c r="BS35" s="1533" t="n">
        <v>17.4</v>
      </c>
      <c r="BT35" s="1533" t="n">
        <v>8.800000000000001</v>
      </c>
      <c r="BU35" s="1533" t="n">
        <v>5</v>
      </c>
      <c r="BV35" s="1533" t="n">
        <v>6.1</v>
      </c>
      <c r="BW35" s="1533" t="n">
        <v>9.9</v>
      </c>
      <c r="BX35" s="1533" t="n">
        <v>7.5</v>
      </c>
      <c r="BY35" s="1533" t="n">
        <v>2.6</v>
      </c>
      <c r="BZ35" s="1533" t="n">
        <v>2</v>
      </c>
      <c r="CA35" s="1533" t="n">
        <v>2.5</v>
      </c>
      <c r="CB35" s="1533" t="n">
        <v>1.6</v>
      </c>
      <c r="CC35" s="1533" t="n">
        <v>6.5</v>
      </c>
      <c r="CD35" s="1533" t="n">
        <v>11.7</v>
      </c>
      <c r="CE35" s="1533" t="n">
        <v>3.7</v>
      </c>
      <c r="CF35" s="1533" t="n">
        <v>3.7</v>
      </c>
      <c r="CG35" s="1533" t="n">
        <v>3.7</v>
      </c>
      <c r="CH35" s="1533" t="n">
        <v>11.3</v>
      </c>
      <c r="CI35" s="1533" t="n">
        <v>8.1</v>
      </c>
      <c r="CJ35" s="1533" t="n">
        <v>14</v>
      </c>
      <c r="CK35" s="1533" t="n">
        <v>31.6</v>
      </c>
      <c r="CL35" s="1533" t="n">
        <v>19</v>
      </c>
      <c r="CM35" s="1533" t="n">
        <v>28.2</v>
      </c>
      <c r="CN35" s="1533" t="n">
        <v>29.4</v>
      </c>
      <c r="CO35" s="1533" t="n">
        <v>40.2</v>
      </c>
      <c r="CP35" s="1533" t="n">
        <v>22.7</v>
      </c>
      <c r="CQ35" s="1533" t="n">
        <v>7</v>
      </c>
      <c r="CR35" s="1533" t="n">
        <v>14.6</v>
      </c>
      <c r="CS35" s="1533" t="n">
        <v>20</v>
      </c>
      <c r="CT35" s="1533" t="n">
        <v>24.8</v>
      </c>
      <c r="CU35" s="1533" t="n">
        <v>9.699999999999999</v>
      </c>
      <c r="CV35" s="1533" t="n">
        <v>6.3</v>
      </c>
      <c r="CW35" s="1533" t="n">
        <v>31.8</v>
      </c>
      <c r="CX35" s="1533" t="n">
        <v>31.8</v>
      </c>
      <c r="CY35" s="1533" t="n">
        <v>14</v>
      </c>
      <c r="CZ35" s="1533" t="n">
        <v>14</v>
      </c>
      <c r="DA35" s="1533" t="n">
        <v>20.6</v>
      </c>
      <c r="DB35" s="1533" t="n">
        <v>21.8</v>
      </c>
      <c r="DC35" s="1533" t="n">
        <v>17.8</v>
      </c>
      <c r="DD35" s="1533" t="n">
        <v>18.5</v>
      </c>
      <c r="DE35" s="1533" t="n">
        <v>2</v>
      </c>
      <c r="DF35" s="1533" t="n">
        <v>20</v>
      </c>
      <c r="DG35" s="1533" t="n">
        <v>31.6</v>
      </c>
      <c r="DH35" s="1533" t="n">
        <v>21.9</v>
      </c>
      <c r="DI35" s="1533" t="n">
        <v>42.9</v>
      </c>
      <c r="DJ35" s="1533" t="n">
        <v>3.3</v>
      </c>
      <c r="DK35" s="1533" t="n">
        <v>16.3</v>
      </c>
      <c r="DL35" s="1533" t="n">
        <v>30.1</v>
      </c>
      <c r="DM35" s="1533" t="n">
        <v>30.1</v>
      </c>
      <c r="DN35" s="1533" t="n">
        <v>38.7</v>
      </c>
      <c r="DO35" s="1533" t="n">
        <v>31</v>
      </c>
      <c r="DP35" s="1533" t="n">
        <v>31</v>
      </c>
      <c r="DQ35" s="1533" t="n">
        <v>49.3</v>
      </c>
      <c r="DR35" s="1533" t="n">
        <v>11.7</v>
      </c>
      <c r="DS35" s="1533" t="n">
        <v>11.7</v>
      </c>
      <c r="DT35" s="1533" t="n">
        <v>16.2</v>
      </c>
      <c r="DU35" s="1533" t="n">
        <v>21</v>
      </c>
      <c r="DV35" s="1533" t="n">
        <v>19.8</v>
      </c>
      <c r="DW35" s="1533" t="n">
        <v>2.4</v>
      </c>
      <c r="DX35" s="1533" t="n">
        <v>8.5</v>
      </c>
      <c r="DY35" s="1533" t="n">
        <v>4.37</v>
      </c>
      <c r="DZ35" s="1533" t="n">
        <v>2.5</v>
      </c>
      <c r="EA35" s="1533" t="n">
        <v>15.4</v>
      </c>
      <c r="EB35" s="1533" t="n">
        <v>0.8</v>
      </c>
      <c r="EC35" s="1533" t="n">
        <v>6.55</v>
      </c>
      <c r="ED35" s="1533" t="n">
        <v>3.36</v>
      </c>
      <c r="EE35" s="1533" t="n">
        <v>18.3</v>
      </c>
      <c r="EF35" s="1533" t="n">
        <v>28.2</v>
      </c>
      <c r="EG35" s="1533" t="n">
        <v>57.5</v>
      </c>
      <c r="EH35" s="1533" t="n">
        <v>91.7</v>
      </c>
      <c r="EI35" s="1533" t="n">
        <v>9.800000000000001</v>
      </c>
      <c r="EJ35" s="1533" t="n">
        <v>19.4</v>
      </c>
      <c r="EK35" s="1533" t="n">
        <v>24.7</v>
      </c>
      <c r="EL35" s="1533" t="n">
        <v>32.2</v>
      </c>
      <c r="EM35" s="1533" t="n">
        <v>48.9</v>
      </c>
      <c r="EN35" s="1533" t="n">
        <v>0.8</v>
      </c>
      <c r="EO35" s="1533" t="n">
        <v>6.8</v>
      </c>
      <c r="EP35" s="1533" t="n">
        <v>37.28</v>
      </c>
      <c r="EQ35" s="1533" t="n">
        <v>10</v>
      </c>
      <c r="ER35" s="1533" t="n">
        <v>10</v>
      </c>
      <c r="ES35" s="1533" t="n">
        <v>17.6</v>
      </c>
      <c r="ET35" s="1533" t="n">
        <v>7.4</v>
      </c>
      <c r="EU35" s="1533" t="n">
        <v>39.46</v>
      </c>
      <c r="EV35" s="1533" t="n">
        <v>41.6</v>
      </c>
      <c r="EW35" s="1533" t="n">
        <v>29.4</v>
      </c>
      <c r="EX35" s="1533" t="n">
        <v>10.6</v>
      </c>
      <c r="EY35" s="1533" t="n">
        <v>16.9</v>
      </c>
      <c r="EZ35" s="1533" t="n">
        <v>25.3</v>
      </c>
      <c r="FA35" s="1533" t="n">
        <v>38.7</v>
      </c>
      <c r="FB35" s="1533" t="n">
        <v>10.1</v>
      </c>
      <c r="FC35" s="1533" t="n">
        <v>25</v>
      </c>
      <c r="FD35" s="1533" t="n">
        <v>28.9</v>
      </c>
      <c r="FE35" s="1533" t="n">
        <v>29.9</v>
      </c>
      <c r="FF35" s="1533" t="n">
        <v>37.2</v>
      </c>
      <c r="FG35" s="1533" t="n">
        <v>12.5</v>
      </c>
      <c r="FH35" s="1533" t="n">
        <v>18.8</v>
      </c>
      <c r="FI35" s="1533" t="n">
        <v>25.5</v>
      </c>
      <c r="FJ35" s="1533" t="n">
        <v>37.8</v>
      </c>
      <c r="FK35" s="1533" t="n">
        <v>37.8</v>
      </c>
      <c r="FL35" s="1533" t="n">
        <v>9.300000000000001</v>
      </c>
      <c r="FM35" s="1533" t="n">
        <v>22.1</v>
      </c>
      <c r="FN35" s="1533" t="n">
        <v>33.4</v>
      </c>
      <c r="FO35" s="1533" t="n">
        <v>54.7</v>
      </c>
      <c r="FP35" s="1533" t="n">
        <v>42.7</v>
      </c>
      <c r="FQ35" s="1533" t="n">
        <v>8.9</v>
      </c>
      <c r="FR35" s="1533" t="n">
        <v>19.7</v>
      </c>
      <c r="FS35" s="1533" t="n">
        <v>26.5</v>
      </c>
      <c r="FT35" s="1533" t="n">
        <v>28.4</v>
      </c>
      <c r="FU35" s="1533" t="n">
        <v>33</v>
      </c>
      <c r="FV35" s="1533" t="n">
        <v>7.5</v>
      </c>
      <c r="FW35" s="1533" t="n">
        <v>19.39</v>
      </c>
      <c r="FX35" s="1533" t="n">
        <v>5.6</v>
      </c>
      <c r="FY35" s="1533" t="n">
        <v>7.9</v>
      </c>
      <c r="FZ35" s="1533" t="n">
        <v>22</v>
      </c>
      <c r="GA35" s="1533" t="n">
        <v>1</v>
      </c>
      <c r="GB35" s="1533" t="n">
        <v>16.2</v>
      </c>
      <c r="GC35" s="1533" t="n">
        <v>22.8</v>
      </c>
      <c r="GD35" s="1533" t="n">
        <v>22.7</v>
      </c>
      <c r="GE35" s="1533" t="n">
        <v>37.9</v>
      </c>
      <c r="GF35" s="1533" t="n">
        <v>2</v>
      </c>
      <c r="GG35" s="1533" t="n">
        <v>34.6</v>
      </c>
      <c r="GH35" s="1533" t="n">
        <v>43.16</v>
      </c>
      <c r="GI35" s="1533" t="n">
        <v>30</v>
      </c>
      <c r="GJ35" s="1533" t="n">
        <v>2</v>
      </c>
      <c r="GK35" s="1533" t="n">
        <v>21.2</v>
      </c>
      <c r="GL35" s="1533" t="n">
        <v>19.5</v>
      </c>
      <c r="GM35" s="1533" t="n">
        <v>25</v>
      </c>
      <c r="GN35" s="1533" t="n"/>
      <c r="GO35" s="1533" t="n"/>
      <c r="GP35" s="1533" t="n">
        <v>11</v>
      </c>
      <c r="GQ35" s="1533" t="n"/>
      <c r="GR35" s="1533" t="n"/>
      <c r="GS35" s="1533" t="n"/>
      <c r="GT35" s="1533" t="n">
        <v>17</v>
      </c>
      <c r="GU35" s="1533" t="n">
        <v>11.1</v>
      </c>
      <c r="GV35" s="1533" t="n"/>
      <c r="GW35" s="1533" t="n"/>
      <c r="GX35" s="1533" t="n"/>
      <c r="GY35" s="1533" t="n">
        <v>6.2</v>
      </c>
      <c r="GZ35" s="1533" t="n">
        <v>17</v>
      </c>
      <c r="HA35" s="1533" t="n"/>
      <c r="HB35" s="1533" t="n"/>
      <c r="HC35" s="1533" t="n">
        <v>6</v>
      </c>
      <c r="HD35" s="1533" t="n">
        <v>6</v>
      </c>
      <c r="HE35" s="1533" t="n">
        <v>13.4</v>
      </c>
      <c r="HF35" s="1533" t="n">
        <v>13.2</v>
      </c>
      <c r="HG35" s="1533" t="n"/>
      <c r="HH35" s="1533" t="n"/>
      <c r="HI35" s="1533" t="n"/>
      <c r="HJ35" s="1533" t="n"/>
      <c r="HK35" s="1533" t="n"/>
      <c r="HL35" s="1533" t="n"/>
      <c r="HM35" s="1533" t="n"/>
      <c r="HN35" s="1533" t="n"/>
      <c r="HO35" s="1533" t="n">
        <v>15.4</v>
      </c>
      <c r="HP35" s="1533" t="n">
        <v>17.246</v>
      </c>
      <c r="HQ35" s="1533" t="n">
        <v>18.83</v>
      </c>
      <c r="HR35" s="1533" t="n">
        <v>13.6</v>
      </c>
      <c r="HS35" s="1533" t="n">
        <v>21.4</v>
      </c>
      <c r="HT35" s="1533" t="n">
        <v>27.8</v>
      </c>
      <c r="HU35" s="1533" t="n">
        <v>27.8</v>
      </c>
      <c r="HV35" s="1533" t="n">
        <v>11.657</v>
      </c>
      <c r="HW35" s="1533" t="n">
        <v>11.657</v>
      </c>
      <c r="HX35" s="1533" t="n">
        <v>17</v>
      </c>
      <c r="HY35" s="1533" t="n">
        <v>17</v>
      </c>
      <c r="HZ35" s="1533" t="n">
        <v>3.667</v>
      </c>
      <c r="IA35" s="1533" t="n">
        <v>9.699999999999999</v>
      </c>
      <c r="IB35" s="1533" t="n">
        <v>11.2</v>
      </c>
      <c r="IC35" s="1533" t="n">
        <v>11.2</v>
      </c>
      <c r="ID35" s="1533" t="n">
        <v>11.2</v>
      </c>
      <c r="IE35" s="1533" t="n">
        <v>1.994</v>
      </c>
      <c r="IF35" s="1533" t="n">
        <v>1.994</v>
      </c>
      <c r="IG35" s="1533" t="n">
        <v>7.925</v>
      </c>
      <c r="IH35" s="1533" t="n">
        <v>14.8</v>
      </c>
      <c r="II35" s="1533" t="n">
        <v>14.8</v>
      </c>
      <c r="IJ35" s="1533" t="n">
        <v>14.8</v>
      </c>
      <c r="IK35" s="1533" t="n">
        <v>7.5</v>
      </c>
      <c r="IL35" s="1533" t="n">
        <v>7.5</v>
      </c>
      <c r="IM35" s="1533" t="n">
        <v>7.5</v>
      </c>
      <c r="IN35" s="1533" t="n">
        <v>30.6</v>
      </c>
      <c r="IO35" s="1533" t="n">
        <v>30.6</v>
      </c>
      <c r="IP35" s="1533" t="n">
        <v>16.421</v>
      </c>
      <c r="IQ35" s="1533" t="n">
        <v>31.7</v>
      </c>
      <c r="IR35" s="1533" t="n">
        <v>31.7</v>
      </c>
      <c r="IS35" s="1533" t="n">
        <v>13.5</v>
      </c>
      <c r="IT35" s="1533" t="n">
        <v>0.449</v>
      </c>
      <c r="IU35" s="1533" t="n">
        <v>21.869</v>
      </c>
      <c r="IV35" s="1533" t="n">
        <v>21.869</v>
      </c>
      <c r="IW35" s="1533" t="n">
        <v>5.251</v>
      </c>
      <c r="IX35" s="1533" t="n">
        <v>30.434</v>
      </c>
      <c r="IY35" s="1533" t="n">
        <v>31.1</v>
      </c>
      <c r="IZ35" s="1533" t="n">
        <v>2.688</v>
      </c>
      <c r="JA35" s="1533" t="n">
        <v>6.645</v>
      </c>
      <c r="JB35" s="1533" t="n">
        <v>6.645</v>
      </c>
      <c r="JC35" s="1533" t="n">
        <v>0.281</v>
      </c>
      <c r="JD35" s="1533" t="n">
        <v>9.9</v>
      </c>
      <c r="JE35" s="1533" t="n">
        <v>9.9</v>
      </c>
      <c r="JF35" s="1533" t="n">
        <v>9.9</v>
      </c>
      <c r="JG35" s="1533" t="n">
        <v>0.022</v>
      </c>
      <c r="JH35" s="1533" t="n">
        <v>0.022</v>
      </c>
      <c r="JI35" s="1533" t="n">
        <v>0.022</v>
      </c>
      <c r="JJ35" s="1533" t="n">
        <v>6.185</v>
      </c>
      <c r="JK35" s="1533" t="n">
        <v>14.1</v>
      </c>
      <c r="JL35" s="1533" t="n">
        <v>11.9</v>
      </c>
      <c r="JM35" s="1533" t="n">
        <v>13.063</v>
      </c>
      <c r="JN35" s="1533" t="n">
        <v>13.063</v>
      </c>
      <c r="JO35" s="1533" t="n">
        <v>13.063</v>
      </c>
      <c r="JP35" s="1533" t="n">
        <v>6.755</v>
      </c>
      <c r="JQ35" s="1533" t="n">
        <v>6.755</v>
      </c>
      <c r="JR35" s="1533" t="n">
        <v>30.081</v>
      </c>
      <c r="JS35" s="1533" t="n">
        <v>30.081</v>
      </c>
      <c r="JT35" s="1533" t="n">
        <v>26.6</v>
      </c>
      <c r="JU35" s="1533" t="n">
        <v>26.6</v>
      </c>
      <c r="JV35" s="1533" t="n">
        <v>26.6</v>
      </c>
      <c r="JW35" s="1533" t="n">
        <v>36.658</v>
      </c>
      <c r="JX35" s="1533" t="n">
        <v>36.658</v>
      </c>
      <c r="JY35" s="1533" t="n">
        <v>30.388</v>
      </c>
      <c r="JZ35" s="1533" t="n">
        <v>30.388</v>
      </c>
      <c r="KA35" s="1533" t="n">
        <v>35.3</v>
      </c>
      <c r="KB35" s="1533" t="n">
        <v>17.53</v>
      </c>
      <c r="KC35" s="1533" t="n">
        <v>1.319</v>
      </c>
      <c r="KD35" s="1533" t="n">
        <v>15.697</v>
      </c>
      <c r="KE35" s="1533" t="n">
        <v>15.697</v>
      </c>
      <c r="KF35" s="1533" t="n">
        <v>14.1</v>
      </c>
      <c r="KG35" s="1533" t="n">
        <v>50.466</v>
      </c>
      <c r="KH35" s="1533" t="n">
        <v>50.466</v>
      </c>
      <c r="KI35" s="1533" t="n">
        <v>1.089</v>
      </c>
      <c r="KJ35" s="1533" t="n">
        <v>1.089</v>
      </c>
      <c r="KK35" s="1533" t="n">
        <v>10.6</v>
      </c>
      <c r="KL35" s="1533" t="n">
        <v>22.077</v>
      </c>
      <c r="KM35" s="1533" t="n">
        <v>22.077</v>
      </c>
      <c r="KN35" s="1533" t="n">
        <v>0</v>
      </c>
      <c r="KO35" s="1533" t="n">
        <v>0</v>
      </c>
      <c r="KP35" s="1533" t="n">
        <v>20.6</v>
      </c>
      <c r="KQ35" s="1533" t="n">
        <v>24.5</v>
      </c>
      <c r="KR35" s="1533" t="n">
        <v>24.5</v>
      </c>
      <c r="KS35" s="1533" t="n">
        <v>24.5</v>
      </c>
      <c r="KT35" s="1533" t="n">
        <v>24.5</v>
      </c>
      <c r="KU35" s="1533" t="n">
        <v>25.1</v>
      </c>
      <c r="KV35" s="1533" t="n">
        <v>23.2</v>
      </c>
      <c r="KW35" s="1533" t="n">
        <v>7</v>
      </c>
      <c r="KX35" s="1533" t="n">
        <v>19.98</v>
      </c>
      <c r="KY35" s="1533" t="n">
        <v>19.98</v>
      </c>
      <c r="KZ35" s="1533" t="n">
        <v>9.696</v>
      </c>
      <c r="LA35" s="1533" t="n">
        <v>9.696</v>
      </c>
      <c r="LB35" s="1533" t="n">
        <v>24.761</v>
      </c>
      <c r="LC35" s="1533" t="n">
        <v>24.761</v>
      </c>
      <c r="LD35" s="1533" t="n">
        <v>24.761</v>
      </c>
      <c r="LE35" s="1533" t="n">
        <v>20.2</v>
      </c>
      <c r="LF35" s="1533" t="n">
        <v>20.8</v>
      </c>
      <c r="LG35" s="1533" t="n">
        <v>20.8</v>
      </c>
      <c r="LH35" s="1533" t="n">
        <v>20.8</v>
      </c>
      <c r="LI35" s="1533" t="n">
        <v>1.17</v>
      </c>
      <c r="LJ35" s="1533" t="n">
        <v>1.17</v>
      </c>
      <c r="LK35" s="1533" t="n">
        <v>1.17</v>
      </c>
      <c r="LL35" s="1533" t="n">
        <v>19.3</v>
      </c>
      <c r="LM35" s="1533" t="n">
        <v>19.3</v>
      </c>
      <c r="LN35" s="1533" t="n">
        <v>18.22</v>
      </c>
      <c r="LO35" s="1533" t="n">
        <v>18.22</v>
      </c>
      <c r="LP35" s="1533" t="n">
        <v>18.22</v>
      </c>
      <c r="LQ35" s="1533" t="n">
        <v>19</v>
      </c>
      <c r="LR35" s="1533" t="n">
        <v>3.12</v>
      </c>
      <c r="LS35" s="1533" t="n">
        <v>3.12</v>
      </c>
      <c r="LT35" s="1533" t="n">
        <v>16.771</v>
      </c>
      <c r="LU35" s="1533" t="n">
        <v>18.739</v>
      </c>
      <c r="LV35" s="1533" t="n">
        <v>12.608</v>
      </c>
      <c r="LW35" s="1533" t="n">
        <v>12.608</v>
      </c>
      <c r="LX35" s="1533" t="n">
        <v>24.5</v>
      </c>
      <c r="LY35" s="1533" t="n">
        <v>24.5</v>
      </c>
      <c r="LZ35" s="1533" t="n">
        <v>27.4</v>
      </c>
      <c r="MA35" s="1533" t="n">
        <v>27.4</v>
      </c>
      <c r="MB35" s="1533" t="n">
        <v>27.4</v>
      </c>
      <c r="MC35" s="1533" t="n">
        <v>27.4</v>
      </c>
      <c r="MD35" s="1533" t="n">
        <v>12.9</v>
      </c>
      <c r="ME35" s="1533" t="n">
        <v>14.152</v>
      </c>
      <c r="MF35" s="1533" t="n">
        <v>14.152</v>
      </c>
      <c r="MG35" s="1533" t="n">
        <v>14.152</v>
      </c>
      <c r="MH35" s="1533" t="n">
        <v>3.383</v>
      </c>
      <c r="MI35" s="1533" t="n">
        <v>3.383</v>
      </c>
      <c r="MJ35" s="1533" t="n">
        <v>11.8</v>
      </c>
      <c r="MK35" s="1533" t="n">
        <v>11.955</v>
      </c>
      <c r="ML35" s="1533" t="n">
        <v>11.955</v>
      </c>
      <c r="MM35" s="1533" t="n">
        <v>11.955</v>
      </c>
      <c r="MN35" s="1533" t="n">
        <v>11.955</v>
      </c>
      <c r="MO35" s="1533" t="n">
        <v>11.955</v>
      </c>
      <c r="MP35" s="1533" t="n">
        <v>11.955</v>
      </c>
      <c r="MQ35" s="1533" t="n">
        <v>10</v>
      </c>
      <c r="MR35" s="1533" t="n">
        <v>10</v>
      </c>
      <c r="MS35" s="1533" t="n">
        <v>3.5</v>
      </c>
      <c r="MT35" s="1533" t="n">
        <v>3.5</v>
      </c>
      <c r="MU35" s="1533" t="n">
        <v>3.5</v>
      </c>
      <c r="MV35" s="1533" t="n">
        <v>3.5</v>
      </c>
      <c r="MW35" s="1533" t="n">
        <v>5.1</v>
      </c>
      <c r="MX35" s="1533" t="n">
        <v>15.5</v>
      </c>
      <c r="MY35" s="1533" t="n">
        <v>15.5</v>
      </c>
      <c r="MZ35" s="1533" t="n">
        <v>15.5</v>
      </c>
      <c r="NA35" s="1533" t="n">
        <v>15.5</v>
      </c>
      <c r="NB35" s="1533" t="n">
        <v>15.5</v>
      </c>
      <c r="NC35" s="1533" t="n">
        <v>15.5</v>
      </c>
      <c r="ND35" s="1533" t="n">
        <v>15.5</v>
      </c>
      <c r="NE35" s="1533" t="n">
        <v>15.5</v>
      </c>
      <c r="NF35" s="1533" t="n">
        <v>2.2</v>
      </c>
      <c r="NG35" s="1533" t="n">
        <v>2.2</v>
      </c>
      <c r="NH35" s="1533" t="n">
        <v>15.1</v>
      </c>
      <c r="NI35" s="1533" t="n">
        <v>19.6</v>
      </c>
      <c r="NJ35" s="1533" t="n">
        <v>19.6</v>
      </c>
      <c r="NK35" s="1533" t="n">
        <v>6.1</v>
      </c>
      <c r="NL35" s="1533" t="n">
        <v>6.1</v>
      </c>
      <c r="NM35" s="1533" t="n">
        <v>16.1</v>
      </c>
      <c r="NN35" s="1533" t="n">
        <v>16.1</v>
      </c>
      <c r="NO35" s="1533" t="n">
        <v>16.1</v>
      </c>
      <c r="NP35" s="1533" t="n">
        <v>10.7</v>
      </c>
      <c r="NQ35" s="1533" t="n">
        <v>10.7</v>
      </c>
      <c r="NR35" s="1533" t="n">
        <v>26.2</v>
      </c>
      <c r="NS35" s="1533" t="n">
        <v>26.2</v>
      </c>
      <c r="NT35" s="1533" t="n">
        <v>26.2</v>
      </c>
      <c r="NU35" s="1533" t="n">
        <v>14.262</v>
      </c>
      <c r="NV35" s="1533" t="n">
        <v>22.5</v>
      </c>
      <c r="NW35" s="1533" t="n">
        <v>22.5</v>
      </c>
      <c r="NX35" s="1533" t="n">
        <v>22.5</v>
      </c>
      <c r="NY35" s="1533" t="n">
        <v>5</v>
      </c>
      <c r="NZ35" s="1533" t="n">
        <v>8.622999999999999</v>
      </c>
      <c r="OA35" s="1533" t="n">
        <v>8.622999999999999</v>
      </c>
      <c r="OB35" s="1533" t="n">
        <v>8.622999999999999</v>
      </c>
      <c r="OC35" s="1533" t="n">
        <v>37.835</v>
      </c>
      <c r="OD35" s="1533" t="n">
        <v>37.835</v>
      </c>
      <c r="OE35" s="1533" t="n">
        <v>37.835</v>
      </c>
      <c r="OF35" s="1533" t="n">
        <v>37.835</v>
      </c>
      <c r="OG35" s="1533" t="n">
        <v>40.7</v>
      </c>
      <c r="OH35" s="1533" t="n">
        <v>40.7</v>
      </c>
      <c r="OI35" s="1533" t="n">
        <v>2.3</v>
      </c>
      <c r="OJ35" s="1533" t="n">
        <v>3.2</v>
      </c>
      <c r="OK35" s="1533" t="n">
        <v>3.2</v>
      </c>
      <c r="OL35" s="1533" t="n">
        <v>19.9</v>
      </c>
      <c r="OM35" s="1533" t="n">
        <v>19.9</v>
      </c>
      <c r="ON35" s="1533" t="n">
        <v>19.9</v>
      </c>
      <c r="OO35" s="1533" t="n">
        <v>13</v>
      </c>
      <c r="OP35" s="1533" t="n">
        <v>25.4</v>
      </c>
      <c r="OQ35" s="1533" t="n">
        <v>25.4</v>
      </c>
      <c r="OR35" s="1533" t="n">
        <v>25.4</v>
      </c>
      <c r="OS35" s="1533" t="n">
        <v>6.7</v>
      </c>
      <c r="OT35" s="1533" t="n">
        <v>7.223000000000001</v>
      </c>
      <c r="OU35" s="1533" t="n">
        <v>7.223000000000001</v>
      </c>
      <c r="OV35" s="1533" t="n">
        <v>7.223000000000001</v>
      </c>
      <c r="OW35" s="1533" t="n">
        <v>29.4</v>
      </c>
      <c r="OX35" s="1533" t="n">
        <v>29.4</v>
      </c>
      <c r="OY35" s="1533" t="n">
        <v>2.387</v>
      </c>
      <c r="OZ35" s="1533" t="n">
        <v>2.387</v>
      </c>
      <c r="PA35" s="1533" t="n">
        <v>2.387</v>
      </c>
      <c r="PB35" s="1533" t="n">
        <v>0</v>
      </c>
      <c r="PC35" s="1533" t="n">
        <v>0</v>
      </c>
      <c r="PD35" s="1533" t="n">
        <v>0</v>
      </c>
      <c r="PE35" s="1533" t="n">
        <v>28.6</v>
      </c>
      <c r="PF35" s="1533" t="n">
        <v>27.9</v>
      </c>
      <c r="PG35" s="1533" t="n">
        <v>27.9</v>
      </c>
      <c r="PH35" s="1533" t="n">
        <v>27.9</v>
      </c>
      <c r="PI35" s="1533" t="n">
        <v>28.1</v>
      </c>
      <c r="PJ35" s="1533" t="n">
        <v>40.2</v>
      </c>
      <c r="PK35" s="1533" t="n">
        <v>40.2</v>
      </c>
      <c r="PL35" s="1533" t="n">
        <v>40.2</v>
      </c>
      <c r="PM35" s="1533" t="n">
        <v>40.2</v>
      </c>
      <c r="PN35" s="1533" t="n">
        <v>4.744</v>
      </c>
      <c r="PO35" s="1533" t="n">
        <v>4.744</v>
      </c>
      <c r="PP35" s="1533" t="n">
        <v>4.744</v>
      </c>
      <c r="PQ35" s="1533" t="n">
        <v>3.1</v>
      </c>
      <c r="PR35" s="1533" t="n">
        <v>3.1</v>
      </c>
      <c r="PS35" s="1533" t="n">
        <v>10.3</v>
      </c>
      <c r="PT35" s="1533" t="n">
        <v>10.3</v>
      </c>
      <c r="PU35" s="1533" t="n">
        <v>1.88</v>
      </c>
      <c r="PV35" s="1533" t="n">
        <v>1.88</v>
      </c>
      <c r="PW35" s="1533" t="n">
        <v>1.88</v>
      </c>
      <c r="PX35" s="1533" t="n">
        <v>2.7</v>
      </c>
      <c r="PY35" s="1533" t="n">
        <v>8.699999999999999</v>
      </c>
      <c r="PZ35" s="1533" t="n">
        <v>8.699999999999999</v>
      </c>
      <c r="QA35" s="1533" t="n">
        <v>8.699999999999999</v>
      </c>
      <c r="QB35" s="1533" t="n">
        <v>4.276</v>
      </c>
      <c r="QC35" s="1533" t="n">
        <v>3.4</v>
      </c>
      <c r="QD35" s="1533" t="n">
        <v>3.4</v>
      </c>
      <c r="QE35" s="1533" t="n">
        <v>9.9</v>
      </c>
      <c r="QF35" s="1533" t="n">
        <v>9.9</v>
      </c>
      <c r="QG35" s="1533" t="n">
        <v>9.9</v>
      </c>
      <c r="QH35" s="1533" t="n">
        <v>9.9</v>
      </c>
      <c r="QI35" s="1533" t="n">
        <v>27.9</v>
      </c>
      <c r="QJ35" s="1533" t="n">
        <v>27.9</v>
      </c>
      <c r="QK35" s="1533" t="n">
        <v>1.8</v>
      </c>
      <c r="QL35" s="1533" t="n">
        <v>1.8</v>
      </c>
      <c r="QM35" s="1533" t="n">
        <v>1.8</v>
      </c>
      <c r="QN35" s="1533" t="n">
        <v>8.6</v>
      </c>
      <c r="QO35" s="1533" t="n">
        <v>2.341</v>
      </c>
      <c r="QP35" s="1533" t="n">
        <v>2.341</v>
      </c>
      <c r="QQ35" s="1533" t="n">
        <v>10</v>
      </c>
      <c r="QR35" s="1533" t="n">
        <v>10</v>
      </c>
      <c r="QS35" s="1533" t="n">
        <v>0.553</v>
      </c>
      <c r="QT35" s="1533" t="n">
        <v>2.7</v>
      </c>
      <c r="QU35" s="1533" t="n">
        <v>2.7</v>
      </c>
      <c r="QV35" s="1533" t="n">
        <v>23.7</v>
      </c>
      <c r="QW35" s="1533" t="n">
        <v>2.7</v>
      </c>
      <c r="QX35" s="1533" t="n">
        <v>2.7</v>
      </c>
      <c r="QY35" s="1533" t="n">
        <v>6.1</v>
      </c>
      <c r="QZ35" s="1533" t="n">
        <v>6.1</v>
      </c>
      <c r="RA35" s="1533" t="n">
        <v>9</v>
      </c>
      <c r="RB35" s="1533" t="n">
        <v>9</v>
      </c>
      <c r="RC35" s="1533" t="n">
        <v>9</v>
      </c>
      <c r="RD35" s="1533" t="n">
        <v>9</v>
      </c>
      <c r="RE35" s="1533" t="n">
        <v>7.105</v>
      </c>
      <c r="RF35" s="1533" t="n">
        <v>7.105</v>
      </c>
      <c r="RG35" s="1533" t="n">
        <v>7.105</v>
      </c>
      <c r="RH35" s="1533" t="n">
        <v>5.5</v>
      </c>
      <c r="RI35" s="1533" t="n">
        <v>5.5</v>
      </c>
      <c r="RJ35" s="1533" t="n">
        <v>5.5</v>
      </c>
      <c r="RK35" s="1533" t="n">
        <v>20.727</v>
      </c>
      <c r="RL35" s="1533" t="n">
        <v>20.727</v>
      </c>
      <c r="RM35" s="1533" t="n">
        <v>1.8</v>
      </c>
      <c r="RN35" s="1533" t="n">
        <v>1.8</v>
      </c>
      <c r="RO35" s="1533" t="n">
        <v>1.8</v>
      </c>
      <c r="RP35" s="1533" t="n">
        <v>1.8</v>
      </c>
      <c r="RQ35" s="1533" t="n">
        <v>10.1</v>
      </c>
      <c r="RR35" s="1533" t="n">
        <v>10.1</v>
      </c>
      <c r="RS35" s="1533" t="n">
        <v>19.7</v>
      </c>
      <c r="RT35" s="1533" t="n">
        <v>19.7</v>
      </c>
      <c r="RU35" s="1533" t="n">
        <v>19.7</v>
      </c>
      <c r="RV35" s="1533" t="n">
        <v>19.7</v>
      </c>
      <c r="RW35" s="1533" t="n">
        <v>19.7</v>
      </c>
      <c r="RX35" s="1533" t="n">
        <v>19.7</v>
      </c>
      <c r="RY35" s="1533" t="n">
        <v>17</v>
      </c>
      <c r="RZ35" s="1533" t="n">
        <v>17</v>
      </c>
      <c r="SA35" s="1533" t="n">
        <v>0</v>
      </c>
      <c r="SB35" s="1533" t="n">
        <v>13.41</v>
      </c>
      <c r="SC35" s="1533" t="n">
        <v>13.41</v>
      </c>
      <c r="SD35" s="1533" t="n">
        <v>13.41</v>
      </c>
      <c r="SE35" s="1533" t="n">
        <v>15.1</v>
      </c>
      <c r="SF35" s="1533" t="n">
        <v>15.1</v>
      </c>
      <c r="SG35" s="1533" t="n">
        <v>29.5</v>
      </c>
      <c r="SH35" s="1533" t="n">
        <v>29.5</v>
      </c>
      <c r="SI35" s="1533" t="n">
        <v>9.75</v>
      </c>
      <c r="SJ35" s="1533" t="n">
        <v>9.75</v>
      </c>
      <c r="SK35" s="1533" t="n">
        <v>30.5</v>
      </c>
      <c r="SL35" s="1533" t="n">
        <v>30.5</v>
      </c>
      <c r="SM35" s="1533" t="n">
        <v>27.1</v>
      </c>
      <c r="SN35" s="1533" t="n">
        <v>27.1</v>
      </c>
      <c r="SO35" s="1533" t="n">
        <v>27.1</v>
      </c>
      <c r="SP35" s="1533" t="n">
        <v>39.3</v>
      </c>
      <c r="SQ35" s="1533" t="n">
        <v>39.3</v>
      </c>
      <c r="SR35" s="1533" t="n">
        <v>39.3</v>
      </c>
      <c r="SS35" s="1533" t="n">
        <v>25.2</v>
      </c>
      <c r="ST35" s="1533" t="n">
        <v>25.2</v>
      </c>
      <c r="SU35" s="1533" t="n">
        <v>39.9</v>
      </c>
      <c r="SV35" s="1533" t="n">
        <v>39.9</v>
      </c>
      <c r="SW35" s="1533" t="n">
        <v>39.9</v>
      </c>
      <c r="SX35" s="1533" t="n">
        <v>11.5</v>
      </c>
      <c r="SY35" s="1533" t="n">
        <v>11.5</v>
      </c>
      <c r="SZ35" s="1533" t="n">
        <v>11.5</v>
      </c>
      <c r="TA35" s="1533" t="n">
        <v>5.44</v>
      </c>
      <c r="TB35" s="1533" t="n">
        <v>5.44</v>
      </c>
      <c r="TC35" s="1533" t="n">
        <v>24.4</v>
      </c>
      <c r="TD35" s="1533" t="n">
        <v>24.4</v>
      </c>
      <c r="TE35" s="1533" t="n">
        <v>50.5</v>
      </c>
      <c r="TF35" s="1533" t="n">
        <v>19.1</v>
      </c>
      <c r="TG35" s="1533" t="n">
        <v>4.5</v>
      </c>
      <c r="TH35" s="1533" t="n">
        <v>10.656</v>
      </c>
      <c r="TI35" s="1533" t="n">
        <v>0.981</v>
      </c>
      <c r="TJ35" s="1533" t="n">
        <v>2.5</v>
      </c>
      <c r="TK35" s="1533" t="n">
        <v>13.355</v>
      </c>
      <c r="TL35" s="1533" t="n">
        <v>14.8</v>
      </c>
      <c r="TM35" s="1533" t="n">
        <v>2.6</v>
      </c>
      <c r="TN35" s="1533" t="n">
        <v>13.5</v>
      </c>
      <c r="TO35" s="1533" t="n">
        <v>9.4</v>
      </c>
      <c r="TP35" s="1533" t="n">
        <v>4.454</v>
      </c>
      <c r="TQ35" s="1533" t="n">
        <v>20.9</v>
      </c>
      <c r="TR35" s="1533" t="n">
        <v>5.199999999999999</v>
      </c>
      <c r="TS35" s="1533" t="n">
        <v>1.8</v>
      </c>
      <c r="TT35" s="1533" t="n">
        <v>0.204</v>
      </c>
      <c r="TU35" s="1533" t="n">
        <v>16.1</v>
      </c>
      <c r="TV35" s="1533" t="n">
        <v>6.9</v>
      </c>
      <c r="TW35" s="1533" t="n">
        <v>4.5</v>
      </c>
      <c r="TX35" s="1533" t="n">
        <v>20.1</v>
      </c>
      <c r="TY35" s="1533" t="n">
        <v>26.2</v>
      </c>
      <c r="TZ35" s="1533" t="n">
        <v>26.1</v>
      </c>
      <c r="UA35" s="1533" t="n">
        <v>0.6830000000000001</v>
      </c>
      <c r="UB35" s="1533" t="n">
        <v>14.5</v>
      </c>
      <c r="UC35" s="1533" t="n">
        <v>16.4</v>
      </c>
      <c r="UD35" s="1533" t="n">
        <v>2.3</v>
      </c>
      <c r="UE35" s="1533" t="n">
        <v>20.8</v>
      </c>
      <c r="UF35" s="1533" t="n">
        <v>5.3</v>
      </c>
      <c r="UG35" s="1533" t="n">
        <v>21</v>
      </c>
      <c r="UH35" s="1533" t="n">
        <v>1.7</v>
      </c>
      <c r="UI35" s="1533" t="n">
        <v>5.899999999999999</v>
      </c>
      <c r="UJ35" s="1533" t="n">
        <v>1.05</v>
      </c>
      <c r="UK35" s="1533" t="n">
        <v>8.699999999999999</v>
      </c>
      <c r="UL35" s="1533" t="n">
        <v>12.3</v>
      </c>
      <c r="UM35" s="1533" t="n">
        <v>7.5</v>
      </c>
      <c r="UN35" s="1533" t="n">
        <v>37.27</v>
      </c>
      <c r="UO35" s="1533" t="n">
        <v>37.8</v>
      </c>
      <c r="UP35" s="1533" t="n">
        <v>12.2</v>
      </c>
      <c r="UQ35" s="1533" t="n">
        <v>21.9</v>
      </c>
      <c r="UR35" s="1533" t="n">
        <v>21.6</v>
      </c>
      <c r="US35" s="1533" t="n">
        <v>13.8</v>
      </c>
      <c r="UT35" s="1533" t="n">
        <v>5.3</v>
      </c>
      <c r="UU35" s="1533" t="n">
        <v>4.2</v>
      </c>
      <c r="UV35" s="1533" t="n">
        <v>14.5</v>
      </c>
      <c r="UW35" s="1533" t="n">
        <v>22.2</v>
      </c>
      <c r="UX35" s="1533" t="n">
        <v>34.3</v>
      </c>
      <c r="UY35" s="1533" t="n">
        <v>11.191</v>
      </c>
      <c r="UZ35" s="1533" t="n">
        <v>38.7</v>
      </c>
      <c r="VA35" s="1533" t="n">
        <v>41.2</v>
      </c>
      <c r="VB35" s="1533" t="n">
        <v>33.05</v>
      </c>
      <c r="VC35" s="1533" t="n">
        <v>3</v>
      </c>
      <c r="VD35" s="1533" t="n">
        <v>36.5</v>
      </c>
      <c r="VE35" s="1533" t="n">
        <v>36.5</v>
      </c>
      <c r="VF35" s="1533" t="n">
        <v>22.6</v>
      </c>
      <c r="VG35" s="1533" t="n">
        <v>37.4</v>
      </c>
      <c r="VH35" s="1533" t="n">
        <v>6.447</v>
      </c>
      <c r="VI35" s="1533" t="n">
        <v>26.8</v>
      </c>
      <c r="VJ35" s="1533" t="n">
        <v>19.455</v>
      </c>
      <c r="VK35" s="1533" t="n">
        <v>50.6</v>
      </c>
      <c r="VL35" s="1533" t="n">
        <v>0.551</v>
      </c>
      <c r="VM35" s="1533" t="n">
        <v>23.9</v>
      </c>
      <c r="VN35" s="1533" t="n">
        <v>28.1</v>
      </c>
      <c r="VO35" s="1533" t="n">
        <v>2.243</v>
      </c>
      <c r="VP35" s="1533" t="n">
        <v>9.6</v>
      </c>
      <c r="VQ35" s="1533" t="n">
        <v>26</v>
      </c>
      <c r="VR35" s="1533" t="n">
        <v>14.192</v>
      </c>
      <c r="VS35" s="1533" t="n">
        <v>36.2</v>
      </c>
      <c r="VT35" s="1533" t="n">
        <v>51.58000000000001</v>
      </c>
      <c r="VU35" s="1533" t="n">
        <v>0.822</v>
      </c>
      <c r="VV35" s="1533" t="n">
        <v>12.1</v>
      </c>
      <c r="VW35" s="1533" t="n">
        <v>9.6</v>
      </c>
      <c r="VX35" s="1533" t="n">
        <v>1.2</v>
      </c>
      <c r="VY35" s="1533" t="n">
        <v>14.305</v>
      </c>
      <c r="VZ35" s="1533" t="n">
        <v>49.712</v>
      </c>
      <c r="WA35" s="1533" t="n">
        <v>50.305</v>
      </c>
      <c r="WB35" s="1533" t="n">
        <v>46.599</v>
      </c>
      <c r="WC35" s="1533" t="n">
        <v>49.727</v>
      </c>
      <c r="WD35" s="1533" t="n">
        <v>15.8</v>
      </c>
      <c r="WE35" s="1533" t="n">
        <v>30.2</v>
      </c>
      <c r="WF35" s="1533" t="n">
        <v>34.5</v>
      </c>
      <c r="WG35" s="1533" t="n">
        <v>17.3</v>
      </c>
      <c r="WH35" s="1533" t="n">
        <v>49.005</v>
      </c>
      <c r="WI35" s="1533" t="n">
        <v>53.8</v>
      </c>
      <c r="WJ35" s="1533" t="n">
        <v>57.9</v>
      </c>
      <c r="WK35" s="1533" t="n">
        <v>69.3</v>
      </c>
      <c r="WL35" s="1533" t="n">
        <v>39.5</v>
      </c>
      <c r="WM35" s="1533" t="n">
        <v>0.2</v>
      </c>
      <c r="WN35" s="1533" t="n">
        <v>5.521</v>
      </c>
      <c r="WO35" s="1533" t="n">
        <v>46.6</v>
      </c>
      <c r="WP35" s="1533" t="n">
        <v>19.99</v>
      </c>
      <c r="WQ35" s="1533" t="n">
        <v>57.5</v>
      </c>
      <c r="WR35" s="1533" t="n">
        <v>66.09999999999999</v>
      </c>
      <c r="WS35" s="1533" t="n">
        <v>129.7</v>
      </c>
      <c r="WT35" s="1533" t="n">
        <v>155.27</v>
      </c>
      <c r="WU35" s="1533" t="n">
        <v>113.5</v>
      </c>
      <c r="WV35" s="1533" t="n">
        <v>67.065</v>
      </c>
      <c r="WW35" s="1533" t="n">
        <v>80.09999999999999</v>
      </c>
      <c r="WX35" s="1533" t="n">
        <v>71.87</v>
      </c>
      <c r="WY35" s="1533" t="n">
        <v>81.446</v>
      </c>
      <c r="WZ35" s="1533" t="n">
        <v>43.3</v>
      </c>
      <c r="XA35" s="1533" t="n">
        <v>62.5</v>
      </c>
      <c r="XB35" s="1533" t="n">
        <v>54.7</v>
      </c>
      <c r="XC35" s="1533" t="n">
        <v>66.8</v>
      </c>
      <c r="XD35" s="1533" t="n">
        <v>119.3</v>
      </c>
      <c r="XE35" s="1533" t="n">
        <v>155.8</v>
      </c>
      <c r="XF35" s="1533" t="n">
        <v>152.736</v>
      </c>
      <c r="XG35" s="1533" t="n">
        <v>104.8</v>
      </c>
      <c r="XH35" s="1533" t="n">
        <v>79.2</v>
      </c>
      <c r="XI35" s="1533" t="n">
        <v>69.09999999999999</v>
      </c>
      <c r="XJ35" s="1533" t="n">
        <v>74</v>
      </c>
      <c r="XK35" s="1533" t="n">
        <v>90.8</v>
      </c>
      <c r="XL35" s="1533" t="n">
        <v>74.8</v>
      </c>
      <c r="XM35" s="1533" t="n">
        <v>133.072</v>
      </c>
      <c r="XN35" s="1533" t="n">
        <v>146</v>
      </c>
      <c r="XO35" s="1533" t="n">
        <v>164.8</v>
      </c>
      <c r="XP35" s="1533" t="n">
        <v>129.961</v>
      </c>
      <c r="XQ35" s="1533" t="n">
        <v>89.03</v>
      </c>
      <c r="XR35" s="1533" t="n">
        <v>80.7</v>
      </c>
      <c r="XS35" s="1533" t="n">
        <v>105.659</v>
      </c>
      <c r="XT35" s="1533" t="n">
        <v>64.05200000000001</v>
      </c>
      <c r="XU35" s="1533" t="n">
        <v>79.06099999999999</v>
      </c>
      <c r="XV35" s="1533" t="n">
        <v>94.40000000000001</v>
      </c>
      <c r="XW35" s="1533" t="n">
        <v>97.875</v>
      </c>
      <c r="XX35" s="1533" t="n">
        <v>112.539</v>
      </c>
      <c r="XY35" s="1533" t="n">
        <v>125.552</v>
      </c>
      <c r="XZ35" s="1533" t="n">
        <v>24.028</v>
      </c>
      <c r="YA35" s="1533" t="n">
        <v>44.5</v>
      </c>
      <c r="YB35" s="1533" t="n">
        <v>71</v>
      </c>
      <c r="YC35" s="1533" t="n">
        <v>74.40000000000001</v>
      </c>
      <c r="YD35" s="1533" t="n">
        <v>123.1</v>
      </c>
      <c r="YE35" s="1533" t="n">
        <v>29</v>
      </c>
      <c r="YF35" s="1533" t="n">
        <v>74.47799999999999</v>
      </c>
      <c r="YG35" s="1533" t="n">
        <v>53.9</v>
      </c>
      <c r="YH35" s="1533" t="n">
        <v>56.5</v>
      </c>
      <c r="YI35" s="1533" t="n">
        <v>59.5</v>
      </c>
      <c r="YJ35" s="1543" t="n">
        <v>93.8</v>
      </c>
    </row>
    <row r="36">
      <c r="B36" s="917" t="inlineStr">
        <is>
          <t>RBPI</t>
        </is>
      </c>
      <c r="C36" s="1532" t="n">
        <v>67.3128302373896</v>
      </c>
      <c r="D36" s="1533" t="n">
        <v>66.882557440407</v>
      </c>
      <c r="E36" s="1533" t="n">
        <v>66.86383340591259</v>
      </c>
      <c r="F36" s="1533" t="n">
        <v>66.9021340142684</v>
      </c>
      <c r="G36" s="1533" t="n">
        <v>66.94540958370499</v>
      </c>
      <c r="H36" s="1533" t="n">
        <v>66.8368880346852</v>
      </c>
      <c r="I36" s="1533" t="n">
        <v>53.9904090569677</v>
      </c>
      <c r="J36" s="1533" t="n">
        <v>53.5229127886919</v>
      </c>
      <c r="K36" s="1533" t="n">
        <v>54.81924366631291</v>
      </c>
      <c r="L36" s="1533" t="n">
        <v>55.0190754947687</v>
      </c>
      <c r="M36" s="1533" t="n">
        <v>55.0095010918053</v>
      </c>
      <c r="N36" s="1533" t="n">
        <v>55.36385985576471</v>
      </c>
      <c r="O36" s="1533" t="n">
        <v>54.9713554723258</v>
      </c>
      <c r="P36" s="1533" t="n">
        <v>54.754270820823</v>
      </c>
      <c r="Q36" s="1533" t="n">
        <v>54.65081878573871</v>
      </c>
      <c r="R36" s="1533" t="n">
        <v>29.7</v>
      </c>
      <c r="S36" s="1533" t="n">
        <v>29.7</v>
      </c>
      <c r="T36" s="1533" t="n">
        <v>29.7</v>
      </c>
      <c r="U36" s="1533" t="n">
        <v>29.7</v>
      </c>
      <c r="V36" s="1533" t="n">
        <v>29.7</v>
      </c>
      <c r="W36" s="1533" t="n">
        <v>29.7</v>
      </c>
      <c r="X36" s="1533" t="n">
        <v>29.7</v>
      </c>
      <c r="Y36" s="1533" t="n">
        <v>29.7</v>
      </c>
      <c r="Z36" s="1533" t="n">
        <v>29.7</v>
      </c>
      <c r="AA36" s="1533" t="n">
        <v>29.7</v>
      </c>
      <c r="AB36" s="1533" t="n">
        <v>29.7</v>
      </c>
      <c r="AC36" s="1533" t="n">
        <v>29.7</v>
      </c>
      <c r="AD36" s="1533" t="n">
        <v>0.2</v>
      </c>
      <c r="AE36" s="1533" t="n">
        <v>0.2</v>
      </c>
      <c r="AF36" s="1533" t="n">
        <v>0.2</v>
      </c>
      <c r="AG36" s="1533" t="n">
        <v>0.2</v>
      </c>
      <c r="AH36" s="1533" t="n">
        <v>0.2</v>
      </c>
      <c r="AI36" s="1533" t="n">
        <v>0.2</v>
      </c>
      <c r="AJ36" s="1533" t="n">
        <v>0.2</v>
      </c>
      <c r="AK36" s="1533" t="n">
        <v>0.2</v>
      </c>
      <c r="AL36" s="1533" t="n">
        <v>0.2</v>
      </c>
      <c r="AM36" s="1533" t="n">
        <v>0.2</v>
      </c>
      <c r="AN36" s="1533" t="n">
        <v>0.2</v>
      </c>
      <c r="AO36" s="1533" t="n">
        <v>0.2</v>
      </c>
      <c r="AP36" s="1533" t="n">
        <v>0.2</v>
      </c>
      <c r="AQ36" s="1533" t="n">
        <v>0.2</v>
      </c>
      <c r="AR36" s="1533" t="n">
        <v>0.2</v>
      </c>
      <c r="AS36" s="1533" t="n">
        <v>0.2</v>
      </c>
      <c r="AT36" s="1533" t="n">
        <v>0.2</v>
      </c>
      <c r="AU36" s="1533" t="n">
        <v>0.2</v>
      </c>
      <c r="AV36" s="1533" t="n">
        <v>0.2</v>
      </c>
      <c r="AW36" s="1533" t="n">
        <v>0.2</v>
      </c>
      <c r="AX36" s="1533" t="n">
        <v>0.2</v>
      </c>
      <c r="AY36" s="1533" t="n">
        <v>0.2</v>
      </c>
      <c r="AZ36" s="1533" t="n">
        <v>0.2</v>
      </c>
      <c r="BA36" s="1533" t="n">
        <v>0.2</v>
      </c>
      <c r="BB36" s="1533" t="n">
        <v>0.2</v>
      </c>
      <c r="BC36" s="1533" t="n">
        <v>0.2</v>
      </c>
      <c r="BD36" s="1533" t="n">
        <v>0.2</v>
      </c>
      <c r="BE36" s="1533" t="n">
        <v>0.2</v>
      </c>
      <c r="BF36" s="1533" t="n">
        <v>0.2</v>
      </c>
      <c r="BG36" s="1533" t="n">
        <v>0.2</v>
      </c>
      <c r="BH36" s="1533" t="n">
        <v>0.2</v>
      </c>
      <c r="BI36" s="1533" t="n">
        <v>0.2</v>
      </c>
      <c r="BJ36" s="1533" t="n">
        <v>0.2</v>
      </c>
      <c r="BK36" s="1533" t="n">
        <v>0.2</v>
      </c>
      <c r="BL36" s="1533" t="n">
        <v>0.2</v>
      </c>
      <c r="BM36" s="1533" t="n">
        <v>0.2</v>
      </c>
      <c r="BN36" s="1533" t="n">
        <v>0.2</v>
      </c>
      <c r="BO36" s="1533" t="n">
        <v>0.2</v>
      </c>
      <c r="BP36" s="1533" t="n">
        <v>0.2</v>
      </c>
      <c r="BQ36" s="1533" t="n">
        <v>0.2</v>
      </c>
      <c r="BR36" s="1533" t="n">
        <v>0.2</v>
      </c>
      <c r="BS36" s="1533" t="n">
        <v>0.2</v>
      </c>
      <c r="BT36" s="1533" t="n">
        <v>0.2</v>
      </c>
      <c r="BU36" s="1533" t="n">
        <v>0.2</v>
      </c>
      <c r="BV36" s="1533" t="n">
        <v>0.2</v>
      </c>
      <c r="BW36" s="1533" t="n">
        <v>0.2</v>
      </c>
      <c r="BX36" s="1533" t="n">
        <v>0.2</v>
      </c>
      <c r="BY36" s="1533" t="n">
        <v>0.2</v>
      </c>
      <c r="BZ36" s="1533" t="n">
        <v>0.2</v>
      </c>
      <c r="CA36" s="1533" t="n">
        <v>0.2</v>
      </c>
      <c r="CB36" s="1533" t="n">
        <v>0.2</v>
      </c>
      <c r="CC36" s="1533" t="n">
        <v>0.2</v>
      </c>
      <c r="CD36" s="1533" t="n">
        <v>0.2</v>
      </c>
      <c r="CE36" s="1533" t="n">
        <v>0.2</v>
      </c>
      <c r="CF36" s="1533" t="n">
        <v>0.2</v>
      </c>
      <c r="CG36" s="1533" t="n">
        <v>0.2</v>
      </c>
      <c r="CH36" s="1533" t="n">
        <v>0.2</v>
      </c>
      <c r="CI36" s="1533" t="n">
        <v>0.2</v>
      </c>
      <c r="CJ36" s="1533" t="n">
        <v>0.2</v>
      </c>
      <c r="CK36" s="1533" t="n">
        <v>0.2</v>
      </c>
      <c r="CL36" s="1533" t="n">
        <v>0.3</v>
      </c>
      <c r="CM36" s="1533" t="n">
        <v>0.3</v>
      </c>
      <c r="CN36" s="1533" t="n">
        <v>0.3</v>
      </c>
      <c r="CO36" s="1533" t="n">
        <v>0.3</v>
      </c>
      <c r="CP36" s="1533" t="n">
        <v>0.3</v>
      </c>
      <c r="CQ36" s="1533" t="n">
        <v>0.3</v>
      </c>
      <c r="CR36" s="1533" t="n">
        <v>0.3</v>
      </c>
      <c r="CS36" s="1533" t="n">
        <v>0.3</v>
      </c>
      <c r="CT36" s="1533" t="n">
        <v>0.3</v>
      </c>
      <c r="CU36" s="1533" t="n">
        <v>0.3</v>
      </c>
      <c r="CV36" s="1533" t="n">
        <v>0.3</v>
      </c>
      <c r="CW36" s="1533" t="n">
        <v>0.3</v>
      </c>
      <c r="CX36" s="1533" t="n">
        <v>0.3</v>
      </c>
      <c r="CY36" s="1533" t="n">
        <v>0.3</v>
      </c>
      <c r="CZ36" s="1533" t="n">
        <v>0.3</v>
      </c>
      <c r="DA36" s="1533" t="n">
        <v>0.3</v>
      </c>
      <c r="DB36" s="1533" t="n">
        <v>0.3</v>
      </c>
      <c r="DC36" s="1533" t="n">
        <v>0.3</v>
      </c>
      <c r="DD36" s="1533" t="n">
        <v>0.3</v>
      </c>
      <c r="DE36" s="1533" t="n">
        <v>0.3</v>
      </c>
      <c r="DF36" s="1533" t="n">
        <v>0.3</v>
      </c>
      <c r="DG36" s="1533" t="n">
        <v>0.3</v>
      </c>
      <c r="DH36" s="1533" t="n">
        <v>0.3</v>
      </c>
      <c r="DI36" s="1533" t="n">
        <v>0.3</v>
      </c>
      <c r="DJ36" s="1533" t="n">
        <v>0.3</v>
      </c>
      <c r="DK36" s="1533" t="n">
        <v>0.3</v>
      </c>
      <c r="DL36" s="1533" t="n">
        <v>0.3</v>
      </c>
      <c r="DM36" s="1533" t="n">
        <v>0.3</v>
      </c>
      <c r="DN36" s="1533" t="n">
        <v>0.3</v>
      </c>
      <c r="DO36" s="1533" t="n">
        <v>0.3</v>
      </c>
      <c r="DP36" s="1533" t="n">
        <v>0.3</v>
      </c>
      <c r="DQ36" s="1533" t="n">
        <v>0.3</v>
      </c>
      <c r="DR36" s="1533" t="n">
        <v>0.3</v>
      </c>
      <c r="DS36" s="1533" t="n">
        <v>0.3</v>
      </c>
      <c r="DT36" s="1533" t="n">
        <v>0.3</v>
      </c>
      <c r="DU36" s="1533" t="n">
        <v>0.3</v>
      </c>
      <c r="DV36" s="1533" t="n">
        <v>0.3</v>
      </c>
      <c r="DW36" s="1533" t="n">
        <v>0.3</v>
      </c>
      <c r="DX36" s="1533" t="n">
        <v>0.3</v>
      </c>
      <c r="DY36" s="1533" t="n">
        <v>0.3</v>
      </c>
      <c r="DZ36" s="1533" t="n">
        <v>0.3</v>
      </c>
      <c r="EA36" s="1533" t="n">
        <v>0.3</v>
      </c>
      <c r="EB36" s="1533" t="n">
        <v>0.3</v>
      </c>
      <c r="EC36" s="1533" t="n">
        <v>0.3</v>
      </c>
      <c r="ED36" s="1533" t="n">
        <v>0.262</v>
      </c>
      <c r="EE36" s="1533" t="n">
        <v>0.262</v>
      </c>
      <c r="EF36" s="1533" t="n">
        <v>0.262</v>
      </c>
      <c r="EG36" s="1533" t="n">
        <v>0.262</v>
      </c>
      <c r="EH36" s="1533" t="n">
        <v>0.262</v>
      </c>
      <c r="EI36" s="1533" t="n">
        <v>0.262</v>
      </c>
      <c r="EJ36" s="1533" t="n">
        <v>0.262</v>
      </c>
      <c r="EK36" s="1533" t="n">
        <v>0.262</v>
      </c>
      <c r="EL36" s="1533" t="n">
        <v>0.262</v>
      </c>
      <c r="EM36" s="1533" t="n">
        <v>0.262</v>
      </c>
      <c r="EN36" s="1533" t="n">
        <v>0.262</v>
      </c>
      <c r="EO36" s="1533" t="n">
        <v>0.262</v>
      </c>
      <c r="EP36" s="1533" t="n">
        <v>0.262</v>
      </c>
      <c r="EQ36" s="1533" t="n">
        <v>0.262</v>
      </c>
      <c r="ER36" s="1533" t="n">
        <v>0.262</v>
      </c>
      <c r="ES36" s="1533" t="n">
        <v>0.262</v>
      </c>
      <c r="ET36" s="1533" t="n">
        <v>0.262</v>
      </c>
      <c r="EU36" s="1533" t="n">
        <v>0.262</v>
      </c>
      <c r="EV36" s="1533" t="n">
        <v>0.262</v>
      </c>
      <c r="EW36" s="1533" t="n">
        <v>0.262</v>
      </c>
      <c r="EX36" s="1533" t="n">
        <v>0.262</v>
      </c>
      <c r="EY36" s="1533" t="n">
        <v>0.262</v>
      </c>
      <c r="EZ36" s="1533" t="n">
        <v>0.262</v>
      </c>
      <c r="FA36" s="1533" t="n">
        <v>0.262</v>
      </c>
      <c r="FB36" s="1533" t="n">
        <v>0.262</v>
      </c>
      <c r="FC36" s="1533" t="n">
        <v>0.262</v>
      </c>
      <c r="FD36" s="1533" t="n">
        <v>0.262</v>
      </c>
      <c r="FE36" s="1533" t="n">
        <v>0.262</v>
      </c>
      <c r="FF36" s="1533" t="n">
        <v>0.262</v>
      </c>
      <c r="FG36" s="1533" t="n">
        <v>0.262</v>
      </c>
      <c r="FH36" s="1533" t="n">
        <v>0.262</v>
      </c>
      <c r="FI36" s="1533" t="n">
        <v>0.262</v>
      </c>
      <c r="FJ36" s="1533" t="n">
        <v>0.262</v>
      </c>
      <c r="FK36" s="1533" t="n">
        <v>0.262</v>
      </c>
      <c r="FL36" s="1533" t="n">
        <v>0.262</v>
      </c>
      <c r="FM36" s="1533" t="n">
        <v>0.262</v>
      </c>
      <c r="FN36" s="1533" t="n">
        <v>0.262</v>
      </c>
      <c r="FO36" s="1533" t="n">
        <v>0.262</v>
      </c>
      <c r="FP36" s="1533" t="n">
        <v>0.262</v>
      </c>
      <c r="FQ36" s="1533" t="n">
        <v>0.262</v>
      </c>
      <c r="FR36" s="1533" t="n">
        <v>0.262</v>
      </c>
      <c r="FS36" s="1533" t="n">
        <v>0.262</v>
      </c>
      <c r="FT36" s="1533" t="n">
        <v>0.262</v>
      </c>
      <c r="FU36" s="1533" t="n">
        <v>0.262</v>
      </c>
      <c r="FV36" s="1533" t="n">
        <v>0.262</v>
      </c>
      <c r="FW36" s="1533" t="n">
        <v>0.262</v>
      </c>
      <c r="FX36" s="1533" t="n">
        <v>0.262</v>
      </c>
      <c r="FY36" s="1533" t="n">
        <v>0.262</v>
      </c>
      <c r="FZ36" s="1533" t="n">
        <v>0.262</v>
      </c>
      <c r="GA36" s="1533" t="n">
        <v>0.262</v>
      </c>
      <c r="GB36" s="1533" t="n">
        <v>0.262</v>
      </c>
      <c r="GC36" s="1533" t="n">
        <v>0.262</v>
      </c>
      <c r="GD36" s="1533" t="n">
        <v>0.262</v>
      </c>
      <c r="GE36" s="1533" t="n">
        <v>0.262</v>
      </c>
      <c r="GF36" s="1533" t="n">
        <v>0.262</v>
      </c>
      <c r="GG36" s="1533" t="n">
        <v>0.262</v>
      </c>
      <c r="GH36" s="1533" t="n">
        <v>0.262</v>
      </c>
      <c r="GI36" s="1533" t="n">
        <v>0.262</v>
      </c>
      <c r="GJ36" s="1533" t="n">
        <v>0.262</v>
      </c>
      <c r="GK36" s="1533" t="n">
        <v>0.262</v>
      </c>
      <c r="GL36" s="1533" t="n">
        <v>0.262</v>
      </c>
      <c r="GM36" s="1533" t="n">
        <v>0.262</v>
      </c>
      <c r="GN36" s="1533" t="n">
        <v>0.262</v>
      </c>
      <c r="GO36" s="1533" t="n">
        <v>0.262</v>
      </c>
      <c r="GP36" s="1533" t="n">
        <v>0.262</v>
      </c>
      <c r="GQ36" s="1533" t="n">
        <v>0.262</v>
      </c>
      <c r="GR36" s="1533" t="n">
        <v>0.262</v>
      </c>
      <c r="GS36" s="1533" t="n">
        <v>0.262</v>
      </c>
      <c r="GT36" s="1533" t="n">
        <v>0.262</v>
      </c>
      <c r="GU36" s="1533" t="n">
        <v>0.262</v>
      </c>
      <c r="GV36" s="1533" t="n">
        <v>0.262</v>
      </c>
      <c r="GW36" s="1533" t="n">
        <v>0.262</v>
      </c>
      <c r="GX36" s="1533" t="n">
        <v>0.262</v>
      </c>
      <c r="GY36" s="1533" t="n">
        <v>0.262</v>
      </c>
      <c r="GZ36" s="1533" t="n">
        <v>0.262</v>
      </c>
      <c r="HA36" s="1533" t="n">
        <v>0.262</v>
      </c>
      <c r="HB36" s="1533" t="n">
        <v>0.262</v>
      </c>
      <c r="HC36" s="1533" t="n">
        <v>0.262</v>
      </c>
      <c r="HD36" s="1533" t="n">
        <v>0.262</v>
      </c>
      <c r="HE36" s="1533" t="n">
        <v>0.262</v>
      </c>
      <c r="HF36" s="1533" t="n">
        <v>0.262</v>
      </c>
      <c r="HG36" s="1533" t="n">
        <v>0.262</v>
      </c>
      <c r="HH36" s="1533" t="n">
        <v>0.262</v>
      </c>
      <c r="HI36" s="1533" t="n">
        <v>0.262</v>
      </c>
      <c r="HJ36" s="1533" t="n">
        <v>0.262</v>
      </c>
      <c r="HK36" s="1533" t="n">
        <v>0.262</v>
      </c>
      <c r="HL36" s="1533" t="n">
        <v>0.262</v>
      </c>
      <c r="HM36" s="1533" t="n">
        <v>0.262</v>
      </c>
      <c r="HN36" s="1533" t="n">
        <v>0.262</v>
      </c>
      <c r="HO36" s="1533" t="n">
        <v>8.431985317807399</v>
      </c>
      <c r="HP36" s="1533" t="n">
        <v>8.431985317807399</v>
      </c>
      <c r="HQ36" s="1533" t="n">
        <v>8.431985317807399</v>
      </c>
      <c r="HR36" s="1533" t="n">
        <v>8.431985317807399</v>
      </c>
      <c r="HS36" s="1533" t="n">
        <v>8.431985317807399</v>
      </c>
      <c r="HT36" s="1533" t="n">
        <v>8.431985317807399</v>
      </c>
      <c r="HU36" s="1533" t="n">
        <v>8.431985317807399</v>
      </c>
      <c r="HV36" s="1533" t="n">
        <v>8.431985317807399</v>
      </c>
      <c r="HW36" s="1533" t="n">
        <v>8.431985317807399</v>
      </c>
      <c r="HX36" s="1533" t="n">
        <v>8.431985317807399</v>
      </c>
      <c r="HY36" s="1533" t="n">
        <v>8.431985317807399</v>
      </c>
      <c r="HZ36" s="1533" t="n">
        <v>8.431985317807399</v>
      </c>
      <c r="IA36" s="1533" t="n">
        <v>8.431985317807399</v>
      </c>
      <c r="IB36" s="1533" t="n">
        <v>8.431985317807399</v>
      </c>
      <c r="IC36" s="1533" t="n">
        <v>8.431985317807399</v>
      </c>
      <c r="ID36" s="1533" t="n">
        <v>8.431985317807399</v>
      </c>
      <c r="IE36" s="1533" t="n">
        <v>8.431985317807399</v>
      </c>
      <c r="IF36" s="1533" t="n">
        <v>8.431985317807399</v>
      </c>
      <c r="IG36" s="1533" t="n">
        <v>8.431985317807399</v>
      </c>
      <c r="IH36" s="1533" t="n">
        <v>8.431985317807399</v>
      </c>
      <c r="II36" s="1533" t="n">
        <v>8.431985317807399</v>
      </c>
      <c r="IJ36" s="1533" t="n">
        <v>8.431985317807399</v>
      </c>
      <c r="IK36" s="1533" t="n">
        <v>8.431985317807399</v>
      </c>
      <c r="IL36" s="1533" t="n">
        <v>8.431985317807399</v>
      </c>
      <c r="IM36" s="1533" t="n">
        <v>8.431985317807399</v>
      </c>
      <c r="IN36" s="1533" t="n">
        <v>8.431985317807399</v>
      </c>
      <c r="IO36" s="1533" t="n">
        <v>8.431985317807399</v>
      </c>
      <c r="IP36" s="1533" t="n">
        <v>8.431985317807399</v>
      </c>
      <c r="IQ36" s="1533" t="n">
        <v>8.431985317807399</v>
      </c>
      <c r="IR36" s="1533" t="n">
        <v>8.431985317807399</v>
      </c>
      <c r="IS36" s="1533" t="n">
        <v>8.431985317807399</v>
      </c>
      <c r="IT36" s="1533" t="n">
        <v>8.431985317807399</v>
      </c>
      <c r="IU36" s="1533" t="n">
        <v>8.431985317807399</v>
      </c>
      <c r="IV36" s="1533" t="n">
        <v>8.431985317807399</v>
      </c>
      <c r="IW36" s="1533" t="n">
        <v>8.431985317807399</v>
      </c>
      <c r="IX36" s="1533" t="n">
        <v>8.431985317807399</v>
      </c>
      <c r="IY36" s="1533" t="n">
        <v>8.431985317807399</v>
      </c>
      <c r="IZ36" s="1533" t="n">
        <v>8.431985317807399</v>
      </c>
      <c r="JA36" s="1533" t="n">
        <v>8.431985317807399</v>
      </c>
      <c r="JB36" s="1533" t="n">
        <v>8.431985317807399</v>
      </c>
      <c r="JC36" s="1533" t="n">
        <v>8.431985317807399</v>
      </c>
      <c r="JD36" s="1533" t="n">
        <v>8.431985317807399</v>
      </c>
      <c r="JE36" s="1533" t="n">
        <v>8.431985317807399</v>
      </c>
      <c r="JF36" s="1533" t="n">
        <v>8.431985317807399</v>
      </c>
      <c r="JG36" s="1533" t="n">
        <v>8.431985317807399</v>
      </c>
      <c r="JH36" s="1533" t="n">
        <v>8.431985317807399</v>
      </c>
      <c r="JI36" s="1533" t="n">
        <v>8.431985317807399</v>
      </c>
      <c r="JJ36" s="1533" t="n">
        <v>8.431985317807399</v>
      </c>
      <c r="JK36" s="1533" t="n">
        <v>8.431985317807399</v>
      </c>
      <c r="JL36" s="1533" t="n">
        <v>8.431985317807399</v>
      </c>
      <c r="JM36" s="1533" t="n">
        <v>8.431985317807399</v>
      </c>
      <c r="JN36" s="1533" t="n">
        <v>8.431985317807399</v>
      </c>
      <c r="JO36" s="1533" t="n">
        <v>8.431985317807399</v>
      </c>
      <c r="JP36" s="1533" t="n">
        <v>8.431985317807399</v>
      </c>
      <c r="JQ36" s="1533" t="n">
        <v>8.431985317807399</v>
      </c>
      <c r="JR36" s="1533" t="n">
        <v>8.431985317807399</v>
      </c>
      <c r="JS36" s="1533" t="n">
        <v>8.431985317807399</v>
      </c>
      <c r="JT36" s="1533" t="n">
        <v>8.431985317807399</v>
      </c>
      <c r="JU36" s="1533" t="n">
        <v>8.431985317807399</v>
      </c>
      <c r="JV36" s="1533" t="n">
        <v>8.431985317807399</v>
      </c>
      <c r="JW36" s="1533" t="n">
        <v>8.431985317807399</v>
      </c>
      <c r="JX36" s="1533" t="n">
        <v>8.431985317807399</v>
      </c>
      <c r="JY36" s="1533" t="n">
        <v>8.431985317807399</v>
      </c>
      <c r="JZ36" s="1533" t="n">
        <v>8.431985317807399</v>
      </c>
      <c r="KA36" s="1533" t="n">
        <v>65.211</v>
      </c>
      <c r="KB36" s="1533" t="n">
        <v>65.211</v>
      </c>
      <c r="KC36" s="1533" t="n">
        <v>65.211</v>
      </c>
      <c r="KD36" s="1533" t="n">
        <v>65.211</v>
      </c>
      <c r="KE36" s="1533" t="n">
        <v>65.211</v>
      </c>
      <c r="KF36" s="1533" t="n">
        <v>8.431985317807399</v>
      </c>
      <c r="KG36" s="1533" t="n">
        <v>40.376</v>
      </c>
      <c r="KH36" s="1533" t="n">
        <v>40.376</v>
      </c>
      <c r="KI36" s="1533" t="n">
        <v>40.376</v>
      </c>
      <c r="KJ36" s="1533" t="n">
        <v>40.376</v>
      </c>
      <c r="KK36" s="1533" t="n">
        <v>40.376</v>
      </c>
      <c r="KL36" s="1533" t="n">
        <v>40.376</v>
      </c>
      <c r="KM36" s="1533" t="n">
        <v>40.376</v>
      </c>
      <c r="KN36" s="1533" t="n">
        <v>40.376</v>
      </c>
      <c r="KO36" s="1533" t="n">
        <v>40.376</v>
      </c>
      <c r="KP36" s="1533" t="n">
        <v>40.376</v>
      </c>
      <c r="KQ36" s="1533" t="n">
        <v>40.376</v>
      </c>
      <c r="KR36" s="1533" t="n">
        <v>40.376</v>
      </c>
      <c r="KS36" s="1533" t="n">
        <v>40.376</v>
      </c>
      <c r="KT36" s="1533" t="n">
        <v>40.376</v>
      </c>
      <c r="KU36" s="1533" t="n">
        <v>40.376</v>
      </c>
      <c r="KV36" s="1533" t="n"/>
      <c r="KW36" s="1533" t="n"/>
      <c r="KX36" s="1533" t="n"/>
      <c r="KY36" s="1533" t="n"/>
      <c r="KZ36" s="1533" t="n">
        <v>46.37</v>
      </c>
      <c r="LA36" s="1533" t="n">
        <v>46.37</v>
      </c>
      <c r="LB36" s="1533" t="n">
        <v>46.37</v>
      </c>
      <c r="LC36" s="1533" t="n">
        <v>46.37</v>
      </c>
      <c r="LD36" s="1533" t="n">
        <v>46.37</v>
      </c>
      <c r="LE36" s="1533" t="n">
        <v>46.37</v>
      </c>
      <c r="LF36" s="1533" t="n">
        <v>46.37</v>
      </c>
      <c r="LG36" s="1533" t="n">
        <v>46.37</v>
      </c>
      <c r="LH36" s="1533" t="n">
        <v>46.37</v>
      </c>
      <c r="LI36" s="1533" t="n">
        <v>46.37</v>
      </c>
      <c r="LJ36" s="1533" t="n">
        <v>46.37</v>
      </c>
      <c r="LK36" s="1533" t="n">
        <v>46.37</v>
      </c>
      <c r="LL36" s="1533" t="n">
        <v>46.37</v>
      </c>
      <c r="LM36" s="1533" t="n">
        <v>46.37</v>
      </c>
      <c r="LN36" s="1533" t="n">
        <v>46.37</v>
      </c>
      <c r="LO36" s="1533" t="n">
        <v>46.37</v>
      </c>
      <c r="LP36" s="1533" t="n">
        <v>46.37</v>
      </c>
      <c r="LQ36" s="1533" t="n">
        <v>46.37</v>
      </c>
      <c r="LR36" s="1533" t="n">
        <v>46.37</v>
      </c>
      <c r="LS36" s="1533" t="n">
        <v>46.37</v>
      </c>
      <c r="LT36" s="1533" t="n">
        <v>46.37</v>
      </c>
      <c r="LU36" s="1533" t="n">
        <v>46.37</v>
      </c>
      <c r="LV36" s="1533" t="n">
        <v>46.37</v>
      </c>
      <c r="LW36" s="1533" t="n">
        <v>46.37</v>
      </c>
      <c r="LX36" s="1533" t="n">
        <v>18.335</v>
      </c>
      <c r="LY36" s="1533" t="n">
        <v>18.335</v>
      </c>
      <c r="LZ36" s="1533" t="n">
        <v>18.335</v>
      </c>
      <c r="MA36" s="1533" t="n">
        <v>18.335</v>
      </c>
      <c r="MB36" s="1533" t="n">
        <v>18.335</v>
      </c>
      <c r="MC36" s="1533" t="n">
        <v>18.335</v>
      </c>
      <c r="MD36" s="1533" t="n">
        <v>18.335</v>
      </c>
      <c r="ME36" s="1533" t="n">
        <v>18.335</v>
      </c>
      <c r="MF36" s="1533" t="n">
        <v>18.335</v>
      </c>
      <c r="MG36" s="1533" t="n">
        <v>18.335</v>
      </c>
      <c r="MH36" s="1533" t="n">
        <v>18.335</v>
      </c>
      <c r="MI36" s="1533" t="n">
        <v>18.335</v>
      </c>
      <c r="MJ36" s="1533" t="n">
        <v>18.335</v>
      </c>
      <c r="MK36" s="1533" t="n">
        <v>18.335</v>
      </c>
      <c r="ML36" s="1533" t="n">
        <v>18.335</v>
      </c>
      <c r="MM36" s="1533" t="n">
        <v>18.335</v>
      </c>
      <c r="MN36" s="1533" t="n">
        <v>18.335</v>
      </c>
      <c r="MO36" s="1533" t="n">
        <v>18.335</v>
      </c>
      <c r="MP36" s="1533" t="n">
        <v>18.335</v>
      </c>
      <c r="MQ36" s="1533" t="n">
        <v>18.335</v>
      </c>
      <c r="MR36" s="1533" t="n">
        <v>18.335</v>
      </c>
      <c r="MS36" s="1533" t="n">
        <v>0.924</v>
      </c>
      <c r="MT36" s="1533" t="n">
        <v>0.924</v>
      </c>
      <c r="MU36" s="1533" t="n">
        <v>0.924</v>
      </c>
      <c r="MV36" s="1533" t="n">
        <v>0.924</v>
      </c>
      <c r="MW36" s="1533" t="n">
        <v>0.924</v>
      </c>
      <c r="MX36" s="1533" t="n">
        <v>0.924</v>
      </c>
      <c r="MY36" s="1533" t="n">
        <v>0.924</v>
      </c>
      <c r="MZ36" s="1533" t="n">
        <v>0.924</v>
      </c>
      <c r="NA36" s="1533" t="n">
        <v>0.924</v>
      </c>
      <c r="NB36" s="1533" t="n">
        <v>0.924</v>
      </c>
      <c r="NC36" s="1533" t="n">
        <v>0.924</v>
      </c>
      <c r="ND36" s="1533" t="n">
        <v>0.924</v>
      </c>
      <c r="NE36" s="1533" t="n">
        <v>0.924</v>
      </c>
      <c r="NF36" s="1533" t="n">
        <v>0.924</v>
      </c>
      <c r="NG36" s="1533" t="n">
        <v>0.924</v>
      </c>
      <c r="NH36" s="1533" t="n">
        <v>0.924</v>
      </c>
      <c r="NI36" s="1533" t="n">
        <v>0.924</v>
      </c>
      <c r="NJ36" s="1533" t="n">
        <v>0.924</v>
      </c>
      <c r="NK36" s="1533" t="n">
        <v>0.924</v>
      </c>
      <c r="NL36" s="1533" t="n">
        <v>0.924</v>
      </c>
      <c r="NM36" s="1533" t="n">
        <v>4.585</v>
      </c>
      <c r="NN36" s="1533" t="n">
        <v>4.585</v>
      </c>
      <c r="NO36" s="1533" t="n">
        <v>4.585</v>
      </c>
      <c r="NP36" s="1533" t="n">
        <v>4.585</v>
      </c>
      <c r="NQ36" s="1533" t="n">
        <v>4.585</v>
      </c>
      <c r="NR36" s="1533" t="n">
        <v>4.585</v>
      </c>
      <c r="NS36" s="1533" t="n">
        <v>4.585</v>
      </c>
      <c r="NT36" s="1533" t="n">
        <v>4.585</v>
      </c>
      <c r="NU36" s="1533" t="n">
        <v>4.2</v>
      </c>
      <c r="NV36" s="1533" t="n">
        <v>4.2</v>
      </c>
      <c r="NW36" s="1533" t="n">
        <v>4.2</v>
      </c>
      <c r="NX36" s="1533" t="n">
        <v>4.2</v>
      </c>
      <c r="NY36" s="1533" t="n">
        <v>4.2</v>
      </c>
      <c r="NZ36" s="1533" t="n">
        <v>4.2</v>
      </c>
      <c r="OA36" s="1533" t="n">
        <v>4.2</v>
      </c>
      <c r="OB36" s="1533" t="n">
        <v>4.2</v>
      </c>
      <c r="OC36" s="1533" t="n">
        <v>4.2</v>
      </c>
      <c r="OD36" s="1533" t="n">
        <v>4.2</v>
      </c>
      <c r="OE36" s="1533" t="n">
        <v>4.2</v>
      </c>
      <c r="OF36" s="1533" t="n">
        <v>4.2</v>
      </c>
      <c r="OG36" s="1533" t="n">
        <v>31.325</v>
      </c>
      <c r="OH36" s="1533" t="n">
        <v>31.325</v>
      </c>
      <c r="OI36" s="1533" t="n">
        <v>31.325</v>
      </c>
      <c r="OJ36" s="1533" t="n">
        <v>31.325</v>
      </c>
      <c r="OK36" s="1533" t="n">
        <v>31.325</v>
      </c>
      <c r="OL36" s="1533" t="n">
        <v>31.325</v>
      </c>
      <c r="OM36" s="1533" t="n">
        <v>31.325</v>
      </c>
      <c r="ON36" s="1533" t="n">
        <v>31.325</v>
      </c>
      <c r="OO36" s="1533" t="n">
        <v>31.325</v>
      </c>
      <c r="OP36" s="1533" t="n">
        <v>31.325</v>
      </c>
      <c r="OQ36" s="1533" t="n">
        <v>31.325</v>
      </c>
      <c r="OR36" s="1533" t="n">
        <v>31.325</v>
      </c>
      <c r="OS36" s="1533" t="n">
        <v>31.325</v>
      </c>
      <c r="OT36" s="1533" t="n">
        <v>31.325</v>
      </c>
      <c r="OU36" s="1533" t="n">
        <v>31.325</v>
      </c>
      <c r="OV36" s="1533" t="n">
        <v>31.325</v>
      </c>
      <c r="OW36" s="1533" t="n">
        <v>31.325</v>
      </c>
      <c r="OX36" s="1533" t="n">
        <v>31.325</v>
      </c>
      <c r="OY36" s="1533" t="n">
        <v>31.325</v>
      </c>
      <c r="OZ36" s="1533" t="n">
        <v>31.325</v>
      </c>
      <c r="PA36" s="1533" t="n">
        <v>31.325</v>
      </c>
      <c r="PB36" s="1533" t="n">
        <v>23.317</v>
      </c>
      <c r="PC36" s="1533" t="n">
        <v>23.317</v>
      </c>
      <c r="PD36" s="1533" t="n">
        <v>23.317</v>
      </c>
      <c r="PE36" s="1533" t="n">
        <v>23.317</v>
      </c>
      <c r="PF36" s="1533" t="n">
        <v>23.317</v>
      </c>
      <c r="PG36" s="1533" t="n">
        <v>23.317</v>
      </c>
      <c r="PH36" s="1533" t="n">
        <v>23.317</v>
      </c>
      <c r="PI36" s="1533" t="n">
        <v>24.7</v>
      </c>
      <c r="PJ36" s="1533" t="n">
        <v>24.7</v>
      </c>
      <c r="PK36" s="1533" t="n">
        <v>24.7</v>
      </c>
      <c r="PL36" s="1533" t="n">
        <v>24.7</v>
      </c>
      <c r="PM36" s="1533" t="n">
        <v>24.7</v>
      </c>
      <c r="PN36" s="1533" t="n">
        <v>24.7</v>
      </c>
      <c r="PO36" s="1533" t="n">
        <v>24.7</v>
      </c>
      <c r="PP36" s="1533" t="n">
        <v>24.7</v>
      </c>
      <c r="PQ36" s="1533" t="n">
        <v>24.7</v>
      </c>
      <c r="PR36" s="1533" t="n">
        <v>24.7</v>
      </c>
      <c r="PS36" s="1533" t="n">
        <v>24.7</v>
      </c>
      <c r="PT36" s="1533" t="n">
        <v>24.7</v>
      </c>
      <c r="PU36" s="1533" t="n">
        <v>8.663</v>
      </c>
      <c r="PV36" s="1533" t="n">
        <v>8.663</v>
      </c>
      <c r="PW36" s="1533" t="n">
        <v>8.663</v>
      </c>
      <c r="PX36" s="1533" t="n">
        <v>7.957</v>
      </c>
      <c r="PY36" s="1533" t="n">
        <v>7.957</v>
      </c>
      <c r="PZ36" s="1533" t="n">
        <v>7.957</v>
      </c>
      <c r="QA36" s="1533" t="n">
        <v>7.957</v>
      </c>
      <c r="QB36" s="1533" t="n">
        <v>7.957</v>
      </c>
      <c r="QC36" s="1533" t="n">
        <v>7.957</v>
      </c>
      <c r="QD36" s="1533" t="n">
        <v>7.957</v>
      </c>
      <c r="QE36" s="1533" t="n">
        <v>7.957</v>
      </c>
      <c r="QF36" s="1533" t="n">
        <v>7.957</v>
      </c>
      <c r="QG36" s="1533" t="n">
        <v>7.957</v>
      </c>
      <c r="QH36" s="1533" t="n">
        <v>7.957</v>
      </c>
      <c r="QI36" s="1533" t="n">
        <v>7.957</v>
      </c>
      <c r="QJ36" s="1533" t="n">
        <v>7.957</v>
      </c>
      <c r="QK36" s="1533" t="n">
        <v>7.957</v>
      </c>
      <c r="QL36" s="1533" t="n">
        <v>7.957</v>
      </c>
      <c r="QM36" s="1533" t="n">
        <v>7.957</v>
      </c>
      <c r="QN36" s="1533" t="n">
        <v>2.952</v>
      </c>
      <c r="QO36" s="1533" t="n">
        <v>2.952</v>
      </c>
      <c r="QP36" s="1533" t="n">
        <v>2.952</v>
      </c>
      <c r="QQ36" s="1533" t="n">
        <v>2.952</v>
      </c>
      <c r="QR36" s="1533" t="n">
        <v>2.952</v>
      </c>
      <c r="QS36" s="1533" t="n">
        <v>2.952</v>
      </c>
      <c r="QT36" s="1533" t="n">
        <v>2.952</v>
      </c>
      <c r="QU36" s="1533" t="n">
        <v>2.952</v>
      </c>
      <c r="QV36" s="1533" t="n">
        <v>3.103</v>
      </c>
      <c r="QW36" s="1533" t="n">
        <v>2.952</v>
      </c>
      <c r="QX36" s="1533" t="n">
        <v>2.952</v>
      </c>
      <c r="QY36" s="1533" t="n">
        <v>3.103</v>
      </c>
      <c r="QZ36" s="1533" t="n">
        <v>3.103</v>
      </c>
      <c r="RA36" s="1533" t="n">
        <v>3.103</v>
      </c>
      <c r="RB36" s="1533" t="n">
        <v>3.103</v>
      </c>
      <c r="RC36" s="1533" t="n">
        <v>3.103</v>
      </c>
      <c r="RD36" s="1533" t="n">
        <v>3.103</v>
      </c>
      <c r="RE36" s="1533" t="n">
        <v>3.103</v>
      </c>
      <c r="RF36" s="1533" t="n">
        <v>3.103</v>
      </c>
      <c r="RG36" s="1533" t="n">
        <v>3.103</v>
      </c>
      <c r="RH36" s="1533" t="n">
        <v>3.103</v>
      </c>
      <c r="RI36" s="1533" t="n">
        <v>3.103</v>
      </c>
      <c r="RJ36" s="1533" t="n">
        <v>3.103</v>
      </c>
      <c r="RK36" s="1533" t="n">
        <v>3.937</v>
      </c>
      <c r="RL36" s="1533" t="n">
        <v>3.937</v>
      </c>
      <c r="RM36" s="1533" t="n">
        <v>3.937</v>
      </c>
      <c r="RN36" s="1533" t="n">
        <v>3.937</v>
      </c>
      <c r="RO36" s="1533" t="n">
        <v>3.937</v>
      </c>
      <c r="RP36" s="1533" t="n">
        <v>3.937</v>
      </c>
      <c r="RQ36" s="1533" t="n">
        <v>3.937</v>
      </c>
      <c r="RR36" s="1533" t="n">
        <v>3.937</v>
      </c>
      <c r="RS36" s="1533" t="n">
        <v>3.937</v>
      </c>
      <c r="RT36" s="1533" t="n">
        <v>3.937</v>
      </c>
      <c r="RU36" s="1533" t="n">
        <v>3.937</v>
      </c>
      <c r="RV36" s="1533" t="n">
        <v>3.937</v>
      </c>
      <c r="RW36" s="1533" t="n">
        <v>3.937</v>
      </c>
      <c r="RX36" s="1533" t="n">
        <v>3.937</v>
      </c>
      <c r="RY36" s="1533" t="n">
        <v>3.937</v>
      </c>
      <c r="RZ36" s="1533" t="n">
        <v>3.937</v>
      </c>
      <c r="SA36" s="1533" t="n">
        <v>2.083</v>
      </c>
      <c r="SB36" s="1533" t="n">
        <v>2.083</v>
      </c>
      <c r="SC36" s="1533" t="n">
        <v>2.083</v>
      </c>
      <c r="SD36" s="1533" t="n">
        <v>2.083</v>
      </c>
      <c r="SE36" s="1533" t="n">
        <v>2.02</v>
      </c>
      <c r="SF36" s="1533" t="n">
        <v>2.02</v>
      </c>
      <c r="SG36" s="1533" t="n">
        <v>2.02</v>
      </c>
      <c r="SH36" s="1533" t="n">
        <v>2.02</v>
      </c>
      <c r="SI36" s="1533" t="n">
        <v>2.02</v>
      </c>
      <c r="SJ36" s="1533" t="n">
        <v>2.02</v>
      </c>
      <c r="SK36" s="1533" t="n">
        <v>2.02</v>
      </c>
      <c r="SL36" s="1533" t="n">
        <v>2.02</v>
      </c>
      <c r="SM36" s="1533" t="n">
        <v>2.02</v>
      </c>
      <c r="SN36" s="1533" t="n">
        <v>2.02</v>
      </c>
      <c r="SO36" s="1533" t="n">
        <v>2.02</v>
      </c>
      <c r="SP36" s="1533" t="n">
        <v>2.02</v>
      </c>
      <c r="SQ36" s="1533" t="n">
        <v>2.02</v>
      </c>
      <c r="SR36" s="1533" t="n">
        <v>2.02</v>
      </c>
      <c r="SS36" s="1533" t="n">
        <v>2.02</v>
      </c>
      <c r="ST36" s="1533" t="n">
        <v>2.02</v>
      </c>
      <c r="SU36" s="1533" t="n">
        <v>2.02</v>
      </c>
      <c r="SV36" s="1533" t="n">
        <v>2.02</v>
      </c>
      <c r="SW36" s="1533" t="n">
        <v>2.02</v>
      </c>
      <c r="SX36" s="1533" t="n">
        <v>2.02</v>
      </c>
      <c r="SY36" s="1533" t="n">
        <v>2.02</v>
      </c>
      <c r="SZ36" s="1533" t="n">
        <v>2.02</v>
      </c>
      <c r="TA36" s="1533" t="n">
        <v>2.528</v>
      </c>
      <c r="TB36" s="1533" t="n">
        <v>2.528</v>
      </c>
      <c r="TC36" s="1533" t="n">
        <v>2.528</v>
      </c>
      <c r="TD36" s="1533" t="n">
        <v>2.528</v>
      </c>
      <c r="TE36" s="1533" t="n">
        <v>2.528</v>
      </c>
      <c r="TF36" s="1533" t="n">
        <v>2.528</v>
      </c>
      <c r="TG36" s="1533" t="n">
        <v>2.528</v>
      </c>
      <c r="TH36" s="1533" t="n">
        <v>1.065</v>
      </c>
      <c r="TI36" s="1533" t="n">
        <v>1.065</v>
      </c>
      <c r="TJ36" s="1533" t="n">
        <v>1.065</v>
      </c>
      <c r="TK36" s="1533" t="n">
        <v>1.065</v>
      </c>
      <c r="TL36" s="1533" t="n">
        <v>1.065</v>
      </c>
      <c r="TM36" s="1533" t="n">
        <v>1.065</v>
      </c>
      <c r="TN36" s="1533" t="n">
        <v>1.065</v>
      </c>
      <c r="TO36" s="1533" t="n">
        <v>68.807</v>
      </c>
      <c r="TP36" s="1533" t="n">
        <v>68.807</v>
      </c>
      <c r="TQ36" s="1533" t="n">
        <v>68.807</v>
      </c>
      <c r="TR36" s="1533" t="n">
        <v>68.807</v>
      </c>
      <c r="TS36" s="1533" t="n">
        <v>68.807</v>
      </c>
      <c r="TT36" s="1533" t="n">
        <v>68.807</v>
      </c>
      <c r="TU36" s="1533" t="n">
        <v>68.807</v>
      </c>
      <c r="TV36" s="1533" t="n">
        <v>68.807</v>
      </c>
      <c r="TW36" s="1533" t="n">
        <v>68.807</v>
      </c>
      <c r="TX36" s="1533" t="n">
        <v>68.807</v>
      </c>
      <c r="TY36" s="1533" t="n">
        <v>68.807</v>
      </c>
      <c r="TZ36" s="1533" t="n">
        <v>0</v>
      </c>
      <c r="UA36" s="1533" t="n">
        <v>0.45</v>
      </c>
      <c r="UB36" s="1533" t="n">
        <v>0.45</v>
      </c>
      <c r="UC36" s="1533" t="n">
        <v>0.45</v>
      </c>
      <c r="UD36" s="1533" t="n">
        <v>0.45</v>
      </c>
      <c r="UE36" s="1533" t="n">
        <v>0.45</v>
      </c>
      <c r="UF36" s="1533" t="n">
        <v>0.45</v>
      </c>
      <c r="UG36" s="1533" t="n">
        <v>0.45</v>
      </c>
      <c r="UH36" s="1533" t="n">
        <v>0.45</v>
      </c>
      <c r="UI36" s="1533" t="n">
        <v>0.45</v>
      </c>
      <c r="UJ36" s="1533" t="n">
        <v>0.1</v>
      </c>
      <c r="UK36" s="1533" t="n">
        <v>0.1</v>
      </c>
      <c r="UL36" s="1533" t="n">
        <v>0.1</v>
      </c>
      <c r="UM36" s="1533" t="n">
        <v>0.1</v>
      </c>
      <c r="UN36" s="1533" t="n">
        <v>0.1</v>
      </c>
      <c r="UO36" s="1533" t="n">
        <v>0.1</v>
      </c>
      <c r="UP36" s="1533" t="n">
        <v>0.1</v>
      </c>
      <c r="UQ36" s="1533" t="n">
        <v>0.1</v>
      </c>
      <c r="UR36" s="1533" t="n">
        <v>0.1</v>
      </c>
      <c r="US36" s="1533" t="n">
        <v>0.1</v>
      </c>
      <c r="UT36" s="1533" t="n">
        <v>0.106</v>
      </c>
      <c r="UU36" s="1533" t="n">
        <v>0.106</v>
      </c>
      <c r="UV36" s="1533" t="n">
        <v>0.1</v>
      </c>
      <c r="UW36" s="1533" t="n">
        <v>0.1</v>
      </c>
      <c r="UX36" s="1533" t="n">
        <v>0.1</v>
      </c>
      <c r="UY36" s="1533" t="n">
        <v>0.1</v>
      </c>
      <c r="UZ36" s="1533" t="n">
        <v>0.1</v>
      </c>
      <c r="VA36" s="1533" t="n">
        <v>0.1</v>
      </c>
      <c r="VB36" s="1533" t="n">
        <v>0.1</v>
      </c>
      <c r="VC36" s="1533" t="n">
        <v>0.1</v>
      </c>
      <c r="VD36" s="1533" t="n">
        <v>0.1</v>
      </c>
      <c r="VE36" s="1533" t="n">
        <v>0.1</v>
      </c>
      <c r="VF36" s="1533" t="n">
        <v>0</v>
      </c>
      <c r="VG36" s="1533" t="n">
        <v>0</v>
      </c>
      <c r="VH36" s="1533" t="n">
        <v>0</v>
      </c>
      <c r="VI36" s="1533" t="n">
        <v>0</v>
      </c>
      <c r="VJ36" s="1533" t="n">
        <v>0</v>
      </c>
      <c r="VK36" s="1533" t="n">
        <v>0</v>
      </c>
      <c r="VL36" s="1533" t="n">
        <v>0</v>
      </c>
      <c r="VM36" s="1533" t="n">
        <v>0</v>
      </c>
      <c r="VN36" s="1533" t="n">
        <v>0</v>
      </c>
      <c r="VO36" s="1533" t="n">
        <v>0</v>
      </c>
      <c r="VP36" s="1533" t="n">
        <v>0</v>
      </c>
      <c r="VQ36" s="1533" t="n">
        <v>0</v>
      </c>
      <c r="VR36" s="1533" t="n">
        <v>0</v>
      </c>
      <c r="VS36" s="1533" t="n">
        <v>0</v>
      </c>
      <c r="VT36" s="1533" t="n">
        <v>0</v>
      </c>
      <c r="VU36" s="1533" t="n">
        <v>0</v>
      </c>
      <c r="VV36" s="1533" t="n">
        <v>0</v>
      </c>
      <c r="VW36" s="1533" t="n">
        <v>0</v>
      </c>
      <c r="VX36" s="1533" t="n">
        <v>0</v>
      </c>
      <c r="VY36" s="1533" t="n">
        <v>0</v>
      </c>
      <c r="VZ36" s="1533" t="n">
        <v>0</v>
      </c>
      <c r="WA36" s="1533" t="n">
        <v>0</v>
      </c>
      <c r="WB36" s="1533" t="n">
        <v>0</v>
      </c>
      <c r="WC36" s="1533" t="n">
        <v>0</v>
      </c>
      <c r="WD36" s="1533" t="n">
        <v>0</v>
      </c>
      <c r="WE36" s="1533" t="n">
        <v>0</v>
      </c>
      <c r="WF36" s="1533" t="n">
        <v>0</v>
      </c>
      <c r="WG36" s="1533" t="n">
        <v>0</v>
      </c>
      <c r="WH36" s="1533" t="n">
        <v>0</v>
      </c>
      <c r="WI36" s="1533" t="n">
        <v>0</v>
      </c>
      <c r="WJ36" s="1533" t="n">
        <v>0</v>
      </c>
      <c r="WK36" s="1533" t="n">
        <v>0</v>
      </c>
      <c r="WL36" s="1533" t="n">
        <v>0</v>
      </c>
      <c r="WM36" s="1533" t="n">
        <v>0</v>
      </c>
      <c r="WN36" s="1533" t="n">
        <v>0</v>
      </c>
      <c r="WO36" s="1533" t="n">
        <v>0</v>
      </c>
      <c r="WP36" s="1533" t="n">
        <v>0</v>
      </c>
      <c r="WQ36" s="1533" t="n">
        <v>0</v>
      </c>
      <c r="WR36" s="1533" t="n">
        <v>0</v>
      </c>
      <c r="WS36" s="1533" t="n">
        <v>0</v>
      </c>
      <c r="WT36" s="1533" t="n">
        <v>0</v>
      </c>
      <c r="WU36" s="1533" t="n">
        <v>0</v>
      </c>
      <c r="WV36" s="1533" t="n">
        <v>0</v>
      </c>
      <c r="WW36" s="1533" t="n">
        <v>0</v>
      </c>
      <c r="WX36" s="1533" t="n">
        <v>0</v>
      </c>
      <c r="WY36" s="1533" t="n">
        <v>0</v>
      </c>
      <c r="WZ36" s="1533" t="n">
        <v>0</v>
      </c>
      <c r="XA36" s="1533" t="n">
        <v>0</v>
      </c>
      <c r="XB36" s="1533" t="n">
        <v>0</v>
      </c>
      <c r="XC36" s="1533" t="n">
        <v>0</v>
      </c>
      <c r="XD36" s="1533" t="n">
        <v>0</v>
      </c>
      <c r="XE36" s="1533" t="n">
        <v>0</v>
      </c>
      <c r="XF36" s="1533" t="n">
        <v>0</v>
      </c>
      <c r="XG36" s="1533" t="n">
        <v>0</v>
      </c>
      <c r="XH36" s="1533" t="n">
        <v>0</v>
      </c>
      <c r="XI36" s="1533" t="n">
        <v>0</v>
      </c>
      <c r="XJ36" s="1533" t="n">
        <v>0</v>
      </c>
      <c r="XK36" s="1533" t="n">
        <v>0</v>
      </c>
      <c r="XL36" s="1533" t="n">
        <v>0</v>
      </c>
      <c r="XM36" s="1533" t="n">
        <v>0</v>
      </c>
      <c r="XN36" s="1533" t="n">
        <v>0</v>
      </c>
      <c r="XO36" s="1533" t="n">
        <v>0</v>
      </c>
      <c r="XP36" s="1533" t="n">
        <v>0</v>
      </c>
      <c r="XQ36" s="1533" t="n">
        <v>0</v>
      </c>
      <c r="XR36" s="1533" t="n">
        <v>0</v>
      </c>
      <c r="XS36" s="1533" t="n">
        <v>0</v>
      </c>
      <c r="XT36" s="1533" t="n">
        <v>0</v>
      </c>
      <c r="XU36" s="1533" t="n">
        <v>0</v>
      </c>
      <c r="XV36" s="1533" t="n">
        <v>0</v>
      </c>
      <c r="XW36" s="1533" t="n">
        <v>0</v>
      </c>
      <c r="XX36" s="1533" t="n">
        <v>0</v>
      </c>
      <c r="XY36" s="1533" t="n">
        <v>0</v>
      </c>
      <c r="XZ36" s="1533" t="n">
        <v>0</v>
      </c>
      <c r="YA36" s="1533" t="n">
        <v>0</v>
      </c>
      <c r="YB36" s="1533" t="n">
        <v>0</v>
      </c>
      <c r="YC36" s="1533" t="n">
        <v>0</v>
      </c>
      <c r="YD36" s="1533" t="n">
        <v>0</v>
      </c>
      <c r="YE36" s="1533" t="n">
        <v>0</v>
      </c>
      <c r="YF36" s="1533" t="n">
        <v>0</v>
      </c>
      <c r="YG36" s="1533" t="n">
        <v>0</v>
      </c>
      <c r="YH36" s="1533" t="n">
        <v>0</v>
      </c>
      <c r="YI36" s="1533" t="n">
        <v>0</v>
      </c>
      <c r="YJ36" s="1543" t="n">
        <v>0</v>
      </c>
    </row>
    <row r="37">
      <c r="B37" s="917" t="inlineStr">
        <is>
          <t>Finagro</t>
        </is>
      </c>
      <c r="C37" s="1532" t="n">
        <v>0.6</v>
      </c>
      <c r="D37" s="1533" t="n">
        <v>0.6</v>
      </c>
      <c r="E37" s="1533" t="n">
        <v>0.6</v>
      </c>
      <c r="F37" s="1533" t="n">
        <v>0.6</v>
      </c>
      <c r="G37" s="1533" t="n">
        <v>0.6</v>
      </c>
      <c r="H37" s="1533" t="n">
        <v>0.6</v>
      </c>
      <c r="I37" s="1533" t="n">
        <v>0.6</v>
      </c>
      <c r="J37" s="1533" t="n">
        <v>0.6</v>
      </c>
      <c r="K37" s="1533" t="n">
        <v>0.6</v>
      </c>
      <c r="L37" s="1533" t="n">
        <v>0.6</v>
      </c>
      <c r="M37" s="1533" t="n">
        <v>0.6</v>
      </c>
      <c r="N37" s="1533" t="n">
        <v>0.6</v>
      </c>
      <c r="O37" s="1533" t="n">
        <v>0.6</v>
      </c>
      <c r="P37" s="1533" t="n">
        <v>0.6</v>
      </c>
      <c r="Q37" s="1533" t="n">
        <v>0.6</v>
      </c>
      <c r="R37" s="1533" t="n">
        <v>0.6</v>
      </c>
      <c r="S37" s="1533" t="n">
        <v>0.6</v>
      </c>
      <c r="T37" s="1533" t="n">
        <v>0.6</v>
      </c>
      <c r="U37" s="1533" t="n">
        <v>0.6</v>
      </c>
      <c r="V37" s="1533" t="n">
        <v>0.6</v>
      </c>
      <c r="W37" s="1533" t="n">
        <v>0.6</v>
      </c>
      <c r="X37" s="1533" t="n">
        <v>0.6</v>
      </c>
      <c r="Y37" s="1533" t="n">
        <v>0.6</v>
      </c>
      <c r="Z37" s="1533" t="n">
        <v>0.6</v>
      </c>
      <c r="AA37" s="1533" t="n">
        <v>0.6</v>
      </c>
      <c r="AB37" s="1533" t="n">
        <v>0.6</v>
      </c>
      <c r="AC37" s="1533" t="n">
        <v>0.6</v>
      </c>
      <c r="AD37" s="1533" t="n">
        <v>0.6</v>
      </c>
      <c r="AE37" s="1533" t="n">
        <v>0.6</v>
      </c>
      <c r="AF37" s="1533" t="n">
        <v>0.6</v>
      </c>
      <c r="AG37" s="1533" t="n">
        <v>0.6</v>
      </c>
      <c r="AH37" s="1533" t="n">
        <v>0.6</v>
      </c>
      <c r="AI37" s="1533" t="n">
        <v>0.6</v>
      </c>
      <c r="AJ37" s="1533" t="n">
        <v>0.6</v>
      </c>
      <c r="AK37" s="1533" t="n">
        <v>0.6</v>
      </c>
      <c r="AL37" s="1533" t="n">
        <v>0.6</v>
      </c>
      <c r="AM37" s="1533" t="n">
        <v>0.6</v>
      </c>
      <c r="AN37" s="1533" t="n">
        <v>0.6</v>
      </c>
      <c r="AO37" s="1533" t="n">
        <v>0.6</v>
      </c>
      <c r="AP37" s="1533" t="n">
        <v>0.6</v>
      </c>
      <c r="AQ37" s="1533" t="n">
        <v>0.6</v>
      </c>
      <c r="AR37" s="1533" t="n">
        <v>0.6</v>
      </c>
      <c r="AS37" s="1533" t="n">
        <v>0.6</v>
      </c>
      <c r="AT37" s="1533" t="n">
        <v>0.6</v>
      </c>
      <c r="AU37" s="1533" t="n">
        <v>0.6</v>
      </c>
      <c r="AV37" s="1533" t="n">
        <v>0.6</v>
      </c>
      <c r="AW37" s="1533" t="n">
        <v>0.6</v>
      </c>
      <c r="AX37" s="1533" t="n">
        <v>0.6</v>
      </c>
      <c r="AY37" s="1533" t="n">
        <v>0.6</v>
      </c>
      <c r="AZ37" s="1533" t="n">
        <v>0.6</v>
      </c>
      <c r="BA37" s="1533" t="n">
        <v>0.6</v>
      </c>
      <c r="BB37" s="1533" t="n">
        <v>0.6</v>
      </c>
      <c r="BC37" s="1533" t="n">
        <v>0.6</v>
      </c>
      <c r="BD37" s="1533" t="n">
        <v>0.6</v>
      </c>
      <c r="BE37" s="1533" t="n">
        <v>0.6</v>
      </c>
      <c r="BF37" s="1533" t="n">
        <v>0.6</v>
      </c>
      <c r="BG37" s="1533" t="n">
        <v>0.6</v>
      </c>
      <c r="BH37" s="1533" t="n">
        <v>0.6</v>
      </c>
      <c r="BI37" s="1533" t="n">
        <v>0.6</v>
      </c>
      <c r="BJ37" s="1533" t="n">
        <v>0.6</v>
      </c>
      <c r="BK37" s="1533" t="n">
        <v>0.6</v>
      </c>
      <c r="BL37" s="1533" t="n">
        <v>0.6</v>
      </c>
      <c r="BM37" s="1533" t="n">
        <v>0.6</v>
      </c>
      <c r="BN37" s="1533" t="n">
        <v>0.6</v>
      </c>
      <c r="BO37" s="1533" t="n">
        <v>0.6</v>
      </c>
      <c r="BP37" s="1533" t="n">
        <v>0.6</v>
      </c>
      <c r="BQ37" s="1533" t="n">
        <v>0.6</v>
      </c>
      <c r="BR37" s="1533" t="n">
        <v>0.6</v>
      </c>
      <c r="BS37" s="1533" t="n">
        <v>0.6</v>
      </c>
      <c r="BT37" s="1533" t="n">
        <v>0.6</v>
      </c>
      <c r="BU37" s="1533" t="n">
        <v>0.6</v>
      </c>
      <c r="BV37" s="1533" t="n">
        <v>0.6</v>
      </c>
      <c r="BW37" s="1533" t="n">
        <v>0.6</v>
      </c>
      <c r="BX37" s="1533" t="n">
        <v>0.6</v>
      </c>
      <c r="BY37" s="1533" t="n">
        <v>0.6</v>
      </c>
      <c r="BZ37" s="1533" t="n">
        <v>0.6</v>
      </c>
      <c r="CA37" s="1533" t="n">
        <v>0.6</v>
      </c>
      <c r="CB37" s="1533" t="n">
        <v>0.6</v>
      </c>
      <c r="CC37" s="1533" t="n">
        <v>0.6</v>
      </c>
      <c r="CD37" s="1533" t="n">
        <v>0.6</v>
      </c>
      <c r="CE37" s="1533" t="n">
        <v>0.6</v>
      </c>
      <c r="CF37" s="1533" t="n">
        <v>0.6</v>
      </c>
      <c r="CG37" s="1533" t="n">
        <v>0.6</v>
      </c>
      <c r="CH37" s="1533" t="n">
        <v>0.6</v>
      </c>
      <c r="CI37" s="1533" t="n">
        <v>0.6</v>
      </c>
      <c r="CJ37" s="1533" t="n">
        <v>0.6</v>
      </c>
      <c r="CK37" s="1533" t="n">
        <v>0.6</v>
      </c>
      <c r="CL37" s="1533" t="n">
        <v>0.6</v>
      </c>
      <c r="CM37" s="1533" t="n">
        <v>0.6</v>
      </c>
      <c r="CN37" s="1533" t="n">
        <v>0.6</v>
      </c>
      <c r="CO37" s="1533" t="n">
        <v>0.6</v>
      </c>
      <c r="CP37" s="1533" t="n">
        <v>0.6</v>
      </c>
      <c r="CQ37" s="1533" t="n">
        <v>0.6</v>
      </c>
      <c r="CR37" s="1533" t="n">
        <v>0.6</v>
      </c>
      <c r="CS37" s="1533" t="n">
        <v>0.6</v>
      </c>
      <c r="CT37" s="1533" t="n">
        <v>0.6</v>
      </c>
      <c r="CU37" s="1533" t="n">
        <v>0.6</v>
      </c>
      <c r="CV37" s="1533" t="n">
        <v>0.6</v>
      </c>
      <c r="CW37" s="1533" t="n">
        <v>0.6</v>
      </c>
      <c r="CX37" s="1533" t="n">
        <v>0.6</v>
      </c>
      <c r="CY37" s="1533" t="n">
        <v>0.6</v>
      </c>
      <c r="CZ37" s="1533" t="n">
        <v>0.6</v>
      </c>
      <c r="DA37" s="1533" t="n">
        <v>0.6</v>
      </c>
      <c r="DB37" s="1533" t="n">
        <v>0.6</v>
      </c>
      <c r="DC37" s="1533" t="n">
        <v>0.6</v>
      </c>
      <c r="DD37" s="1533" t="n">
        <v>0.6</v>
      </c>
      <c r="DE37" s="1533" t="n">
        <v>0.6</v>
      </c>
      <c r="DF37" s="1533" t="n">
        <v>0.6</v>
      </c>
      <c r="DG37" s="1533" t="n">
        <v>0.6</v>
      </c>
      <c r="DH37" s="1533" t="n">
        <v>0.6</v>
      </c>
      <c r="DI37" s="1533" t="n">
        <v>0.6</v>
      </c>
      <c r="DJ37" s="1533" t="n">
        <v>0.6</v>
      </c>
      <c r="DK37" s="1533">
        <f>20100/10^6</f>
        <v/>
      </c>
      <c r="DL37" s="1533">
        <f>20100/10^6</f>
        <v/>
      </c>
      <c r="DM37" s="1533">
        <f>20100/10^6</f>
        <v/>
      </c>
      <c r="DN37" s="1533">
        <f>20100/10^6</f>
        <v/>
      </c>
      <c r="DO37" s="1533">
        <f>20100/10^6</f>
        <v/>
      </c>
      <c r="DP37" s="1533">
        <f>20100/10^6</f>
        <v/>
      </c>
      <c r="DQ37" s="1533">
        <f>20100/10^6</f>
        <v/>
      </c>
      <c r="DR37" s="1533">
        <f>20100/10^6</f>
        <v/>
      </c>
      <c r="DS37" s="1533">
        <f>20100/10^6</f>
        <v/>
      </c>
      <c r="DT37" s="1533">
        <f>20100/10^6</f>
        <v/>
      </c>
      <c r="DU37" s="1533">
        <f>20100/10^6</f>
        <v/>
      </c>
      <c r="DV37" s="1533">
        <f>20100/10^6</f>
        <v/>
      </c>
      <c r="DW37" s="1533">
        <f>20100/10^6</f>
        <v/>
      </c>
      <c r="DX37" s="1533">
        <f>20100/10^6</f>
        <v/>
      </c>
      <c r="DY37" s="1533">
        <f>20100/10^6</f>
        <v/>
      </c>
      <c r="DZ37" s="1533">
        <f>20100/10^6</f>
        <v/>
      </c>
      <c r="EA37" s="1533">
        <f>20100/10^6</f>
        <v/>
      </c>
      <c r="EB37" s="1533">
        <f>20100/10^6</f>
        <v/>
      </c>
      <c r="EC37" s="1533">
        <f>20100/10^6</f>
        <v/>
      </c>
      <c r="ED37" s="1533">
        <f>20100/10^6</f>
        <v/>
      </c>
      <c r="EE37" s="1533">
        <f>20100/10^6</f>
        <v/>
      </c>
      <c r="EF37" s="1533">
        <f>20100/10^6</f>
        <v/>
      </c>
      <c r="EG37" s="1533">
        <f>20100/10^6</f>
        <v/>
      </c>
      <c r="EH37" s="1533">
        <f>20100/10^6</f>
        <v/>
      </c>
      <c r="EI37" s="1533">
        <f>20100/10^6</f>
        <v/>
      </c>
      <c r="EJ37" s="1533">
        <f>20100/10^6</f>
        <v/>
      </c>
      <c r="EK37" s="1533">
        <f>20100/10^6</f>
        <v/>
      </c>
      <c r="EL37" s="1533">
        <f>20100/10^6</f>
        <v/>
      </c>
      <c r="EM37" s="1533">
        <f>20100/10^6</f>
        <v/>
      </c>
      <c r="EN37" s="1533">
        <f>20100/10^6</f>
        <v/>
      </c>
      <c r="EO37" s="1533">
        <f>20100/10^6</f>
        <v/>
      </c>
      <c r="EP37" s="1533">
        <f>20100/10^6</f>
        <v/>
      </c>
      <c r="EQ37" s="1533">
        <f>20100/10^6</f>
        <v/>
      </c>
      <c r="ER37" s="1533" t="n">
        <v>0.0201</v>
      </c>
      <c r="ES37" s="1533">
        <f>20100/10^6</f>
        <v/>
      </c>
      <c r="ET37" s="1533">
        <f>20100/10^6</f>
        <v/>
      </c>
      <c r="EU37" s="1533">
        <f>20100/10^6</f>
        <v/>
      </c>
      <c r="EV37" s="1533">
        <f>20100/10^6</f>
        <v/>
      </c>
      <c r="EW37" s="1533">
        <f>20100/10^6</f>
        <v/>
      </c>
      <c r="EX37" s="1533">
        <f>20100/10^6</f>
        <v/>
      </c>
      <c r="EY37" s="1533">
        <f>20100/10^6</f>
        <v/>
      </c>
      <c r="EZ37" s="1533">
        <f>20100/10^6</f>
        <v/>
      </c>
      <c r="FA37" s="1533">
        <f>20100/10^6</f>
        <v/>
      </c>
      <c r="FB37" s="1533" t="n">
        <v>4</v>
      </c>
      <c r="FC37" s="1533">
        <f>(20100+1018.69)/10^6</f>
        <v/>
      </c>
      <c r="FD37" s="1533">
        <f>(20100+1018.69)/10^6</f>
        <v/>
      </c>
      <c r="FE37" s="1533">
        <f>(20100+1018.69)/10^6</f>
        <v/>
      </c>
      <c r="FF37" s="1533">
        <f>(20100+1018.69)/10^6</f>
        <v/>
      </c>
      <c r="FG37" s="1533">
        <f>(20100+1018.69)/10^6</f>
        <v/>
      </c>
      <c r="FH37" s="1533" t="n">
        <v>0.02111869</v>
      </c>
      <c r="FI37" s="1533" t="n">
        <v>0.02111869</v>
      </c>
      <c r="FJ37" s="1533">
        <f>(20100+1018.69)/10^6</f>
        <v/>
      </c>
      <c r="FK37" s="1533">
        <f>(20100+1018.69)/10^6</f>
        <v/>
      </c>
      <c r="FL37" s="1533">
        <f>(20100+1018.69)/10^6</f>
        <v/>
      </c>
      <c r="FM37" s="1533" t="n">
        <v>0.02111869</v>
      </c>
      <c r="FN37" s="1533" t="n">
        <v>0.02111869</v>
      </c>
      <c r="FO37" s="1533">
        <f>(20100+1018.69)/10^6</f>
        <v/>
      </c>
      <c r="FP37" s="1533">
        <f>(20100+1018.69)/10^6</f>
        <v/>
      </c>
      <c r="FQ37" s="1533">
        <f>(20100+1018.69)/10^6</f>
        <v/>
      </c>
      <c r="FR37" s="1533" t="n">
        <v>0.02111869</v>
      </c>
      <c r="FS37" s="1533" t="n">
        <v>0.02111869</v>
      </c>
      <c r="FT37" s="1533">
        <f>(20100+1018.69)/10^6</f>
        <v/>
      </c>
      <c r="FU37" s="1533">
        <f>(20100+1018.69)/10^6</f>
        <v/>
      </c>
      <c r="FV37" s="1533">
        <f>(20100+1018.69)/10^6</f>
        <v/>
      </c>
      <c r="FW37" s="1533">
        <f>(20100+1018.69)/10^6</f>
        <v/>
      </c>
      <c r="FX37" s="1533">
        <f>(20100+1018.69)/10^6</f>
        <v/>
      </c>
      <c r="FY37" s="1533">
        <f>(20100+1018.69)/10^6</f>
        <v/>
      </c>
      <c r="FZ37" s="1533">
        <f>(20100+1018.69)/10^6</f>
        <v/>
      </c>
      <c r="GA37" s="1533">
        <f>(20100+1018.69)/10^6</f>
        <v/>
      </c>
      <c r="GB37" s="1533">
        <f>(20100+1018.69)/10^6</f>
        <v/>
      </c>
      <c r="GC37" s="1533">
        <f>(20100+1018.69)/10^6</f>
        <v/>
      </c>
      <c r="GD37" s="1533">
        <f>(20100+1018.69)/10^6</f>
        <v/>
      </c>
      <c r="GE37" s="1533">
        <f>(20100+1018.69)/10^6</f>
        <v/>
      </c>
      <c r="GF37" s="1533">
        <f>(20100+1018.69)/10^6</f>
        <v/>
      </c>
      <c r="GG37" s="1533">
        <f>(20100+1018.69)/10^6</f>
        <v/>
      </c>
      <c r="GH37" s="1533">
        <f>(20100+1018.69)/10^6</f>
        <v/>
      </c>
      <c r="GI37" s="1533" t="n">
        <v>0.02111869</v>
      </c>
      <c r="GJ37" s="1533" t="n">
        <v>0.02111869</v>
      </c>
      <c r="GK37" s="1533" t="n">
        <v>0.02111869</v>
      </c>
      <c r="GL37" s="1533" t="n">
        <v>0.02111869</v>
      </c>
      <c r="GM37" s="1533" t="n">
        <v>0.02111869</v>
      </c>
      <c r="GN37" s="1533" t="n">
        <v>0.02111869</v>
      </c>
      <c r="GO37" s="1533" t="n">
        <v>0.02111869</v>
      </c>
      <c r="GP37" s="1533" t="n">
        <v>0.02111869</v>
      </c>
      <c r="GQ37" s="1533" t="n">
        <v>0.02111869</v>
      </c>
      <c r="GR37" s="1533" t="n">
        <v>0.02111869</v>
      </c>
      <c r="GS37" s="1533" t="n">
        <v>0.02111869</v>
      </c>
      <c r="GT37" s="1533" t="n">
        <v>0.02111869</v>
      </c>
      <c r="GU37" s="1533" t="n">
        <v>0.02111869</v>
      </c>
      <c r="GV37" s="1533" t="n">
        <v>0.02111869</v>
      </c>
      <c r="GW37" s="1533" t="n">
        <v>0.02111869</v>
      </c>
      <c r="GX37" s="1533" t="n">
        <v>0.02111869</v>
      </c>
      <c r="GY37" s="1533" t="n">
        <v>0.02111869</v>
      </c>
      <c r="GZ37" s="1533" t="n">
        <v>0.02111869</v>
      </c>
      <c r="HA37" s="1533" t="n">
        <v>0.02111869</v>
      </c>
      <c r="HB37" s="1533" t="n">
        <v>0.02111869</v>
      </c>
      <c r="HC37" s="1533" t="n">
        <v>0.02111869</v>
      </c>
      <c r="HD37" s="1533" t="n">
        <v>0.02111869</v>
      </c>
      <c r="HE37" s="1533" t="n">
        <v>0.02111869</v>
      </c>
      <c r="HF37" s="1533" t="n">
        <v>0.02111869</v>
      </c>
      <c r="HG37" s="1533" t="n">
        <v>0.02111869</v>
      </c>
      <c r="HH37" s="1533" t="n">
        <v>0.02111869</v>
      </c>
      <c r="HI37" s="1533" t="n">
        <v>0.02111869</v>
      </c>
      <c r="HJ37" s="1533" t="n">
        <v>0.02111869</v>
      </c>
      <c r="HK37" s="1533" t="n">
        <v>0.02111869</v>
      </c>
      <c r="HL37" s="1533" t="n">
        <v>0.02111869</v>
      </c>
      <c r="HM37" s="1533" t="n">
        <v>0.02111869</v>
      </c>
      <c r="HN37" s="1533" t="n">
        <v>0.02111869</v>
      </c>
      <c r="HO37" s="1533" t="n">
        <v>0.02111869</v>
      </c>
      <c r="HP37" s="1533" t="n">
        <v>0.02111869</v>
      </c>
      <c r="HQ37" s="1533" t="n">
        <v>0.02111869</v>
      </c>
      <c r="HR37" s="1533" t="n">
        <v>0.02111869</v>
      </c>
      <c r="HS37" s="1533" t="n">
        <v>0.02111869</v>
      </c>
      <c r="HT37" s="1533" t="n">
        <v>0.02111869</v>
      </c>
      <c r="HU37" s="1533" t="n">
        <v>0.02111869</v>
      </c>
      <c r="HV37" s="1533" t="n">
        <v>0.02111869</v>
      </c>
      <c r="HW37" s="1533" t="n">
        <v>0.02111869</v>
      </c>
      <c r="HX37" s="1533" t="n">
        <v>0.02111869</v>
      </c>
      <c r="HY37" s="1533" t="n">
        <v>0.02111869</v>
      </c>
      <c r="HZ37" s="1533" t="n">
        <v>0.02111869</v>
      </c>
      <c r="IA37" s="1533" t="n">
        <v>0.02111869</v>
      </c>
      <c r="IB37" s="1533" t="n">
        <v>0.02111869</v>
      </c>
      <c r="IC37" s="1533" t="n">
        <v>0.02111869</v>
      </c>
      <c r="ID37" s="1533" t="n">
        <v>0.02111869</v>
      </c>
      <c r="IE37" s="1533" t="n">
        <v>0.02111869</v>
      </c>
      <c r="IF37" s="1533" t="n">
        <v>0.02111869</v>
      </c>
      <c r="IG37" s="1533" t="n">
        <v>0.02111869</v>
      </c>
      <c r="IH37" s="1533" t="n">
        <v>0.02111869</v>
      </c>
      <c r="II37" s="1533" t="n">
        <v>0.02111869</v>
      </c>
      <c r="IJ37" s="1533" t="n">
        <v>0.02111869</v>
      </c>
      <c r="IK37" s="1533" t="n">
        <v>0.02111869</v>
      </c>
      <c r="IL37" s="1533" t="n">
        <v>0.02111869</v>
      </c>
      <c r="IM37" s="1533" t="n">
        <v>0.02111869</v>
      </c>
      <c r="IN37" s="1533" t="n">
        <v>0.02111869</v>
      </c>
      <c r="IO37" s="1533" t="n">
        <v>0.02111869</v>
      </c>
      <c r="IP37" s="1533" t="n">
        <v>0.02111869</v>
      </c>
      <c r="IQ37" s="1533" t="n">
        <v>0.02111869</v>
      </c>
      <c r="IR37" s="1533" t="n">
        <v>0.02111869</v>
      </c>
      <c r="IS37" s="1533" t="n">
        <v>0.02111869</v>
      </c>
      <c r="IT37" s="1533" t="n">
        <v>0.02111869</v>
      </c>
      <c r="IU37" s="1533" t="n">
        <v>0.02111869</v>
      </c>
      <c r="IV37" s="1533" t="n">
        <v>0.02111869</v>
      </c>
      <c r="IW37" s="1533" t="n">
        <v>0.02111869</v>
      </c>
      <c r="IX37" s="1533" t="n">
        <v>0.02111869</v>
      </c>
      <c r="IY37" s="1533" t="n">
        <v>0.02111869</v>
      </c>
      <c r="IZ37" s="1533" t="n">
        <v>0.02111869</v>
      </c>
      <c r="JA37" s="1533" t="n">
        <v>0.02111869</v>
      </c>
      <c r="JB37" s="1533" t="n">
        <v>0.02111869</v>
      </c>
      <c r="JC37" s="1533" t="n">
        <v>0.02111869</v>
      </c>
      <c r="JD37" s="1533" t="n">
        <v>0.02111869</v>
      </c>
      <c r="JE37" s="1533" t="n">
        <v>0.02111869</v>
      </c>
      <c r="JF37" s="1533" t="n">
        <v>0.02111869</v>
      </c>
      <c r="JG37" s="1533" t="n">
        <v>0.02111869</v>
      </c>
      <c r="JH37" s="1533" t="n">
        <v>0.02111869</v>
      </c>
      <c r="JI37" s="1533" t="n">
        <v>0.02111869</v>
      </c>
      <c r="JJ37" s="1533" t="n">
        <v>0.02111869</v>
      </c>
      <c r="JK37" s="1533" t="n">
        <v>0.02111869</v>
      </c>
      <c r="JL37" s="1533" t="n">
        <v>0.02111869</v>
      </c>
      <c r="JM37" s="1533" t="n">
        <v>0.02111869</v>
      </c>
      <c r="JN37" s="1533" t="n">
        <v>0.02111869</v>
      </c>
      <c r="JO37" s="1533" t="n">
        <v>0.02111869</v>
      </c>
      <c r="JP37" s="1533" t="n">
        <v>0.02111869</v>
      </c>
      <c r="JQ37" s="1533" t="n">
        <v>0.02111869</v>
      </c>
      <c r="JR37" s="1533" t="n">
        <v>0.02111869</v>
      </c>
      <c r="JS37" s="1533" t="n">
        <v>0.02111869</v>
      </c>
      <c r="JT37" s="1533" t="n">
        <v>0.02111869</v>
      </c>
      <c r="JU37" s="1533" t="n">
        <v>0.02111869</v>
      </c>
      <c r="JV37" s="1533" t="n">
        <v>0.02111869</v>
      </c>
      <c r="JW37" s="1533" t="n">
        <v>0.02111869</v>
      </c>
      <c r="JX37" s="1533" t="n">
        <v>0.02111869</v>
      </c>
      <c r="JY37" s="1533" t="n">
        <v>0.02111869</v>
      </c>
      <c r="JZ37" s="1533" t="n">
        <v>0.02111869</v>
      </c>
      <c r="KA37" s="1533" t="n">
        <v>0</v>
      </c>
      <c r="KB37" s="1533" t="n">
        <v>0</v>
      </c>
      <c r="KC37" s="1533" t="n">
        <v>0</v>
      </c>
      <c r="KD37" s="1533" t="n">
        <v>0</v>
      </c>
      <c r="KE37" s="1533" t="n">
        <v>0</v>
      </c>
      <c r="KF37" s="1533" t="n">
        <v>0.02111869</v>
      </c>
      <c r="KG37" s="1533" t="n">
        <v>0</v>
      </c>
      <c r="KH37" s="1533" t="n">
        <v>0</v>
      </c>
      <c r="KI37" s="1533" t="n">
        <v>0</v>
      </c>
      <c r="KJ37" s="1533" t="n">
        <v>0</v>
      </c>
      <c r="KK37" s="1533" t="n">
        <v>0</v>
      </c>
      <c r="KL37" s="1533" t="n">
        <v>0</v>
      </c>
      <c r="KM37" s="1533" t="n">
        <v>0</v>
      </c>
      <c r="KN37" s="1533" t="n">
        <v>0</v>
      </c>
      <c r="KO37" s="1533" t="n">
        <v>0</v>
      </c>
      <c r="KP37" s="1533" t="n">
        <v>0</v>
      </c>
      <c r="KQ37" s="1533" t="n">
        <v>0</v>
      </c>
      <c r="KR37" s="1533" t="n">
        <v>0</v>
      </c>
      <c r="KS37" s="1533" t="n">
        <v>0</v>
      </c>
      <c r="KT37" s="1533" t="n">
        <v>0</v>
      </c>
      <c r="KU37" s="1533" t="n">
        <v>0</v>
      </c>
      <c r="KV37" s="1533" t="n">
        <v>0</v>
      </c>
      <c r="KW37" s="1533" t="n">
        <v>0</v>
      </c>
      <c r="KX37" s="1533" t="n">
        <v>0</v>
      </c>
      <c r="KY37" s="1533" t="n">
        <v>0</v>
      </c>
      <c r="KZ37" s="1533" t="n">
        <v>0</v>
      </c>
      <c r="LA37" s="1533" t="n">
        <v>0</v>
      </c>
      <c r="LB37" s="1533" t="n">
        <v>0</v>
      </c>
      <c r="LC37" s="1533" t="n">
        <v>0</v>
      </c>
      <c r="LD37" s="1533" t="n">
        <v>0</v>
      </c>
      <c r="LE37" s="1533" t="n">
        <v>0</v>
      </c>
      <c r="LF37" s="1533" t="n">
        <v>0</v>
      </c>
      <c r="LG37" s="1533" t="n">
        <v>0</v>
      </c>
      <c r="LH37" s="1533" t="n">
        <v>0</v>
      </c>
      <c r="LI37" s="1533" t="n">
        <v>0</v>
      </c>
      <c r="LJ37" s="1533" t="n">
        <v>0</v>
      </c>
      <c r="LK37" s="1533" t="n">
        <v>0</v>
      </c>
      <c r="LL37" s="1533" t="n">
        <v>0</v>
      </c>
      <c r="LM37" s="1533" t="n">
        <v>0</v>
      </c>
      <c r="LN37" s="1533" t="n">
        <v>0</v>
      </c>
      <c r="LO37" s="1533" t="n">
        <v>0</v>
      </c>
      <c r="LP37" s="1533" t="n">
        <v>0</v>
      </c>
      <c r="LQ37" s="1533" t="n">
        <v>0</v>
      </c>
      <c r="LR37" s="1533" t="n">
        <v>0</v>
      </c>
      <c r="LS37" s="1533" t="n">
        <v>0</v>
      </c>
      <c r="LT37" s="1533" t="n">
        <v>0</v>
      </c>
      <c r="LU37" s="1533" t="n">
        <v>0</v>
      </c>
      <c r="LV37" s="1533" t="n">
        <v>0</v>
      </c>
      <c r="LW37" s="1533" t="n">
        <v>0</v>
      </c>
      <c r="LX37" s="1533" t="n">
        <v>0</v>
      </c>
      <c r="LY37" s="1533" t="n">
        <v>0</v>
      </c>
      <c r="LZ37" s="1533" t="n">
        <v>0</v>
      </c>
      <c r="MA37" s="1533" t="n">
        <v>0</v>
      </c>
      <c r="MB37" s="1533" t="n">
        <v>0</v>
      </c>
      <c r="MC37" s="1533" t="n">
        <v>0</v>
      </c>
      <c r="MD37" s="1533" t="n">
        <v>0</v>
      </c>
      <c r="ME37" s="1533" t="n">
        <v>0</v>
      </c>
      <c r="MF37" s="1533" t="n">
        <v>0</v>
      </c>
      <c r="MG37" s="1533" t="n">
        <v>0</v>
      </c>
      <c r="MH37" s="1533" t="n">
        <v>0</v>
      </c>
      <c r="MI37" s="1533" t="n">
        <v>0</v>
      </c>
      <c r="MJ37" s="1533" t="n">
        <v>0</v>
      </c>
      <c r="MK37" s="1533" t="n">
        <v>0</v>
      </c>
      <c r="ML37" s="1533" t="n">
        <v>0</v>
      </c>
      <c r="MM37" s="1533" t="n">
        <v>0</v>
      </c>
      <c r="MN37" s="1533" t="n">
        <v>0</v>
      </c>
      <c r="MO37" s="1533" t="n">
        <v>0</v>
      </c>
      <c r="MP37" s="1533" t="n">
        <v>0</v>
      </c>
      <c r="MQ37" s="1533" t="n">
        <v>0</v>
      </c>
      <c r="MR37" s="1533" t="n">
        <v>0</v>
      </c>
      <c r="MS37" s="1533" t="n">
        <v>0</v>
      </c>
      <c r="MT37" s="1533" t="n">
        <v>0</v>
      </c>
      <c r="MU37" s="1533" t="n">
        <v>0</v>
      </c>
      <c r="MV37" s="1533" t="n">
        <v>0</v>
      </c>
      <c r="MW37" s="1533" t="n">
        <v>0</v>
      </c>
      <c r="MX37" s="1533" t="n">
        <v>0</v>
      </c>
      <c r="MY37" s="1533" t="n">
        <v>0</v>
      </c>
      <c r="MZ37" s="1533" t="n">
        <v>0</v>
      </c>
      <c r="NA37" s="1533" t="n">
        <v>0</v>
      </c>
      <c r="NB37" s="1533" t="n">
        <v>0</v>
      </c>
      <c r="NC37" s="1533" t="n">
        <v>0</v>
      </c>
      <c r="ND37" s="1533" t="n">
        <v>0</v>
      </c>
      <c r="NE37" s="1533" t="n">
        <v>0</v>
      </c>
      <c r="NF37" s="1533" t="n">
        <v>0</v>
      </c>
      <c r="NG37" s="1533" t="n">
        <v>0</v>
      </c>
      <c r="NH37" s="1533" t="n">
        <v>0</v>
      </c>
      <c r="NI37" s="1533" t="n">
        <v>0</v>
      </c>
      <c r="NJ37" s="1533" t="n">
        <v>0</v>
      </c>
      <c r="NK37" s="1533" t="n">
        <v>0</v>
      </c>
      <c r="NL37" s="1533" t="n">
        <v>0</v>
      </c>
      <c r="NM37" s="1533" t="n">
        <v>0</v>
      </c>
      <c r="NN37" s="1533" t="n">
        <v>0</v>
      </c>
      <c r="NO37" s="1533" t="n">
        <v>0</v>
      </c>
      <c r="NP37" s="1533" t="n">
        <v>0</v>
      </c>
      <c r="NQ37" s="1533" t="n">
        <v>0</v>
      </c>
      <c r="NR37" s="1533" t="n">
        <v>0</v>
      </c>
      <c r="NS37" s="1533" t="n">
        <v>0</v>
      </c>
      <c r="NT37" s="1533" t="n">
        <v>0</v>
      </c>
      <c r="NU37" s="1533" t="n">
        <v>0</v>
      </c>
      <c r="NV37" s="1533" t="n">
        <v>0</v>
      </c>
      <c r="NW37" s="1533" t="n">
        <v>0</v>
      </c>
      <c r="NX37" s="1533" t="n">
        <v>0</v>
      </c>
      <c r="NY37" s="1533" t="n">
        <v>0</v>
      </c>
      <c r="NZ37" s="1533" t="n">
        <v>0</v>
      </c>
      <c r="OA37" s="1533" t="n">
        <v>0</v>
      </c>
      <c r="OB37" s="1533" t="n">
        <v>0</v>
      </c>
      <c r="OC37" s="1533" t="n">
        <v>0</v>
      </c>
      <c r="OD37" s="1533" t="n">
        <v>0</v>
      </c>
      <c r="OE37" s="1533" t="n">
        <v>0</v>
      </c>
      <c r="OF37" s="1533" t="n">
        <v>0</v>
      </c>
      <c r="OG37" s="1533" t="n">
        <v>0</v>
      </c>
      <c r="OH37" s="1533" t="n">
        <v>0</v>
      </c>
      <c r="OI37" s="1533" t="n">
        <v>0</v>
      </c>
      <c r="OJ37" s="1533" t="n">
        <v>0</v>
      </c>
      <c r="OK37" s="1533" t="n">
        <v>0</v>
      </c>
      <c r="OL37" s="1533" t="n">
        <v>0</v>
      </c>
      <c r="OM37" s="1533" t="n">
        <v>0</v>
      </c>
      <c r="ON37" s="1533" t="n">
        <v>0</v>
      </c>
      <c r="OO37" s="1533" t="n">
        <v>0</v>
      </c>
      <c r="OP37" s="1533" t="n">
        <v>0</v>
      </c>
      <c r="OQ37" s="1533" t="n">
        <v>0</v>
      </c>
      <c r="OR37" s="1533" t="n">
        <v>0</v>
      </c>
      <c r="OS37" s="1533" t="n">
        <v>0</v>
      </c>
      <c r="OT37" s="1533" t="n">
        <v>0</v>
      </c>
      <c r="OU37" s="1533" t="n">
        <v>0</v>
      </c>
      <c r="OV37" s="1533" t="n">
        <v>0</v>
      </c>
      <c r="OW37" s="1533" t="n">
        <v>0</v>
      </c>
      <c r="OX37" s="1533" t="n">
        <v>0</v>
      </c>
      <c r="OY37" s="1533" t="n">
        <v>0</v>
      </c>
      <c r="OZ37" s="1533" t="n">
        <v>0</v>
      </c>
      <c r="PA37" s="1533" t="n">
        <v>0</v>
      </c>
      <c r="PB37" s="1533" t="n">
        <v>17.62</v>
      </c>
      <c r="PC37" s="1533" t="n">
        <v>17.62</v>
      </c>
      <c r="PD37" s="1533" t="n">
        <v>17.62</v>
      </c>
      <c r="PE37" s="1533" t="n">
        <v>17.62</v>
      </c>
      <c r="PF37" s="1533" t="n">
        <v>17.62</v>
      </c>
      <c r="PG37" s="1533" t="n">
        <v>17.62</v>
      </c>
      <c r="PH37" s="1533" t="n">
        <v>17.62</v>
      </c>
      <c r="PI37" s="1533" t="n">
        <v>17.62</v>
      </c>
      <c r="PJ37" s="1533" t="n">
        <v>17.62</v>
      </c>
      <c r="PK37" s="1533" t="n">
        <v>17.62</v>
      </c>
      <c r="PL37" s="1533" t="n">
        <v>17.62</v>
      </c>
      <c r="PM37" s="1533" t="n">
        <v>17.62</v>
      </c>
      <c r="PN37" s="1533" t="n">
        <v>17.62</v>
      </c>
      <c r="PO37" s="1533" t="n">
        <v>17.62</v>
      </c>
      <c r="PP37" s="1533" t="n">
        <v>17.62</v>
      </c>
      <c r="PQ37" s="1533" t="n">
        <v>17.62</v>
      </c>
      <c r="PR37" s="1533" t="n">
        <v>17.62</v>
      </c>
      <c r="PS37" s="1533" t="n">
        <v>17.62</v>
      </c>
      <c r="PT37" s="1533" t="n">
        <v>17.62</v>
      </c>
      <c r="PU37" s="1533" t="n">
        <v>15.595</v>
      </c>
      <c r="PV37" s="1533" t="n">
        <v>15.595</v>
      </c>
      <c r="PW37" s="1533" t="n">
        <v>15.595</v>
      </c>
      <c r="PX37" s="1533" t="n">
        <v>15.595</v>
      </c>
      <c r="PY37" s="1533" t="n">
        <v>15.595</v>
      </c>
      <c r="PZ37" s="1533" t="n">
        <v>15.595</v>
      </c>
      <c r="QA37" s="1533" t="n">
        <v>15.595</v>
      </c>
      <c r="QB37" s="1533" t="n">
        <v>15.595</v>
      </c>
      <c r="QC37" s="1533" t="n">
        <v>15.595</v>
      </c>
      <c r="QD37" s="1533" t="n">
        <v>15.595</v>
      </c>
      <c r="QE37" s="1533" t="n">
        <v>15.595</v>
      </c>
      <c r="QF37" s="1533" t="n">
        <v>15.595</v>
      </c>
      <c r="QG37" s="1533" t="n">
        <v>15.595</v>
      </c>
      <c r="QH37" s="1533" t="n">
        <v>15.595</v>
      </c>
      <c r="QI37" s="1533" t="n">
        <v>15.595</v>
      </c>
      <c r="QJ37" s="1533" t="n">
        <v>15.595</v>
      </c>
      <c r="QK37" s="1533" t="n">
        <v>15.595</v>
      </c>
      <c r="QL37" s="1533" t="n">
        <v>15.595</v>
      </c>
      <c r="QM37" s="1533" t="n">
        <v>15.595</v>
      </c>
      <c r="QN37" s="1533" t="n">
        <v>9.428000000000001</v>
      </c>
      <c r="QO37" s="1533" t="n">
        <v>9.428000000000001</v>
      </c>
      <c r="QP37" s="1533" t="n">
        <v>9.428000000000001</v>
      </c>
      <c r="QQ37" s="1533" t="n">
        <v>9.428000000000001</v>
      </c>
      <c r="QR37" s="1533" t="n">
        <v>9.428000000000001</v>
      </c>
      <c r="QS37" s="1533" t="n">
        <v>19.891</v>
      </c>
      <c r="QT37" s="1533" t="n">
        <v>19.891</v>
      </c>
      <c r="QU37" s="1533" t="n">
        <v>19.891</v>
      </c>
      <c r="QV37" s="1533" t="n">
        <v>29.89</v>
      </c>
      <c r="QW37" s="1533" t="n">
        <v>19.891</v>
      </c>
      <c r="QX37" s="1533" t="n">
        <v>19.891</v>
      </c>
      <c r="QY37" s="1533" t="n">
        <v>29.89</v>
      </c>
      <c r="QZ37" s="1533" t="n">
        <v>29.89</v>
      </c>
      <c r="RA37" s="1533" t="n">
        <v>29.89</v>
      </c>
      <c r="RB37" s="1533" t="n">
        <v>29.89</v>
      </c>
      <c r="RC37" s="1533" t="n">
        <v>29.89</v>
      </c>
      <c r="RD37" s="1533" t="n">
        <v>29.89</v>
      </c>
      <c r="RE37" s="1533" t="n">
        <v>29.89</v>
      </c>
      <c r="RF37" s="1533" t="n">
        <v>29.89</v>
      </c>
      <c r="RG37" s="1533" t="n">
        <v>29.89</v>
      </c>
      <c r="RH37" s="1533" t="n">
        <v>29.89</v>
      </c>
      <c r="RI37" s="1533" t="n">
        <v>29.89</v>
      </c>
      <c r="RJ37" s="1533" t="n">
        <v>29.89</v>
      </c>
      <c r="RK37" s="1533" t="n">
        <v>19.9</v>
      </c>
      <c r="RL37" s="1533" t="n">
        <v>19.9</v>
      </c>
      <c r="RM37" s="1533" t="n">
        <v>19.9</v>
      </c>
      <c r="RN37" s="1533" t="n">
        <v>19.9</v>
      </c>
      <c r="RO37" s="1533" t="n">
        <v>19.9</v>
      </c>
      <c r="RP37" s="1533" t="n">
        <v>19.9</v>
      </c>
      <c r="RQ37" s="1533" t="n">
        <v>19.9</v>
      </c>
      <c r="RR37" s="1533" t="n">
        <v>19.9</v>
      </c>
      <c r="RS37" s="1533" t="n">
        <v>8.65</v>
      </c>
      <c r="RT37" s="1533" t="n">
        <v>8.65</v>
      </c>
      <c r="RU37" s="1533" t="n">
        <v>8.65</v>
      </c>
      <c r="RV37" s="1533" t="n">
        <v>8.65</v>
      </c>
      <c r="RW37" s="1533" t="n">
        <v>8.65</v>
      </c>
      <c r="RX37" s="1533" t="n">
        <v>8.65</v>
      </c>
      <c r="RY37" s="1533" t="n">
        <v>8.65</v>
      </c>
      <c r="RZ37" s="1533" t="n">
        <v>8.65</v>
      </c>
      <c r="SA37" s="1533" t="n">
        <v>8.65</v>
      </c>
      <c r="SB37" s="1533" t="n">
        <v>8.65</v>
      </c>
      <c r="SC37" s="1533" t="n">
        <v>8.65</v>
      </c>
      <c r="SD37" s="1533" t="n">
        <v>8.65</v>
      </c>
      <c r="SE37" s="1533" t="n">
        <v>5.386</v>
      </c>
      <c r="SF37" s="1533" t="n">
        <v>5.386</v>
      </c>
      <c r="SG37" s="1533" t="n">
        <v>5.386</v>
      </c>
      <c r="SH37" s="1533" t="n">
        <v>5.386</v>
      </c>
      <c r="SI37" s="1533" t="n">
        <v>5.386</v>
      </c>
      <c r="SJ37" s="1533" t="n">
        <v>5.386</v>
      </c>
      <c r="SK37" s="1533" t="n">
        <v>5.386</v>
      </c>
      <c r="SL37" s="1533" t="n">
        <v>5.386</v>
      </c>
      <c r="SM37" s="1533" t="n">
        <v>5.386</v>
      </c>
      <c r="SN37" s="1533" t="n">
        <v>5.386</v>
      </c>
      <c r="SO37" s="1533" t="n">
        <v>5.386</v>
      </c>
      <c r="SP37" s="1533" t="n">
        <v>5.386</v>
      </c>
      <c r="SQ37" s="1533" t="n">
        <v>5.386</v>
      </c>
      <c r="SR37" s="1533" t="n">
        <v>5.386</v>
      </c>
      <c r="SS37" s="1533" t="n">
        <v>5.386</v>
      </c>
      <c r="ST37" s="1533" t="n">
        <v>5.386</v>
      </c>
      <c r="SU37" s="1533" t="n">
        <v>5.386</v>
      </c>
      <c r="SV37" s="1533" t="n">
        <v>5.386</v>
      </c>
      <c r="SW37" s="1533" t="n">
        <v>5.386</v>
      </c>
      <c r="SX37" s="1533" t="n">
        <v>5.386</v>
      </c>
      <c r="SY37" s="1533" t="n">
        <v>5.386</v>
      </c>
      <c r="SZ37" s="1533" t="n">
        <v>5.386</v>
      </c>
      <c r="TA37" s="1533" t="n">
        <v>1.728</v>
      </c>
      <c r="TB37" s="1533" t="n">
        <v>1.728</v>
      </c>
      <c r="TC37" s="1533" t="n">
        <v>1.728</v>
      </c>
      <c r="TD37" s="1533" t="n">
        <v>1.728</v>
      </c>
      <c r="TE37" s="1533" t="n">
        <v>1.728</v>
      </c>
      <c r="TF37" s="1533" t="n">
        <v>10.728</v>
      </c>
      <c r="TG37" s="1533" t="n">
        <v>10.728</v>
      </c>
      <c r="TH37" s="1533" t="n">
        <v>0.423</v>
      </c>
      <c r="TI37" s="1533" t="n">
        <v>0.423</v>
      </c>
      <c r="TJ37" s="1533" t="n">
        <v>0.423</v>
      </c>
      <c r="TK37" s="1533" t="n">
        <v>0.423</v>
      </c>
      <c r="TL37" s="1533" t="n">
        <v>0.423</v>
      </c>
      <c r="TM37" s="1533" t="n">
        <v>0.423</v>
      </c>
      <c r="TN37" s="1533" t="n">
        <v>0.423</v>
      </c>
      <c r="TO37" s="1533" t="n">
        <v>6.12</v>
      </c>
      <c r="TP37" s="1533" t="n">
        <v>6.12</v>
      </c>
      <c r="TQ37" s="1533" t="n">
        <v>6.12</v>
      </c>
      <c r="TR37" s="1533" t="n">
        <v>6.12</v>
      </c>
      <c r="TS37" s="1533" t="n">
        <v>6.12</v>
      </c>
      <c r="TT37" s="1533" t="n">
        <v>6.12</v>
      </c>
      <c r="TU37" s="1533" t="n">
        <v>6.12</v>
      </c>
      <c r="TV37" s="1533" t="n">
        <v>6.12</v>
      </c>
      <c r="TW37" s="1533" t="n">
        <v>6.12</v>
      </c>
      <c r="TX37" s="1533" t="n">
        <v>6.12</v>
      </c>
      <c r="TY37" s="1533" t="n">
        <v>6.12</v>
      </c>
      <c r="TZ37" s="1533" t="n">
        <v>67</v>
      </c>
      <c r="UA37" s="1533" t="n">
        <v>67</v>
      </c>
      <c r="UB37" s="1533" t="n">
        <v>67</v>
      </c>
      <c r="UC37" s="1533" t="n">
        <v>67</v>
      </c>
      <c r="UD37" s="1533" t="n">
        <v>67</v>
      </c>
      <c r="UE37" s="1533" t="n">
        <v>67</v>
      </c>
      <c r="UF37" s="1533" t="n">
        <v>67</v>
      </c>
      <c r="UG37" s="1533" t="n">
        <v>67</v>
      </c>
      <c r="UH37" s="1533" t="n">
        <v>67</v>
      </c>
      <c r="UI37" s="1533" t="n">
        <v>67</v>
      </c>
      <c r="UJ37" s="1533" t="n">
        <v>62.6</v>
      </c>
      <c r="UK37" s="1533" t="n">
        <v>62.6</v>
      </c>
      <c r="UL37" s="1533" t="n">
        <v>62.6</v>
      </c>
      <c r="UM37" s="1533" t="n">
        <v>62.6</v>
      </c>
      <c r="UN37" s="1533" t="n">
        <v>62.6</v>
      </c>
      <c r="UO37" s="1533" t="n">
        <v>62.6</v>
      </c>
      <c r="UP37" s="1533" t="n">
        <v>62.6</v>
      </c>
      <c r="UQ37" s="1533" t="n">
        <v>62.6</v>
      </c>
      <c r="UR37" s="1533" t="n">
        <v>62.6</v>
      </c>
      <c r="US37" s="1533" t="n">
        <v>62.6</v>
      </c>
      <c r="UT37" s="1533" t="n">
        <v>60.892</v>
      </c>
      <c r="UU37" s="1533" t="n">
        <v>60.892</v>
      </c>
      <c r="UV37" s="1533" t="n">
        <v>60.892</v>
      </c>
      <c r="UW37" s="1533" t="n">
        <v>60.892</v>
      </c>
      <c r="UX37" s="1533" t="n">
        <v>60.892</v>
      </c>
      <c r="UY37" s="1533" t="n">
        <v>60.892</v>
      </c>
      <c r="UZ37" s="1533" t="n">
        <v>60.892</v>
      </c>
      <c r="VA37" s="1533" t="n">
        <v>60.892</v>
      </c>
      <c r="VB37" s="1533" t="n">
        <v>60.892</v>
      </c>
      <c r="VC37" s="1533" t="n">
        <v>60.892</v>
      </c>
      <c r="VD37" s="1533" t="n">
        <v>60.892</v>
      </c>
      <c r="VE37" s="1533" t="n">
        <v>60.892</v>
      </c>
      <c r="VF37" s="1533" t="n">
        <v>63</v>
      </c>
      <c r="VG37" s="1533" t="n">
        <v>63</v>
      </c>
      <c r="VH37" s="1533" t="n">
        <v>63</v>
      </c>
      <c r="VI37" s="1533" t="n">
        <v>63.4</v>
      </c>
      <c r="VJ37" s="1533" t="n">
        <v>63.4</v>
      </c>
      <c r="VK37" s="1533" t="n">
        <v>63.4</v>
      </c>
      <c r="VL37" s="1533" t="n">
        <v>57.095</v>
      </c>
      <c r="VM37" s="1533" t="n">
        <v>57.095</v>
      </c>
      <c r="VN37" s="1533" t="n">
        <v>57.095</v>
      </c>
      <c r="VO37" s="1533" t="n">
        <v>57.095</v>
      </c>
      <c r="VP37" s="1533" t="n">
        <v>57.095</v>
      </c>
      <c r="VQ37" s="1533" t="n">
        <v>57.095</v>
      </c>
      <c r="VR37" s="1533" t="n">
        <v>57.095</v>
      </c>
      <c r="VS37" s="1533" t="n">
        <v>57.095</v>
      </c>
      <c r="VT37" s="1533" t="n">
        <v>57.095</v>
      </c>
      <c r="VU37" s="1533" t="n">
        <v>57.095</v>
      </c>
      <c r="VV37" s="1533" t="n">
        <v>57.095</v>
      </c>
      <c r="VW37" s="1533" t="n">
        <v>57.095</v>
      </c>
      <c r="VX37" s="1533" t="n">
        <v>57.095</v>
      </c>
      <c r="VY37" s="1533" t="n">
        <v>52.45</v>
      </c>
      <c r="VZ37" s="1533" t="n">
        <v>52.45</v>
      </c>
      <c r="WA37" s="1533" t="n">
        <v>52.45</v>
      </c>
      <c r="WB37" s="1533" t="n">
        <v>52.45</v>
      </c>
      <c r="WC37" s="1533" t="n">
        <v>52.45</v>
      </c>
      <c r="WD37" s="1533" t="n">
        <v>45.112</v>
      </c>
      <c r="WE37" s="1533" t="n">
        <v>45.112</v>
      </c>
      <c r="WF37" s="1533" t="n">
        <v>45.112</v>
      </c>
      <c r="WG37" s="1533" t="n">
        <v>45.112</v>
      </c>
      <c r="WH37" s="1533" t="n">
        <v>45.112</v>
      </c>
      <c r="WI37" s="1533" t="n">
        <v>45.112</v>
      </c>
      <c r="WJ37" s="1533" t="n">
        <v>45.112</v>
      </c>
      <c r="WK37" s="1533" t="n">
        <v>45.112</v>
      </c>
      <c r="WL37" s="1533" t="n">
        <v>45.112</v>
      </c>
      <c r="WM37" s="1533" t="n">
        <v>45.112</v>
      </c>
      <c r="WN37" s="1533" t="n">
        <v>45.112</v>
      </c>
      <c r="WO37" s="1533" t="n">
        <v>45.112</v>
      </c>
      <c r="WP37" s="1533" t="n">
        <v>45.112</v>
      </c>
      <c r="WQ37" s="1533" t="n">
        <v>13.373</v>
      </c>
      <c r="WR37" s="1533" t="n">
        <v>13.373</v>
      </c>
      <c r="WS37" s="1533" t="n">
        <v>13.373</v>
      </c>
      <c r="WT37" s="1533" t="n">
        <v>13.373</v>
      </c>
      <c r="WU37" s="1533" t="n">
        <v>13.373</v>
      </c>
      <c r="WV37" s="1533" t="n">
        <v>13.373</v>
      </c>
      <c r="WW37" s="1533" t="n">
        <v>13.373</v>
      </c>
      <c r="WX37" s="1533" t="n">
        <v>13.373</v>
      </c>
      <c r="WY37" s="1533" t="n">
        <v>21.24</v>
      </c>
      <c r="WZ37" s="1533" t="n">
        <v>21.24</v>
      </c>
      <c r="XA37" s="1533" t="n">
        <v>21.24</v>
      </c>
      <c r="XB37" s="1533" t="n">
        <v>21.24</v>
      </c>
      <c r="XC37" s="1533" t="n">
        <v>21.24</v>
      </c>
      <c r="XD37" s="1533" t="n">
        <v>21.24</v>
      </c>
      <c r="XE37" s="1533" t="n">
        <v>21.24</v>
      </c>
      <c r="XF37" s="1533" t="n">
        <v>21.24</v>
      </c>
      <c r="XG37" s="1533" t="n">
        <v>21.24</v>
      </c>
      <c r="XH37" s="1533" t="n">
        <v>21.24</v>
      </c>
      <c r="XI37" s="1533" t="n">
        <v>21.24</v>
      </c>
      <c r="XJ37" s="1533" t="n">
        <v>21.24</v>
      </c>
      <c r="XK37" s="1533" t="n">
        <v>21.24</v>
      </c>
      <c r="XL37" s="1533" t="n">
        <v>21.24</v>
      </c>
      <c r="XM37" s="1533" t="n">
        <v>16.52</v>
      </c>
      <c r="XN37" s="1533" t="n">
        <v>16.52</v>
      </c>
      <c r="XO37" s="1533" t="n">
        <v>16.52</v>
      </c>
      <c r="XP37" s="1533" t="n">
        <v>16.52</v>
      </c>
      <c r="XQ37" s="1533" t="n">
        <v>16.52</v>
      </c>
      <c r="XR37" s="1533" t="n">
        <v>16.52</v>
      </c>
      <c r="XS37" s="1533" t="n">
        <v>16.52</v>
      </c>
      <c r="XT37" s="1533" t="n">
        <v>16.52</v>
      </c>
      <c r="XU37" s="1533" t="n">
        <v>15.3</v>
      </c>
      <c r="XV37" s="1533" t="n">
        <v>15.3</v>
      </c>
      <c r="XW37" s="1533" t="n">
        <v>15.3</v>
      </c>
      <c r="XX37" s="1533" t="n">
        <v>15.3</v>
      </c>
      <c r="XY37" s="1533" t="n">
        <v>15.301</v>
      </c>
      <c r="XZ37" s="1533" t="n">
        <v>15.301</v>
      </c>
      <c r="YA37" s="1533" t="n">
        <v>15.301</v>
      </c>
      <c r="YB37" s="1533" t="n">
        <v>15.301</v>
      </c>
      <c r="YC37" s="1533" t="n">
        <v>15.301</v>
      </c>
      <c r="YD37" s="1533" t="n">
        <v>15.301</v>
      </c>
      <c r="YE37" s="1533" t="n">
        <v>15.301</v>
      </c>
      <c r="YF37" s="1533" t="n">
        <v>0</v>
      </c>
      <c r="YG37" s="1533" t="n">
        <v>0</v>
      </c>
      <c r="YH37" s="1533" t="n">
        <v>0</v>
      </c>
      <c r="YI37" s="1533" t="n">
        <v>0</v>
      </c>
      <c r="YJ37" s="1543" t="n">
        <v>0</v>
      </c>
    </row>
    <row r="38">
      <c r="B38" s="917" t="inlineStr">
        <is>
          <t>RBPI TH</t>
        </is>
      </c>
      <c r="C38" s="1532" t="n"/>
      <c r="D38" s="1533" t="n"/>
      <c r="E38" s="1533" t="n"/>
      <c r="F38" s="1533" t="n"/>
      <c r="G38" s="1533" t="n"/>
      <c r="H38" s="1533" t="n"/>
      <c r="I38" s="1533" t="n"/>
      <c r="J38" s="1533" t="n"/>
      <c r="K38" s="1533" t="n"/>
      <c r="L38" s="1533" t="n"/>
      <c r="M38" s="1533" t="n"/>
      <c r="N38" s="1533" t="n"/>
      <c r="O38" s="1533" t="n"/>
      <c r="P38" s="1533" t="n"/>
      <c r="Q38" s="1533" t="n"/>
      <c r="R38" s="1533" t="n"/>
      <c r="S38" s="1533" t="n"/>
      <c r="T38" s="1533" t="n"/>
      <c r="U38" s="1533" t="n"/>
      <c r="V38" s="1533" t="n"/>
      <c r="W38" s="1533" t="n"/>
      <c r="X38" s="1533" t="n"/>
      <c r="Y38" s="1533" t="n"/>
      <c r="Z38" s="1533" t="n"/>
      <c r="AA38" s="1533" t="n"/>
      <c r="AB38" s="1533" t="n"/>
      <c r="AC38" s="1533" t="n"/>
      <c r="AD38" s="1533" t="n"/>
      <c r="AE38" s="1533" t="n"/>
      <c r="AF38" s="1533" t="n"/>
      <c r="AG38" s="1533" t="n"/>
      <c r="AH38" s="1533" t="n"/>
      <c r="AI38" s="1533" t="n"/>
      <c r="AJ38" s="1533" t="n"/>
      <c r="AK38" s="1533" t="n"/>
      <c r="AL38" s="1533" t="n"/>
      <c r="AM38" s="1533" t="n"/>
      <c r="AN38" s="1533" t="n"/>
      <c r="AO38" s="1533" t="n"/>
      <c r="AP38" s="1533" t="n"/>
      <c r="AQ38" s="1533" t="n"/>
      <c r="AR38" s="1533" t="n"/>
      <c r="AS38" s="1533" t="n"/>
      <c r="AT38" s="1533" t="n"/>
      <c r="AU38" s="1533" t="n"/>
      <c r="AV38" s="1533" t="n"/>
      <c r="AW38" s="1533" t="n"/>
      <c r="AX38" s="1533" t="n"/>
      <c r="AY38" s="1533" t="n"/>
      <c r="AZ38" s="1533" t="n"/>
      <c r="BA38" s="1533" t="n"/>
      <c r="BB38" s="1533" t="n"/>
      <c r="BC38" s="1533" t="n"/>
      <c r="BD38" s="1533" t="n"/>
      <c r="BE38" s="1533" t="n"/>
      <c r="BF38" s="1533" t="n"/>
      <c r="BG38" s="1533" t="n"/>
      <c r="BH38" s="1533" t="n"/>
      <c r="BI38" s="1533" t="n"/>
      <c r="BJ38" s="1533" t="n"/>
      <c r="BK38" s="1533" t="n"/>
      <c r="BL38" s="1533" t="n"/>
      <c r="BM38" s="1533" t="n"/>
      <c r="BN38" s="1533" t="n"/>
      <c r="BO38" s="1533" t="n"/>
      <c r="BP38" s="1533" t="n"/>
      <c r="BQ38" s="1533" t="n"/>
      <c r="BR38" s="1533" t="n"/>
      <c r="BS38" s="1533" t="n"/>
      <c r="BT38" s="1533" t="n"/>
      <c r="BU38" s="1533" t="n"/>
      <c r="BV38" s="1533" t="n"/>
      <c r="BW38" s="1533" t="n"/>
      <c r="BX38" s="1533" t="n"/>
      <c r="BY38" s="1533" t="n"/>
      <c r="BZ38" s="1533" t="n"/>
      <c r="CA38" s="1533" t="n"/>
      <c r="CB38" s="1533" t="n"/>
      <c r="CC38" s="1533" t="n"/>
      <c r="CD38" s="1533" t="n"/>
      <c r="CE38" s="1533" t="n"/>
      <c r="CF38" s="1533" t="n"/>
      <c r="CG38" s="1533" t="n"/>
      <c r="CH38" s="1533" t="n"/>
      <c r="CI38" s="1533" t="n"/>
      <c r="CJ38" s="1533" t="n"/>
      <c r="CK38" s="1533" t="n"/>
      <c r="CL38" s="1533" t="n"/>
      <c r="CM38" s="1533" t="n"/>
      <c r="CN38" s="1533" t="n"/>
      <c r="CO38" s="1533" t="n"/>
      <c r="CP38" s="1533" t="n"/>
      <c r="CQ38" s="1533" t="n"/>
      <c r="CR38" s="1533" t="n"/>
      <c r="CS38" s="1533" t="n"/>
      <c r="CT38" s="1533" t="n"/>
      <c r="CU38" s="1533" t="n"/>
      <c r="CV38" s="1533" t="n"/>
      <c r="CW38" s="1533" t="n"/>
      <c r="CX38" s="1533" t="n"/>
      <c r="CY38" s="1533" t="n"/>
      <c r="CZ38" s="1533" t="n"/>
      <c r="DA38" s="1533" t="n"/>
      <c r="DB38" s="1533" t="n"/>
      <c r="DC38" s="1533" t="n"/>
      <c r="DD38" s="1533" t="n"/>
      <c r="DE38" s="1533" t="n"/>
      <c r="DF38" s="1533" t="n"/>
      <c r="DG38" s="1533" t="n"/>
      <c r="DH38" s="1533" t="n"/>
      <c r="DI38" s="1533" t="n"/>
      <c r="DJ38" s="1533" t="n"/>
      <c r="DK38" s="1533" t="n"/>
      <c r="DL38" s="1533" t="n"/>
      <c r="DM38" s="1533" t="n"/>
      <c r="DN38" s="1533" t="n"/>
      <c r="DO38" s="1533" t="n"/>
      <c r="DP38" s="1533" t="n"/>
      <c r="DQ38" s="1533" t="n"/>
      <c r="DR38" s="1533" t="n"/>
      <c r="DS38" s="1533" t="n"/>
      <c r="DT38" s="1533" t="n"/>
      <c r="DU38" s="1533" t="n"/>
      <c r="DV38" s="1533" t="n"/>
      <c r="DW38" s="1533" t="n"/>
      <c r="DX38" s="1533" t="n"/>
      <c r="DY38" s="1533" t="n"/>
      <c r="DZ38" s="1533" t="n"/>
      <c r="EA38" s="1533" t="n"/>
      <c r="EB38" s="1533" t="n"/>
      <c r="EC38" s="1533" t="n"/>
      <c r="ED38" s="1533" t="n"/>
      <c r="EE38" s="1533" t="n"/>
      <c r="EF38" s="1533" t="n"/>
      <c r="EG38" s="1533" t="n"/>
      <c r="EH38" s="1533" t="n"/>
      <c r="EI38" s="1533" t="n"/>
      <c r="EJ38" s="1533" t="n"/>
      <c r="EK38" s="1533" t="n"/>
      <c r="EL38" s="1533" t="n"/>
      <c r="EM38" s="1533" t="n"/>
      <c r="EN38" s="1533" t="n"/>
      <c r="EO38" s="1533" t="n"/>
      <c r="EP38" s="1533" t="n"/>
      <c r="EQ38" s="1533" t="n"/>
      <c r="ER38" s="1533" t="n"/>
      <c r="ES38" s="1533" t="n"/>
      <c r="ET38" s="1533" t="n"/>
      <c r="EU38" s="1533" t="n"/>
      <c r="EV38" s="1533" t="n"/>
      <c r="EW38" s="1533" t="n"/>
      <c r="EX38" s="1533" t="n"/>
      <c r="EY38" s="1533" t="n"/>
      <c r="EZ38" s="1533" t="n"/>
      <c r="FA38" s="1533" t="n"/>
      <c r="FB38" s="1533" t="n"/>
      <c r="FC38" s="1533" t="n"/>
      <c r="FD38" s="1533" t="n"/>
      <c r="FE38" s="1533" t="n"/>
      <c r="FF38" s="1533" t="n"/>
      <c r="FG38" s="1533" t="n"/>
      <c r="FH38" s="1533" t="n"/>
      <c r="FI38" s="1533" t="n"/>
      <c r="FJ38" s="1533" t="n"/>
      <c r="FK38" s="1533" t="n"/>
      <c r="FL38" s="1533" t="n"/>
      <c r="FM38" s="1533" t="n"/>
      <c r="FN38" s="1533" t="n"/>
      <c r="FO38" s="1533" t="n"/>
      <c r="FP38" s="1533" t="n"/>
      <c r="FQ38" s="1533" t="n"/>
      <c r="FR38" s="1533" t="n"/>
      <c r="FS38" s="1533" t="n"/>
      <c r="FT38" s="1533" t="n"/>
      <c r="FU38" s="1533" t="n"/>
      <c r="FV38" s="1533" t="n"/>
      <c r="FW38" s="1533" t="n"/>
      <c r="FX38" s="1533" t="n"/>
      <c r="FY38" s="1533" t="n"/>
      <c r="FZ38" s="1533" t="n"/>
      <c r="GA38" s="1533" t="n"/>
      <c r="GB38" s="1533" t="n"/>
      <c r="GC38" s="1533" t="n"/>
      <c r="GD38" s="1533" t="n"/>
      <c r="GE38" s="1533" t="n"/>
      <c r="GF38" s="1533" t="n"/>
      <c r="GG38" s="1533" t="n"/>
      <c r="GH38" s="1533" t="n"/>
      <c r="GI38" s="1533" t="n"/>
      <c r="GJ38" s="1533" t="n"/>
      <c r="GK38" s="1533" t="n"/>
      <c r="GL38" s="1533" t="n"/>
      <c r="GM38" s="1533" t="n"/>
      <c r="GN38" s="1533" t="n"/>
      <c r="GO38" s="1533" t="n"/>
      <c r="GP38" s="1533" t="n"/>
      <c r="GQ38" s="1533" t="n"/>
      <c r="GR38" s="1533" t="n"/>
      <c r="GS38" s="1533" t="n"/>
      <c r="GT38" s="1533" t="n"/>
      <c r="GU38" s="1533" t="n"/>
      <c r="GV38" s="1533" t="n"/>
      <c r="GW38" s="1533" t="n"/>
      <c r="GX38" s="1533" t="n"/>
      <c r="GY38" s="1533" t="n"/>
      <c r="GZ38" s="1533" t="n"/>
      <c r="HA38" s="1533" t="n"/>
      <c r="HB38" s="1533" t="n"/>
      <c r="HC38" s="1533" t="n"/>
      <c r="HD38" s="1533" t="n"/>
      <c r="HE38" s="1533" t="n"/>
      <c r="HF38" s="1533" t="n"/>
      <c r="HG38" s="1533" t="n"/>
      <c r="HH38" s="1533" t="n"/>
      <c r="HI38" s="1533" t="n"/>
      <c r="HJ38" s="1533" t="n"/>
      <c r="HK38" s="1533" t="n"/>
      <c r="HL38" s="1533" t="n"/>
      <c r="HM38" s="1533" t="n"/>
      <c r="HN38" s="1533" t="n"/>
      <c r="HO38" s="1533" t="n"/>
      <c r="HP38" s="1533" t="n"/>
      <c r="HQ38" s="1533" t="n"/>
      <c r="HR38" s="1533" t="n"/>
      <c r="HS38" s="1533" t="n"/>
      <c r="HT38" s="1533" t="n"/>
      <c r="HU38" s="1533" t="n"/>
      <c r="HV38" s="1533" t="n"/>
      <c r="HW38" s="1533" t="n"/>
      <c r="HX38" s="1533" t="n"/>
      <c r="HY38" s="1533" t="n"/>
      <c r="HZ38" s="1533" t="n"/>
      <c r="IA38" s="1533" t="n"/>
      <c r="IB38" s="1533" t="n"/>
      <c r="IC38" s="1533" t="n"/>
      <c r="ID38" s="1533" t="n"/>
      <c r="IE38" s="1533" t="n"/>
      <c r="IF38" s="1533" t="n"/>
      <c r="IG38" s="1533" t="n"/>
      <c r="IH38" s="1533" t="n"/>
      <c r="II38" s="1533" t="n"/>
      <c r="IJ38" s="1533" t="n"/>
      <c r="IK38" s="1533" t="n"/>
      <c r="IL38" s="1533" t="n"/>
      <c r="IM38" s="1533" t="n"/>
      <c r="IN38" s="1533" t="n"/>
      <c r="IO38" s="1533" t="n"/>
      <c r="IP38" s="1533" t="n"/>
      <c r="IQ38" s="1533" t="n"/>
      <c r="IR38" s="1533" t="n"/>
      <c r="IS38" s="1533" t="n"/>
      <c r="IT38" s="1533" t="n"/>
      <c r="IU38" s="1533" t="n"/>
      <c r="IV38" s="1533" t="n"/>
      <c r="IW38" s="1533" t="n"/>
      <c r="IX38" s="1533" t="n"/>
      <c r="IY38" s="1533" t="n"/>
      <c r="IZ38" s="1533" t="n"/>
      <c r="JA38" s="1533" t="n"/>
      <c r="JB38" s="1533" t="n"/>
      <c r="JC38" s="1533" t="n"/>
      <c r="JD38" s="1533" t="n"/>
      <c r="JE38" s="1533" t="n"/>
      <c r="JF38" s="1533" t="n"/>
      <c r="JG38" s="1533" t="n"/>
      <c r="JH38" s="1533" t="n"/>
      <c r="JI38" s="1533" t="n"/>
      <c r="JJ38" s="1533" t="n"/>
      <c r="JK38" s="1533" t="n"/>
      <c r="JL38" s="1533" t="n"/>
      <c r="JM38" s="1533" t="n"/>
      <c r="JN38" s="1533" t="n"/>
      <c r="JO38" s="1533" t="n"/>
      <c r="JP38" s="1533" t="n"/>
      <c r="JQ38" s="1533" t="n"/>
      <c r="JR38" s="1533" t="n"/>
      <c r="JS38" s="1533" t="n"/>
      <c r="JT38" s="1533" t="n"/>
      <c r="JU38" s="1533" t="n"/>
      <c r="JV38" s="1533" t="n"/>
      <c r="JW38" s="1533" t="n"/>
      <c r="JX38" s="1533" t="n"/>
      <c r="JY38" s="1533" t="n"/>
      <c r="JZ38" s="1533" t="n"/>
      <c r="KA38" s="1533" t="n"/>
      <c r="KB38" s="1533" t="n"/>
      <c r="KC38" s="1533" t="n"/>
      <c r="KD38" s="1533" t="n"/>
      <c r="KE38" s="1533" t="n"/>
      <c r="KF38" s="1533" t="n"/>
      <c r="KG38" s="1533" t="n"/>
      <c r="KH38" s="1533" t="n"/>
      <c r="KI38" s="1533" t="n"/>
      <c r="KJ38" s="1533" t="n"/>
      <c r="KK38" s="1533" t="n"/>
      <c r="KL38" s="1533" t="n"/>
      <c r="KM38" s="1533" t="n"/>
      <c r="KN38" s="1533" t="n"/>
      <c r="KO38" s="1533" t="n"/>
      <c r="KP38" s="1533" t="n"/>
      <c r="KQ38" s="1533" t="n"/>
      <c r="KR38" s="1533" t="n"/>
      <c r="KS38" s="1533" t="n"/>
      <c r="KT38" s="1533" t="n"/>
      <c r="KU38" s="1533" t="n"/>
      <c r="KV38" s="1533" t="n"/>
      <c r="KW38" s="1533" t="n"/>
      <c r="KX38" s="1533" t="n"/>
      <c r="KY38" s="1533" t="n"/>
      <c r="KZ38" s="1533" t="n"/>
      <c r="LA38" s="1533" t="n"/>
      <c r="LB38" s="1533" t="n"/>
      <c r="LC38" s="1533" t="n"/>
      <c r="LD38" s="1533" t="n"/>
      <c r="LE38" s="1533" t="n"/>
      <c r="LF38" s="1533" t="n"/>
      <c r="LG38" s="1533" t="n"/>
      <c r="LH38" s="1533" t="n"/>
      <c r="LI38" s="1533" t="n"/>
      <c r="LJ38" s="1533" t="n"/>
      <c r="LK38" s="1533" t="n"/>
      <c r="LL38" s="1533" t="n"/>
      <c r="LM38" s="1533" t="n"/>
      <c r="LN38" s="1533" t="n"/>
      <c r="LO38" s="1533" t="n"/>
      <c r="LP38" s="1533" t="n"/>
      <c r="LQ38" s="1533" t="n"/>
      <c r="LR38" s="1533" t="n"/>
      <c r="LS38" s="1533" t="n"/>
      <c r="LT38" s="1533" t="n"/>
      <c r="LU38" s="1533" t="n"/>
      <c r="LV38" s="1533" t="n"/>
      <c r="LW38" s="1533" t="n"/>
      <c r="LX38" s="1533" t="n"/>
      <c r="LY38" s="1533" t="n"/>
      <c r="LZ38" s="1533" t="n"/>
      <c r="MA38" s="1533" t="n"/>
      <c r="MB38" s="1533" t="n"/>
      <c r="MC38" s="1533" t="n"/>
      <c r="MD38" s="1533" t="n"/>
      <c r="ME38" s="1533" t="n"/>
      <c r="MF38" s="1533" t="n"/>
      <c r="MG38" s="1533" t="n"/>
      <c r="MH38" s="1533" t="n"/>
      <c r="MI38" s="1533" t="n"/>
      <c r="MJ38" s="1533" t="n"/>
      <c r="MK38" s="1533" t="n"/>
      <c r="ML38" s="1533" t="n"/>
      <c r="MM38" s="1533" t="n"/>
      <c r="MN38" s="1533" t="n"/>
      <c r="MO38" s="1533" t="n"/>
      <c r="MP38" s="1533" t="n"/>
      <c r="MQ38" s="1533" t="n"/>
      <c r="MR38" s="1533" t="n"/>
      <c r="MS38" s="1533" t="n"/>
      <c r="MT38" s="1533" t="n"/>
      <c r="MU38" s="1533" t="n"/>
      <c r="MV38" s="1533" t="n"/>
      <c r="MW38" s="1533" t="n"/>
      <c r="MX38" s="1533" t="n"/>
      <c r="MY38" s="1533" t="n"/>
      <c r="MZ38" s="1533" t="n"/>
      <c r="NA38" s="1533" t="n"/>
      <c r="NB38" s="1533" t="n"/>
      <c r="NC38" s="1533" t="n"/>
      <c r="ND38" s="1533" t="n"/>
      <c r="NE38" s="1533" t="n"/>
      <c r="NF38" s="1533" t="n"/>
      <c r="NG38" s="1533" t="n"/>
      <c r="NH38" s="1533" t="n"/>
      <c r="NI38" s="1533" t="n"/>
      <c r="NJ38" s="1533" t="n"/>
      <c r="NK38" s="1533" t="n"/>
      <c r="NL38" s="1533" t="n"/>
      <c r="NM38" s="1533" t="n"/>
      <c r="NN38" s="1533" t="n"/>
      <c r="NO38" s="1533" t="n"/>
      <c r="NP38" s="1533" t="n"/>
      <c r="NQ38" s="1533" t="n"/>
      <c r="NR38" s="1533" t="n"/>
      <c r="NS38" s="1533" t="n"/>
      <c r="NT38" s="1533" t="n"/>
      <c r="NU38" s="1533" t="n"/>
      <c r="NV38" s="1533" t="n"/>
      <c r="NW38" s="1533" t="n"/>
      <c r="NX38" s="1533" t="n"/>
      <c r="NY38" s="1533" t="n"/>
      <c r="NZ38" s="1533" t="n"/>
      <c r="OA38" s="1533" t="n"/>
      <c r="OB38" s="1533" t="n"/>
      <c r="OC38" s="1533" t="n"/>
      <c r="OD38" s="1533" t="n"/>
      <c r="OE38" s="1533" t="n"/>
      <c r="OF38" s="1533" t="n"/>
      <c r="OG38" s="1533" t="n"/>
      <c r="OH38" s="1533" t="n"/>
      <c r="OI38" s="1533" t="n"/>
      <c r="OJ38" s="1533" t="n"/>
      <c r="OK38" s="1533" t="n"/>
      <c r="OL38" s="1533" t="n"/>
      <c r="OM38" s="1533" t="n"/>
      <c r="ON38" s="1533" t="n"/>
      <c r="OO38" s="1533" t="n"/>
      <c r="OP38" s="1533" t="n"/>
      <c r="OQ38" s="1533" t="n"/>
      <c r="OR38" s="1533" t="n"/>
      <c r="OS38" s="1533" t="n"/>
      <c r="OT38" s="1533" t="n"/>
      <c r="OU38" s="1533" t="n"/>
      <c r="OV38" s="1533" t="n"/>
      <c r="OW38" s="1533" t="n"/>
      <c r="OX38" s="1533" t="n"/>
      <c r="OY38" s="1533" t="n"/>
      <c r="OZ38" s="1533" t="n"/>
      <c r="PA38" s="1533" t="n"/>
      <c r="PB38" s="1533" t="n"/>
      <c r="PC38" s="1533" t="n"/>
      <c r="PD38" s="1533" t="n"/>
      <c r="PE38" s="1533" t="n"/>
      <c r="PF38" s="1533" t="n"/>
      <c r="PG38" s="1533" t="n"/>
      <c r="PH38" s="1533" t="n"/>
      <c r="PI38" s="1533" t="n"/>
      <c r="PJ38" s="1533" t="n"/>
      <c r="PK38" s="1533" t="n"/>
      <c r="PL38" s="1533" t="n"/>
      <c r="PM38" s="1533" t="n"/>
      <c r="PN38" s="1533" t="n"/>
      <c r="PO38" s="1533" t="n"/>
      <c r="PP38" s="1533" t="n"/>
      <c r="PQ38" s="1533" t="n"/>
      <c r="PR38" s="1533" t="n"/>
      <c r="PS38" s="1533" t="n"/>
      <c r="PT38" s="1533" t="n"/>
      <c r="PU38" s="1533" t="n"/>
      <c r="PV38" s="1533" t="n"/>
      <c r="PW38" s="1533" t="n"/>
      <c r="PX38" s="1533" t="n"/>
      <c r="PY38" s="1533" t="n"/>
      <c r="PZ38" s="1533" t="n"/>
      <c r="QA38" s="1533" t="n"/>
      <c r="QB38" s="1533" t="n"/>
      <c r="QC38" s="1533" t="n"/>
      <c r="QD38" s="1533" t="n"/>
      <c r="QE38" s="1533" t="n"/>
      <c r="QF38" s="1533" t="n"/>
      <c r="QG38" s="1533" t="n"/>
      <c r="QH38" s="1533" t="n"/>
      <c r="QI38" s="1533" t="n"/>
      <c r="QJ38" s="1533" t="n"/>
      <c r="QK38" s="1533" t="n"/>
      <c r="QL38" s="1533" t="n"/>
      <c r="QM38" s="1533" t="n"/>
      <c r="QN38" s="1533" t="n"/>
      <c r="QO38" s="1533" t="n"/>
      <c r="QP38" s="1533" t="n"/>
      <c r="QQ38" s="1533" t="n"/>
      <c r="QR38" s="1533" t="n"/>
      <c r="QS38" s="1533" t="n"/>
      <c r="QT38" s="1533" t="n"/>
      <c r="QU38" s="1533" t="n"/>
      <c r="QV38" s="1533" t="n"/>
      <c r="QW38" s="1533" t="n"/>
      <c r="QX38" s="1533" t="n"/>
      <c r="QY38" s="1533" t="n"/>
      <c r="QZ38" s="1533" t="n"/>
      <c r="RA38" s="1533" t="n"/>
      <c r="RB38" s="1533" t="n"/>
      <c r="RC38" s="1533" t="n"/>
      <c r="RD38" s="1533" t="n"/>
      <c r="RE38" s="1533" t="n"/>
      <c r="RF38" s="1533" t="n"/>
      <c r="RG38" s="1533" t="n"/>
      <c r="RH38" s="1533" t="n"/>
      <c r="RI38" s="1533" t="n"/>
      <c r="RJ38" s="1533" t="n"/>
      <c r="RK38" s="1533" t="n"/>
      <c r="RL38" s="1533" t="n"/>
      <c r="RM38" s="1533" t="n"/>
      <c r="RN38" s="1533" t="n"/>
      <c r="RO38" s="1533" t="n"/>
      <c r="RP38" s="1533" t="n"/>
      <c r="RQ38" s="1533" t="n"/>
      <c r="RR38" s="1533" t="n"/>
      <c r="RS38" s="1533" t="n"/>
      <c r="RT38" s="1533" t="n"/>
      <c r="RU38" s="1533" t="n"/>
      <c r="RV38" s="1533" t="n"/>
      <c r="RW38" s="1533" t="n"/>
      <c r="RX38" s="1533" t="n"/>
      <c r="RY38" s="1533" t="n"/>
      <c r="RZ38" s="1533" t="n"/>
      <c r="SA38" s="1533" t="n"/>
      <c r="SB38" s="1533" t="n"/>
      <c r="SC38" s="1533" t="n"/>
      <c r="SD38" s="1533" t="n"/>
      <c r="SE38" s="1533" t="n"/>
      <c r="SF38" s="1533" t="n"/>
      <c r="SG38" s="1533" t="n"/>
      <c r="SH38" s="1533" t="n"/>
      <c r="SI38" s="1533" t="n"/>
      <c r="SJ38" s="1533" t="n"/>
      <c r="SK38" s="1533" t="n"/>
      <c r="SL38" s="1533" t="n"/>
      <c r="SM38" s="1533" t="n"/>
      <c r="SN38" s="1533" t="n"/>
      <c r="SO38" s="1533" t="n"/>
      <c r="SP38" s="1533" t="n"/>
      <c r="SQ38" s="1533" t="n"/>
      <c r="SR38" s="1533" t="n"/>
      <c r="SS38" s="1533" t="n"/>
      <c r="ST38" s="1533" t="n"/>
      <c r="SU38" s="1533" t="n"/>
      <c r="SV38" s="1533" t="n"/>
      <c r="SW38" s="1533" t="n"/>
      <c r="SX38" s="1533" t="n"/>
      <c r="SY38" s="1533" t="n"/>
      <c r="SZ38" s="1533" t="n"/>
      <c r="TA38" s="1533" t="n"/>
      <c r="TB38" s="1533" t="n"/>
      <c r="TC38" s="1533" t="n"/>
      <c r="TD38" s="1533" t="n"/>
      <c r="TE38" s="1533" t="n"/>
      <c r="TF38" s="1533" t="n"/>
      <c r="TG38" s="1533" t="n"/>
      <c r="TH38" s="1533" t="n"/>
      <c r="TI38" s="1533" t="n"/>
      <c r="TJ38" s="1533" t="n"/>
      <c r="TK38" s="1533" t="n"/>
      <c r="TL38" s="1533" t="n"/>
      <c r="TM38" s="1533" t="n"/>
      <c r="TN38" s="1533" t="n"/>
      <c r="TO38" s="1533" t="n"/>
      <c r="TP38" s="1533" t="n"/>
      <c r="TQ38" s="1533" t="n"/>
      <c r="TR38" s="1533" t="n"/>
      <c r="TS38" s="1533" t="n"/>
      <c r="TT38" s="1533" t="n"/>
      <c r="TU38" s="1533" t="n">
        <v>49.778</v>
      </c>
      <c r="TV38" s="1533" t="n">
        <v>49.778</v>
      </c>
      <c r="TW38" s="1533" t="n">
        <v>49.778</v>
      </c>
      <c r="TX38" s="1533" t="n">
        <v>49.778</v>
      </c>
      <c r="TY38" s="1533" t="n">
        <v>49.778</v>
      </c>
      <c r="TZ38" s="1533" t="n">
        <v>41.922</v>
      </c>
      <c r="UA38" s="1533" t="n">
        <v>42</v>
      </c>
      <c r="UB38" s="1533" t="n">
        <v>42</v>
      </c>
      <c r="UC38" s="1533" t="n">
        <v>42</v>
      </c>
      <c r="UD38" s="1533" t="n">
        <v>42</v>
      </c>
      <c r="UE38" s="1533" t="n">
        <v>42</v>
      </c>
      <c r="UF38" s="1533" t="n">
        <v>42</v>
      </c>
      <c r="UG38" s="1533" t="n">
        <v>42</v>
      </c>
      <c r="UH38" s="1533" t="n">
        <v>42</v>
      </c>
      <c r="UI38" s="1533" t="n">
        <v>42</v>
      </c>
      <c r="UJ38" s="1533" t="n">
        <v>38.045</v>
      </c>
      <c r="UK38" s="1533" t="n">
        <v>38.045</v>
      </c>
      <c r="UL38" s="1533" t="n">
        <v>38.045</v>
      </c>
      <c r="UM38" s="1533" t="n">
        <v>38.045</v>
      </c>
      <c r="UN38" s="1533" t="n">
        <v>38.045</v>
      </c>
      <c r="UO38" s="1533" t="n">
        <v>38.045</v>
      </c>
      <c r="UP38" s="1533" t="n">
        <v>38.045</v>
      </c>
      <c r="UQ38" s="1533" t="n">
        <v>38.045</v>
      </c>
      <c r="UR38" s="1533" t="n">
        <v>38.045</v>
      </c>
      <c r="US38" s="1533" t="n">
        <v>38.045</v>
      </c>
      <c r="UT38" s="1533" t="n">
        <v>38.045</v>
      </c>
      <c r="UU38" s="1533" t="n">
        <v>38.045</v>
      </c>
      <c r="UV38" s="1533" t="n">
        <v>38.045</v>
      </c>
      <c r="UW38" s="1533" t="n">
        <v>38.045</v>
      </c>
      <c r="UX38" s="1533" t="n">
        <v>38.045</v>
      </c>
      <c r="UY38" s="1533" t="n">
        <v>38.045</v>
      </c>
      <c r="UZ38" s="1533" t="n">
        <v>38.045</v>
      </c>
      <c r="VA38" s="1533" t="n">
        <v>38.045</v>
      </c>
      <c r="VB38" s="1533" t="n">
        <v>38.045</v>
      </c>
      <c r="VC38" s="1533" t="n">
        <v>43.417</v>
      </c>
      <c r="VD38" s="1533" t="n">
        <v>43.417</v>
      </c>
      <c r="VE38" s="1533" t="n">
        <v>43.417</v>
      </c>
      <c r="VF38" s="1533" t="n">
        <v>43.417</v>
      </c>
      <c r="VG38" s="1533" t="n">
        <v>43.417</v>
      </c>
      <c r="VH38" s="1533" t="n">
        <v>43.417</v>
      </c>
      <c r="VI38" s="1533" t="n">
        <v>38.574</v>
      </c>
      <c r="VJ38" s="1533" t="n">
        <v>38.574</v>
      </c>
      <c r="VK38" s="1533" t="n">
        <v>38.574</v>
      </c>
      <c r="VL38" s="1533" t="n">
        <v>30.015</v>
      </c>
      <c r="VM38" s="1533" t="n">
        <v>27.938</v>
      </c>
      <c r="VN38" s="1533" t="n">
        <v>27.938</v>
      </c>
      <c r="VO38" s="1533" t="n">
        <v>27.938</v>
      </c>
      <c r="VP38" s="1533" t="n">
        <v>27.938</v>
      </c>
      <c r="VQ38" s="1533" t="n">
        <v>27.938</v>
      </c>
      <c r="VR38" s="1533" t="n">
        <v>27.938</v>
      </c>
      <c r="VS38" s="1533" t="n">
        <v>27.938</v>
      </c>
      <c r="VT38" s="1533" t="n">
        <v>27.938</v>
      </c>
      <c r="VU38" s="1533" t="n">
        <v>27.938</v>
      </c>
      <c r="VV38" s="1533" t="n">
        <v>27.938</v>
      </c>
      <c r="VW38" s="1533" t="n">
        <v>27.938</v>
      </c>
      <c r="VX38" s="1533" t="n">
        <v>27.938</v>
      </c>
      <c r="VY38" s="1533" t="n">
        <v>19.17</v>
      </c>
      <c r="VZ38" s="1533" t="n">
        <v>19.17</v>
      </c>
      <c r="WA38" s="1533" t="n">
        <v>19.17</v>
      </c>
      <c r="WB38" s="1533" t="n">
        <v>19.17</v>
      </c>
      <c r="WC38" s="1533" t="n">
        <v>19.17</v>
      </c>
      <c r="WD38" s="1533" t="n">
        <v>19.17</v>
      </c>
      <c r="WE38" s="1533" t="n">
        <v>19.17</v>
      </c>
      <c r="WF38" s="1533" t="n">
        <v>19.17</v>
      </c>
      <c r="WG38" s="1533" t="n">
        <v>10.323</v>
      </c>
      <c r="WH38" s="1533" t="n">
        <v>10.323</v>
      </c>
      <c r="WI38" s="1533" t="n">
        <v>10.323</v>
      </c>
      <c r="WJ38" s="1533" t="n">
        <v>10.323</v>
      </c>
      <c r="WK38" s="1533" t="n">
        <v>10.323</v>
      </c>
      <c r="WL38" s="1533" t="n">
        <v>10.323</v>
      </c>
      <c r="WM38" s="1533" t="n">
        <v>10.323</v>
      </c>
      <c r="WN38" s="1533" t="n">
        <v>10.323</v>
      </c>
      <c r="WO38" s="1533" t="n">
        <v>10.323</v>
      </c>
      <c r="WP38" s="1533" t="n">
        <v>10.323</v>
      </c>
      <c r="WQ38" s="1533" t="n">
        <v>10.323</v>
      </c>
      <c r="WR38" s="1533" t="n">
        <v>10.323</v>
      </c>
      <c r="WS38" s="1533" t="n">
        <v>7.818</v>
      </c>
      <c r="WT38" s="1533" t="n">
        <v>7.818</v>
      </c>
      <c r="WU38" s="1533" t="n">
        <v>7.818</v>
      </c>
      <c r="WV38" s="1533" t="n">
        <v>7.818</v>
      </c>
      <c r="WW38" s="1533" t="n">
        <v>7.818</v>
      </c>
      <c r="WX38" s="1533" t="n">
        <v>7.818</v>
      </c>
      <c r="WY38" s="1533" t="n">
        <v>7.818</v>
      </c>
      <c r="WZ38" s="1533" t="n">
        <v>7.818</v>
      </c>
      <c r="XA38" s="1533" t="n">
        <v>7.818</v>
      </c>
      <c r="XB38" s="1533" t="n">
        <v>7.818</v>
      </c>
      <c r="XC38" s="1533" t="n">
        <v>7.818</v>
      </c>
      <c r="XD38" s="1533" t="n">
        <v>0.77</v>
      </c>
      <c r="XE38" s="1533" t="n">
        <v>0.77</v>
      </c>
      <c r="XF38" s="1533" t="n">
        <v>0.77</v>
      </c>
      <c r="XG38" s="1533" t="n">
        <v>0.77</v>
      </c>
      <c r="XH38" s="1533" t="n">
        <v>0.77</v>
      </c>
      <c r="XI38" s="1533" t="n">
        <v>0.77</v>
      </c>
      <c r="XJ38" s="1533" t="n">
        <v>0.77</v>
      </c>
      <c r="XK38" s="1533" t="n">
        <v>0.77</v>
      </c>
      <c r="XL38" s="1533" t="n">
        <v>0.77</v>
      </c>
      <c r="XM38" s="1533" t="n">
        <v>14.153</v>
      </c>
      <c r="XN38" s="1533" t="n">
        <v>14.153</v>
      </c>
      <c r="XO38" s="1533" t="n">
        <v>14.153</v>
      </c>
      <c r="XP38" s="1533" t="n">
        <v>14.153</v>
      </c>
      <c r="XQ38" s="1533" t="n">
        <v>14.153</v>
      </c>
      <c r="XR38" s="1533" t="n">
        <v>14.153</v>
      </c>
      <c r="XS38" s="1533" t="n">
        <v>14.153</v>
      </c>
      <c r="XT38" s="1533" t="n">
        <v>14.153</v>
      </c>
      <c r="XU38" s="1533" t="n">
        <v>14.153</v>
      </c>
      <c r="XV38" s="1533" t="n">
        <v>14.153</v>
      </c>
      <c r="XW38" s="1533" t="n">
        <v>14.153</v>
      </c>
      <c r="XX38" s="1533" t="n">
        <v>25.572</v>
      </c>
      <c r="XY38" s="1533" t="n">
        <v>25.572</v>
      </c>
      <c r="XZ38" s="1533" t="n">
        <v>25.572</v>
      </c>
      <c r="YA38" s="1533" t="n">
        <v>25.572</v>
      </c>
      <c r="YB38" s="1533" t="n">
        <v>25.572</v>
      </c>
      <c r="YC38" s="1533" t="n">
        <v>25.572</v>
      </c>
      <c r="YD38" s="1533" t="n">
        <v>25.572</v>
      </c>
      <c r="YE38" s="1533" t="n">
        <v>25.572</v>
      </c>
      <c r="YF38" s="1533" t="n">
        <v>25.572</v>
      </c>
      <c r="YG38" s="1533" t="n">
        <v>25.572</v>
      </c>
      <c r="YH38" s="1533" t="n">
        <v>26.8</v>
      </c>
      <c r="YI38" s="1533" t="n">
        <v>26.8</v>
      </c>
      <c r="YJ38" s="1543" t="n">
        <v>26.8</v>
      </c>
    </row>
    <row r="39">
      <c r="B39" s="917" t="inlineStr">
        <is>
          <t>RBPI 
Elite Seeds</t>
        </is>
      </c>
      <c r="C39" s="1532" t="n">
        <v>0.8</v>
      </c>
      <c r="D39" s="1533" t="n">
        <v>0.8</v>
      </c>
      <c r="E39" s="1533" t="n">
        <v>0.8</v>
      </c>
      <c r="F39" s="1533" t="n">
        <v>0.8</v>
      </c>
      <c r="G39" s="1533" t="n">
        <v>0.8</v>
      </c>
      <c r="H39" s="1533" t="n">
        <v>6.4</v>
      </c>
      <c r="I39" s="1533" t="n">
        <v>5.6</v>
      </c>
      <c r="J39" s="1533" t="n">
        <v>5.6</v>
      </c>
      <c r="K39" s="1533" t="n">
        <v>5.6</v>
      </c>
      <c r="L39" s="1533" t="n">
        <v>5.6</v>
      </c>
      <c r="M39" s="1533" t="n">
        <v>5.6</v>
      </c>
      <c r="N39" s="1533" t="n">
        <v>5.3</v>
      </c>
      <c r="O39" s="1533" t="n">
        <v>5.3</v>
      </c>
      <c r="P39" s="1533" t="n">
        <v>5.3</v>
      </c>
      <c r="Q39" s="1533" t="n">
        <v>5.3</v>
      </c>
      <c r="R39" s="1533" t="n">
        <v>5.3</v>
      </c>
      <c r="S39" s="1533" t="n">
        <v>2</v>
      </c>
      <c r="T39" s="1533" t="n">
        <v>2</v>
      </c>
      <c r="U39" s="1533" t="n">
        <v>2</v>
      </c>
      <c r="V39" s="1533" t="n">
        <v>2</v>
      </c>
      <c r="W39" s="1533" t="n">
        <v>0.8</v>
      </c>
      <c r="X39" s="1533" t="n">
        <v>0.8</v>
      </c>
      <c r="Y39" s="1533" t="n">
        <v>0.8</v>
      </c>
      <c r="Z39" s="1533" t="n">
        <v>0.8</v>
      </c>
      <c r="AA39" s="1533" t="n">
        <v>0.8</v>
      </c>
      <c r="AB39" s="1533" t="n">
        <v>4.6</v>
      </c>
      <c r="AC39" s="1533" t="n">
        <v>4.6</v>
      </c>
      <c r="AD39" s="1533" t="n">
        <v>4.5</v>
      </c>
      <c r="AE39" s="1533" t="n">
        <v>4.3</v>
      </c>
      <c r="AF39" s="1533" t="n">
        <v>4.3</v>
      </c>
      <c r="AG39" s="1533" t="n">
        <v>4.3</v>
      </c>
      <c r="AH39" s="1533" t="n">
        <v>4.3</v>
      </c>
      <c r="AI39" s="1533" t="n">
        <v>4.1</v>
      </c>
      <c r="AJ39" s="1533" t="n">
        <v>4.1</v>
      </c>
      <c r="AK39" s="1533" t="n">
        <v>3.6</v>
      </c>
      <c r="AL39" s="1533" t="n">
        <v>3.6</v>
      </c>
      <c r="AM39" s="1533" t="n">
        <v>2.1</v>
      </c>
      <c r="AN39" s="1533" t="n">
        <v>2.1</v>
      </c>
      <c r="AO39" s="1533" t="n">
        <v>2.1</v>
      </c>
      <c r="AP39" s="1533" t="n">
        <v>2.1</v>
      </c>
      <c r="AQ39" s="1533" t="n">
        <v>2.1</v>
      </c>
      <c r="AR39" s="1533" t="n">
        <v>2.1</v>
      </c>
      <c r="AS39" s="1533" t="n">
        <v>1.3</v>
      </c>
      <c r="AT39" s="1533" t="n">
        <v>1.3</v>
      </c>
      <c r="AU39" s="1533" t="n">
        <v>0.3</v>
      </c>
      <c r="AV39" s="1533" t="n">
        <v>0.3</v>
      </c>
      <c r="AW39" s="1533" t="n">
        <v>0.3</v>
      </c>
      <c r="AX39" s="1533" t="n">
        <v>0.7</v>
      </c>
      <c r="AY39" s="1533" t="n">
        <v>0.7</v>
      </c>
      <c r="AZ39" s="1533" t="n">
        <v>0.2</v>
      </c>
      <c r="BA39" s="1533" t="n">
        <v>0.2</v>
      </c>
      <c r="BB39" s="1533" t="n">
        <v>0.2</v>
      </c>
      <c r="BC39" s="1533" t="n">
        <v>0.2</v>
      </c>
      <c r="BD39" s="1533" t="n">
        <v>1</v>
      </c>
      <c r="BE39" s="1533" t="n">
        <v>1</v>
      </c>
      <c r="BF39" s="1533" t="n">
        <v>0.5</v>
      </c>
      <c r="BG39" s="1533" t="n">
        <v>0.5</v>
      </c>
      <c r="BH39" s="1533" t="n">
        <v>0.02</v>
      </c>
      <c r="BI39" s="1533" t="n">
        <v>0.02</v>
      </c>
      <c r="BJ39" s="1533" t="n">
        <v>0.02</v>
      </c>
      <c r="BK39" s="1533" t="n">
        <v>0.02</v>
      </c>
      <c r="BL39" s="1533" t="n">
        <v>0.02</v>
      </c>
      <c r="BM39" s="1533" t="n">
        <v>0.7</v>
      </c>
      <c r="BN39" s="1533" t="n">
        <v>0.7</v>
      </c>
      <c r="BO39" s="1533" t="n">
        <v>1.4</v>
      </c>
      <c r="BP39" s="1533" t="n">
        <v>0.2</v>
      </c>
      <c r="BQ39" s="1533" t="n">
        <v>0.2</v>
      </c>
      <c r="BR39" s="1533" t="n">
        <v>0.2</v>
      </c>
      <c r="BS39" s="1533" t="n">
        <v>0.2</v>
      </c>
      <c r="BT39" s="1533" t="n">
        <v>0.2</v>
      </c>
      <c r="BU39" s="1533" t="n">
        <v>0.2</v>
      </c>
      <c r="BV39" s="1533" t="n">
        <v>0.2</v>
      </c>
      <c r="BW39" s="1533" t="n">
        <v>1.2</v>
      </c>
      <c r="BX39" s="1533" t="n">
        <v>1.2</v>
      </c>
      <c r="BY39" s="1533" t="n">
        <v>1.2</v>
      </c>
      <c r="BZ39" s="1533" t="n">
        <v>0.05</v>
      </c>
      <c r="CA39" s="1533" t="n">
        <v>1.5</v>
      </c>
      <c r="CB39" s="1533" t="n">
        <v>0.5</v>
      </c>
      <c r="CC39" s="1533" t="n">
        <v>0.5</v>
      </c>
      <c r="CD39" s="1533" t="n">
        <v>1.5</v>
      </c>
      <c r="CE39" s="1533" t="n">
        <v>1.5</v>
      </c>
      <c r="CF39" s="1533" t="n">
        <v>1.5</v>
      </c>
      <c r="CG39" s="1533" t="n">
        <v>1.5</v>
      </c>
      <c r="CH39" s="1533" t="n">
        <v>0.01</v>
      </c>
      <c r="CI39" s="1533" t="n">
        <v>0.2</v>
      </c>
      <c r="CJ39" s="1533" t="n">
        <v>0.2</v>
      </c>
      <c r="CK39" s="1533" t="n">
        <v>0.2</v>
      </c>
      <c r="CL39" s="1533" t="n">
        <v>1.2</v>
      </c>
      <c r="CM39" s="1533" t="n">
        <v>1.2</v>
      </c>
      <c r="CN39" s="1533" t="n">
        <v>1.2</v>
      </c>
      <c r="CO39" s="1533" t="n">
        <v>1.2</v>
      </c>
      <c r="CP39" s="1533" t="n">
        <v>0.7</v>
      </c>
      <c r="CQ39" s="1533" t="n">
        <v>0.7</v>
      </c>
      <c r="CR39" s="1533" t="n">
        <v>0.7</v>
      </c>
      <c r="CS39" s="1533" t="n">
        <v>0.7</v>
      </c>
      <c r="CT39" s="1533" t="n">
        <v>0.6</v>
      </c>
      <c r="CU39" s="1533" t="n">
        <v>1.1</v>
      </c>
      <c r="CV39" s="1533" t="n">
        <v>0.5</v>
      </c>
      <c r="CW39" s="1533" t="n">
        <v>0.5</v>
      </c>
      <c r="CX39" s="1533" t="n">
        <v>0.5</v>
      </c>
      <c r="CY39" s="1533">
        <f>76/1000</f>
        <v/>
      </c>
      <c r="CZ39" s="1533" t="n">
        <v>0.076</v>
      </c>
      <c r="DA39" s="1533">
        <f>62/1000</f>
        <v/>
      </c>
      <c r="DB39" s="1533">
        <f>62/1000</f>
        <v/>
      </c>
      <c r="DC39" s="1533">
        <f>62/1000</f>
        <v/>
      </c>
      <c r="DD39" s="1533">
        <f>41.5/1000</f>
        <v/>
      </c>
      <c r="DE39" s="1533" t="n">
        <v>1.2</v>
      </c>
      <c r="DF39" s="1533" t="n">
        <v>1.2</v>
      </c>
      <c r="DG39" s="1533" t="n">
        <v>1</v>
      </c>
      <c r="DH39" s="1533">
        <f>94000/10^6</f>
        <v/>
      </c>
      <c r="DI39" s="1533">
        <f>94000/10^6</f>
        <v/>
      </c>
      <c r="DJ39" s="1533" t="n">
        <v>0.7</v>
      </c>
      <c r="DK39" s="1533" t="n">
        <v>0.7</v>
      </c>
      <c r="DL39" s="1533" t="n">
        <v>2.7</v>
      </c>
      <c r="DM39" s="1533" t="n">
        <v>2.7</v>
      </c>
      <c r="DN39" s="1533" t="n">
        <v>1</v>
      </c>
      <c r="DO39" s="1533" t="n">
        <v>1</v>
      </c>
      <c r="DP39" s="1533" t="n">
        <v>1</v>
      </c>
      <c r="DQ39" s="1533" t="n">
        <v>0.8</v>
      </c>
      <c r="DR39" s="1533" t="n">
        <v>0.2</v>
      </c>
      <c r="DS39" s="1533" t="n">
        <v>0.2</v>
      </c>
      <c r="DT39" s="1533" t="n">
        <v>0.2</v>
      </c>
      <c r="DU39" s="1533" t="n">
        <v>0.1</v>
      </c>
      <c r="DV39" s="1533" t="n">
        <v>0.1</v>
      </c>
      <c r="DW39" s="1533" t="n">
        <v>0.01</v>
      </c>
      <c r="DX39" s="1533" t="n">
        <v>0.5</v>
      </c>
      <c r="DY39" s="1533" t="n">
        <v>0.01</v>
      </c>
      <c r="DZ39" s="1533" t="n">
        <v>1.1</v>
      </c>
      <c r="EA39" s="1533" t="n">
        <v>1.1</v>
      </c>
      <c r="EB39" s="1533" t="n">
        <v>1.1</v>
      </c>
      <c r="EC39" s="1533" t="n">
        <v>2.6</v>
      </c>
      <c r="ED39" s="1533" t="n">
        <v>1.18</v>
      </c>
      <c r="EE39" s="1533" t="n">
        <v>1.18</v>
      </c>
      <c r="EF39" s="1533" t="n">
        <v>1.18</v>
      </c>
      <c r="EG39" s="1533" t="n">
        <v>1.18</v>
      </c>
      <c r="EH39" s="1533" t="n">
        <v>3.9</v>
      </c>
      <c r="EI39" s="1533" t="n">
        <v>3.13</v>
      </c>
      <c r="EJ39" s="1533" t="n">
        <v>3.13</v>
      </c>
      <c r="EK39" s="1533" t="n">
        <v>2</v>
      </c>
      <c r="EL39" s="1533" t="n">
        <v>2</v>
      </c>
      <c r="EM39" s="1533" t="n">
        <v>2</v>
      </c>
      <c r="EN39" s="1533" t="n">
        <v>0.67</v>
      </c>
      <c r="EO39" s="1533" t="n">
        <v>0.67</v>
      </c>
      <c r="EP39" s="1533" t="n">
        <v>0.67</v>
      </c>
      <c r="EQ39" s="1533" t="n">
        <v>2.7</v>
      </c>
      <c r="ER39" s="1533" t="n">
        <v>2.7</v>
      </c>
      <c r="ES39" s="1533" t="n">
        <v>1.2</v>
      </c>
      <c r="ET39" s="1533" t="n">
        <v>1.4</v>
      </c>
      <c r="EU39" s="1533" t="n">
        <v>1.3</v>
      </c>
      <c r="EV39" s="1533" t="n">
        <v>1.3</v>
      </c>
      <c r="EW39" s="1533" t="n">
        <v>4.8</v>
      </c>
      <c r="EX39" s="1533" t="n">
        <v>3.5</v>
      </c>
      <c r="EY39" s="1533" t="n">
        <v>3.7</v>
      </c>
      <c r="EZ39" s="1533" t="n">
        <v>3.7</v>
      </c>
      <c r="FA39" s="1533" t="n">
        <v>4.8</v>
      </c>
      <c r="FB39" s="1533" t="n">
        <v>2.8</v>
      </c>
      <c r="FC39" s="1533" t="n">
        <v>4</v>
      </c>
      <c r="FD39" s="1533" t="n">
        <v>4</v>
      </c>
      <c r="FE39" s="1533" t="n">
        <v>4</v>
      </c>
      <c r="FF39" s="1533" t="n">
        <v>4</v>
      </c>
      <c r="FG39" s="1533" t="n">
        <v>3.2</v>
      </c>
      <c r="FH39" s="1533" t="n">
        <v>5.2</v>
      </c>
      <c r="FI39" s="1533" t="n">
        <v>4.4</v>
      </c>
      <c r="FJ39" s="1533" t="n">
        <v>4.84</v>
      </c>
      <c r="FK39" s="1533" t="n">
        <v>4.84</v>
      </c>
      <c r="FL39" s="1533" t="n">
        <v>2.8</v>
      </c>
      <c r="FM39" s="1533" t="n">
        <v>2.8</v>
      </c>
      <c r="FN39" s="1533" t="n">
        <v>2.8</v>
      </c>
      <c r="FO39" s="1533" t="n">
        <v>2.8</v>
      </c>
      <c r="FP39" s="1533" t="n">
        <v>2.1</v>
      </c>
      <c r="FQ39" s="1533" t="n">
        <v>2.2</v>
      </c>
      <c r="FR39" s="1533" t="n">
        <v>2.9</v>
      </c>
      <c r="FS39" s="1533" t="n">
        <v>2.9</v>
      </c>
      <c r="FT39" s="1533" t="n">
        <v>1.5</v>
      </c>
      <c r="FU39" s="1533" t="n">
        <v>0.9</v>
      </c>
      <c r="FV39" s="1533" t="n">
        <v>2.7</v>
      </c>
      <c r="FW39" s="1533" t="n">
        <v>2.7</v>
      </c>
      <c r="FX39" s="1533" t="n">
        <v>2.8</v>
      </c>
      <c r="FY39" s="1533" t="n">
        <v>3.2</v>
      </c>
      <c r="FZ39" s="1533" t="n">
        <v>2.3</v>
      </c>
      <c r="GA39" s="1533" t="n">
        <v>6.8</v>
      </c>
      <c r="GB39" s="1533" t="n">
        <v>4.3</v>
      </c>
      <c r="GC39" s="1533" t="n">
        <v>4.3</v>
      </c>
      <c r="GD39" s="1533" t="n">
        <v>3.68</v>
      </c>
      <c r="GE39" s="1533" t="n">
        <v>3.5</v>
      </c>
      <c r="GF39" s="1533" t="n">
        <v>2.3</v>
      </c>
      <c r="GG39" s="1533" t="n">
        <v>2.4</v>
      </c>
      <c r="GH39" s="1533" t="n">
        <v>2.4</v>
      </c>
      <c r="GI39" s="1533" t="n">
        <v>2</v>
      </c>
      <c r="GJ39" s="1533" t="n">
        <v>5</v>
      </c>
      <c r="GK39" s="1533" t="n">
        <v>5</v>
      </c>
      <c r="GL39" s="1533" t="n">
        <v>5</v>
      </c>
      <c r="GM39" s="1533" t="n">
        <v>5</v>
      </c>
      <c r="GN39" s="1533" t="n"/>
      <c r="GO39" s="1533" t="n"/>
      <c r="GP39" s="1533" t="n"/>
      <c r="GQ39" s="1533" t="n"/>
      <c r="GR39" s="1533" t="n"/>
      <c r="GS39" s="1533" t="n"/>
      <c r="GT39" s="1533" t="n"/>
      <c r="GU39" s="1533" t="n"/>
      <c r="GV39" s="1533" t="n"/>
      <c r="GW39" s="1533" t="n"/>
      <c r="GX39" s="1533" t="n"/>
      <c r="GY39" s="1533" t="n"/>
      <c r="GZ39" s="1533" t="n"/>
      <c r="HA39" s="1533" t="n"/>
      <c r="HB39" s="1533" t="n"/>
      <c r="HC39" s="1533" t="n"/>
      <c r="HD39" s="1533" t="n">
        <v>8.300000000000001</v>
      </c>
      <c r="HE39" s="1533" t="n">
        <v>8.300000000000001</v>
      </c>
      <c r="HF39" s="1533" t="n">
        <v>5</v>
      </c>
      <c r="HG39" s="1533" t="n">
        <v>5</v>
      </c>
      <c r="HH39" s="1533" t="n">
        <v>5</v>
      </c>
      <c r="HI39" s="1533" t="n">
        <v>1</v>
      </c>
      <c r="HJ39" s="1533" t="n">
        <v>6.3</v>
      </c>
      <c r="HK39" s="1533" t="n">
        <v>3.9</v>
      </c>
      <c r="HL39" s="1533" t="n">
        <v>5.2</v>
      </c>
      <c r="HM39" s="1533" t="n">
        <v>3.6</v>
      </c>
      <c r="HN39" s="1533" t="n"/>
      <c r="HO39" s="1533" t="n">
        <v>3</v>
      </c>
      <c r="HP39" s="1533" t="n">
        <v>2.95</v>
      </c>
      <c r="HQ39" s="1533" t="n">
        <v>2.7</v>
      </c>
      <c r="HR39" s="1533" t="n">
        <v>2.7</v>
      </c>
      <c r="HS39" s="1533" t="n">
        <v>1.88</v>
      </c>
      <c r="HT39" s="1533" t="n">
        <v>0.6879999999999999</v>
      </c>
      <c r="HU39" s="1533" t="n">
        <v>0.6879999999999999</v>
      </c>
      <c r="HV39" s="1533" t="n">
        <v>0</v>
      </c>
      <c r="HW39" s="1533" t="n">
        <v>0</v>
      </c>
      <c r="HX39" s="1533" t="n">
        <v>0</v>
      </c>
      <c r="HY39" s="1533" t="n">
        <v>0</v>
      </c>
      <c r="HZ39" s="1533" t="n">
        <v>0</v>
      </c>
      <c r="IA39" s="1533" t="n">
        <v>0</v>
      </c>
      <c r="IB39" s="1533" t="n">
        <v>0</v>
      </c>
      <c r="IC39" s="1533" t="n">
        <v>0</v>
      </c>
      <c r="ID39" s="1533" t="n">
        <v>0</v>
      </c>
      <c r="IE39" s="1533" t="n">
        <v>1.8</v>
      </c>
      <c r="IF39" s="1533" t="n">
        <v>1.8</v>
      </c>
      <c r="IG39" s="1533" t="n">
        <v>2</v>
      </c>
      <c r="IH39" s="1533" t="n">
        <v>2</v>
      </c>
      <c r="II39" s="1533" t="n">
        <v>2</v>
      </c>
      <c r="IJ39" s="1533" t="n">
        <v>2</v>
      </c>
      <c r="IK39" s="1533" t="n">
        <v>0</v>
      </c>
      <c r="IL39" s="1533" t="n">
        <v>0</v>
      </c>
      <c r="IM39" s="1533" t="n">
        <v>0</v>
      </c>
      <c r="IN39" s="1533" t="n">
        <v>0</v>
      </c>
      <c r="IO39" s="1533" t="n">
        <v>0</v>
      </c>
      <c r="IP39" s="1533" t="n">
        <v>0</v>
      </c>
      <c r="IQ39" s="1533" t="n">
        <v>0</v>
      </c>
      <c r="IR39" s="1533" t="n">
        <v>0</v>
      </c>
      <c r="IS39" s="1533" t="n">
        <v>0</v>
      </c>
      <c r="IT39" s="1533" t="n">
        <v>0</v>
      </c>
      <c r="IU39" s="1533" t="n">
        <v>0</v>
      </c>
      <c r="IV39" s="1533" t="n">
        <v>0</v>
      </c>
      <c r="IW39" s="1533" t="n">
        <v>0</v>
      </c>
      <c r="IX39" s="1533" t="n">
        <v>0</v>
      </c>
      <c r="IY39" s="1533" t="n">
        <v>0</v>
      </c>
      <c r="IZ39" s="1533" t="n">
        <v>3.2</v>
      </c>
      <c r="JA39" s="1533" t="n">
        <v>3.2</v>
      </c>
      <c r="JB39" s="1533" t="n">
        <v>3.2</v>
      </c>
      <c r="JC39" s="1533" t="n">
        <v>0</v>
      </c>
      <c r="JD39" s="1533" t="n">
        <v>0</v>
      </c>
      <c r="JE39" s="1533" t="n">
        <v>0</v>
      </c>
      <c r="JF39" s="1533" t="n">
        <v>0</v>
      </c>
      <c r="JG39" s="1533" t="n">
        <v>0</v>
      </c>
      <c r="JH39" s="1533" t="n">
        <v>0</v>
      </c>
      <c r="JI39" s="1533" t="n">
        <v>0</v>
      </c>
      <c r="JJ39" s="1533" t="n">
        <v>0</v>
      </c>
      <c r="JK39" s="1533" t="n">
        <v>0</v>
      </c>
      <c r="JL39" s="1533" t="n">
        <v>0</v>
      </c>
      <c r="JM39" s="1533" t="n">
        <v>6.3</v>
      </c>
      <c r="JN39" s="1533" t="n">
        <v>6.3</v>
      </c>
      <c r="JO39" s="1533" t="n">
        <v>6.3</v>
      </c>
      <c r="JP39" s="1533" t="n">
        <v>0</v>
      </c>
      <c r="JQ39" s="1533" t="n">
        <v>0</v>
      </c>
      <c r="JR39" s="1533" t="n">
        <v>9.6</v>
      </c>
      <c r="JS39" s="1533" t="n">
        <v>9.6</v>
      </c>
      <c r="JT39" s="1533" t="n">
        <v>9.6</v>
      </c>
      <c r="JU39" s="1533" t="n">
        <v>6.5</v>
      </c>
      <c r="JV39" s="1533" t="n">
        <v>6.5</v>
      </c>
      <c r="JW39" s="1533" t="n">
        <v>3.7</v>
      </c>
      <c r="JX39" s="1533" t="n">
        <v>3.7</v>
      </c>
      <c r="JY39" s="1533" t="n">
        <v>3.7</v>
      </c>
      <c r="JZ39" s="1533" t="n">
        <v>3.7</v>
      </c>
      <c r="KA39" s="1533" t="n">
        <v>3.5</v>
      </c>
      <c r="KB39" s="1533" t="n">
        <v>1.3</v>
      </c>
      <c r="KC39" s="1533" t="n">
        <v>1.3</v>
      </c>
      <c r="KD39" s="1533" t="n">
        <v>1.3</v>
      </c>
      <c r="KE39" s="1533" t="n">
        <v>1.3</v>
      </c>
      <c r="KF39" s="1533" t="n">
        <v>0</v>
      </c>
      <c r="KG39" s="1533" t="n">
        <v>4.4</v>
      </c>
      <c r="KH39" s="1533" t="n">
        <v>4.4</v>
      </c>
      <c r="KI39" s="1533" t="n">
        <v>4.7</v>
      </c>
      <c r="KJ39" s="1533" t="n">
        <v>4.7</v>
      </c>
      <c r="KK39" s="1533" t="n">
        <v>4.9</v>
      </c>
      <c r="KL39" s="1533" t="n">
        <v>5.7</v>
      </c>
      <c r="KM39" s="1533" t="n">
        <v>5.7</v>
      </c>
      <c r="KN39" s="1533" t="n">
        <v>4.3</v>
      </c>
      <c r="KO39" s="1533" t="n">
        <v>4.3</v>
      </c>
      <c r="KP39" s="1533" t="n">
        <v>4.2</v>
      </c>
      <c r="KQ39" s="1533" t="n">
        <v>6.449999999999999</v>
      </c>
      <c r="KR39" s="1533" t="n">
        <v>6.449999999999999</v>
      </c>
      <c r="KS39" s="1533" t="n">
        <v>2.5</v>
      </c>
      <c r="KT39" s="1533" t="n">
        <v>2.5</v>
      </c>
      <c r="KU39" s="1533" t="n">
        <v>1.2</v>
      </c>
      <c r="KV39" s="1533" t="n">
        <v>2</v>
      </c>
      <c r="KW39" s="1533" t="n">
        <v>8</v>
      </c>
      <c r="KX39" s="1533" t="n">
        <v>6</v>
      </c>
      <c r="KY39" s="1533" t="n">
        <v>6</v>
      </c>
      <c r="KZ39" s="1533" t="n">
        <v>4.8</v>
      </c>
      <c r="LA39" s="1533" t="n">
        <v>4.8</v>
      </c>
      <c r="LB39" s="1533" t="n">
        <v>4.8</v>
      </c>
      <c r="LC39" s="1533" t="n">
        <v>4.8</v>
      </c>
      <c r="LD39" s="1533" t="n">
        <v>4.8</v>
      </c>
      <c r="LE39" s="1533" t="n">
        <v>3.194</v>
      </c>
      <c r="LF39" s="1533" t="n">
        <v>7</v>
      </c>
      <c r="LG39" s="1533" t="n">
        <v>7</v>
      </c>
      <c r="LH39" s="1533" t="n">
        <v>7</v>
      </c>
      <c r="LI39" s="1533" t="n">
        <v>2.4</v>
      </c>
      <c r="LJ39" s="1533" t="n">
        <v>2.4</v>
      </c>
      <c r="LK39" s="1533" t="n">
        <v>2.4</v>
      </c>
      <c r="LL39" s="1533" t="n">
        <v>6.9</v>
      </c>
      <c r="LM39" s="1533" t="n">
        <v>6.9</v>
      </c>
      <c r="LN39" s="1533" t="n">
        <v>0.6</v>
      </c>
      <c r="LO39" s="1533" t="n">
        <v>0.6</v>
      </c>
      <c r="LP39" s="1533" t="n">
        <v>0.6</v>
      </c>
      <c r="LQ39" s="1533" t="n">
        <v>0.6</v>
      </c>
      <c r="LR39" s="1533" t="n">
        <v>0.6</v>
      </c>
      <c r="LS39" s="1533" t="n">
        <v>0.6</v>
      </c>
      <c r="LT39" s="1533" t="n">
        <v>0.6</v>
      </c>
      <c r="LU39" s="1533" t="n">
        <v>0.6</v>
      </c>
      <c r="LV39" s="1533" t="n">
        <v>2.54803456</v>
      </c>
      <c r="LW39" s="1533" t="n">
        <v>2.54803456</v>
      </c>
      <c r="LX39" s="1533" t="n">
        <v>5.16564241</v>
      </c>
      <c r="LY39" s="1533" t="n">
        <v>5.16564241</v>
      </c>
      <c r="LZ39" s="1533" t="n">
        <v>12.77520504</v>
      </c>
      <c r="MA39" s="1533" t="n">
        <v>12.77520504</v>
      </c>
      <c r="MB39" s="1533" t="n">
        <v>12.77520504</v>
      </c>
      <c r="MC39" s="1533" t="n">
        <v>12.77520504</v>
      </c>
      <c r="MD39" s="1533" t="n">
        <v>9.79263495</v>
      </c>
      <c r="ME39" s="1533" t="n">
        <v>10.10444271</v>
      </c>
      <c r="MF39" s="1533" t="n">
        <v>10.10444271</v>
      </c>
      <c r="MG39" s="1533" t="n">
        <v>10.10444271</v>
      </c>
      <c r="MH39" s="1533" t="n">
        <v>4.85575893</v>
      </c>
      <c r="MI39" s="1533" t="n">
        <v>4.85575893</v>
      </c>
      <c r="MJ39" s="1533" t="n">
        <v>4.86162742</v>
      </c>
      <c r="MK39" s="1533" t="n">
        <v>4.88073885</v>
      </c>
      <c r="ML39" s="1533" t="n">
        <v>4.88073885</v>
      </c>
      <c r="MM39" s="1533" t="n">
        <v>4.88073885</v>
      </c>
      <c r="MN39" s="1533" t="n">
        <v>4.88073885</v>
      </c>
      <c r="MO39" s="1533" t="n">
        <v>4.88073885</v>
      </c>
      <c r="MP39" s="1533" t="n">
        <v>4.88073885</v>
      </c>
      <c r="MQ39" s="1533" t="n">
        <v>2.9</v>
      </c>
      <c r="MR39" s="1533" t="n">
        <v>2.9</v>
      </c>
      <c r="MS39" s="1533" t="n">
        <v>2.43750452</v>
      </c>
      <c r="MT39" s="1533" t="n">
        <v>2.38821995</v>
      </c>
      <c r="MU39" s="1533" t="n">
        <v>2.38821995</v>
      </c>
      <c r="MV39" s="1533" t="n">
        <v>2.38821995</v>
      </c>
      <c r="MW39" s="1533" t="n">
        <v>3.91694102</v>
      </c>
      <c r="MX39" s="1533" t="n">
        <v>3.90739215</v>
      </c>
      <c r="MY39" s="1533" t="n">
        <v>3.90739215</v>
      </c>
      <c r="MZ39" s="1533" t="n">
        <v>3.90739215</v>
      </c>
      <c r="NA39" s="1533" t="n">
        <v>3.90739215</v>
      </c>
      <c r="NB39" s="1533" t="n">
        <v>3.90739215</v>
      </c>
      <c r="NC39" s="1533" t="n">
        <v>3.90739215</v>
      </c>
      <c r="ND39" s="1533" t="n">
        <v>3.90739215</v>
      </c>
      <c r="NE39" s="1533" t="n">
        <v>3.90739215</v>
      </c>
      <c r="NF39" s="1533" t="n">
        <v>2.00576824</v>
      </c>
      <c r="NG39" s="1533" t="n">
        <v>2.60490156</v>
      </c>
      <c r="NH39" s="1533" t="n">
        <v>2.60686923</v>
      </c>
      <c r="NI39" s="1533" t="n">
        <v>2.59919197</v>
      </c>
      <c r="NJ39" s="1533" t="n">
        <v>2.59919197</v>
      </c>
      <c r="NK39" s="1533" t="n">
        <v>3.37190749</v>
      </c>
      <c r="NL39" s="1533" t="n">
        <v>3.37190749</v>
      </c>
      <c r="NM39" s="1533" t="n">
        <v>1.7195714</v>
      </c>
      <c r="NN39" s="1533" t="n">
        <v>1.7195714</v>
      </c>
      <c r="NO39" s="1533" t="n">
        <v>1.7195714</v>
      </c>
      <c r="NP39" s="1533" t="n">
        <v>2.4190863</v>
      </c>
      <c r="NQ39" s="1533" t="n">
        <v>2.4190863</v>
      </c>
      <c r="NR39" s="1533" t="n">
        <v>2.4183263</v>
      </c>
      <c r="NS39" s="1533" t="n">
        <v>2.4183263</v>
      </c>
      <c r="NT39" s="1533" t="n">
        <v>2.4183263</v>
      </c>
      <c r="NU39" s="1533" t="n">
        <v>4.76810641</v>
      </c>
      <c r="NV39" s="1533" t="n">
        <v>4.05614102</v>
      </c>
      <c r="NW39" s="1533" t="n">
        <v>4.05614102</v>
      </c>
      <c r="NX39" s="1533" t="n">
        <v>4.05614102</v>
      </c>
      <c r="NY39" s="1533" t="n">
        <v>1.31582416</v>
      </c>
      <c r="NZ39" s="1533" t="n">
        <v>1.33752526</v>
      </c>
      <c r="OA39" s="1533" t="n">
        <v>1.33752526</v>
      </c>
      <c r="OB39" s="1533" t="n">
        <v>1.33752526</v>
      </c>
      <c r="OC39" s="1533" t="n">
        <v>1.42373636</v>
      </c>
      <c r="OD39" s="1533" t="n">
        <v>1.42373636</v>
      </c>
      <c r="OE39" s="1533" t="n">
        <v>1.42373636</v>
      </c>
      <c r="OF39" s="1533" t="n">
        <v>1.42373636</v>
      </c>
      <c r="OG39" s="1533" t="n">
        <v>3.4669743</v>
      </c>
      <c r="OH39" s="1533" t="n">
        <v>3.4669743</v>
      </c>
      <c r="OI39" s="1533" t="n">
        <v>3.38359338</v>
      </c>
      <c r="OJ39" s="1533" t="n">
        <v>3.37813938</v>
      </c>
      <c r="OK39" s="1533" t="n">
        <v>3.37813938</v>
      </c>
      <c r="OL39" s="1533" t="n">
        <v>3.38157171</v>
      </c>
      <c r="OM39" s="1533" t="n">
        <v>3.38157171</v>
      </c>
      <c r="ON39" s="1533" t="n">
        <v>3.38157171</v>
      </c>
      <c r="OO39" s="1533" t="n">
        <v>0.68902716</v>
      </c>
      <c r="OP39" s="1533" t="n">
        <v>1.06501916</v>
      </c>
      <c r="OQ39" s="1533" t="n">
        <v>1.06501916</v>
      </c>
      <c r="OR39" s="1533" t="n">
        <v>1.06501916</v>
      </c>
      <c r="OS39" s="1533" t="n">
        <v>1.70736111</v>
      </c>
      <c r="OT39" s="1533" t="n">
        <v>1.70794604</v>
      </c>
      <c r="OU39" s="1533" t="n">
        <v>1.70794604</v>
      </c>
      <c r="OV39" s="1533" t="n">
        <v>1.70794604</v>
      </c>
      <c r="OW39" s="1533" t="n">
        <v>1.70910631</v>
      </c>
      <c r="OX39" s="1533" t="n">
        <v>1.70910631</v>
      </c>
      <c r="OY39" s="1533" t="n">
        <v>0.86215924</v>
      </c>
      <c r="OZ39" s="1533" t="n">
        <v>0.86215924</v>
      </c>
      <c r="PA39" s="1533" t="n">
        <v>0.86215924</v>
      </c>
      <c r="PB39" s="1533" t="n">
        <v>5.016105350000001</v>
      </c>
      <c r="PC39" s="1533" t="n">
        <v>5.016105350000001</v>
      </c>
      <c r="PD39" s="1533" t="n">
        <v>5.016105350000001</v>
      </c>
      <c r="PE39" s="1533" t="n">
        <v>5.476154530000001</v>
      </c>
      <c r="PF39" s="1533" t="n">
        <v>5.476154530000001</v>
      </c>
      <c r="PG39" s="1533" t="n">
        <v>5.476154530000001</v>
      </c>
      <c r="PH39" s="1533" t="n">
        <v>5.476154530000001</v>
      </c>
      <c r="PI39" s="1533" t="n">
        <v>5.37247252</v>
      </c>
      <c r="PJ39" s="1533" t="n">
        <v>5.37459055</v>
      </c>
      <c r="PK39" s="1533" t="n">
        <v>5.37459055</v>
      </c>
      <c r="PL39" s="1533" t="n">
        <v>5.37459055</v>
      </c>
      <c r="PM39" s="1533" t="n">
        <v>5.37459055</v>
      </c>
      <c r="PN39" s="1533" t="n">
        <v>1.44270344</v>
      </c>
      <c r="PO39" s="1533" t="n">
        <v>1.44270344</v>
      </c>
      <c r="PP39" s="1533" t="n">
        <v>1.44270344</v>
      </c>
      <c r="PQ39" s="1533" t="n">
        <v>1.37452576</v>
      </c>
      <c r="PR39" s="1533" t="n">
        <v>1.37452576</v>
      </c>
      <c r="PS39" s="1533" t="n">
        <v>2.18425829</v>
      </c>
      <c r="PT39" s="1533" t="n">
        <v>2.18425829</v>
      </c>
      <c r="PU39" s="1533" t="n">
        <v>0.74591973</v>
      </c>
      <c r="PV39" s="1533" t="n">
        <v>0.74591973</v>
      </c>
      <c r="PW39" s="1533" t="n">
        <v>0.74591973</v>
      </c>
      <c r="PX39" s="1533" t="n">
        <v>1.74209612</v>
      </c>
      <c r="PY39" s="1533" t="n">
        <v>1.74272727</v>
      </c>
      <c r="PZ39" s="1533" t="n">
        <v>1.74272727</v>
      </c>
      <c r="QA39" s="1533" t="n">
        <v>1.74272727</v>
      </c>
      <c r="QB39" s="1533" t="n">
        <v>7.70010315</v>
      </c>
      <c r="QC39" s="1533" t="n">
        <v>7.709201510000002</v>
      </c>
      <c r="QD39" s="1533" t="n">
        <v>7.709201510000002</v>
      </c>
      <c r="QE39" s="1533" t="n">
        <v>5.73945032</v>
      </c>
      <c r="QF39" s="1533" t="n">
        <v>5.73945032</v>
      </c>
      <c r="QG39" s="1533" t="n">
        <v>5.73945032</v>
      </c>
      <c r="QH39" s="1533" t="n">
        <v>5.73945032</v>
      </c>
      <c r="QI39" s="1533" t="n">
        <v>0.7603599599999999</v>
      </c>
      <c r="QJ39" s="1533" t="n">
        <v>0.7603599599999999</v>
      </c>
      <c r="QK39" s="1533" t="n">
        <v>0.0987827</v>
      </c>
      <c r="QL39" s="1533" t="n">
        <v>0.0987827</v>
      </c>
      <c r="QM39" s="1533" t="n">
        <v>0.0987827</v>
      </c>
      <c r="QN39" s="1533" t="n">
        <v>0.9628143</v>
      </c>
      <c r="QO39" s="1533" t="n">
        <v>5.903912989999999</v>
      </c>
      <c r="QP39" s="1533" t="n">
        <v>5.903912989999999</v>
      </c>
      <c r="QQ39" s="1533" t="n">
        <v>12.3150076</v>
      </c>
      <c r="QR39" s="1533" t="n">
        <v>12.3150076</v>
      </c>
      <c r="QS39" s="1533" t="n">
        <v>5.45745122</v>
      </c>
      <c r="QT39" s="1533" t="n">
        <v>5.459582370000001</v>
      </c>
      <c r="QU39" s="1533" t="n">
        <v>5.459582370000001</v>
      </c>
      <c r="QV39" s="1533" t="n">
        <v>5.213220939999999</v>
      </c>
      <c r="QW39" s="1533" t="n">
        <v>5.459582370000001</v>
      </c>
      <c r="QX39" s="1533" t="n">
        <v>5.459582370000001</v>
      </c>
      <c r="QY39" s="1533" t="n">
        <v>2.57406908</v>
      </c>
      <c r="QZ39" s="1533" t="n">
        <v>2.57406908</v>
      </c>
      <c r="RA39" s="1533" t="n">
        <v>1.10477299</v>
      </c>
      <c r="RB39" s="1533" t="n">
        <v>1.10477299</v>
      </c>
      <c r="RC39" s="1533" t="n">
        <v>1.10477299</v>
      </c>
      <c r="RD39" s="1533" t="n">
        <v>1.10477299</v>
      </c>
      <c r="RE39" s="1533" t="n">
        <v>1.47247634</v>
      </c>
      <c r="RF39" s="1533" t="n">
        <v>1.47247634</v>
      </c>
      <c r="RG39" s="1533" t="n">
        <v>1.47247634</v>
      </c>
      <c r="RH39" s="1533" t="n">
        <v>4.20230158</v>
      </c>
      <c r="RI39" s="1533" t="n">
        <v>4.20230158</v>
      </c>
      <c r="RJ39" s="1533" t="n">
        <v>4.20230158</v>
      </c>
      <c r="RK39" s="1533" t="n">
        <v>2.86831276</v>
      </c>
      <c r="RL39" s="1533" t="n">
        <v>2.86831276</v>
      </c>
      <c r="RM39" s="1533" t="n">
        <v>1.26547517</v>
      </c>
      <c r="RN39" s="1533" t="n">
        <v>1.26547517</v>
      </c>
      <c r="RO39" s="1533" t="n">
        <v>1.26547517</v>
      </c>
      <c r="RP39" s="1533" t="n">
        <v>1.26547517</v>
      </c>
      <c r="RQ39" s="1533" t="n">
        <v>1.23710388</v>
      </c>
      <c r="RR39" s="1533" t="n">
        <v>1.23710388</v>
      </c>
      <c r="RS39" s="1533" t="n">
        <v>4.869860200000001</v>
      </c>
      <c r="RT39" s="1533" t="n">
        <v>4.869860200000001</v>
      </c>
      <c r="RU39" s="1533" t="n">
        <v>4.869860200000001</v>
      </c>
      <c r="RV39" s="1533" t="n">
        <v>4.869860200000001</v>
      </c>
      <c r="RW39" s="1533" t="n">
        <v>4.869860200000001</v>
      </c>
      <c r="RX39" s="1533" t="n">
        <v>4.869860200000001</v>
      </c>
      <c r="RY39" s="1533" t="n">
        <v>0.73814592</v>
      </c>
      <c r="RZ39" s="1533" t="n">
        <v>0.73814592</v>
      </c>
      <c r="SA39" s="1533" t="n">
        <v>0.48010992</v>
      </c>
      <c r="SB39" s="1533" t="n">
        <v>1.20323235</v>
      </c>
      <c r="SC39" s="1533" t="n">
        <v>1.20323235</v>
      </c>
      <c r="SD39" s="1533" t="n">
        <v>1.20323235</v>
      </c>
      <c r="SE39" s="1533" t="n">
        <v>0.60359381</v>
      </c>
      <c r="SF39" s="1533" t="n">
        <v>0.60359381</v>
      </c>
      <c r="SG39" s="1533" t="n">
        <v>0.88762159</v>
      </c>
      <c r="SH39" s="1533" t="n">
        <v>0.88762159</v>
      </c>
      <c r="SI39" s="1533" t="n">
        <v>2.78263316</v>
      </c>
      <c r="SJ39" s="1533" t="n">
        <v>2.78263316</v>
      </c>
      <c r="SK39" s="1533" t="n">
        <v>1.90897269</v>
      </c>
      <c r="SL39" s="1533" t="n">
        <v>1.90897269</v>
      </c>
      <c r="SM39" s="1533" t="n">
        <v>1.92754933</v>
      </c>
      <c r="SN39" s="1533" t="n">
        <v>1.92754933</v>
      </c>
      <c r="SO39" s="1533" t="n">
        <v>1.92754933</v>
      </c>
      <c r="SP39" s="1533" t="n">
        <v>1.92754933</v>
      </c>
      <c r="SQ39" s="1533" t="n">
        <v>1.92754933</v>
      </c>
      <c r="SR39" s="1533" t="n">
        <v>1.92754933</v>
      </c>
      <c r="SS39" s="1533" t="n">
        <v>3.21512292</v>
      </c>
      <c r="ST39" s="1533" t="n">
        <v>3.21512292</v>
      </c>
      <c r="SU39" s="1533" t="n">
        <v>3.17118036</v>
      </c>
      <c r="SV39" s="1533" t="n">
        <v>3.17118036</v>
      </c>
      <c r="SW39" s="1533" t="n">
        <v>3.17118036</v>
      </c>
      <c r="SX39" s="1533" t="n">
        <v>1.94270618</v>
      </c>
      <c r="SY39" s="1533" t="n">
        <v>1.94270618</v>
      </c>
      <c r="SZ39" s="1533" t="n">
        <v>1.94270618</v>
      </c>
      <c r="TA39" s="1533" t="n">
        <v>0.0730355</v>
      </c>
      <c r="TB39" s="1533" t="n">
        <v>0.0730355</v>
      </c>
      <c r="TC39" s="1533" t="n">
        <v>0.0603251</v>
      </c>
      <c r="TD39" s="1533" t="n">
        <v>0.0603251</v>
      </c>
      <c r="TE39" s="1533" t="n">
        <v>0.0603251</v>
      </c>
      <c r="TF39" s="1533" t="n">
        <v>1.03624264</v>
      </c>
      <c r="TG39" s="1533" t="n">
        <v>0.74354103</v>
      </c>
      <c r="TH39" s="1533" t="n">
        <v>2.09911389</v>
      </c>
      <c r="TI39" s="1533" t="n">
        <v>1.50680072</v>
      </c>
      <c r="TJ39" s="1533" t="n">
        <v>1.50832531</v>
      </c>
      <c r="TK39" s="1533" t="n">
        <v>1.41758923</v>
      </c>
      <c r="TL39" s="1533" t="n">
        <v>1.76947142</v>
      </c>
      <c r="TM39" s="1533" t="n">
        <v>1.34808948</v>
      </c>
      <c r="TN39" s="1533" t="n">
        <v>0.4800124</v>
      </c>
      <c r="TO39" s="1533" t="n">
        <v>0.9159624200000001</v>
      </c>
      <c r="TP39" s="1533" t="n">
        <v>0.22513745</v>
      </c>
      <c r="TQ39" s="1533" t="n">
        <v>0.6284173</v>
      </c>
      <c r="TR39" s="1533" t="n">
        <v>1.5</v>
      </c>
      <c r="TS39" s="1533" t="n">
        <v>3.9</v>
      </c>
      <c r="TT39" s="1533" t="n">
        <v>3.9</v>
      </c>
      <c r="TU39" s="1533" t="n">
        <v>0.7</v>
      </c>
      <c r="TV39" s="1533" t="n">
        <v>5.9</v>
      </c>
      <c r="TW39" s="1533" t="n">
        <v>3.78237445</v>
      </c>
      <c r="TX39" s="1533" t="n">
        <v>3.66020655</v>
      </c>
      <c r="TY39" s="1533" t="n">
        <v>3.6615683</v>
      </c>
      <c r="TZ39" s="1533" t="n">
        <v>5.09957845</v>
      </c>
      <c r="UA39" s="1533" t="n">
        <v>1.03131995</v>
      </c>
      <c r="UB39" s="1533" t="n">
        <v>3.88210051</v>
      </c>
      <c r="UC39" s="1533" t="n">
        <v>3.88375953</v>
      </c>
      <c r="UD39" s="1533" t="n">
        <v>1.8678561</v>
      </c>
      <c r="UE39" s="1533" t="n">
        <v>0.56818381</v>
      </c>
      <c r="UF39" s="1533" t="n">
        <v>8.18764051</v>
      </c>
      <c r="UG39" s="1533" t="n">
        <v>0.80005752</v>
      </c>
      <c r="UH39" s="1533" t="n">
        <v>0.79765752</v>
      </c>
      <c r="UI39" s="1533" t="n">
        <v>0.71814744</v>
      </c>
      <c r="UJ39" s="1533" t="n">
        <v>3.11617174</v>
      </c>
      <c r="UK39" s="1533" t="n">
        <v>3.03427748</v>
      </c>
      <c r="UL39" s="1533" t="n">
        <v>2.95855211</v>
      </c>
      <c r="UM39" s="1533" t="n">
        <v>2.91614061</v>
      </c>
      <c r="UN39" s="1533" t="n">
        <v>0.2189006</v>
      </c>
      <c r="UO39" s="1533" t="n">
        <v>0.2189006</v>
      </c>
      <c r="UP39" s="1533" t="n">
        <v>0.2189006</v>
      </c>
      <c r="UQ39" s="1533" t="n">
        <v>0.34180129</v>
      </c>
      <c r="UR39" s="1533" t="n">
        <v>0.12161296</v>
      </c>
      <c r="US39" s="1533" t="n">
        <v>0.6253944299999999</v>
      </c>
      <c r="UT39" s="1533" t="n">
        <v>0.53187628</v>
      </c>
      <c r="UU39" s="1533" t="n">
        <v>3.28051551</v>
      </c>
      <c r="UV39" s="1533" t="n">
        <v>1.85354229</v>
      </c>
      <c r="UW39" s="1533" t="n">
        <v>0.50369529</v>
      </c>
      <c r="UX39" s="1533" t="n">
        <v>0.20655744</v>
      </c>
      <c r="UY39" s="1533" t="n">
        <v>0.44333902</v>
      </c>
      <c r="UZ39" s="1533" t="n">
        <v>0.44167338</v>
      </c>
      <c r="VA39" s="1533" t="n">
        <v>0.40402683</v>
      </c>
      <c r="VB39" s="1533" t="n">
        <v>0.09123286</v>
      </c>
      <c r="VC39" s="1533" t="n">
        <v>0.1415974</v>
      </c>
      <c r="VD39" s="1533" t="n">
        <v>0.1415974</v>
      </c>
      <c r="VE39" s="1533" t="n">
        <v>0.1415974</v>
      </c>
      <c r="VF39" s="1533" t="n">
        <v>4.871044689999999</v>
      </c>
      <c r="VG39" s="1533" t="n">
        <v>2.08028021</v>
      </c>
      <c r="VH39" s="1533" t="n">
        <v>2.98700492</v>
      </c>
      <c r="VI39" s="1533" t="n">
        <v>3.07368738</v>
      </c>
      <c r="VJ39" s="1533" t="n">
        <v>1.34955864</v>
      </c>
      <c r="VK39" s="1533" t="n">
        <v>1.35207722</v>
      </c>
      <c r="VL39" s="1533" t="n">
        <v>7</v>
      </c>
      <c r="VM39" s="1533" t="n">
        <v>2.25079778</v>
      </c>
      <c r="VN39" s="1533" t="n">
        <v>2.23365281</v>
      </c>
      <c r="VO39" s="1533" t="n">
        <v>3.67589216</v>
      </c>
      <c r="VP39" s="1533" t="n">
        <v>3.67779079</v>
      </c>
      <c r="VQ39" s="1533" t="n">
        <v>2.64218656</v>
      </c>
      <c r="VR39" s="1533" t="n">
        <v>0.60836053</v>
      </c>
      <c r="VS39" s="1533" t="n">
        <v>0.57728344</v>
      </c>
      <c r="VT39" s="1533" t="n">
        <v>0.49715119</v>
      </c>
      <c r="VU39" s="1533" t="n">
        <v>0.49715119</v>
      </c>
      <c r="VV39" s="1533" t="n">
        <v>1.29981878</v>
      </c>
      <c r="VW39" s="1533" t="n">
        <v>1.29981878</v>
      </c>
      <c r="VX39" s="1533" t="n">
        <v>0.69061333</v>
      </c>
      <c r="VY39" s="1533" t="n">
        <v>0.07856741</v>
      </c>
      <c r="VZ39" s="1533" t="n">
        <v>0.07856741</v>
      </c>
      <c r="WA39" s="1533" t="n">
        <v>0.97103943</v>
      </c>
      <c r="WB39" s="1533" t="n">
        <v>1.2215682</v>
      </c>
      <c r="WC39" s="1533" t="n">
        <v>3.7486626</v>
      </c>
      <c r="WD39" s="1533" t="n">
        <v>0.27801523</v>
      </c>
      <c r="WE39" s="1533" t="n">
        <v>2.23753579</v>
      </c>
      <c r="WF39" s="1533" t="n">
        <v>2.23753579</v>
      </c>
      <c r="WG39" s="1533" t="n">
        <v>2.279397</v>
      </c>
      <c r="WH39" s="1533" t="n">
        <v>2.28269371</v>
      </c>
      <c r="WI39" s="1533" t="n">
        <v>2.28374029</v>
      </c>
      <c r="WJ39" s="1533" t="n">
        <v>0.2079107</v>
      </c>
      <c r="WK39" s="1533" t="n">
        <v>0.2079107</v>
      </c>
      <c r="WL39" s="1533" t="n">
        <v>0.2079107</v>
      </c>
      <c r="WM39" s="1533" t="n">
        <v>1.94687915</v>
      </c>
      <c r="WN39" s="1533" t="n">
        <v>1.94811202</v>
      </c>
      <c r="WO39" s="1533" t="n">
        <v>1.94601539</v>
      </c>
      <c r="WP39" s="1533" t="n">
        <v>2.91798247</v>
      </c>
      <c r="WQ39" s="1533" t="n">
        <v>3.10197902</v>
      </c>
      <c r="WR39" s="1533" t="n">
        <v>1.80325177</v>
      </c>
      <c r="WS39" s="1533" t="n">
        <v>5.66210928</v>
      </c>
      <c r="WT39" s="1533" t="n">
        <v>2.38675312</v>
      </c>
      <c r="WU39" s="1533" t="n">
        <v>2.1160196</v>
      </c>
      <c r="WV39" s="1533" t="n">
        <v>2.1160196</v>
      </c>
      <c r="WW39" s="1533" t="n">
        <v>1.7160196</v>
      </c>
      <c r="WX39" s="1533" t="n">
        <v>1.7160196</v>
      </c>
      <c r="WY39" s="1533" t="n">
        <v>1.7160196</v>
      </c>
      <c r="WZ39" s="1533" t="n">
        <v>1.7160196</v>
      </c>
      <c r="XA39" s="1533" t="n">
        <v>1.7160196</v>
      </c>
      <c r="XB39" s="1533" t="n">
        <v>1.7160196</v>
      </c>
      <c r="XC39" s="1533" t="n">
        <v>1.7160196</v>
      </c>
      <c r="XD39" s="1533" t="n">
        <v>4</v>
      </c>
      <c r="XE39" s="1533" t="n">
        <v>3.6</v>
      </c>
      <c r="XF39" s="1533" t="n">
        <v>3.6</v>
      </c>
      <c r="XG39" s="1533" t="n">
        <v>2</v>
      </c>
      <c r="XH39" s="1533" t="n">
        <v>1.6</v>
      </c>
      <c r="XI39" s="1533" t="n">
        <v>0.47</v>
      </c>
      <c r="XJ39" s="1533" t="n">
        <v>0.47</v>
      </c>
      <c r="XK39" s="1533" t="n">
        <v>0.47</v>
      </c>
      <c r="XL39" s="1533" t="n">
        <v>0.47</v>
      </c>
      <c r="XM39" s="1533" t="n">
        <v>0.47</v>
      </c>
      <c r="XN39" s="1533" t="n">
        <v>0.47</v>
      </c>
      <c r="XO39" s="1533" t="n">
        <v>0.47</v>
      </c>
      <c r="XP39" s="1533" t="n">
        <v>0.47</v>
      </c>
      <c r="XQ39" s="1533" t="n">
        <v>0.47</v>
      </c>
      <c r="XR39" s="1533" t="n">
        <v>0.47</v>
      </c>
      <c r="XS39" s="1533" t="n">
        <v>0.47</v>
      </c>
      <c r="XT39" s="1533" t="n">
        <v>0.47</v>
      </c>
      <c r="XU39" s="1533" t="n">
        <v>0.47</v>
      </c>
      <c r="XV39" s="1533" t="n">
        <v>0.47</v>
      </c>
      <c r="XW39" s="1533" t="n">
        <v>0.47</v>
      </c>
      <c r="XX39" s="1533" t="n">
        <v>0.47</v>
      </c>
      <c r="XY39" s="1533" t="n">
        <v>0.47</v>
      </c>
      <c r="XZ39" s="1533" t="n">
        <v>0.47</v>
      </c>
      <c r="YA39" s="1533" t="n">
        <v>0</v>
      </c>
      <c r="YB39" s="1533" t="n">
        <v>0</v>
      </c>
      <c r="YC39" s="1533" t="n">
        <v>0</v>
      </c>
      <c r="YD39" s="1533" t="n">
        <v>0</v>
      </c>
      <c r="YE39" s="1533" t="n">
        <v>0</v>
      </c>
      <c r="YF39" s="1533" t="n">
        <v>0</v>
      </c>
      <c r="YG39" s="1533" t="n">
        <v>0</v>
      </c>
      <c r="YH39" s="1533" t="n">
        <v>0</v>
      </c>
      <c r="YI39" s="1533" t="n">
        <v>0</v>
      </c>
      <c r="YJ39" s="1543" t="n">
        <v>0</v>
      </c>
    </row>
    <row r="40">
      <c r="B40" s="917" t="inlineStr">
        <is>
          <t>Partner 
East</t>
        </is>
      </c>
      <c r="C40" s="1532" t="n">
        <v>10.7</v>
      </c>
      <c r="D40" s="1533" t="n">
        <v>10.7</v>
      </c>
      <c r="E40" s="1533" t="n">
        <v>10.7</v>
      </c>
      <c r="F40" s="1533" t="n">
        <v>10.7</v>
      </c>
      <c r="G40" s="1533" t="n">
        <v>10.7</v>
      </c>
      <c r="H40" s="1533" t="n">
        <v>10.7</v>
      </c>
      <c r="I40" s="1533" t="n">
        <v>9</v>
      </c>
      <c r="J40" s="1533" t="n">
        <v>9</v>
      </c>
      <c r="K40" s="1533" t="n">
        <v>9</v>
      </c>
      <c r="L40" s="1533" t="n">
        <v>9</v>
      </c>
      <c r="M40" s="1533" t="n">
        <v>9</v>
      </c>
      <c r="N40" s="1533" t="n">
        <v>9</v>
      </c>
      <c r="O40" s="1533" t="n">
        <v>8.5</v>
      </c>
      <c r="P40" s="1533" t="n">
        <v>8.5</v>
      </c>
      <c r="Q40" s="1533" t="n">
        <v>8.5</v>
      </c>
      <c r="R40" s="1533" t="n">
        <v>8.5</v>
      </c>
      <c r="S40" s="1533" t="n">
        <v>7</v>
      </c>
      <c r="T40" s="1533" t="n">
        <v>7</v>
      </c>
      <c r="U40" s="1533" t="n">
        <v>7</v>
      </c>
      <c r="V40" s="1533" t="n">
        <v>7</v>
      </c>
      <c r="W40" s="1533" t="n">
        <v>7</v>
      </c>
      <c r="X40" s="1533" t="n">
        <v>7</v>
      </c>
      <c r="Y40" s="1533" t="n">
        <v>7</v>
      </c>
      <c r="Z40" s="1533" t="n">
        <v>7</v>
      </c>
      <c r="AA40" s="1533" t="n">
        <v>7</v>
      </c>
      <c r="AB40" s="1533" t="n">
        <v>5.4</v>
      </c>
      <c r="AC40" s="1533" t="n">
        <v>5.4</v>
      </c>
      <c r="AD40" s="1533" t="n">
        <v>5.4</v>
      </c>
      <c r="AE40" s="1533" t="n">
        <v>5.4</v>
      </c>
      <c r="AF40" s="1533" t="n">
        <v>5.4</v>
      </c>
      <c r="AG40" s="1533" t="n">
        <v>5.4</v>
      </c>
      <c r="AH40" s="1533" t="n">
        <v>5.4</v>
      </c>
      <c r="AI40" s="1533" t="n">
        <v>4.4</v>
      </c>
      <c r="AJ40" s="1533" t="n">
        <v>4.4</v>
      </c>
      <c r="AK40" s="1533" t="n">
        <v>4.4</v>
      </c>
      <c r="AL40" s="1533" t="n">
        <v>4.4</v>
      </c>
      <c r="AM40" s="1533" t="n">
        <v>4.4</v>
      </c>
      <c r="AN40" s="1533" t="n">
        <v>4.4</v>
      </c>
      <c r="AO40" s="1533" t="n">
        <v>4.4</v>
      </c>
      <c r="AP40" s="1533" t="n">
        <v>4.4</v>
      </c>
      <c r="AQ40" s="1533" t="n">
        <v>4.4</v>
      </c>
      <c r="AR40" s="1533" t="n">
        <v>4.4</v>
      </c>
      <c r="AS40" s="1533" t="n">
        <v>3.7</v>
      </c>
      <c r="AT40" s="1533" t="n">
        <v>3.7</v>
      </c>
      <c r="AU40" s="1533" t="n">
        <v>3.7</v>
      </c>
      <c r="AV40" s="1533" t="n">
        <v>3.7</v>
      </c>
      <c r="AW40" s="1533" t="n">
        <v>3.7</v>
      </c>
      <c r="AX40" s="1533" t="n">
        <v>3.75</v>
      </c>
      <c r="AY40" s="1533" t="n">
        <v>3.75</v>
      </c>
      <c r="AZ40" s="1533" t="n">
        <v>3.75</v>
      </c>
      <c r="BA40" s="1533" t="n">
        <v>3.75</v>
      </c>
      <c r="BB40" s="1533" t="n">
        <v>3.75</v>
      </c>
      <c r="BC40" s="1533" t="n">
        <v>3.75</v>
      </c>
      <c r="BD40" s="1533" t="n">
        <v>3.75</v>
      </c>
      <c r="BE40" s="1533" t="n">
        <v>3.75</v>
      </c>
      <c r="BF40" s="1533" t="n">
        <v>3.75</v>
      </c>
      <c r="BG40" s="1533" t="n">
        <v>3.75</v>
      </c>
      <c r="BH40" s="1533" t="n">
        <v>3.75</v>
      </c>
      <c r="BI40" s="1533" t="n">
        <v>3.75</v>
      </c>
      <c r="BJ40" s="1533" t="n">
        <v>3.75</v>
      </c>
      <c r="BK40" s="1533" t="n">
        <v>3.75</v>
      </c>
      <c r="BL40" s="1533" t="n">
        <v>3.75</v>
      </c>
      <c r="BM40" s="1533" t="n">
        <v>3.75</v>
      </c>
      <c r="BN40" s="1533" t="n">
        <v>3.75</v>
      </c>
      <c r="BO40" s="1533" t="n">
        <v>3.75</v>
      </c>
      <c r="BP40" s="1533" t="n">
        <v>3.68</v>
      </c>
      <c r="BQ40" s="1533" t="n">
        <v>3.68</v>
      </c>
      <c r="BR40" s="1533" t="n">
        <v>3.68</v>
      </c>
      <c r="BS40" s="1533" t="n">
        <v>3.68</v>
      </c>
      <c r="BT40" s="1533" t="n">
        <v>3.68</v>
      </c>
      <c r="BU40" s="1533" t="n">
        <v>3.68</v>
      </c>
      <c r="BV40" s="1533" t="n">
        <v>3.68</v>
      </c>
      <c r="BW40" s="1533" t="n">
        <v>3.68</v>
      </c>
      <c r="BX40" s="1533" t="n">
        <v>3.68</v>
      </c>
      <c r="BY40" s="1533" t="n">
        <v>3.68</v>
      </c>
      <c r="BZ40" s="1533" t="n">
        <v>3.68</v>
      </c>
      <c r="CA40" s="1533" t="n">
        <v>3.68</v>
      </c>
      <c r="CB40" s="1533" t="n">
        <v>3.68</v>
      </c>
      <c r="CC40" s="1533" t="n">
        <v>3.68</v>
      </c>
      <c r="CD40" s="1533" t="n">
        <v>3.68</v>
      </c>
      <c r="CE40" s="1533" t="n">
        <v>3.68</v>
      </c>
      <c r="CF40" s="1533" t="n">
        <v>3.68</v>
      </c>
      <c r="CG40" s="1533" t="n">
        <v>3.68</v>
      </c>
      <c r="CH40" s="1533" t="n">
        <v>3.68</v>
      </c>
      <c r="CI40" s="1533" t="n">
        <v>3.68</v>
      </c>
      <c r="CJ40" s="1533" t="n">
        <v>3.68</v>
      </c>
      <c r="CK40" s="1533" t="n">
        <v>3.68</v>
      </c>
      <c r="CL40" s="1533" t="n">
        <v>3.58</v>
      </c>
      <c r="CM40" s="1533" t="n">
        <v>3.58</v>
      </c>
      <c r="CN40" s="1533" t="n">
        <v>3.58</v>
      </c>
      <c r="CO40" s="1533" t="n">
        <v>3.58</v>
      </c>
      <c r="CP40" s="1533" t="n">
        <v>3.58</v>
      </c>
      <c r="CQ40" s="1533" t="n">
        <v>3.58</v>
      </c>
      <c r="CR40" s="1533" t="n">
        <v>3.58</v>
      </c>
      <c r="CS40" s="1533" t="n">
        <v>3.58</v>
      </c>
      <c r="CT40" s="1533" t="n">
        <v>3.58</v>
      </c>
      <c r="CU40" s="1533" t="n">
        <v>3.58</v>
      </c>
      <c r="CV40" s="1533" t="n">
        <v>3.58</v>
      </c>
      <c r="CW40" s="1533" t="n">
        <v>3.58</v>
      </c>
      <c r="CX40" s="1533" t="n">
        <v>3.58</v>
      </c>
      <c r="CY40" s="1533" t="n">
        <v>3.58</v>
      </c>
      <c r="CZ40" s="1533" t="n">
        <v>3.58</v>
      </c>
      <c r="DA40" s="1533" t="n">
        <v>3.58</v>
      </c>
      <c r="DB40" s="1533" t="n">
        <v>3.59</v>
      </c>
      <c r="DC40" s="1533" t="n">
        <v>3.6</v>
      </c>
      <c r="DD40" s="1533" t="n">
        <v>3.6</v>
      </c>
      <c r="DE40" s="1533" t="n">
        <v>3.6</v>
      </c>
      <c r="DF40" s="1533" t="n">
        <v>3.6</v>
      </c>
      <c r="DG40" s="1533" t="n">
        <v>3.6</v>
      </c>
      <c r="DH40" s="1533" t="n">
        <v>3.6</v>
      </c>
      <c r="DI40" s="1533" t="n">
        <v>3.6</v>
      </c>
      <c r="DJ40" s="1533" t="n">
        <v>3.6</v>
      </c>
      <c r="DK40" s="1533" t="n">
        <v>3.6</v>
      </c>
      <c r="DL40" s="1533" t="n">
        <v>3.6</v>
      </c>
      <c r="DM40" s="1533" t="n">
        <v>3.6</v>
      </c>
      <c r="DN40" s="1533" t="n">
        <v>3.6</v>
      </c>
      <c r="DO40" s="1533" t="n">
        <v>3.6</v>
      </c>
      <c r="DP40" s="1533" t="n">
        <v>3.6</v>
      </c>
      <c r="DQ40" s="1533" t="n">
        <v>3.6</v>
      </c>
      <c r="DR40" s="1533" t="n">
        <v>3.6</v>
      </c>
      <c r="DS40" s="1533" t="n">
        <v>3.6</v>
      </c>
      <c r="DT40" s="1533" t="n">
        <v>3.6</v>
      </c>
      <c r="DU40" s="1533" t="n">
        <v>3.6</v>
      </c>
      <c r="DV40" s="1533" t="n">
        <v>3.6</v>
      </c>
      <c r="DW40" s="1533" t="n">
        <v>3.6</v>
      </c>
      <c r="DX40" s="1533" t="n">
        <v>3.6</v>
      </c>
      <c r="DY40" s="1533" t="n">
        <v>3.6</v>
      </c>
      <c r="DZ40" s="1533" t="n">
        <v>3.6</v>
      </c>
      <c r="EA40" s="1533" t="n">
        <v>3.6</v>
      </c>
      <c r="EB40" s="1533" t="n">
        <v>3.6</v>
      </c>
      <c r="EC40" s="1533" t="n">
        <v>3.6</v>
      </c>
      <c r="ED40" s="1533" t="n">
        <v>2</v>
      </c>
      <c r="EE40" s="1533" t="n">
        <v>2</v>
      </c>
      <c r="EF40" s="1533" t="n">
        <v>2</v>
      </c>
      <c r="EG40" s="1533" t="n">
        <v>2</v>
      </c>
      <c r="EH40" s="1533" t="n">
        <v>2</v>
      </c>
      <c r="EI40" s="1533" t="n">
        <v>2</v>
      </c>
      <c r="EJ40" s="1533" t="n">
        <v>2</v>
      </c>
      <c r="EK40" s="1533" t="n">
        <v>2</v>
      </c>
      <c r="EL40" s="1533" t="n">
        <v>2</v>
      </c>
      <c r="EM40" s="1533" t="n">
        <v>2</v>
      </c>
      <c r="EN40" s="1533" t="n">
        <v>2</v>
      </c>
      <c r="EO40" s="1533" t="n">
        <v>2</v>
      </c>
      <c r="EP40" s="1533" t="n">
        <v>2</v>
      </c>
      <c r="EQ40" s="1533" t="n">
        <v>2</v>
      </c>
      <c r="ER40" s="1533" t="n">
        <v>2</v>
      </c>
      <c r="ES40" s="1533" t="n">
        <v>2</v>
      </c>
      <c r="ET40" s="1533" t="n">
        <v>2</v>
      </c>
      <c r="EU40" s="1533" t="n">
        <v>2</v>
      </c>
      <c r="EV40" s="1533" t="n">
        <v>2</v>
      </c>
      <c r="EW40" s="1533" t="n">
        <v>82</v>
      </c>
      <c r="EX40" s="1533" t="n">
        <v>18.3</v>
      </c>
      <c r="EY40" s="1533" t="n">
        <v>18.3</v>
      </c>
      <c r="EZ40" s="1533" t="n">
        <v>18.3</v>
      </c>
      <c r="FA40" s="1533" t="n">
        <v>18.37</v>
      </c>
      <c r="FB40" s="1533" t="n"/>
      <c r="FC40" s="1533" t="n">
        <v>44.2</v>
      </c>
      <c r="FD40" s="1533" t="n">
        <v>44.2</v>
      </c>
      <c r="FE40" s="1533" t="n">
        <v>44.2</v>
      </c>
      <c r="FF40" s="1533" t="n">
        <v>44.2</v>
      </c>
      <c r="FG40" s="1533" t="n">
        <v>44.2</v>
      </c>
      <c r="FH40" s="1533" t="n">
        <v>47.2</v>
      </c>
      <c r="FI40" s="1533" t="n">
        <v>46.7</v>
      </c>
      <c r="FJ40" s="1533" t="n">
        <v>46.7</v>
      </c>
      <c r="FK40" s="1533" t="n">
        <v>46.7</v>
      </c>
      <c r="FL40" s="1533" t="n">
        <v>46.8</v>
      </c>
      <c r="FM40" s="1533" t="n">
        <v>46.8</v>
      </c>
      <c r="FN40" s="1533" t="n">
        <v>46.8</v>
      </c>
      <c r="FO40" s="1533" t="n">
        <v>46.8</v>
      </c>
      <c r="FP40" s="1533" t="n">
        <v>46.8</v>
      </c>
      <c r="FQ40" s="1533" t="n">
        <v>46.8</v>
      </c>
      <c r="FR40" s="1533" t="n">
        <v>46.8</v>
      </c>
      <c r="FS40" s="1533" t="n">
        <v>46.8</v>
      </c>
      <c r="FT40" s="1533" t="n">
        <v>46.8</v>
      </c>
      <c r="FU40" s="1533" t="n">
        <v>46.8</v>
      </c>
      <c r="FV40" s="1533" t="n">
        <v>46.8</v>
      </c>
      <c r="FW40" s="1533" t="n">
        <v>46.8</v>
      </c>
      <c r="FX40" s="1533" t="n">
        <v>46.8</v>
      </c>
      <c r="FY40" s="1533" t="n">
        <v>46.8</v>
      </c>
      <c r="FZ40" s="1533" t="n">
        <v>46.8</v>
      </c>
      <c r="GA40" s="1533" t="n">
        <v>46.8</v>
      </c>
      <c r="GB40" s="1533" t="n">
        <v>46.8</v>
      </c>
      <c r="GC40" s="1533" t="n">
        <v>46.8</v>
      </c>
      <c r="GD40" s="1533" t="n">
        <v>46.8</v>
      </c>
      <c r="GE40" s="1533" t="n">
        <v>46.8</v>
      </c>
      <c r="GF40" s="1533" t="n">
        <v>46.8</v>
      </c>
      <c r="GG40" s="1533" t="n">
        <v>46.8</v>
      </c>
      <c r="GH40" s="1533" t="n">
        <v>63.7</v>
      </c>
      <c r="GI40" s="1533" t="n">
        <v>61.5</v>
      </c>
      <c r="GJ40" s="1533" t="n">
        <v>61.6</v>
      </c>
      <c r="GK40" s="1533" t="n">
        <v>61.6</v>
      </c>
      <c r="GL40" s="1533" t="n">
        <v>61.6</v>
      </c>
      <c r="GM40" s="1533" t="n">
        <v>61.6</v>
      </c>
      <c r="GN40" s="1533" t="n">
        <v>61.6</v>
      </c>
      <c r="GO40" s="1533" t="n">
        <v>61.6</v>
      </c>
      <c r="GP40" s="1533" t="n">
        <v>61.6</v>
      </c>
      <c r="GQ40" s="1533" t="n">
        <v>61.6</v>
      </c>
      <c r="GR40" s="1533" t="n">
        <v>61.6</v>
      </c>
      <c r="GS40" s="1533" t="n">
        <v>61.6</v>
      </c>
      <c r="GT40" s="1533" t="n">
        <v>61.6</v>
      </c>
      <c r="GU40" s="1533" t="n">
        <v>61.6</v>
      </c>
      <c r="GV40" s="1533" t="n">
        <v>61.6</v>
      </c>
      <c r="GW40" s="1533" t="n">
        <v>61.6</v>
      </c>
      <c r="GX40" s="1533" t="n">
        <v>61.6</v>
      </c>
      <c r="GY40" s="1533" t="n">
        <v>61.6</v>
      </c>
      <c r="GZ40" s="1533" t="n">
        <v>61.6</v>
      </c>
      <c r="HA40" s="1533" t="n">
        <v>61.6</v>
      </c>
      <c r="HB40" s="1533" t="n">
        <v>61.6</v>
      </c>
      <c r="HC40" s="1533" t="n">
        <v>61.6</v>
      </c>
      <c r="HD40" s="1533" t="n">
        <v>61.6</v>
      </c>
      <c r="HE40" s="1533" t="n">
        <v>61.5</v>
      </c>
      <c r="HF40" s="1533" t="n">
        <v>60</v>
      </c>
      <c r="HG40" s="1533" t="n">
        <v>61.5</v>
      </c>
      <c r="HH40" s="1533" t="n">
        <v>61.5</v>
      </c>
      <c r="HI40" s="1533" t="n">
        <v>61.5</v>
      </c>
      <c r="HJ40" s="1533" t="n">
        <v>412</v>
      </c>
      <c r="HK40" s="1533" t="n">
        <v>411.5</v>
      </c>
      <c r="HL40" s="1533" t="n">
        <v>411.5</v>
      </c>
      <c r="HM40" s="1533" t="n">
        <v>400.8</v>
      </c>
      <c r="HN40" s="1533" t="n">
        <v>406</v>
      </c>
      <c r="HO40" s="1533" t="n">
        <v>406</v>
      </c>
      <c r="HP40" s="1533" t="n">
        <v>472.5</v>
      </c>
      <c r="HQ40" s="1533" t="n">
        <v>472.5</v>
      </c>
      <c r="HR40" s="1533" t="n">
        <v>472.5</v>
      </c>
      <c r="HS40" s="1533" t="n">
        <v>449</v>
      </c>
      <c r="HT40" s="1533" t="n">
        <v>299</v>
      </c>
      <c r="HU40" s="1533" t="n">
        <v>299</v>
      </c>
      <c r="HV40" s="1533" t="n">
        <v>298.8</v>
      </c>
      <c r="HW40" s="1533" t="n">
        <v>298.8</v>
      </c>
      <c r="HX40" s="1533" t="n">
        <v>297</v>
      </c>
      <c r="HY40" s="1533" t="n">
        <v>297</v>
      </c>
      <c r="HZ40" s="1533" t="n">
        <v>306.9</v>
      </c>
      <c r="IA40" s="1533" t="n">
        <v>306.7</v>
      </c>
      <c r="IB40" s="1533" t="n">
        <v>306.7</v>
      </c>
      <c r="IC40" s="1533" t="n">
        <v>306.7</v>
      </c>
      <c r="ID40" s="1533" t="n">
        <v>306.7</v>
      </c>
      <c r="IE40" s="1533" t="n">
        <v>306.7</v>
      </c>
      <c r="IF40" s="1533" t="n">
        <v>306.7</v>
      </c>
      <c r="IG40" s="1533" t="n">
        <v>258</v>
      </c>
      <c r="IH40" s="1533" t="n">
        <v>256</v>
      </c>
      <c r="II40" s="1533" t="n">
        <v>256</v>
      </c>
      <c r="IJ40" s="1533" t="n">
        <v>256</v>
      </c>
      <c r="IK40" s="1533" t="n">
        <v>253</v>
      </c>
      <c r="IL40" s="1533" t="n">
        <v>253</v>
      </c>
      <c r="IM40" s="1533" t="n">
        <v>253</v>
      </c>
      <c r="IN40" s="1533" t="n">
        <v>103.4</v>
      </c>
      <c r="IO40" s="1533" t="n">
        <v>102.2</v>
      </c>
      <c r="IP40" s="1533" t="n">
        <v>90</v>
      </c>
      <c r="IQ40" s="1533" t="n">
        <v>90</v>
      </c>
      <c r="IR40" s="1533" t="n">
        <v>90</v>
      </c>
      <c r="IS40" s="1533" t="n">
        <v>76</v>
      </c>
      <c r="IT40" s="1533" t="n">
        <v>74.5</v>
      </c>
      <c r="IU40" s="1533" t="n">
        <v>74.7</v>
      </c>
      <c r="IV40" s="1533" t="n">
        <v>74.7</v>
      </c>
      <c r="IW40" s="1533" t="n">
        <v>47.7</v>
      </c>
      <c r="IX40" s="1533" t="n">
        <v>47.8</v>
      </c>
      <c r="IY40" s="1533" t="n">
        <v>21.6</v>
      </c>
      <c r="IZ40" s="1533" t="n">
        <v>21.6</v>
      </c>
      <c r="JA40" s="1533" t="n">
        <v>20.5</v>
      </c>
      <c r="JB40" s="1533" t="n">
        <v>20.5</v>
      </c>
      <c r="JC40" s="1533" t="n">
        <v>20.6</v>
      </c>
      <c r="JD40" s="1533" t="n">
        <v>20.6</v>
      </c>
      <c r="JE40" s="1533" t="n">
        <v>20.6</v>
      </c>
      <c r="JF40" s="1533" t="n">
        <v>20.6</v>
      </c>
      <c r="JG40" s="1533" t="n">
        <v>7.7</v>
      </c>
      <c r="JH40" s="1533" t="n">
        <v>7.7</v>
      </c>
      <c r="JI40" s="1533" t="n">
        <v>7.7</v>
      </c>
      <c r="JJ40" s="1533" t="n">
        <v>7.7</v>
      </c>
      <c r="JK40" s="1533" t="n">
        <v>7.7</v>
      </c>
      <c r="JL40" s="1533" t="n">
        <v>150.5</v>
      </c>
      <c r="JM40" s="1533" t="n">
        <v>148.9</v>
      </c>
      <c r="JN40" s="1533" t="n">
        <v>148.9</v>
      </c>
      <c r="JO40" s="1533" t="n">
        <v>148.9</v>
      </c>
      <c r="JP40" s="1533" t="n">
        <v>141.4</v>
      </c>
      <c r="JQ40" s="1533" t="n">
        <v>141.4</v>
      </c>
      <c r="JR40" s="1533" t="n">
        <v>141.4</v>
      </c>
      <c r="JS40" s="1533" t="n">
        <v>141.4</v>
      </c>
      <c r="JT40" s="1533" t="n">
        <v>139.5</v>
      </c>
      <c r="JU40" s="1533" t="n">
        <v>139.5</v>
      </c>
      <c r="JV40" s="1533" t="n">
        <v>139.5</v>
      </c>
      <c r="JW40" s="1533" t="n">
        <v>138.8</v>
      </c>
      <c r="JX40" s="1533" t="n">
        <v>138.8</v>
      </c>
      <c r="JY40" s="1533" t="n">
        <v>137.8</v>
      </c>
      <c r="JZ40" s="1533" t="n">
        <v>137.8</v>
      </c>
      <c r="KA40" s="1533" t="n">
        <v>137.9</v>
      </c>
      <c r="KB40" s="1533" t="n">
        <v>137.9</v>
      </c>
      <c r="KC40" s="1533" t="n">
        <v>284.7</v>
      </c>
      <c r="KD40" s="1533" t="n">
        <v>284</v>
      </c>
      <c r="KE40" s="1533" t="n">
        <v>284</v>
      </c>
      <c r="KF40" s="1533" t="n">
        <v>7.7</v>
      </c>
      <c r="KG40" s="1533" t="n">
        <v>284.3</v>
      </c>
      <c r="KH40" s="1533" t="n">
        <v>284.3</v>
      </c>
      <c r="KI40" s="1533" t="n">
        <v>264</v>
      </c>
      <c r="KJ40" s="1533" t="n">
        <v>264</v>
      </c>
      <c r="KK40" s="1533" t="n">
        <v>264</v>
      </c>
      <c r="KL40" s="1533" t="n">
        <v>264</v>
      </c>
      <c r="KM40" s="1533" t="n">
        <v>264</v>
      </c>
      <c r="KN40" s="1533" t="n">
        <v>259.8</v>
      </c>
      <c r="KO40" s="1533" t="n">
        <v>259.8</v>
      </c>
      <c r="KP40" s="1533" t="n">
        <v>259.8</v>
      </c>
      <c r="KQ40" s="1533" t="n">
        <v>259.8</v>
      </c>
      <c r="KR40" s="1533" t="n">
        <v>259.8</v>
      </c>
      <c r="KS40" s="1533" t="n">
        <v>254</v>
      </c>
      <c r="KT40" s="1533" t="n">
        <v>254</v>
      </c>
      <c r="KU40" s="1533" t="n">
        <v>254</v>
      </c>
      <c r="KV40" s="1533" t="n">
        <v>248.5</v>
      </c>
      <c r="KW40" s="1533" t="n">
        <v>248.5</v>
      </c>
      <c r="KX40" s="1533" t="n">
        <v>245.5</v>
      </c>
      <c r="KY40" s="1533" t="n">
        <v>245.5</v>
      </c>
      <c r="KZ40" s="1533" t="n">
        <v>245</v>
      </c>
      <c r="LA40" s="1533" t="n">
        <v>245</v>
      </c>
      <c r="LB40" s="1533" t="n">
        <v>245</v>
      </c>
      <c r="LC40" s="1533" t="n">
        <v>245</v>
      </c>
      <c r="LD40" s="1533" t="n">
        <v>245</v>
      </c>
      <c r="LE40" s="1533" t="n">
        <v>229</v>
      </c>
      <c r="LF40" s="1545" t="n">
        <v>229</v>
      </c>
      <c r="LG40" s="1545" t="n">
        <v>229</v>
      </c>
      <c r="LH40" s="1545" t="n">
        <v>229</v>
      </c>
      <c r="LI40" s="1545" t="n">
        <v>228</v>
      </c>
      <c r="LJ40" s="1545" t="n">
        <v>228</v>
      </c>
      <c r="LK40" s="1545" t="n">
        <v>228</v>
      </c>
      <c r="LL40" s="1545" t="n">
        <v>228</v>
      </c>
      <c r="LM40" s="1545" t="n">
        <v>228</v>
      </c>
      <c r="LN40" s="1545" t="n">
        <v>191</v>
      </c>
      <c r="LO40" s="1545" t="n">
        <v>191</v>
      </c>
      <c r="LP40" s="1545" t="n">
        <v>191</v>
      </c>
      <c r="LQ40" s="1545" t="n">
        <v>191</v>
      </c>
      <c r="LR40" s="1545" t="n">
        <v>185</v>
      </c>
      <c r="LS40" s="1545" t="n">
        <v>185</v>
      </c>
      <c r="LT40" s="1545" t="n">
        <v>185</v>
      </c>
      <c r="LU40" s="1545" t="n">
        <v>64</v>
      </c>
      <c r="LV40" s="1545" t="n">
        <v>63.3</v>
      </c>
      <c r="LW40" s="1545" t="n">
        <v>63.3</v>
      </c>
      <c r="LX40" s="1545" t="n">
        <v>63.3</v>
      </c>
      <c r="LY40" s="1545" t="n">
        <v>63.3</v>
      </c>
      <c r="LZ40" s="1545" t="n">
        <v>63.3</v>
      </c>
      <c r="MA40" s="1545" t="n">
        <v>63.3</v>
      </c>
      <c r="MB40" s="1545" t="n">
        <v>63.3</v>
      </c>
      <c r="MC40" s="1545" t="n">
        <v>63.3</v>
      </c>
      <c r="MD40" s="1545" t="n">
        <v>63.5</v>
      </c>
      <c r="ME40" s="1545" t="n">
        <v>63.5</v>
      </c>
      <c r="MF40" s="1545" t="n">
        <v>63.5</v>
      </c>
      <c r="MG40" s="1545" t="n">
        <v>63.5</v>
      </c>
      <c r="MH40" s="1545" t="n">
        <v>63.8</v>
      </c>
      <c r="MI40" s="1545" t="n">
        <v>63.8</v>
      </c>
      <c r="MJ40" s="1545" t="n">
        <v>63.8</v>
      </c>
      <c r="MK40" s="1545" t="n">
        <v>63.8</v>
      </c>
      <c r="ML40" s="1545" t="n">
        <v>63.8</v>
      </c>
      <c r="MM40" s="1545" t="n">
        <v>63.8</v>
      </c>
      <c r="MN40" s="1545" t="n">
        <v>63.8</v>
      </c>
      <c r="MO40" s="1545" t="n">
        <v>63.8</v>
      </c>
      <c r="MP40" s="1545" t="n">
        <v>63.8</v>
      </c>
      <c r="MQ40" s="1545" t="n">
        <v>64.09999999999999</v>
      </c>
      <c r="MR40" s="1545" t="n">
        <v>64.09999999999999</v>
      </c>
      <c r="MS40" s="1545" t="n">
        <v>62.5</v>
      </c>
      <c r="MT40" s="1545" t="n">
        <v>62.5</v>
      </c>
      <c r="MU40" s="1545" t="n">
        <v>62.5</v>
      </c>
      <c r="MV40" s="1545" t="n">
        <v>62.5</v>
      </c>
      <c r="MW40" s="1545" t="n">
        <v>48</v>
      </c>
      <c r="MX40" s="1545" t="n">
        <v>48</v>
      </c>
      <c r="MY40" s="1545" t="n">
        <v>48</v>
      </c>
      <c r="MZ40" s="1545" t="n">
        <v>48</v>
      </c>
      <c r="NA40" s="1545" t="n">
        <v>48</v>
      </c>
      <c r="NB40" s="1545" t="n">
        <v>48</v>
      </c>
      <c r="NC40" s="1545" t="n">
        <v>48</v>
      </c>
      <c r="ND40" s="1545" t="n">
        <v>48</v>
      </c>
      <c r="NE40" s="1545" t="n">
        <v>48</v>
      </c>
      <c r="NF40" s="1545" t="n">
        <v>48</v>
      </c>
      <c r="NG40" s="1545" t="n">
        <v>48</v>
      </c>
      <c r="NH40" s="1545" t="n">
        <v>48</v>
      </c>
      <c r="NI40" s="1545" t="n">
        <v>48</v>
      </c>
      <c r="NJ40" s="1545" t="n">
        <v>48</v>
      </c>
      <c r="NK40" s="1545" t="n">
        <v>48</v>
      </c>
      <c r="NL40" s="1545" t="n">
        <v>48</v>
      </c>
      <c r="NM40" s="1545" t="n">
        <v>48</v>
      </c>
      <c r="NN40" s="1545" t="n">
        <v>48</v>
      </c>
      <c r="NO40" s="1545" t="n">
        <v>48</v>
      </c>
      <c r="NP40" s="1545" t="n">
        <v>48</v>
      </c>
      <c r="NQ40" s="1545" t="n">
        <v>48</v>
      </c>
      <c r="NR40" s="1545" t="n">
        <v>48</v>
      </c>
      <c r="NS40" s="1545" t="n">
        <v>48</v>
      </c>
      <c r="NT40" s="1545" t="n">
        <v>48</v>
      </c>
      <c r="NU40" s="1545" t="n">
        <v>48.5</v>
      </c>
      <c r="NV40" s="1545" t="n">
        <v>48.5</v>
      </c>
      <c r="NW40" s="1545" t="n">
        <v>48.5</v>
      </c>
      <c r="NX40" s="1545" t="n">
        <v>48.5</v>
      </c>
      <c r="NY40" s="1545" t="n">
        <v>48.5</v>
      </c>
      <c r="NZ40" s="1545" t="n">
        <v>48.6</v>
      </c>
      <c r="OA40" s="1545" t="n">
        <v>48.6</v>
      </c>
      <c r="OB40" s="1545" t="n">
        <v>48.6</v>
      </c>
      <c r="OC40" s="1545" t="n">
        <v>48.6</v>
      </c>
      <c r="OD40" s="1545" t="n">
        <v>48.6</v>
      </c>
      <c r="OE40" s="1545" t="n">
        <v>48.6</v>
      </c>
      <c r="OF40" s="1545" t="n">
        <v>48.6</v>
      </c>
      <c r="OG40" s="1545" t="n">
        <v>48.5</v>
      </c>
      <c r="OH40" s="1545" t="n">
        <v>48.5</v>
      </c>
      <c r="OI40" s="1545" t="n">
        <v>48.8</v>
      </c>
      <c r="OJ40" s="1545" t="n">
        <v>48.8</v>
      </c>
      <c r="OK40" s="1545" t="n">
        <v>48.8</v>
      </c>
      <c r="OL40" s="1545" t="n">
        <v>48.8</v>
      </c>
      <c r="OM40" s="1545" t="n">
        <v>48.8</v>
      </c>
      <c r="ON40" s="1545" t="n">
        <v>48.8</v>
      </c>
      <c r="OO40" s="1545" t="n">
        <v>48.8</v>
      </c>
      <c r="OP40" s="1545" t="n">
        <v>48.8</v>
      </c>
      <c r="OQ40" s="1545" t="n">
        <v>48.8</v>
      </c>
      <c r="OR40" s="1545" t="n">
        <v>48.8</v>
      </c>
      <c r="OS40" s="1545" t="n">
        <v>47.9</v>
      </c>
      <c r="OT40" s="1545" t="n">
        <v>47.9</v>
      </c>
      <c r="OU40" s="1545" t="n">
        <v>47.9</v>
      </c>
      <c r="OV40" s="1545" t="n">
        <v>47.9</v>
      </c>
      <c r="OW40" s="1545" t="n">
        <v>47.9</v>
      </c>
      <c r="OX40" s="1545" t="n">
        <v>47.9</v>
      </c>
      <c r="OY40" s="1545" t="n">
        <v>47.9</v>
      </c>
      <c r="OZ40" s="1545" t="n">
        <v>47.9</v>
      </c>
      <c r="PA40" s="1545" t="n">
        <v>47.9</v>
      </c>
      <c r="PB40" s="1545" t="n">
        <v>48.2</v>
      </c>
      <c r="PC40" s="1545" t="n">
        <v>48.2</v>
      </c>
      <c r="PD40" s="1545" t="n">
        <v>48.2</v>
      </c>
      <c r="PE40" s="1545" t="n">
        <v>48.2</v>
      </c>
      <c r="PF40" s="1545" t="n">
        <v>48.2</v>
      </c>
      <c r="PG40" s="1545" t="n">
        <v>48.2</v>
      </c>
      <c r="PH40" s="1545" t="n">
        <v>48.2</v>
      </c>
      <c r="PI40" s="1545" t="n">
        <v>48.5</v>
      </c>
      <c r="PJ40" s="1545" t="n">
        <v>48.5</v>
      </c>
      <c r="PK40" s="1545" t="n">
        <v>48.5</v>
      </c>
      <c r="PL40" s="1545" t="n">
        <v>48.5</v>
      </c>
      <c r="PM40" s="1545" t="n">
        <v>48.5</v>
      </c>
      <c r="PN40" s="1545" t="n">
        <v>48.7</v>
      </c>
      <c r="PO40" s="1545" t="n">
        <v>48.7</v>
      </c>
      <c r="PP40" s="1545" t="n">
        <v>48.7</v>
      </c>
      <c r="PQ40" s="1545" t="n">
        <v>48.6</v>
      </c>
      <c r="PR40" s="1545" t="n">
        <v>48.6</v>
      </c>
      <c r="PS40" s="1545" t="n">
        <v>48.6</v>
      </c>
      <c r="PT40" s="1545" t="n">
        <v>48.6</v>
      </c>
      <c r="PU40" s="1545" t="n">
        <v>53.6</v>
      </c>
      <c r="PV40" s="1545" t="n">
        <v>53.6</v>
      </c>
      <c r="PW40" s="1545" t="n">
        <v>53.6</v>
      </c>
      <c r="PX40" s="1545" t="n">
        <v>53.6</v>
      </c>
      <c r="PY40" s="1545" t="n">
        <v>53.6</v>
      </c>
      <c r="PZ40" s="1545" t="n">
        <v>53.6</v>
      </c>
      <c r="QA40" s="1545" t="n">
        <v>53.6</v>
      </c>
      <c r="QB40" s="1545" t="n">
        <v>52.7</v>
      </c>
      <c r="QC40" s="1545" t="n">
        <v>52.7</v>
      </c>
      <c r="QD40" s="1545" t="n">
        <v>52.7</v>
      </c>
      <c r="QE40" s="1545" t="n">
        <v>52.7</v>
      </c>
      <c r="QF40" s="1545" t="n">
        <v>52.7</v>
      </c>
      <c r="QG40" s="1545" t="n">
        <v>52.7</v>
      </c>
      <c r="QH40" s="1545" t="n">
        <v>52.7</v>
      </c>
      <c r="QI40" s="1545" t="n">
        <v>52.7</v>
      </c>
      <c r="QJ40" s="1545" t="n">
        <v>52.7</v>
      </c>
      <c r="QK40" s="1545" t="n">
        <v>52.7</v>
      </c>
      <c r="QL40" s="1545" t="n">
        <v>52.7</v>
      </c>
      <c r="QM40" s="1545" t="n">
        <v>52.7</v>
      </c>
      <c r="QN40" s="1545" t="n">
        <v>52.7</v>
      </c>
      <c r="QO40" s="1545" t="n">
        <v>53</v>
      </c>
      <c r="QP40" s="1545" t="n">
        <v>53</v>
      </c>
      <c r="QQ40" s="1545" t="n">
        <v>53</v>
      </c>
      <c r="QR40" s="1545" t="n">
        <v>53</v>
      </c>
      <c r="QS40" s="1545" t="n">
        <v>49.6</v>
      </c>
      <c r="QT40" s="1545" t="n">
        <v>49.6</v>
      </c>
      <c r="QU40" s="1545" t="n">
        <v>49.6</v>
      </c>
      <c r="QV40" s="1545" t="n">
        <v>49.6</v>
      </c>
      <c r="QW40" s="1545" t="n">
        <v>49.6</v>
      </c>
      <c r="QX40" s="1545" t="n">
        <v>49.6</v>
      </c>
      <c r="QY40" s="1545" t="n">
        <v>49.7</v>
      </c>
      <c r="QZ40" s="1545" t="n">
        <v>49.7</v>
      </c>
      <c r="RA40" s="1545" t="n">
        <v>49.7</v>
      </c>
      <c r="RB40" s="1545" t="n">
        <v>49.7</v>
      </c>
      <c r="RC40" s="1545" t="n">
        <v>49.7</v>
      </c>
      <c r="RD40" s="1545" t="n">
        <v>49.7</v>
      </c>
      <c r="RE40" s="1545" t="n">
        <v>49.8</v>
      </c>
      <c r="RF40" s="1545" t="n">
        <v>49.8</v>
      </c>
      <c r="RG40" s="1545" t="n">
        <v>49.8</v>
      </c>
      <c r="RH40" s="1545" t="n">
        <v>50</v>
      </c>
      <c r="RI40" s="1545" t="n">
        <v>50</v>
      </c>
      <c r="RJ40" s="1545" t="n">
        <v>50</v>
      </c>
      <c r="RK40" s="1545" t="n">
        <v>50</v>
      </c>
      <c r="RL40" s="1545" t="n">
        <v>50</v>
      </c>
      <c r="RM40" s="1545" t="n">
        <v>50.3</v>
      </c>
      <c r="RN40" s="1545" t="n">
        <v>50.3</v>
      </c>
      <c r="RO40" s="1545" t="n">
        <v>50.3</v>
      </c>
      <c r="RP40" s="1545" t="n">
        <v>50.3</v>
      </c>
      <c r="RQ40" s="1545" t="n">
        <v>50.3</v>
      </c>
      <c r="RR40" s="1545" t="n">
        <v>50.3</v>
      </c>
      <c r="RS40" s="1545" t="n">
        <v>50.81336957</v>
      </c>
      <c r="RT40" s="1545" t="n">
        <v>50.81336957</v>
      </c>
      <c r="RU40" s="1545" t="n">
        <v>50.81336957</v>
      </c>
      <c r="RV40" s="1545" t="n">
        <v>50.81336957</v>
      </c>
      <c r="RW40" s="1545" t="n">
        <v>50.81336957</v>
      </c>
      <c r="RX40" s="1545" t="n">
        <v>50.81336957</v>
      </c>
      <c r="RY40" s="1545" t="n">
        <v>50.3</v>
      </c>
      <c r="RZ40" s="1545" t="n">
        <v>50.3</v>
      </c>
      <c r="SA40" s="1545" t="n">
        <v>50.5</v>
      </c>
      <c r="SB40" s="1545" t="n">
        <v>50.5</v>
      </c>
      <c r="SC40" s="1545" t="n">
        <v>50.5</v>
      </c>
      <c r="SD40" s="1545" t="n">
        <v>50.5</v>
      </c>
      <c r="SE40" s="1545" t="n">
        <v>50.7</v>
      </c>
      <c r="SF40" s="1545" t="n">
        <v>50.7</v>
      </c>
      <c r="SG40" s="1545" t="n">
        <v>50.7</v>
      </c>
      <c r="SH40" s="1545" t="n">
        <v>50.7</v>
      </c>
      <c r="SI40" s="1545" t="n">
        <v>50.8</v>
      </c>
      <c r="SJ40" s="1545" t="n">
        <v>50.8</v>
      </c>
      <c r="SK40" s="1545" t="n">
        <v>50.8</v>
      </c>
      <c r="SL40" s="1545" t="n">
        <v>50.8</v>
      </c>
      <c r="SM40" s="1545" t="n">
        <v>49.8</v>
      </c>
      <c r="SN40" s="1545" t="n">
        <v>49.8</v>
      </c>
      <c r="SO40" s="1545" t="n">
        <v>49.8</v>
      </c>
      <c r="SP40" s="1545" t="n">
        <v>49.8</v>
      </c>
      <c r="SQ40" s="1545" t="n">
        <v>49.8</v>
      </c>
      <c r="SR40" s="1545" t="n">
        <v>49.8</v>
      </c>
      <c r="SS40" s="1545" t="n">
        <v>49.9</v>
      </c>
      <c r="ST40" s="1545" t="n">
        <v>49.9</v>
      </c>
      <c r="SU40" s="1545" t="n">
        <v>49.9</v>
      </c>
      <c r="SV40" s="1545" t="n">
        <v>49.9</v>
      </c>
      <c r="SW40" s="1545" t="n">
        <v>49.9</v>
      </c>
      <c r="SX40" s="1545" t="n">
        <v>50</v>
      </c>
      <c r="SY40" s="1545" t="n">
        <v>50</v>
      </c>
      <c r="SZ40" s="1545" t="n">
        <v>50</v>
      </c>
      <c r="TA40" s="1545" t="n">
        <v>50</v>
      </c>
      <c r="TB40" s="1545" t="n">
        <v>50</v>
      </c>
      <c r="TC40" s="1545" t="n">
        <v>50</v>
      </c>
      <c r="TD40" s="1545" t="n">
        <v>50</v>
      </c>
      <c r="TE40" s="1545" t="n">
        <v>50</v>
      </c>
      <c r="TF40" s="1545" t="n">
        <v>50.2</v>
      </c>
      <c r="TG40" s="1545" t="n">
        <v>50.4</v>
      </c>
      <c r="TH40" s="1545" t="n">
        <v>50.4</v>
      </c>
      <c r="TI40" s="1545" t="n">
        <v>50.4</v>
      </c>
      <c r="TJ40" s="1545" t="n">
        <v>50.4</v>
      </c>
      <c r="TK40" s="1545" t="n">
        <v>50.4</v>
      </c>
      <c r="TL40" s="1545" t="n">
        <v>50.4</v>
      </c>
      <c r="TM40" s="1545" t="n">
        <v>48.4</v>
      </c>
      <c r="TN40" s="1545" t="n">
        <v>48.4</v>
      </c>
      <c r="TO40" s="1545" t="n">
        <v>48.5</v>
      </c>
      <c r="TP40" s="1545" t="n">
        <v>48.5</v>
      </c>
      <c r="TQ40" s="1545" t="n">
        <v>48.5</v>
      </c>
      <c r="TR40" s="1545" t="n">
        <v>65</v>
      </c>
      <c r="TS40" s="1545" t="n">
        <v>65</v>
      </c>
      <c r="TT40" s="1545" t="n">
        <v>65.40000000000001</v>
      </c>
      <c r="TU40" s="1545" t="n">
        <v>65.40000000000001</v>
      </c>
      <c r="TV40" s="1545" t="n">
        <v>65.40000000000001</v>
      </c>
      <c r="TW40" s="1545" t="n">
        <v>63.2</v>
      </c>
      <c r="TX40" s="1545" t="n">
        <v>63.2</v>
      </c>
      <c r="TY40" s="1545" t="n">
        <v>63.2</v>
      </c>
      <c r="TZ40" s="1545" t="n">
        <v>63.5</v>
      </c>
      <c r="UA40" s="1545" t="n">
        <v>63.7</v>
      </c>
      <c r="UB40" s="1545" t="n">
        <v>63.7</v>
      </c>
      <c r="UC40" s="1545" t="n">
        <v>63.7</v>
      </c>
      <c r="UD40" s="1545" t="n">
        <v>63.9</v>
      </c>
      <c r="UE40" s="1545" t="n">
        <v>63.9</v>
      </c>
      <c r="UF40" s="1545" t="n">
        <v>63.9</v>
      </c>
      <c r="UG40" s="1545" t="n">
        <v>64.2</v>
      </c>
      <c r="UH40" s="1545" t="n">
        <v>64.2</v>
      </c>
      <c r="UI40" s="1545" t="n">
        <v>64.2</v>
      </c>
      <c r="UJ40" s="1545" t="n">
        <v>63.2</v>
      </c>
      <c r="UK40" s="1545" t="n">
        <v>63.2</v>
      </c>
      <c r="UL40" s="1545" t="n">
        <v>63.2</v>
      </c>
      <c r="UM40" s="1545" t="n">
        <v>63.4</v>
      </c>
      <c r="UN40" s="1545" t="n">
        <v>63.4</v>
      </c>
      <c r="UO40" s="1545" t="n">
        <v>63.4</v>
      </c>
      <c r="UP40" s="1545" t="n">
        <v>61.4</v>
      </c>
      <c r="UQ40" s="1545" t="n">
        <v>61.4</v>
      </c>
      <c r="UR40" s="1545" t="n">
        <v>61.5</v>
      </c>
      <c r="US40" s="1545" t="n">
        <v>61.5</v>
      </c>
      <c r="UT40" s="1545" t="n">
        <v>61.5</v>
      </c>
      <c r="UU40" s="1545" t="n">
        <v>61.7</v>
      </c>
      <c r="UV40" s="1545" t="n">
        <v>61.7</v>
      </c>
      <c r="UW40" s="1545" t="n">
        <v>61.7</v>
      </c>
      <c r="UX40" s="1545" t="n">
        <v>61.7</v>
      </c>
      <c r="UY40" s="1545" t="n">
        <v>62</v>
      </c>
      <c r="UZ40" s="1545" t="n">
        <v>62</v>
      </c>
      <c r="VA40" s="1545" t="n">
        <v>62</v>
      </c>
      <c r="VB40" s="1545" t="n">
        <v>62.1</v>
      </c>
      <c r="VC40" s="1545" t="n">
        <v>62.4</v>
      </c>
      <c r="VD40" s="1545" t="n">
        <v>62.4</v>
      </c>
      <c r="VE40" s="1545" t="n">
        <v>62.4</v>
      </c>
      <c r="VF40" s="1545" t="n">
        <v>62.5</v>
      </c>
      <c r="VG40" s="1545" t="n">
        <v>62.5</v>
      </c>
      <c r="VH40" s="1545" t="n">
        <v>62.8</v>
      </c>
      <c r="VI40" s="1545" t="n">
        <v>62.8</v>
      </c>
      <c r="VJ40" s="1545" t="n">
        <v>61.9</v>
      </c>
      <c r="VK40" s="1545" t="n">
        <v>61.9</v>
      </c>
      <c r="VL40" s="1545" t="n">
        <v>61</v>
      </c>
      <c r="VM40" s="1545" t="n">
        <v>61.5</v>
      </c>
      <c r="VN40" s="1545" t="n">
        <v>61.5</v>
      </c>
      <c r="VO40" s="1545" t="n">
        <v>61.7</v>
      </c>
      <c r="VP40" s="1545" t="n">
        <v>61.7</v>
      </c>
      <c r="VQ40" s="1545" t="n">
        <v>61.7</v>
      </c>
      <c r="VR40" s="1545" t="n">
        <v>61.7</v>
      </c>
      <c r="VS40" s="1545" t="n">
        <v>61.7</v>
      </c>
      <c r="VT40" s="1545" t="n">
        <v>61</v>
      </c>
      <c r="VU40" s="1545" t="n">
        <v>61</v>
      </c>
      <c r="VV40" s="1545" t="n">
        <v>61</v>
      </c>
      <c r="VW40" s="1545" t="n">
        <v>61</v>
      </c>
      <c r="VX40" s="1545" t="n">
        <v>61.4</v>
      </c>
      <c r="VY40" s="1545" t="n">
        <v>61.4</v>
      </c>
      <c r="VZ40" s="1545" t="n">
        <v>61.4</v>
      </c>
      <c r="WA40" s="1545" t="n">
        <v>61.4</v>
      </c>
      <c r="WB40" s="1545" t="n">
        <v>61.4</v>
      </c>
      <c r="WC40" s="1545" t="n">
        <v>61.7</v>
      </c>
      <c r="WD40" s="1545" t="n">
        <v>61.7</v>
      </c>
      <c r="WE40" s="1545" t="n">
        <v>61.9</v>
      </c>
      <c r="WF40" s="1545" t="n">
        <v>61.9</v>
      </c>
      <c r="WG40" s="1545" t="n">
        <v>0.1</v>
      </c>
      <c r="WH40" s="1545" t="n">
        <v>0.1</v>
      </c>
      <c r="WI40" s="1545" t="n">
        <v>0.1</v>
      </c>
      <c r="WJ40" s="1545" t="n">
        <v>0.1</v>
      </c>
      <c r="WK40" s="1545" t="n">
        <v>0.1</v>
      </c>
      <c r="WL40" s="1545" t="n">
        <v>0.1</v>
      </c>
      <c r="WM40" s="1545" t="n">
        <v>0.1</v>
      </c>
      <c r="WN40" s="1545" t="n">
        <v>0.1</v>
      </c>
      <c r="WO40" s="1545" t="n">
        <v>0.1</v>
      </c>
      <c r="WP40" s="1545" t="n">
        <v>0.1</v>
      </c>
      <c r="WQ40" s="1545" t="n">
        <v>0.1</v>
      </c>
      <c r="WR40" s="1545" t="n">
        <v>0.1</v>
      </c>
      <c r="WS40" s="1545" t="n">
        <v>0.1</v>
      </c>
      <c r="WT40" s="1545" t="n">
        <v>0.1</v>
      </c>
      <c r="WU40" s="1545" t="n">
        <v>0.1</v>
      </c>
      <c r="WV40" s="1545" t="n">
        <v>0.1</v>
      </c>
      <c r="WW40" s="1545" t="n">
        <v>0.1</v>
      </c>
      <c r="WX40" s="1545" t="n">
        <v>0.1</v>
      </c>
      <c r="WY40" s="1545" t="n">
        <v>0.1</v>
      </c>
      <c r="WZ40" s="1545" t="n">
        <v>0.1</v>
      </c>
      <c r="XA40" s="1545" t="n">
        <v>0.1</v>
      </c>
      <c r="XB40" s="1545" t="n">
        <v>0.1</v>
      </c>
      <c r="XC40" s="1545" t="n">
        <v>0.1</v>
      </c>
      <c r="XD40" s="1545" t="n">
        <v>0.1</v>
      </c>
      <c r="XE40" s="1545" t="n">
        <v>0.1</v>
      </c>
      <c r="XF40" s="1545" t="n">
        <v>0.1</v>
      </c>
      <c r="XG40" s="1545" t="n">
        <v>0.1</v>
      </c>
      <c r="XH40" s="1545" t="n">
        <v>0.1</v>
      </c>
      <c r="XI40" s="1545" t="n">
        <v>0.1</v>
      </c>
      <c r="XJ40" s="1545" t="n">
        <v>0.1</v>
      </c>
      <c r="XK40" s="1545" t="n">
        <v>0.1</v>
      </c>
      <c r="XL40" s="1545" t="n">
        <v>0.1</v>
      </c>
      <c r="XM40" s="1545" t="n">
        <v>0.1</v>
      </c>
      <c r="XN40" s="1545" t="n">
        <v>0</v>
      </c>
      <c r="XO40" s="1545" t="n">
        <v>0</v>
      </c>
      <c r="XP40" s="1545" t="n">
        <v>0</v>
      </c>
      <c r="XQ40" s="1545" t="n">
        <v>0</v>
      </c>
      <c r="XR40" s="1545" t="n">
        <v>0</v>
      </c>
      <c r="XS40" s="1545" t="n">
        <v>5.1</v>
      </c>
      <c r="XT40" s="1545" t="n">
        <v>5.1</v>
      </c>
      <c r="XU40" s="1545" t="n">
        <v>5.1</v>
      </c>
      <c r="XV40" s="1545" t="n">
        <v>5.1</v>
      </c>
      <c r="XW40" s="1545" t="n">
        <v>5.1</v>
      </c>
      <c r="XX40" s="1545" t="n">
        <v>5.1</v>
      </c>
      <c r="XY40" s="1545" t="n">
        <v>5.1</v>
      </c>
      <c r="XZ40" s="1545" t="n">
        <v>5.1</v>
      </c>
      <c r="YA40" s="1545" t="n">
        <v>5</v>
      </c>
      <c r="YB40" s="1545" t="n">
        <v>5</v>
      </c>
      <c r="YC40" s="1545" t="n">
        <v>5</v>
      </c>
      <c r="YD40" s="1545" t="n">
        <v>5</v>
      </c>
      <c r="YE40" s="1545" t="n">
        <v>5.1</v>
      </c>
      <c r="YF40" s="1545" t="n">
        <v>5.1</v>
      </c>
      <c r="YG40" s="1545" t="n">
        <v>5.1</v>
      </c>
      <c r="YH40" s="1545" t="n">
        <v>5</v>
      </c>
      <c r="YI40" s="1545" t="n">
        <v>5</v>
      </c>
      <c r="YJ40" s="1546" t="n">
        <v>4.9</v>
      </c>
    </row>
    <row r="41">
      <c r="B41" s="1311" t="inlineStr">
        <is>
          <t>RBPI
 Voronezh</t>
        </is>
      </c>
      <c r="C41" s="1532" t="n">
        <v>22.8</v>
      </c>
      <c r="D41" s="1533" t="n">
        <v>22.8</v>
      </c>
      <c r="E41" s="1533" t="n">
        <v>22.8</v>
      </c>
      <c r="F41" s="1533" t="n">
        <v>22.8</v>
      </c>
      <c r="G41" s="1533" t="n">
        <v>22.8</v>
      </c>
      <c r="H41" s="1533" t="n">
        <v>22.8</v>
      </c>
      <c r="I41" s="1533" t="n">
        <v>22.8</v>
      </c>
      <c r="J41" s="1533" t="n">
        <v>22.8</v>
      </c>
      <c r="K41" s="1533" t="n">
        <v>22.8</v>
      </c>
      <c r="L41" s="1533" t="n">
        <v>22.8</v>
      </c>
      <c r="M41" s="1533" t="n">
        <v>22.8</v>
      </c>
      <c r="N41" s="1533" t="n">
        <v>22.7</v>
      </c>
      <c r="O41" s="1533" t="n">
        <v>22.7</v>
      </c>
      <c r="P41" s="1533" t="n">
        <v>22.7</v>
      </c>
      <c r="Q41" s="1533" t="n">
        <v>22.7</v>
      </c>
      <c r="R41" s="1533" t="n">
        <v>22.7</v>
      </c>
      <c r="S41" s="1533" t="n">
        <v>22.7</v>
      </c>
      <c r="T41" s="1533" t="n">
        <v>22.7</v>
      </c>
      <c r="U41" s="1533" t="n">
        <v>22.7</v>
      </c>
      <c r="V41" s="1533" t="n">
        <v>22.7</v>
      </c>
      <c r="W41" s="1533" t="n">
        <v>29.9</v>
      </c>
      <c r="X41" s="1533" t="n">
        <v>29.9</v>
      </c>
      <c r="Y41" s="1533" t="n">
        <v>29.9</v>
      </c>
      <c r="Z41" s="1533" t="n">
        <v>29.9</v>
      </c>
      <c r="AA41" s="1533" t="n">
        <v>29.9</v>
      </c>
      <c r="AB41" s="1533" t="n">
        <v>29.9</v>
      </c>
      <c r="AC41" s="1533" t="n">
        <v>29.9</v>
      </c>
      <c r="AD41" s="1533" t="n">
        <v>29.9</v>
      </c>
      <c r="AE41" s="1533" t="n">
        <v>29.9</v>
      </c>
      <c r="AF41" s="1533" t="n">
        <v>29.9</v>
      </c>
      <c r="AG41" s="1533" t="n">
        <v>29.9</v>
      </c>
      <c r="AH41" s="1533" t="n">
        <v>29.9</v>
      </c>
      <c r="AI41" s="1533" t="n">
        <v>29.9</v>
      </c>
      <c r="AJ41" s="1533" t="n">
        <v>29.8</v>
      </c>
      <c r="AK41" s="1533" t="n">
        <v>29.8</v>
      </c>
      <c r="AL41" s="1533" t="n">
        <v>29.8</v>
      </c>
      <c r="AM41" s="1533" t="n">
        <v>21.7</v>
      </c>
      <c r="AN41" s="1533" t="n">
        <v>21.8</v>
      </c>
      <c r="AO41" s="1533" t="n">
        <v>21.8</v>
      </c>
      <c r="AP41" s="1533" t="n">
        <v>21.8</v>
      </c>
      <c r="AQ41" s="1533" t="n">
        <v>21.5</v>
      </c>
      <c r="AR41" s="1533" t="n">
        <v>21.5</v>
      </c>
      <c r="AS41" s="1533" t="n">
        <v>21.5</v>
      </c>
      <c r="AT41" s="1533" t="n">
        <v>21.5</v>
      </c>
      <c r="AU41" s="1533" t="n">
        <v>21.5</v>
      </c>
      <c r="AV41" s="1533" t="n">
        <v>21.5</v>
      </c>
      <c r="AW41" s="1533" t="n">
        <v>21.5</v>
      </c>
      <c r="AX41" s="1533" t="n">
        <v>21.49</v>
      </c>
      <c r="AY41" s="1533" t="n">
        <v>21.49</v>
      </c>
      <c r="AZ41" s="1533" t="n">
        <v>21.5</v>
      </c>
      <c r="BA41" s="1533" t="n">
        <v>21.5</v>
      </c>
      <c r="BB41" s="1533" t="n">
        <v>21.5</v>
      </c>
      <c r="BC41" s="1533" t="n">
        <v>21.5</v>
      </c>
      <c r="BD41" s="1533" t="n">
        <v>21.2</v>
      </c>
      <c r="BE41" s="1533" t="n">
        <v>21.2</v>
      </c>
      <c r="BF41" s="1533" t="n">
        <v>21</v>
      </c>
      <c r="BG41" s="1533" t="n">
        <v>21</v>
      </c>
      <c r="BH41" s="1533" t="n">
        <v>21</v>
      </c>
      <c r="BI41" s="1533" t="n">
        <v>21</v>
      </c>
      <c r="BJ41" s="1533" t="n">
        <v>22.2</v>
      </c>
      <c r="BK41" s="1533" t="n">
        <v>22.2</v>
      </c>
      <c r="BL41" s="1533" t="n">
        <v>22.2</v>
      </c>
      <c r="BM41" s="1533" t="n">
        <v>9.300000000000001</v>
      </c>
      <c r="BN41" s="1533" t="n">
        <v>9.300000000000001</v>
      </c>
      <c r="BO41" s="1533" t="n">
        <v>9.300000000000001</v>
      </c>
      <c r="BP41" s="1533" t="n">
        <v>9</v>
      </c>
      <c r="BQ41" s="1533" t="n">
        <v>9</v>
      </c>
      <c r="BR41" s="1533" t="n">
        <v>9</v>
      </c>
      <c r="BS41" s="1533" t="n">
        <v>9</v>
      </c>
      <c r="BT41" s="1533" t="n">
        <v>9</v>
      </c>
      <c r="BU41" s="1533" t="n">
        <v>7.4</v>
      </c>
      <c r="BV41" s="1533" t="n">
        <v>7.4</v>
      </c>
      <c r="BW41" s="1533" t="n">
        <v>7.4</v>
      </c>
      <c r="BX41" s="1533" t="n">
        <v>7.4</v>
      </c>
      <c r="BY41" s="1533" t="n">
        <v>7.4</v>
      </c>
      <c r="BZ41" s="1533" t="n">
        <v>7.4</v>
      </c>
      <c r="CA41" s="1533" t="n">
        <v>7.1</v>
      </c>
      <c r="CB41" s="1533" t="n">
        <v>7.1</v>
      </c>
      <c r="CC41" s="1533" t="n">
        <v>10.5</v>
      </c>
      <c r="CD41" s="1533" t="n">
        <v>10.5</v>
      </c>
      <c r="CE41" s="1533" t="n">
        <v>10.5</v>
      </c>
      <c r="CF41" s="1533" t="n">
        <v>10.5</v>
      </c>
      <c r="CG41" s="1533" t="n">
        <v>10.5</v>
      </c>
      <c r="CH41" s="1533" t="n">
        <v>10.5</v>
      </c>
      <c r="CI41" s="1533" t="n">
        <v>10.5</v>
      </c>
      <c r="CJ41" s="1533" t="n">
        <v>10.5</v>
      </c>
      <c r="CK41" s="1533" t="n">
        <v>10.5</v>
      </c>
      <c r="CL41" s="1533" t="n">
        <v>10</v>
      </c>
      <c r="CM41" s="1533" t="n">
        <v>10</v>
      </c>
      <c r="CN41" s="1533" t="n">
        <v>10</v>
      </c>
      <c r="CO41" s="1533" t="n">
        <v>10</v>
      </c>
      <c r="CP41" s="1533" t="n">
        <v>10</v>
      </c>
      <c r="CQ41" s="1533" t="n">
        <v>0.7</v>
      </c>
      <c r="CR41" s="1533" t="n">
        <v>0.7</v>
      </c>
      <c r="CS41" s="1533" t="n">
        <v>0.7</v>
      </c>
      <c r="CT41" s="1533" t="n">
        <v>0.7</v>
      </c>
      <c r="CU41" s="1533" t="n">
        <v>0.7</v>
      </c>
      <c r="CV41" s="1533" t="n">
        <v>0.7</v>
      </c>
      <c r="CW41" s="1533" t="n">
        <v>0.4</v>
      </c>
      <c r="CX41" s="1533" t="n">
        <v>0.4</v>
      </c>
      <c r="CY41" s="1533" t="n">
        <v>8</v>
      </c>
      <c r="CZ41" s="1533" t="n">
        <v>8</v>
      </c>
      <c r="DA41" s="1533" t="n">
        <v>8</v>
      </c>
      <c r="DB41" s="1533" t="n">
        <v>8</v>
      </c>
      <c r="DC41" s="1533" t="n">
        <v>8</v>
      </c>
      <c r="DD41" s="1533" t="n">
        <v>8</v>
      </c>
      <c r="DE41" s="1533" t="n">
        <v>8</v>
      </c>
      <c r="DF41" s="1533" t="n">
        <v>8</v>
      </c>
      <c r="DG41" s="1533" t="n">
        <v>8</v>
      </c>
      <c r="DH41" s="1533" t="n">
        <v>0.4</v>
      </c>
      <c r="DI41" s="1533" t="n">
        <v>0.4</v>
      </c>
      <c r="DJ41" s="1533" t="n">
        <v>0.4</v>
      </c>
      <c r="DK41" s="1533" t="n">
        <v>0.4</v>
      </c>
      <c r="DL41" s="1533" t="n">
        <v>0.4</v>
      </c>
      <c r="DM41" s="1533" t="n">
        <v>0.4</v>
      </c>
      <c r="DN41" s="1533" t="n">
        <v>0.4</v>
      </c>
      <c r="DO41" s="1533" t="n">
        <v>0.4</v>
      </c>
      <c r="DP41" s="1533" t="n">
        <v>0.4</v>
      </c>
      <c r="DQ41" s="1533" t="n">
        <v>579.4</v>
      </c>
      <c r="DR41" s="1533" t="n">
        <v>579.4</v>
      </c>
      <c r="DS41" s="1533" t="n">
        <v>579.4</v>
      </c>
      <c r="DT41" s="1533" t="n">
        <v>1306</v>
      </c>
      <c r="DU41" s="1533" t="n">
        <v>2.9</v>
      </c>
      <c r="DV41" s="1533" t="n">
        <v>2.9</v>
      </c>
      <c r="DW41" s="1533" t="n">
        <v>3.2</v>
      </c>
      <c r="DX41" s="1533" t="n">
        <v>3.2</v>
      </c>
      <c r="DY41" s="1533" t="n">
        <v>3.2</v>
      </c>
      <c r="DZ41" s="1533" t="n">
        <v>3.2</v>
      </c>
      <c r="EA41" s="1533" t="n">
        <v>3.2</v>
      </c>
      <c r="EB41" s="1533" t="n">
        <v>3.2</v>
      </c>
      <c r="EC41" s="1533" t="n">
        <v>3.2</v>
      </c>
      <c r="ED41" s="1533" t="n">
        <v>2.9</v>
      </c>
      <c r="EE41" s="1533" t="n">
        <v>2.9</v>
      </c>
      <c r="EF41" s="1533" t="n">
        <v>2.9</v>
      </c>
      <c r="EG41" s="1533" t="n">
        <v>2.9</v>
      </c>
      <c r="EH41" s="1533" t="n">
        <v>2.9</v>
      </c>
      <c r="EI41" s="1533" t="n">
        <v>2.9</v>
      </c>
      <c r="EJ41" s="1533" t="n">
        <v>2.9</v>
      </c>
      <c r="EK41" s="1533" t="n">
        <v>2.9</v>
      </c>
      <c r="EL41" s="1533" t="n">
        <v>2.9</v>
      </c>
      <c r="EM41" s="1533" t="n">
        <v>2.8</v>
      </c>
      <c r="EN41" s="1533" t="n">
        <v>2.8</v>
      </c>
      <c r="EO41" s="1533" t="n">
        <v>195.92</v>
      </c>
      <c r="EP41" s="1533" t="n">
        <v>195.92</v>
      </c>
      <c r="EQ41" s="1533" t="n">
        <v>22</v>
      </c>
      <c r="ER41" s="1533" t="n">
        <v>22</v>
      </c>
      <c r="ES41" s="1533" t="n">
        <v>3.1</v>
      </c>
      <c r="ET41" s="1533" t="n">
        <v>3.1</v>
      </c>
      <c r="EU41" s="1533" t="n">
        <v>3.1</v>
      </c>
      <c r="EV41" s="1533" t="n">
        <v>3.1</v>
      </c>
      <c r="EW41" s="1533" t="n">
        <v>3.1</v>
      </c>
      <c r="EX41" s="1533" t="n">
        <v>3.1</v>
      </c>
      <c r="EY41" s="1533" t="n">
        <v>3.1</v>
      </c>
      <c r="EZ41" s="1533" t="n">
        <v>2.8</v>
      </c>
      <c r="FA41" s="1533" t="n">
        <v>2.8</v>
      </c>
      <c r="FB41" s="1533" t="n">
        <v>14.7</v>
      </c>
      <c r="FC41" s="1533" t="n">
        <v>2.8</v>
      </c>
      <c r="FD41" s="1533" t="n">
        <v>2.8</v>
      </c>
      <c r="FE41" s="1533" t="n">
        <v>2.8</v>
      </c>
      <c r="FF41" s="1533" t="n">
        <v>2.8</v>
      </c>
      <c r="FG41" s="1533" t="n">
        <v>2.8</v>
      </c>
      <c r="FH41" s="1533" t="n">
        <v>2.8</v>
      </c>
      <c r="FI41" s="1533" t="n">
        <v>2.5</v>
      </c>
      <c r="FJ41" s="1533" t="n">
        <v>2.5</v>
      </c>
      <c r="FK41" s="1533" t="n">
        <v>2.5</v>
      </c>
      <c r="FL41" s="1533" t="n">
        <v>2.5</v>
      </c>
      <c r="FM41" s="1533" t="n">
        <v>5.5</v>
      </c>
      <c r="FN41" s="1533" t="n">
        <v>5.5</v>
      </c>
      <c r="FO41" s="1533" t="n">
        <v>5.5</v>
      </c>
      <c r="FP41" s="1533" t="n">
        <v>5.5</v>
      </c>
      <c r="FQ41" s="1533" t="n">
        <v>5.5</v>
      </c>
      <c r="FR41" s="1533" t="n">
        <v>5.5</v>
      </c>
      <c r="FS41" s="1533" t="n">
        <v>5.5</v>
      </c>
      <c r="FT41" s="1533" t="n">
        <v>5.5</v>
      </c>
      <c r="FU41" s="1533" t="n">
        <v>5.5</v>
      </c>
      <c r="FV41" s="1533" t="n">
        <v>5.2</v>
      </c>
      <c r="FW41" s="1533" t="n">
        <v>5.2</v>
      </c>
      <c r="FX41" s="1533" t="n">
        <v>5.2</v>
      </c>
      <c r="FY41" s="1533" t="n">
        <v>5.2</v>
      </c>
      <c r="FZ41" s="1533" t="n">
        <v>5.2</v>
      </c>
      <c r="GA41" s="1533" t="n">
        <v>5.2</v>
      </c>
      <c r="GB41" s="1533" t="n">
        <v>5.2</v>
      </c>
      <c r="GC41" s="1533" t="n">
        <v>5.16</v>
      </c>
      <c r="GD41" s="1533" t="n">
        <v>5.16</v>
      </c>
      <c r="GE41" s="1533" t="n">
        <v>2.2</v>
      </c>
      <c r="GF41" s="1533" t="n">
        <v>2.2</v>
      </c>
      <c r="GG41" s="1533" t="n">
        <v>9</v>
      </c>
      <c r="GH41" s="1533" t="n">
        <v>9</v>
      </c>
      <c r="GI41" s="1533" t="n">
        <v>3.8</v>
      </c>
      <c r="GJ41" s="1533" t="n">
        <v>3.8</v>
      </c>
      <c r="GK41" s="1533" t="n">
        <v>3.85</v>
      </c>
      <c r="GL41" s="1533" t="n">
        <v>3.85</v>
      </c>
      <c r="GM41" s="1533" t="n">
        <v>3.85</v>
      </c>
      <c r="GN41" s="1533" t="n"/>
      <c r="GO41" s="1533" t="n"/>
      <c r="GP41" s="1533" t="n">
        <v>164</v>
      </c>
      <c r="GQ41" s="1533" t="n"/>
      <c r="GR41" s="1533" t="n"/>
      <c r="GS41" s="1533" t="n">
        <v>4</v>
      </c>
      <c r="GT41" s="1533" t="n">
        <v>4</v>
      </c>
      <c r="GU41" s="1533" t="n">
        <v>4</v>
      </c>
      <c r="GV41" s="1533" t="n"/>
      <c r="GW41" s="1533" t="n"/>
      <c r="GX41" s="1533" t="n"/>
      <c r="GY41" s="1533" t="n"/>
      <c r="GZ41" s="1533" t="n"/>
      <c r="HA41" s="1533" t="n"/>
      <c r="HB41" s="1533" t="n"/>
      <c r="HC41" s="1533" t="n"/>
      <c r="HD41" s="1533" t="n"/>
      <c r="HE41" s="1533" t="n"/>
      <c r="HF41" s="1533" t="n"/>
      <c r="HG41" s="1533" t="n"/>
      <c r="HH41" s="1533" t="n"/>
      <c r="HI41" s="1533" t="n"/>
      <c r="HJ41" s="1533" t="n"/>
      <c r="HK41" s="1533" t="n"/>
      <c r="HL41" s="1533" t="n"/>
      <c r="HM41" s="1533" t="n"/>
      <c r="HN41" s="1533" t="n"/>
      <c r="HO41" s="1533" t="n">
        <v>3.8</v>
      </c>
      <c r="HP41" s="1533" t="n">
        <v>3.8</v>
      </c>
      <c r="HQ41" s="1533" t="n">
        <v>5</v>
      </c>
      <c r="HR41" s="1533" t="n">
        <v>4.80774575</v>
      </c>
      <c r="HS41" s="1533" t="n">
        <v>4.5288753</v>
      </c>
      <c r="HT41" s="1533" t="n">
        <v>4.5288753</v>
      </c>
      <c r="HU41" s="1533" t="n">
        <v>4.5288753</v>
      </c>
      <c r="HV41" s="1533" t="n">
        <v>4.5288753</v>
      </c>
      <c r="HW41" s="1533" t="n">
        <v>4.5288753</v>
      </c>
      <c r="HX41" s="1533" t="n">
        <v>4.525515299999999</v>
      </c>
      <c r="HY41" s="1533" t="n">
        <v>4.525515299999999</v>
      </c>
      <c r="HZ41" s="1533" t="n">
        <v>4.15198047</v>
      </c>
      <c r="IA41" s="1533" t="n">
        <v>4.15198047</v>
      </c>
      <c r="IB41" s="1533" t="n">
        <v>4.15198047</v>
      </c>
      <c r="IC41" s="1533" t="n">
        <v>4.15198047</v>
      </c>
      <c r="ID41" s="1533" t="n">
        <v>4.15198047</v>
      </c>
      <c r="IE41" s="1533" t="n">
        <v>4.15198047</v>
      </c>
      <c r="IF41" s="1533" t="n">
        <v>4.15198047</v>
      </c>
      <c r="IG41" s="1533" t="n">
        <v>4.15198047</v>
      </c>
      <c r="IH41" s="1533" t="n">
        <v>4.15198047</v>
      </c>
      <c r="II41" s="1533" t="n">
        <v>4.15198047</v>
      </c>
      <c r="IJ41" s="1533" t="n">
        <v>4.15198047</v>
      </c>
      <c r="IK41" s="1533" t="n">
        <v>3.65620084</v>
      </c>
      <c r="IL41" s="1533" t="n">
        <v>3.65620084</v>
      </c>
      <c r="IM41" s="1533" t="n">
        <v>3.65620084</v>
      </c>
      <c r="IN41" s="1533" t="n">
        <v>4.02425901</v>
      </c>
      <c r="IO41" s="1533" t="n">
        <v>4.02425901</v>
      </c>
      <c r="IP41" s="1533" t="n">
        <v>3.77334734</v>
      </c>
      <c r="IQ41" s="1533" t="n">
        <v>3.77124734</v>
      </c>
      <c r="IR41" s="1533" t="n">
        <v>3.77124734</v>
      </c>
      <c r="IS41" s="1533" t="n">
        <v>3.77124734</v>
      </c>
      <c r="IT41" s="1533" t="n">
        <v>3.64597852</v>
      </c>
      <c r="IU41" s="1533" t="n">
        <v>3.64597852</v>
      </c>
      <c r="IV41" s="1533" t="n">
        <v>3.64597852</v>
      </c>
      <c r="IW41" s="1533" t="n">
        <v>3.60298879</v>
      </c>
      <c r="IX41" s="1533" t="n">
        <v>3.60298879</v>
      </c>
      <c r="IY41" s="1533" t="n">
        <v>3.60298879</v>
      </c>
      <c r="IZ41" s="1533" t="n">
        <v>3.60298879</v>
      </c>
      <c r="JA41" s="1533" t="n">
        <v>3.42568584</v>
      </c>
      <c r="JB41" s="1533" t="n">
        <v>3.42568584</v>
      </c>
      <c r="JC41" s="1533" t="n">
        <v>155.63678939</v>
      </c>
      <c r="JD41" s="1533" t="n">
        <v>155.6707146</v>
      </c>
      <c r="JE41" s="1533" t="n">
        <v>155.6707146</v>
      </c>
      <c r="JF41" s="1533" t="n">
        <v>155.6707146</v>
      </c>
      <c r="JG41" s="1533" t="n">
        <v>1.01131725</v>
      </c>
      <c r="JH41" s="1533" t="n">
        <v>1.01131725</v>
      </c>
      <c r="JI41" s="1533" t="n">
        <v>1.01131725</v>
      </c>
      <c r="JJ41" s="1533" t="n">
        <v>1.00921725</v>
      </c>
      <c r="JK41" s="1533" t="n">
        <v>1.00921725</v>
      </c>
      <c r="JL41" s="1533" t="n">
        <v>1.00921725</v>
      </c>
      <c r="JM41" s="1533" t="n">
        <v>0.6963811999999999</v>
      </c>
      <c r="JN41" s="1533" t="n">
        <v>0.6963811999999999</v>
      </c>
      <c r="JO41" s="1533" t="n">
        <v>0.6963811999999999</v>
      </c>
      <c r="JP41" s="1533" t="n">
        <v>0.6963811999999999</v>
      </c>
      <c r="JQ41" s="1533" t="n">
        <v>0.6963811999999999</v>
      </c>
      <c r="JR41" s="1533" t="n">
        <v>0.6963811999999999</v>
      </c>
      <c r="JS41" s="1533" t="n">
        <v>0.6963811999999999</v>
      </c>
      <c r="JT41" s="1533" t="n">
        <v>0.6599442799999999</v>
      </c>
      <c r="JU41" s="1533" t="n">
        <v>0.6599442799999999</v>
      </c>
      <c r="JV41" s="1533" t="n">
        <v>0.6599442799999999</v>
      </c>
      <c r="JW41" s="1533" t="n">
        <v>0.38947697</v>
      </c>
      <c r="JX41" s="1533" t="n">
        <v>0.38947697</v>
      </c>
      <c r="JY41" s="1533" t="n">
        <v>2.49456043</v>
      </c>
      <c r="JZ41" s="1533" t="n">
        <v>2.49456043</v>
      </c>
      <c r="KA41" s="1533" t="n">
        <v>2.69960235</v>
      </c>
      <c r="KB41" s="1533" t="n">
        <v>2.69960235</v>
      </c>
      <c r="KC41" s="1533" t="n">
        <v>2.69960235</v>
      </c>
      <c r="KD41" s="1533" t="n">
        <v>2.69960235</v>
      </c>
      <c r="KE41" s="1533" t="n">
        <v>2.69960235</v>
      </c>
      <c r="KF41" s="1533" t="n">
        <v>1.00921725</v>
      </c>
      <c r="KG41" s="1533" t="n">
        <v>2.69740235</v>
      </c>
      <c r="KH41" s="1533" t="n">
        <v>2.69740235</v>
      </c>
      <c r="KI41" s="1533" t="n">
        <v>2.43281466</v>
      </c>
      <c r="KJ41" s="1533" t="n">
        <v>2.43281466</v>
      </c>
      <c r="KK41" s="1533" t="n">
        <v>2.31164412</v>
      </c>
      <c r="KL41" s="1533" t="n">
        <v>2.29966466</v>
      </c>
      <c r="KM41" s="1533" t="n">
        <v>2.29966466</v>
      </c>
      <c r="KN41" s="1533" t="n">
        <v>2.29937852</v>
      </c>
      <c r="KO41" s="1533" t="n">
        <v>2.29937852</v>
      </c>
      <c r="KP41" s="1533" t="n">
        <v>2.29937852</v>
      </c>
      <c r="KQ41" s="1533" t="n">
        <v>2.30232756</v>
      </c>
      <c r="KR41" s="1533" t="n">
        <v>2.30232756</v>
      </c>
      <c r="KS41" s="1533" t="n">
        <v>1.89650104</v>
      </c>
      <c r="KT41" s="1533" t="n">
        <v>1.89650104</v>
      </c>
      <c r="KU41" s="1533" t="n">
        <v>2.12508422</v>
      </c>
      <c r="KV41" s="1533" t="n">
        <v>1.9155354</v>
      </c>
      <c r="KW41" s="1533" t="n">
        <v>1.9134354</v>
      </c>
      <c r="KX41" s="1533" t="n">
        <v>1.9134354</v>
      </c>
      <c r="KY41" s="1533" t="n">
        <v>1.9134354</v>
      </c>
      <c r="KZ41" s="1533" t="n">
        <v>1.67036868</v>
      </c>
      <c r="LA41" s="1533" t="n">
        <v>1.67036868</v>
      </c>
      <c r="LB41" s="1533" t="n">
        <v>1.67036868</v>
      </c>
      <c r="LC41" s="1533" t="n">
        <v>1.67036868</v>
      </c>
      <c r="LD41" s="1533" t="n">
        <v>1.67036868</v>
      </c>
      <c r="LE41" s="1533" t="n">
        <v>1.67036868</v>
      </c>
      <c r="LF41" s="1545" t="n">
        <v>1.66035466</v>
      </c>
      <c r="LG41" s="1545" t="n">
        <v>1.66035466</v>
      </c>
      <c r="LH41" s="1545" t="n">
        <v>1.66035466</v>
      </c>
      <c r="LI41" s="1545" t="n">
        <v>1.41670556</v>
      </c>
      <c r="LJ41" s="1545" t="n">
        <v>1.41670556</v>
      </c>
      <c r="LK41" s="1545" t="n">
        <v>1.41670556</v>
      </c>
      <c r="LL41" s="1545" t="n">
        <v>1.41650556</v>
      </c>
      <c r="LM41" s="1545" t="n">
        <v>1.41650556</v>
      </c>
      <c r="LN41" s="1545" t="n">
        <v>1.3953516</v>
      </c>
      <c r="LO41" s="1545" t="n">
        <v>1.3953516</v>
      </c>
      <c r="LP41" s="1545" t="n">
        <v>1.3953516</v>
      </c>
      <c r="LQ41" s="1545" t="n">
        <v>1.3843226</v>
      </c>
      <c r="LR41" s="1545" t="n">
        <v>1.3843226</v>
      </c>
      <c r="LS41" s="1545" t="n">
        <v>1.3843226</v>
      </c>
      <c r="LT41" s="1545" t="n">
        <v>1.3843226</v>
      </c>
      <c r="LU41" s="1545" t="n">
        <v>1.3843226</v>
      </c>
      <c r="LV41" s="1545" t="n">
        <v>1.1025174</v>
      </c>
      <c r="LW41" s="1545" t="n">
        <v>1.1025174</v>
      </c>
      <c r="LX41" s="1545" t="n">
        <v>1.1025174</v>
      </c>
      <c r="LY41" s="1545" t="n">
        <v>1.1025174</v>
      </c>
      <c r="LZ41" s="1545" t="n">
        <v>1.1025174</v>
      </c>
      <c r="MA41" s="1545" t="n">
        <v>1.1025174</v>
      </c>
      <c r="MB41" s="1545" t="n">
        <v>1.1025174</v>
      </c>
      <c r="MC41" s="1545" t="n">
        <v>1.1025174</v>
      </c>
      <c r="MD41" s="1545" t="n">
        <v>1.09064671</v>
      </c>
      <c r="ME41" s="1545" t="n">
        <v>1.09064671</v>
      </c>
      <c r="MF41" s="1545" t="n">
        <v>1.09064671</v>
      </c>
      <c r="MG41" s="1545" t="n">
        <v>1.09064671</v>
      </c>
      <c r="MH41" s="1545" t="n">
        <v>567.6620726500001</v>
      </c>
      <c r="MI41" s="1545" t="n">
        <v>567.6620726500001</v>
      </c>
      <c r="MJ41" s="1545" t="n">
        <v>2.78804798</v>
      </c>
      <c r="MK41" s="1545" t="n">
        <v>2.78564798</v>
      </c>
      <c r="ML41" s="1545" t="n">
        <v>2.78564798</v>
      </c>
      <c r="MM41" s="1545" t="n">
        <v>2.78564798</v>
      </c>
      <c r="MN41" s="1545" t="n">
        <v>2.78564798</v>
      </c>
      <c r="MO41" s="1545" t="n">
        <v>2.78564798</v>
      </c>
      <c r="MP41" s="1545" t="n">
        <v>2.78564798</v>
      </c>
      <c r="MQ41" s="1545" t="n">
        <v>2.46972689</v>
      </c>
      <c r="MR41" s="1545" t="n">
        <v>2.46972689</v>
      </c>
      <c r="MS41" s="1545" t="n">
        <v>2.31102178</v>
      </c>
      <c r="MT41" s="1545" t="n">
        <v>2</v>
      </c>
      <c r="MU41" s="1545" t="n">
        <v>2</v>
      </c>
      <c r="MV41" s="1545" t="n">
        <v>2</v>
      </c>
      <c r="MW41" s="1545" t="n">
        <v>2.31102178</v>
      </c>
      <c r="MX41" s="1545" t="n">
        <v>2.30282188</v>
      </c>
      <c r="MY41" s="1545" t="n">
        <v>2.30282188</v>
      </c>
      <c r="MZ41" s="1545" t="n">
        <v>2.30282188</v>
      </c>
      <c r="NA41" s="1545" t="n">
        <v>2.30282188</v>
      </c>
      <c r="NB41" s="1545" t="n">
        <v>2.30282188</v>
      </c>
      <c r="NC41" s="1545" t="n">
        <v>2.30282188</v>
      </c>
      <c r="ND41" s="1545" t="n">
        <v>2.30282188</v>
      </c>
      <c r="NE41" s="1545" t="n">
        <v>2.30282188</v>
      </c>
      <c r="NF41" s="1545" t="n">
        <v>4.692272729999999</v>
      </c>
      <c r="NG41" s="1545" t="n">
        <v>4.51233969</v>
      </c>
      <c r="NH41" s="1545" t="n">
        <v>26.51233969</v>
      </c>
      <c r="NI41" s="1545" t="n">
        <v>4.25400698</v>
      </c>
      <c r="NJ41" s="1545" t="n">
        <v>4.25400698</v>
      </c>
      <c r="NK41" s="1545" t="n">
        <v>4.251906979999999</v>
      </c>
      <c r="NL41" s="1545" t="n">
        <v>4.251906979999999</v>
      </c>
      <c r="NM41" s="1545" t="n">
        <v>3.93063161</v>
      </c>
      <c r="NN41" s="1545" t="n">
        <v>3.93063161</v>
      </c>
      <c r="NO41" s="1545" t="n">
        <v>3.93063161</v>
      </c>
      <c r="NP41" s="1545" t="n">
        <v>3.94099065</v>
      </c>
      <c r="NQ41" s="1545" t="n">
        <v>3.94099065</v>
      </c>
      <c r="NR41" s="1545" t="n">
        <v>3.94099065</v>
      </c>
      <c r="NS41" s="1545" t="n">
        <v>3.94099065</v>
      </c>
      <c r="NT41" s="1545" t="n">
        <v>3.94099065</v>
      </c>
      <c r="NU41" s="1545" t="n">
        <v>3.90298253</v>
      </c>
      <c r="NV41" s="1545" t="n">
        <v>3.90298253</v>
      </c>
      <c r="NW41" s="1545" t="n">
        <v>3.90298253</v>
      </c>
      <c r="NX41" s="1545" t="n">
        <v>3.90298253</v>
      </c>
      <c r="NY41" s="1545" t="n">
        <v>3.52850881</v>
      </c>
      <c r="NZ41" s="1545" t="n">
        <v>151.91135952</v>
      </c>
      <c r="OA41" s="1545" t="n">
        <v>151.91135952</v>
      </c>
      <c r="OB41" s="1545" t="n">
        <v>151.91135952</v>
      </c>
      <c r="OC41" s="1545" t="n">
        <v>3.76499344</v>
      </c>
      <c r="OD41" s="1545" t="n">
        <v>3.76499344</v>
      </c>
      <c r="OE41" s="1545" t="n">
        <v>3.76499344</v>
      </c>
      <c r="OF41" s="1545" t="n">
        <v>3.76499344</v>
      </c>
      <c r="OG41" s="1545" t="n">
        <v>3.76289344</v>
      </c>
      <c r="OH41" s="1545" t="n">
        <v>3.76289344</v>
      </c>
      <c r="OI41" s="1545" t="n">
        <v>1.67036868</v>
      </c>
      <c r="OJ41" s="1545" t="n">
        <v>3.62129263</v>
      </c>
      <c r="OK41" s="1545" t="n">
        <v>3.62129263</v>
      </c>
      <c r="OL41" s="1545" t="n">
        <v>3.62129263</v>
      </c>
      <c r="OM41" s="1545" t="n">
        <v>3.62129263</v>
      </c>
      <c r="ON41" s="1545" t="n">
        <v>3.62129263</v>
      </c>
      <c r="OO41" s="1545" t="n">
        <v>3.62848287</v>
      </c>
      <c r="OP41" s="1545" t="n">
        <v>3.53994483</v>
      </c>
      <c r="OQ41" s="1545" t="n">
        <v>3.53994483</v>
      </c>
      <c r="OR41" s="1545" t="n">
        <v>3.53994483</v>
      </c>
      <c r="OS41" s="1545" t="n">
        <v>3.27632664</v>
      </c>
      <c r="OT41" s="1545" t="n">
        <v>895.27632664</v>
      </c>
      <c r="OU41" s="1545" t="n">
        <v>895.27632664</v>
      </c>
      <c r="OV41" s="1545" t="n">
        <v>895.27632664</v>
      </c>
      <c r="OW41" s="1545" t="n">
        <v>4.22351292</v>
      </c>
      <c r="OX41" s="1545" t="n">
        <v>4.22351292</v>
      </c>
      <c r="OY41" s="1545" t="n">
        <v>3.86759205</v>
      </c>
      <c r="OZ41" s="1545" t="n">
        <v>3.86759205</v>
      </c>
      <c r="PA41" s="1545" t="n">
        <v>3.86759205</v>
      </c>
      <c r="PB41" s="1545" t="n">
        <v>3.87681452</v>
      </c>
      <c r="PC41" s="1545" t="n">
        <v>3.87681452</v>
      </c>
      <c r="PD41" s="1545" t="n">
        <v>3.87681452</v>
      </c>
      <c r="PE41" s="1545" t="n">
        <v>3.8687392</v>
      </c>
      <c r="PF41" s="1545" t="n">
        <v>3.8680692</v>
      </c>
      <c r="PG41" s="1545" t="n">
        <v>3.8680692</v>
      </c>
      <c r="PH41" s="1545" t="n">
        <v>3.8680692</v>
      </c>
      <c r="PI41" s="1545" t="n">
        <v>3.69224575</v>
      </c>
      <c r="PJ41" s="1545" t="n">
        <v>3.69224575</v>
      </c>
      <c r="PK41" s="1545" t="n">
        <v>3.69224575</v>
      </c>
      <c r="PL41" s="1545" t="n">
        <v>3.69224575</v>
      </c>
      <c r="PM41" s="1545" t="n">
        <v>3.69224575</v>
      </c>
      <c r="PN41" s="1545" t="n">
        <v>4.322263649999999</v>
      </c>
      <c r="PO41" s="1545" t="n">
        <v>4.322263649999999</v>
      </c>
      <c r="PP41" s="1545" t="n">
        <v>4.322263649999999</v>
      </c>
      <c r="PQ41" s="1545" t="n">
        <v>4.322263649999999</v>
      </c>
      <c r="PR41" s="1545" t="n">
        <v>4.322263649999999</v>
      </c>
      <c r="PS41" s="1545" t="n">
        <v>4.32016365</v>
      </c>
      <c r="PT41" s="1545" t="n">
        <v>4.32016365</v>
      </c>
      <c r="PU41" s="1545" t="n">
        <v>3.90276985</v>
      </c>
      <c r="PV41" s="1545" t="n">
        <v>3.90276985</v>
      </c>
      <c r="PW41" s="1545" t="n">
        <v>3.90276985</v>
      </c>
      <c r="PX41" s="1545" t="n">
        <v>3.90276985</v>
      </c>
      <c r="PY41" s="1545" t="n">
        <v>3.90276985</v>
      </c>
      <c r="PZ41" s="1545" t="n">
        <v>3.90276985</v>
      </c>
      <c r="QA41" s="1545" t="n">
        <v>3.90276985</v>
      </c>
      <c r="QB41" s="1545" t="n">
        <v>3.89276817</v>
      </c>
      <c r="QC41" s="1545" t="n">
        <v>3.89276817</v>
      </c>
      <c r="QD41" s="1545" t="n">
        <v>3.89276817</v>
      </c>
      <c r="QE41" s="1545" t="n">
        <v>3.56692072</v>
      </c>
      <c r="QF41" s="1545" t="n">
        <v>3.56692072</v>
      </c>
      <c r="QG41" s="1545" t="n">
        <v>3.56692072</v>
      </c>
      <c r="QH41" s="1545" t="n">
        <v>3.56692072</v>
      </c>
      <c r="QI41" s="1545" t="n">
        <v>4.80666146</v>
      </c>
      <c r="QJ41" s="1545" t="n">
        <v>4.80666146</v>
      </c>
      <c r="QK41" s="1545" t="n">
        <v>4.80456146</v>
      </c>
      <c r="QL41" s="1545" t="n">
        <v>4.80456146</v>
      </c>
      <c r="QM41" s="1545" t="n">
        <v>4.80456146</v>
      </c>
      <c r="QN41" s="1545" t="n">
        <v>4.372722319999999</v>
      </c>
      <c r="QO41" s="1545" t="n">
        <v>4.381677509999999</v>
      </c>
      <c r="QP41" s="1545" t="n">
        <v>4.381677509999999</v>
      </c>
      <c r="QQ41" s="1545" t="n">
        <v>4.38047751</v>
      </c>
      <c r="QR41" s="1545" t="n">
        <v>4.38047751</v>
      </c>
      <c r="QS41" s="1545" t="n">
        <v>4.26835498</v>
      </c>
      <c r="QT41" s="1545" t="n">
        <v>4.26835498</v>
      </c>
      <c r="QU41" s="1545" t="n">
        <v>4.26835498</v>
      </c>
      <c r="QV41" s="1545" t="n">
        <v>4.26835498</v>
      </c>
      <c r="QW41" s="1545" t="n">
        <v>4.26835498</v>
      </c>
      <c r="QX41" s="1545" t="n">
        <v>4.26835498</v>
      </c>
      <c r="QY41" s="1545" t="n">
        <v>551.72695307</v>
      </c>
      <c r="QZ41" s="1545" t="n">
        <v>551.72695307</v>
      </c>
      <c r="RA41" s="1545" t="n">
        <v>6.79388481</v>
      </c>
      <c r="RB41" s="1545" t="n">
        <v>6.79388481</v>
      </c>
      <c r="RC41" s="1545" t="n">
        <v>6.79388481</v>
      </c>
      <c r="RD41" s="1545" t="n">
        <v>6.79388481</v>
      </c>
      <c r="RE41" s="1545" t="n">
        <v>6.42239196</v>
      </c>
      <c r="RF41" s="1545" t="n">
        <v>6.42239196</v>
      </c>
      <c r="RG41" s="1545" t="n">
        <v>6.42239196</v>
      </c>
      <c r="RH41" s="1545" t="n">
        <v>6.16729096</v>
      </c>
      <c r="RI41" s="1545" t="n">
        <v>6.01480934</v>
      </c>
      <c r="RJ41" s="1545" t="n">
        <v>6.01480934</v>
      </c>
      <c r="RK41" s="1545" t="n">
        <v>6.01480934</v>
      </c>
      <c r="RL41" s="1545" t="n">
        <v>6.01480934</v>
      </c>
      <c r="RM41" s="1545" t="n">
        <v>6.00626371</v>
      </c>
      <c r="RN41" s="1545" t="n">
        <v>6.00626371</v>
      </c>
      <c r="RO41" s="1545" t="n">
        <v>6.00626371</v>
      </c>
      <c r="RP41" s="1545" t="n">
        <v>6.00626371</v>
      </c>
      <c r="RQ41" s="1545" t="n">
        <v>6.02014611</v>
      </c>
      <c r="RR41" s="1545" t="n">
        <v>6.02014611</v>
      </c>
      <c r="RS41" s="1545" t="n">
        <v>5.596346769999999</v>
      </c>
      <c r="RT41" s="1545" t="n">
        <v>5.596346769999999</v>
      </c>
      <c r="RU41" s="1545" t="n">
        <v>5.596346769999999</v>
      </c>
      <c r="RV41" s="1545" t="n">
        <v>5.596346769999999</v>
      </c>
      <c r="RW41" s="1545" t="n">
        <v>5.596346769999999</v>
      </c>
      <c r="RX41" s="1545" t="n">
        <v>5.596346769999999</v>
      </c>
      <c r="RY41" s="1545" t="n">
        <v>2.83100445</v>
      </c>
      <c r="RZ41" s="1545" t="n">
        <v>2.83100445</v>
      </c>
      <c r="SA41" s="1545" t="n">
        <v>2.82890445</v>
      </c>
      <c r="SB41" s="1545" t="n">
        <v>4.51555309</v>
      </c>
      <c r="SC41" s="1545" t="n">
        <v>4.51555309</v>
      </c>
      <c r="SD41" s="1545" t="n">
        <v>4.51555309</v>
      </c>
      <c r="SE41" s="1545" t="n">
        <v>4.40422925</v>
      </c>
      <c r="SF41" s="1545" t="n">
        <v>4.40422925</v>
      </c>
      <c r="SG41" s="1545" t="n">
        <v>4.40412925</v>
      </c>
      <c r="SH41" s="1545" t="n">
        <v>4.40412925</v>
      </c>
      <c r="SI41" s="1545" t="n">
        <v>4.40412925</v>
      </c>
      <c r="SJ41" s="1545" t="n">
        <v>4.40412925</v>
      </c>
      <c r="SK41" s="1545" t="n">
        <v>4.03074151</v>
      </c>
      <c r="SL41" s="1545" t="n">
        <v>4.03074151</v>
      </c>
      <c r="SM41" s="1545" t="n">
        <v>4.03074151</v>
      </c>
      <c r="SN41" s="1545" t="n">
        <v>4.03074151</v>
      </c>
      <c r="SO41" s="1545" t="n">
        <v>4.03074151</v>
      </c>
      <c r="SP41" s="1545" t="n">
        <v>2.56733832</v>
      </c>
      <c r="SQ41" s="1545" t="n">
        <v>2.56733832</v>
      </c>
      <c r="SR41" s="1545" t="n">
        <v>2.56733832</v>
      </c>
      <c r="SS41" s="1545" t="n">
        <v>2.56353832</v>
      </c>
      <c r="ST41" s="1545" t="n">
        <v>2.56353832</v>
      </c>
      <c r="SU41" s="1545" t="n">
        <v>2.56143832</v>
      </c>
      <c r="SV41" s="1545" t="n">
        <v>2.56143832</v>
      </c>
      <c r="SW41" s="1545" t="n">
        <v>2.56143832</v>
      </c>
      <c r="SX41" s="1545" t="n">
        <v>2.56143832</v>
      </c>
      <c r="SY41" s="1545" t="n">
        <v>2.56143832</v>
      </c>
      <c r="SZ41" s="1545" t="n">
        <v>2.56143832</v>
      </c>
      <c r="TA41" s="1545" t="n">
        <v>1.91706608</v>
      </c>
      <c r="TB41" s="1545" t="n">
        <v>1.91706608</v>
      </c>
      <c r="TC41" s="1545" t="n">
        <v>1.91706608</v>
      </c>
      <c r="TD41" s="1545" t="n">
        <v>1.91706608</v>
      </c>
      <c r="TE41" s="1545" t="n">
        <v>1.91706608</v>
      </c>
      <c r="TF41" s="1545" t="n"/>
      <c r="TG41" s="1545" t="n"/>
      <c r="TH41" s="1545" t="n"/>
      <c r="TI41" s="1545" t="n"/>
      <c r="TJ41" s="1545" t="n"/>
      <c r="TK41" s="1545" t="n"/>
      <c r="TL41" s="1545" t="n"/>
      <c r="TM41" s="1545" t="n"/>
      <c r="TN41" s="1545" t="n"/>
      <c r="TO41" s="1545" t="n"/>
      <c r="TP41" s="1545" t="n"/>
      <c r="TQ41" s="1545" t="n"/>
      <c r="TR41" s="1545" t="n"/>
      <c r="TS41" s="1545" t="n"/>
      <c r="TT41" s="1545" t="n"/>
      <c r="TU41" s="1545" t="n"/>
      <c r="TV41" s="1545" t="n"/>
      <c r="TW41" s="1545" t="n"/>
      <c r="TX41" s="1545" t="n"/>
      <c r="TY41" s="1545" t="n"/>
      <c r="TZ41" s="1545" t="n"/>
      <c r="UA41" s="1545" t="n"/>
      <c r="UB41" s="1545" t="n"/>
      <c r="UC41" s="1545" t="n"/>
      <c r="UD41" s="1545" t="n"/>
      <c r="UE41" s="1545" t="n"/>
      <c r="UF41" s="1545" t="n"/>
      <c r="UG41" s="1545" t="n"/>
      <c r="UH41" s="1545" t="n"/>
      <c r="UI41" s="1545" t="n"/>
      <c r="UJ41" s="1545" t="n"/>
      <c r="UK41" s="1545" t="n"/>
      <c r="UL41" s="1545" t="n"/>
      <c r="UM41" s="1545" t="n"/>
      <c r="UN41" s="1545" t="n"/>
      <c r="UO41" s="1545" t="n"/>
      <c r="UP41" s="1545" t="n"/>
      <c r="UQ41" s="1545" t="n"/>
      <c r="UR41" s="1545" t="n"/>
      <c r="US41" s="1545" t="n"/>
      <c r="UT41" s="1545" t="n"/>
      <c r="UU41" s="1545" t="n"/>
      <c r="UV41" s="1545" t="n"/>
      <c r="UW41" s="1545" t="n"/>
      <c r="UX41" s="1545" t="n"/>
      <c r="UY41" s="1545" t="n"/>
      <c r="UZ41" s="1545" t="n"/>
      <c r="VA41" s="1545" t="n"/>
      <c r="VB41" s="1545" t="n"/>
      <c r="VC41" s="1545" t="n"/>
      <c r="VD41" s="1545" t="n"/>
      <c r="VE41" s="1545" t="n"/>
      <c r="VF41" s="1545" t="n"/>
      <c r="VG41" s="1545" t="n"/>
      <c r="VH41" s="1545" t="n"/>
      <c r="VI41" s="1545" t="n"/>
      <c r="VJ41" s="1545" t="n"/>
      <c r="VK41" s="1545" t="n"/>
      <c r="VL41" s="1545" t="n"/>
      <c r="VM41" s="1545" t="n"/>
      <c r="VN41" s="1545" t="n"/>
      <c r="VO41" s="1545" t="n"/>
      <c r="VP41" s="1545" t="n"/>
      <c r="VQ41" s="1545" t="n"/>
      <c r="VR41" s="1545" t="n"/>
      <c r="VS41" s="1545" t="n"/>
      <c r="VT41" s="1545" t="n"/>
      <c r="VU41" s="1545" t="n"/>
      <c r="VV41" s="1545" t="n"/>
      <c r="VW41" s="1545" t="n"/>
      <c r="VX41" s="1545" t="n"/>
      <c r="VY41" s="1545" t="n"/>
      <c r="VZ41" s="1545" t="n"/>
      <c r="WA41" s="1545" t="n"/>
      <c r="WB41" s="1545" t="n"/>
      <c r="WC41" s="1545" t="n"/>
      <c r="WD41" s="1545" t="n"/>
      <c r="WE41" s="1545" t="n"/>
      <c r="WF41" s="1545" t="n"/>
      <c r="WG41" s="1545" t="n"/>
      <c r="WH41" s="1545" t="n"/>
      <c r="WI41" s="1545" t="n"/>
      <c r="WJ41" s="1545" t="n"/>
      <c r="WK41" s="1545" t="n"/>
      <c r="WL41" s="1545" t="n"/>
      <c r="WM41" s="1545" t="n"/>
      <c r="WN41" s="1545" t="n"/>
      <c r="WO41" s="1545" t="n"/>
      <c r="WP41" s="1545" t="n"/>
      <c r="WQ41" s="1545" t="n"/>
      <c r="WR41" s="1545" t="n"/>
      <c r="WS41" s="1545" t="n"/>
      <c r="WT41" s="1545" t="n"/>
      <c r="WU41" s="1545" t="n"/>
      <c r="WV41" s="1545" t="n"/>
      <c r="WW41" s="1545" t="n"/>
      <c r="WX41" s="1545" t="n"/>
      <c r="WY41" s="1545" t="n"/>
      <c r="WZ41" s="1545" t="n"/>
      <c r="XA41" s="1545" t="n"/>
      <c r="XB41" s="1545" t="n"/>
      <c r="XC41" s="1545" t="n"/>
      <c r="XD41" s="1545" t="n"/>
      <c r="XE41" s="1545" t="n"/>
      <c r="XF41" s="1545" t="n"/>
      <c r="XG41" s="1545" t="n"/>
      <c r="XH41" s="1545" t="n"/>
      <c r="XI41" s="1545" t="n"/>
      <c r="XJ41" s="1545" t="n"/>
      <c r="XK41" s="1545" t="n"/>
      <c r="XL41" s="1545" t="n"/>
      <c r="XM41" s="1545" t="n"/>
      <c r="XN41" s="1545" t="n"/>
      <c r="XO41" s="1545" t="n"/>
      <c r="XP41" s="1545" t="n"/>
      <c r="XQ41" s="1545" t="n"/>
      <c r="XR41" s="1545" t="n"/>
      <c r="XS41" s="1545" t="n"/>
      <c r="XT41" s="1545" t="n"/>
      <c r="XU41" s="1545" t="n"/>
      <c r="XV41" s="1545" t="n"/>
      <c r="XW41" s="1545" t="n"/>
      <c r="XX41" s="1545" t="n"/>
      <c r="XY41" s="1545" t="n"/>
      <c r="XZ41" s="1545" t="n"/>
      <c r="YA41" s="1545" t="n"/>
      <c r="YB41" s="1545" t="n"/>
      <c r="YC41" s="1545" t="n"/>
      <c r="YD41" s="1545" t="n"/>
      <c r="YE41" s="1545" t="n"/>
      <c r="YF41" s="1545" t="n"/>
      <c r="YG41" s="1545" t="n"/>
      <c r="YH41" s="1545" t="n"/>
      <c r="YI41" s="1545" t="n"/>
      <c r="YJ41" s="1546" t="n"/>
    </row>
    <row r="42"/>
    <row r="43" customFormat="1" s="948">
      <c r="B43" s="919" t="inlineStr">
        <is>
          <t xml:space="preserve">  Total RBPI Group  (M.RUB)</t>
        </is>
      </c>
      <c r="C43" s="1538">
        <f>SUM(C27:C41)</f>
        <v/>
      </c>
      <c r="D43" s="1526">
        <f>SUM(D27:D41)</f>
        <v/>
      </c>
      <c r="E43" s="1526">
        <f>SUM(E27:E41)</f>
        <v/>
      </c>
      <c r="F43" s="1526">
        <f>SUM(F27:F41)</f>
        <v/>
      </c>
      <c r="G43" s="1526">
        <f>SUM(G27:G41)</f>
        <v/>
      </c>
      <c r="H43" s="1526">
        <f>SUM(H27:H41)</f>
        <v/>
      </c>
      <c r="I43" s="1526">
        <f>SUM(I27:I41)</f>
        <v/>
      </c>
      <c r="J43" s="1526">
        <f>SUM(J27:J41)</f>
        <v/>
      </c>
      <c r="K43" s="1526">
        <f>SUM(K27:K41)</f>
        <v/>
      </c>
      <c r="L43" s="1526">
        <f>SUM(L27:L41)</f>
        <v/>
      </c>
      <c r="M43" s="1526">
        <f>SUM(M27:M41)</f>
        <v/>
      </c>
      <c r="N43" s="1526">
        <f>SUM(N27:N41)</f>
        <v/>
      </c>
      <c r="O43" s="1526">
        <f>SUM(O27:O41)</f>
        <v/>
      </c>
      <c r="P43" s="1526">
        <f>SUM(P27:P41)</f>
        <v/>
      </c>
      <c r="Q43" s="1526">
        <f>SUM(Q27:Q41)</f>
        <v/>
      </c>
      <c r="R43" s="1526">
        <f>SUM(R27:R41)</f>
        <v/>
      </c>
      <c r="S43" s="1526">
        <f>SUM(S27:S41)</f>
        <v/>
      </c>
      <c r="T43" s="1526">
        <f>SUM(T27:T41)</f>
        <v/>
      </c>
      <c r="U43" s="1526">
        <f>SUM(U27:U41)</f>
        <v/>
      </c>
      <c r="V43" s="1526">
        <f>SUM(V27:V41)</f>
        <v/>
      </c>
      <c r="W43" s="1526">
        <f>SUM(W27:W41)</f>
        <v/>
      </c>
      <c r="X43" s="1526">
        <f>SUM(X27:X41)</f>
        <v/>
      </c>
      <c r="Y43" s="1526">
        <f>SUM(Y27:Y41)</f>
        <v/>
      </c>
      <c r="Z43" s="1526">
        <f>SUM(Z27:Z41)</f>
        <v/>
      </c>
      <c r="AA43" s="1526">
        <f>SUM(AA27:AA41)</f>
        <v/>
      </c>
      <c r="AB43" s="1526">
        <f>SUM(AB27:AB41)</f>
        <v/>
      </c>
      <c r="AC43" s="1526">
        <f>SUM(AC27:AC41)</f>
        <v/>
      </c>
      <c r="AD43" s="1526">
        <f>SUM(AD27:AD41)</f>
        <v/>
      </c>
      <c r="AE43" s="1526">
        <f>SUM(AE27:AE41)</f>
        <v/>
      </c>
      <c r="AF43" s="1526">
        <f>SUM(AF27:AF41)</f>
        <v/>
      </c>
      <c r="AG43" s="1526">
        <f>SUM(AG27:AG41)</f>
        <v/>
      </c>
      <c r="AH43" s="1526">
        <f>SUM(AH27:AH41)</f>
        <v/>
      </c>
      <c r="AI43" s="1526">
        <f>SUM(AI27:AI41)</f>
        <v/>
      </c>
      <c r="AJ43" s="1526">
        <f>SUM(AJ27:AJ41)</f>
        <v/>
      </c>
      <c r="AK43" s="1526">
        <f>SUM(AK27:AK41)</f>
        <v/>
      </c>
      <c r="AL43" s="1526">
        <f>SUM(AL27:AL41)</f>
        <v/>
      </c>
      <c r="AM43" s="1526">
        <f>SUM(AM27:AM41)</f>
        <v/>
      </c>
      <c r="AN43" s="1526">
        <f>SUM(AN27:AN41)</f>
        <v/>
      </c>
      <c r="AO43" s="1526">
        <f>SUM(AO27:AO41)</f>
        <v/>
      </c>
      <c r="AP43" s="1526">
        <f>SUM(AP27:AP41)</f>
        <v/>
      </c>
      <c r="AQ43" s="1526">
        <f>SUM(AQ27:AQ41)</f>
        <v/>
      </c>
      <c r="AR43" s="1526">
        <f>SUM(AR27:AR41)</f>
        <v/>
      </c>
      <c r="AS43" s="1526">
        <f>SUM(AS27:AS41)</f>
        <v/>
      </c>
      <c r="AT43" s="1526">
        <f>SUM(AT27:AT41)</f>
        <v/>
      </c>
      <c r="AU43" s="1526">
        <f>SUM(AU27:AU41)</f>
        <v/>
      </c>
      <c r="AV43" s="1526">
        <f>SUM(AV27:AV41)</f>
        <v/>
      </c>
      <c r="AW43" s="1526">
        <f>SUM(AW27:AW41)</f>
        <v/>
      </c>
      <c r="AX43" s="1526">
        <f>SUM(AX27:AX41)</f>
        <v/>
      </c>
      <c r="AY43" s="1526">
        <f>SUM(AY27:AY41)</f>
        <v/>
      </c>
      <c r="AZ43" s="1526">
        <f>SUM(AZ27:AZ41)</f>
        <v/>
      </c>
      <c r="BA43" s="1526">
        <f>SUM(BA27:BA41)</f>
        <v/>
      </c>
      <c r="BB43" s="1526">
        <f>SUM(BB27:BB41)</f>
        <v/>
      </c>
      <c r="BC43" s="1526">
        <f>SUM(BC27:BC41)</f>
        <v/>
      </c>
      <c r="BD43" s="1526">
        <f>SUM(BD27:BD41)</f>
        <v/>
      </c>
      <c r="BE43" s="1526">
        <f>SUM(BE27:BE41)</f>
        <v/>
      </c>
      <c r="BF43" s="1526">
        <f>SUM(BF27:BF41)</f>
        <v/>
      </c>
      <c r="BG43" s="1526">
        <f>SUM(BG27:BG41)</f>
        <v/>
      </c>
      <c r="BH43" s="1526">
        <f>SUM(BH27:BH41)</f>
        <v/>
      </c>
      <c r="BI43" s="1526">
        <f>SUM(BI27:BI41)</f>
        <v/>
      </c>
      <c r="BJ43" s="1526">
        <f>SUM(BJ27:BJ41)</f>
        <v/>
      </c>
      <c r="BK43" s="1526">
        <f>SUM(BK27:BK41)</f>
        <v/>
      </c>
      <c r="BL43" s="1526">
        <f>SUM(BL27:BL41)</f>
        <v/>
      </c>
      <c r="BM43" s="1526">
        <f>SUM(BM27:BM41)</f>
        <v/>
      </c>
      <c r="BN43" s="1526">
        <f>SUM(BN27:BN41)</f>
        <v/>
      </c>
      <c r="BO43" s="1526">
        <f>SUM(BO27:BO41)</f>
        <v/>
      </c>
      <c r="BP43" s="1526">
        <f>SUM(BP27:BP41)</f>
        <v/>
      </c>
      <c r="BQ43" s="1526">
        <f>SUM(BQ27:BQ41)</f>
        <v/>
      </c>
      <c r="BR43" s="1526">
        <f>SUM(BR27:BR41)</f>
        <v/>
      </c>
      <c r="BS43" s="1526">
        <f>SUM(BS27:BS41)</f>
        <v/>
      </c>
      <c r="BT43" s="1526">
        <f>SUM(BT27:BT41)</f>
        <v/>
      </c>
      <c r="BU43" s="1526">
        <f>SUM(BU27:BU41)</f>
        <v/>
      </c>
      <c r="BV43" s="1526">
        <f>SUM(BV27:BV41)</f>
        <v/>
      </c>
      <c r="BW43" s="1526">
        <f>SUM(BW27:BW41)</f>
        <v/>
      </c>
      <c r="BX43" s="1526">
        <f>SUM(BX27:BX41)</f>
        <v/>
      </c>
      <c r="BY43" s="1526">
        <f>SUM(BY27:BY41)</f>
        <v/>
      </c>
      <c r="BZ43" s="1526">
        <f>SUM(BZ27:BZ41)</f>
        <v/>
      </c>
      <c r="CA43" s="1526">
        <f>SUM(CA27:CA41)</f>
        <v/>
      </c>
      <c r="CB43" s="1526">
        <f>SUM(CB27:CB41)</f>
        <v/>
      </c>
      <c r="CC43" s="1526">
        <f>SUM(CC27:CC41)</f>
        <v/>
      </c>
      <c r="CD43" s="1526">
        <f>SUM(CD27:CD41)</f>
        <v/>
      </c>
      <c r="CE43" s="1526">
        <f>SUM(CE27:CE41)</f>
        <v/>
      </c>
      <c r="CF43" s="1526">
        <f>SUM(CF27:CF41)</f>
        <v/>
      </c>
      <c r="CG43" s="1526">
        <f>SUM(CG27:CG41)</f>
        <v/>
      </c>
      <c r="CH43" s="1526">
        <f>SUM(CH27:CH41)</f>
        <v/>
      </c>
      <c r="CI43" s="1526">
        <f>SUM(CI27:CI41)</f>
        <v/>
      </c>
      <c r="CJ43" s="1526">
        <f>SUM(CJ27:CJ41)</f>
        <v/>
      </c>
      <c r="CK43" s="1526">
        <f>SUM(CK27:CK41)</f>
        <v/>
      </c>
      <c r="CL43" s="1526">
        <f>SUM(CL27:CL41)</f>
        <v/>
      </c>
      <c r="CM43" s="1526">
        <f>SUM(CM27:CM41)</f>
        <v/>
      </c>
      <c r="CN43" s="1526">
        <f>SUM(CN27:CN41)</f>
        <v/>
      </c>
      <c r="CO43" s="1526">
        <f>SUM(CO27:CO41)</f>
        <v/>
      </c>
      <c r="CP43" s="1526">
        <f>SUM(CP27:CP41)</f>
        <v/>
      </c>
      <c r="CQ43" s="1526">
        <f>SUM(CQ27:CQ41)</f>
        <v/>
      </c>
      <c r="CR43" s="1526">
        <f>SUM(CR27:CR41)</f>
        <v/>
      </c>
      <c r="CS43" s="1526">
        <f>SUM(CS27:CS41)</f>
        <v/>
      </c>
      <c r="CT43" s="1526">
        <f>SUM(CT27:CT41)</f>
        <v/>
      </c>
      <c r="CU43" s="1526">
        <f>SUM(CU27:CU41)</f>
        <v/>
      </c>
      <c r="CV43" s="1526">
        <f>SUM(CV27:CV41)</f>
        <v/>
      </c>
      <c r="CW43" s="1526">
        <f>SUM(CW27:CW41)</f>
        <v/>
      </c>
      <c r="CX43" s="1526">
        <f>SUM(CX27:CX41)</f>
        <v/>
      </c>
      <c r="CY43" s="1526">
        <f>SUM(CY27:CY41)</f>
        <v/>
      </c>
      <c r="CZ43" s="1526">
        <f>SUM(CZ27:CZ41)</f>
        <v/>
      </c>
      <c r="DA43" s="1526">
        <f>SUM(DA27:DA41)</f>
        <v/>
      </c>
      <c r="DB43" s="1526">
        <f>SUM(DB27:DB41)</f>
        <v/>
      </c>
      <c r="DC43" s="1526">
        <f>SUM(DC27:DC41)</f>
        <v/>
      </c>
      <c r="DD43" s="1526">
        <f>SUM(DD27:DD41)</f>
        <v/>
      </c>
      <c r="DE43" s="1526">
        <f>SUM(DE27:DE41)</f>
        <v/>
      </c>
      <c r="DF43" s="1526">
        <f>SUM(DF27:DF41)</f>
        <v/>
      </c>
      <c r="DG43" s="1526">
        <f>SUM(DG27:DG41)</f>
        <v/>
      </c>
      <c r="DH43" s="1526">
        <f>SUM(DH27:DH41)</f>
        <v/>
      </c>
      <c r="DI43" s="1526">
        <f>SUM(DI27:DI41)</f>
        <v/>
      </c>
      <c r="DJ43" s="1526">
        <f>SUM(DJ27:DJ41)</f>
        <v/>
      </c>
      <c r="DK43" s="1526">
        <f>SUM(DK27:DK41)</f>
        <v/>
      </c>
      <c r="DL43" s="1526">
        <f>SUM(DL27:DL41)</f>
        <v/>
      </c>
      <c r="DM43" s="1526">
        <f>SUM(DM27:DM41)</f>
        <v/>
      </c>
      <c r="DN43" s="1526">
        <f>SUM(DN27:DN41)</f>
        <v/>
      </c>
      <c r="DO43" s="1526">
        <f>SUM(DO27:DO41)</f>
        <v/>
      </c>
      <c r="DP43" s="1526">
        <f>SUM(DP27:DP41)</f>
        <v/>
      </c>
      <c r="DQ43" s="1526">
        <f>SUM(DQ27:DQ41)</f>
        <v/>
      </c>
      <c r="DR43" s="1526">
        <f>SUM(DR27:DR41)</f>
        <v/>
      </c>
      <c r="DS43" s="1526">
        <f>SUM(DS27:DS41)</f>
        <v/>
      </c>
      <c r="DT43" s="1526">
        <f>SUM(DT27:DT41)</f>
        <v/>
      </c>
      <c r="DU43" s="1526">
        <f>SUM(DU27:DU41)</f>
        <v/>
      </c>
      <c r="DV43" s="1526">
        <f>SUM(DV27:DV41)</f>
        <v/>
      </c>
      <c r="DW43" s="1526">
        <f>SUM(DW27:DW41)</f>
        <v/>
      </c>
      <c r="DX43" s="1526">
        <f>SUM(DX27:DX41)</f>
        <v/>
      </c>
      <c r="DY43" s="1526">
        <f>SUM(DY27:DY41)</f>
        <v/>
      </c>
      <c r="DZ43" s="1526">
        <f>SUM(DZ27:DZ41)</f>
        <v/>
      </c>
      <c r="EA43" s="1526">
        <f>SUM(EA27:EA41)</f>
        <v/>
      </c>
      <c r="EB43" s="1526">
        <f>SUM(EB27:EB41)</f>
        <v/>
      </c>
      <c r="EC43" s="1526">
        <f>SUM(EC27:EC41)</f>
        <v/>
      </c>
      <c r="ED43" s="1526">
        <f>SUM(ED27:ED41)</f>
        <v/>
      </c>
      <c r="EE43" s="1526">
        <f>SUM(EE27:EE41)</f>
        <v/>
      </c>
      <c r="EF43" s="1526">
        <f>SUM(EF27:EF41)</f>
        <v/>
      </c>
      <c r="EG43" s="1526">
        <f>SUM(EG27:EG41)</f>
        <v/>
      </c>
      <c r="EH43" s="1526">
        <f>SUM(EH27:EH41)</f>
        <v/>
      </c>
      <c r="EI43" s="1526">
        <f>SUM(EI27:EI41)</f>
        <v/>
      </c>
      <c r="EJ43" s="1526">
        <f>SUM(EJ27:EJ41)</f>
        <v/>
      </c>
      <c r="EK43" s="1526">
        <f>SUM(EK27:EK41)</f>
        <v/>
      </c>
      <c r="EL43" s="1526">
        <f>SUM(EL27:EL41)</f>
        <v/>
      </c>
      <c r="EM43" s="1526">
        <f>SUM(EM27:EM41)</f>
        <v/>
      </c>
      <c r="EN43" s="1526">
        <f>SUM(EN27:EN41)</f>
        <v/>
      </c>
      <c r="EO43" s="1526">
        <f>SUM(EO27:EO41)</f>
        <v/>
      </c>
      <c r="EP43" s="1526">
        <f>SUM(EP27:EP41)</f>
        <v/>
      </c>
      <c r="EQ43" s="1526">
        <f>SUM(EQ27:EQ41)</f>
        <v/>
      </c>
      <c r="ER43" s="1526">
        <f>SUM(ER27:ER41)</f>
        <v/>
      </c>
      <c r="ES43" s="1526">
        <f>SUM(ES27:ES41)</f>
        <v/>
      </c>
      <c r="ET43" s="1526">
        <f>SUM(ET27:ET41)</f>
        <v/>
      </c>
      <c r="EU43" s="1526">
        <f>SUM(EU27:EU41)</f>
        <v/>
      </c>
      <c r="EV43" s="1526">
        <f>SUM(EV27:EV41)</f>
        <v/>
      </c>
      <c r="EW43" s="1526">
        <f>SUM(EW27:EW41)</f>
        <v/>
      </c>
      <c r="EX43" s="1526">
        <f>SUM(EX27:EX41)</f>
        <v/>
      </c>
      <c r="EY43" s="1526">
        <f>SUM(EY27:EY41)</f>
        <v/>
      </c>
      <c r="EZ43" s="1526">
        <f>SUM(EZ27:EZ41)</f>
        <v/>
      </c>
      <c r="FA43" s="1526">
        <f>SUM(FA27:FA41)</f>
        <v/>
      </c>
      <c r="FB43" s="1526">
        <f>SUM(FB27:FB41)</f>
        <v/>
      </c>
      <c r="FC43" s="1526">
        <f>SUM(FC27:FC41)</f>
        <v/>
      </c>
      <c r="FD43" s="1526">
        <f>SUM(FD27:FD41)</f>
        <v/>
      </c>
      <c r="FE43" s="1526">
        <f>SUM(FE27:FE41)</f>
        <v/>
      </c>
      <c r="FF43" s="1526">
        <f>SUM(FF27:FF41)</f>
        <v/>
      </c>
      <c r="FG43" s="1526">
        <f>SUM(FG27:FG41)</f>
        <v/>
      </c>
      <c r="FH43" s="1526">
        <f>SUM(FH27:FH41)</f>
        <v/>
      </c>
      <c r="FI43" s="1526">
        <f>SUM(FI27:FI41)</f>
        <v/>
      </c>
      <c r="FJ43" s="1526">
        <f>SUM(FJ27:FJ41)</f>
        <v/>
      </c>
      <c r="FK43" s="1526">
        <f>SUM(FK27:FK41)</f>
        <v/>
      </c>
      <c r="FL43" s="1526">
        <f>SUM(FL27:FL41)</f>
        <v/>
      </c>
      <c r="FM43" s="1526">
        <f>SUM(FM27:FM41)</f>
        <v/>
      </c>
      <c r="FN43" s="1526">
        <f>SUM(FN27:FN41)</f>
        <v/>
      </c>
      <c r="FO43" s="1526">
        <f>SUM(FO27:FO41)</f>
        <v/>
      </c>
      <c r="FP43" s="1526">
        <f>SUM(FP27:FP41)</f>
        <v/>
      </c>
      <c r="FQ43" s="1526">
        <f>SUM(FQ27:FQ41)</f>
        <v/>
      </c>
      <c r="FR43" s="1526">
        <f>SUM(FR27:FR41)</f>
        <v/>
      </c>
      <c r="FS43" s="1526">
        <f>SUM(FS27:FS41)</f>
        <v/>
      </c>
      <c r="FT43" s="1526">
        <f>SUM(FT27:FT41)</f>
        <v/>
      </c>
      <c r="FU43" s="1526">
        <f>SUM(FU27:FU41)</f>
        <v/>
      </c>
      <c r="FV43" s="1526">
        <f>SUM(FV27:FV41)</f>
        <v/>
      </c>
      <c r="FW43" s="1526">
        <f>SUM(FW27:FW41)</f>
        <v/>
      </c>
      <c r="FX43" s="1526">
        <f>SUM(FX27:FX41)</f>
        <v/>
      </c>
      <c r="FY43" s="1526">
        <f>SUM(FY27:FY41)</f>
        <v/>
      </c>
      <c r="FZ43" s="1526">
        <f>SUM(FZ27:FZ41)</f>
        <v/>
      </c>
      <c r="GA43" s="1526">
        <f>SUM(GA27:GA41)</f>
        <v/>
      </c>
      <c r="GB43" s="1526">
        <f>SUM(GB27:GB41)</f>
        <v/>
      </c>
      <c r="GC43" s="1526">
        <f>SUM(GC27:GC41)</f>
        <v/>
      </c>
      <c r="GD43" s="1526">
        <f>SUM(GD27:GD41)</f>
        <v/>
      </c>
      <c r="GE43" s="1526">
        <f>SUM(GE27:GE41)</f>
        <v/>
      </c>
      <c r="GF43" s="1526">
        <f>SUM(GF27:GF41)</f>
        <v/>
      </c>
      <c r="GG43" s="1526">
        <f>SUM(GG27:GG41)</f>
        <v/>
      </c>
      <c r="GH43" s="1526">
        <f>SUM(GH27:GH41)</f>
        <v/>
      </c>
      <c r="GI43" s="1526">
        <f>SUM(GI27:GI41)</f>
        <v/>
      </c>
      <c r="GJ43" s="1526">
        <f>SUM(GJ27:GJ41)</f>
        <v/>
      </c>
      <c r="GK43" s="1526">
        <f>SUM(GK27:GK41)</f>
        <v/>
      </c>
      <c r="GL43" s="1526">
        <f>SUM(GL27:GL41)</f>
        <v/>
      </c>
      <c r="GM43" s="1526">
        <f>SUM(GM27:GM41)</f>
        <v/>
      </c>
      <c r="GN43" s="1526">
        <f>SUM(GN27:GN41)</f>
        <v/>
      </c>
      <c r="GO43" s="1526">
        <f>SUM(GO27:GO41)</f>
        <v/>
      </c>
      <c r="GP43" s="1526">
        <f>SUM(GP27:GP41)</f>
        <v/>
      </c>
      <c r="GQ43" s="1526">
        <f>SUM(GQ27:GQ41)</f>
        <v/>
      </c>
      <c r="GR43" s="1526">
        <f>SUM(GR27:GR41)</f>
        <v/>
      </c>
      <c r="GS43" s="1526">
        <f>SUM(GS27:GS41)</f>
        <v/>
      </c>
      <c r="GT43" s="1526">
        <f>SUM(GT27:GT41)</f>
        <v/>
      </c>
      <c r="GU43" s="1526">
        <f>SUM(GU27:GU41)</f>
        <v/>
      </c>
      <c r="GV43" s="1526">
        <f>SUM(GV27:GV41)</f>
        <v/>
      </c>
      <c r="GW43" s="1526">
        <f>SUM(GW27:GW41)</f>
        <v/>
      </c>
      <c r="GX43" s="1526">
        <f>SUM(GX27:GX41)</f>
        <v/>
      </c>
      <c r="GY43" s="1526">
        <f>SUM(GY27:GY41)</f>
        <v/>
      </c>
      <c r="GZ43" s="1526">
        <f>SUM(GZ27:GZ41)</f>
        <v/>
      </c>
      <c r="HA43" s="1526">
        <f>SUM(HA27:HA41)</f>
        <v/>
      </c>
      <c r="HB43" s="1526">
        <f>SUM(HB27:HB41)</f>
        <v/>
      </c>
      <c r="HC43" s="1526">
        <f>SUM(HC27:HC41)</f>
        <v/>
      </c>
      <c r="HD43" s="1526">
        <f>SUM(HD27:HD41)</f>
        <v/>
      </c>
      <c r="HE43" s="1526">
        <f>SUM(HE27:HE41)</f>
        <v/>
      </c>
      <c r="HF43" s="1526">
        <f>SUM(HF27:HF41)</f>
        <v/>
      </c>
      <c r="HG43" s="1526">
        <f>SUM(HG27:HG41)</f>
        <v/>
      </c>
      <c r="HH43" s="1526">
        <f>SUM(HH27:HH41)</f>
        <v/>
      </c>
      <c r="HI43" s="1526">
        <f>SUM(HI27:HI41)</f>
        <v/>
      </c>
      <c r="HJ43" s="1526">
        <f>SUM(HJ27:HJ41)</f>
        <v/>
      </c>
      <c r="HK43" s="1526">
        <f>SUM(HK27:HK41)</f>
        <v/>
      </c>
      <c r="HL43" s="1526">
        <f>SUM(HL27:HL41)</f>
        <v/>
      </c>
      <c r="HM43" s="1526">
        <f>SUM(HM27:HM41)</f>
        <v/>
      </c>
      <c r="HN43" s="1526">
        <f>SUM(HN27:HN41)</f>
        <v/>
      </c>
      <c r="HO43" s="1526" t="n">
        <v>1966.233104007808</v>
      </c>
      <c r="HP43" s="1526" t="n">
        <v>1690.999104007808</v>
      </c>
      <c r="HQ43" s="1526" t="n">
        <v>1585.088104007807</v>
      </c>
      <c r="HR43" s="1526">
        <f>SUM(HR27:HR41)</f>
        <v/>
      </c>
      <c r="HS43" s="1526">
        <f>SUM(HS27:HS41)</f>
        <v/>
      </c>
      <c r="HT43" s="1526">
        <f>SUM(HT27:HT41)</f>
        <v/>
      </c>
      <c r="HU43" s="1526">
        <f>SUM(HU27:HU41)</f>
        <v/>
      </c>
      <c r="HV43" s="1526" t="n">
        <v>1291.645979307807</v>
      </c>
      <c r="HW43" s="1526" t="n">
        <v>1291.645979307807</v>
      </c>
      <c r="HX43" s="1526" t="n">
        <v>1702.803619307807</v>
      </c>
      <c r="HY43" s="1526" t="n">
        <v>1702.803619307807</v>
      </c>
      <c r="HZ43" s="1526" t="n">
        <v>1416.864084477807</v>
      </c>
      <c r="IA43" s="1526" t="n">
        <v>1379.678084477807</v>
      </c>
      <c r="IB43" s="1526" t="n">
        <v>1394.856084477808</v>
      </c>
      <c r="IC43" s="1526" t="n">
        <v>1394.856084477808</v>
      </c>
      <c r="ID43" s="1526" t="n">
        <v>1394.856084477808</v>
      </c>
      <c r="IE43" s="1526" t="n">
        <v>1443.265084477807</v>
      </c>
      <c r="IF43" s="1526" t="n">
        <v>1443.265084477807</v>
      </c>
      <c r="IG43" s="1526" t="n">
        <v>1532.350084477807</v>
      </c>
      <c r="IH43" s="1526" t="n">
        <v>1521.425084477807</v>
      </c>
      <c r="II43" s="1526" t="n">
        <v>1521.425084477807</v>
      </c>
      <c r="IJ43" s="1526" t="n">
        <v>1521.425084477807</v>
      </c>
      <c r="IK43" s="1526" t="n">
        <v>1292.379304847808</v>
      </c>
      <c r="IL43" s="1526" t="n">
        <v>1292.379304847808</v>
      </c>
      <c r="IM43" s="1526" t="n">
        <v>1292.379304847808</v>
      </c>
      <c r="IN43" s="1526" t="n">
        <v>1255.767363017807</v>
      </c>
      <c r="IO43" s="1526" t="n">
        <v>1082.586363017807</v>
      </c>
      <c r="IP43" s="1526" t="n">
        <v>1019.667451347807</v>
      </c>
      <c r="IQ43" s="1526" t="n">
        <v>1063.828351347807</v>
      </c>
      <c r="IR43" s="1526" t="n">
        <v>1063.828351347807</v>
      </c>
      <c r="IS43" s="1526" t="n">
        <v>1117.183351347808</v>
      </c>
      <c r="IT43" s="1526" t="n">
        <v>1138.427082527807</v>
      </c>
      <c r="IU43" s="1526" t="n">
        <v>1206.805082527808</v>
      </c>
      <c r="IV43" s="1526" t="n">
        <v>1206.805082527808</v>
      </c>
      <c r="IW43" s="1526" t="n">
        <v>1198.986092797807</v>
      </c>
      <c r="IX43" s="1526" t="n">
        <v>1323.294092797807</v>
      </c>
      <c r="IY43" s="1526">
        <f>SUM(IY27:IY41)</f>
        <v/>
      </c>
      <c r="IZ43" s="1526" t="n">
        <v>1294.074092797807</v>
      </c>
      <c r="JA43" s="1526" t="n">
        <v>1324.353789847808</v>
      </c>
      <c r="JB43" s="1526" t="n">
        <v>1324.353789847808</v>
      </c>
      <c r="JC43" s="1526" t="n">
        <v>1397.000893397808</v>
      </c>
      <c r="JD43" s="1526" t="n">
        <v>1402.653818607808</v>
      </c>
      <c r="JE43" s="1526" t="n">
        <v>1402.653818607808</v>
      </c>
      <c r="JF43" s="1526" t="n">
        <v>1402.653818607808</v>
      </c>
      <c r="JG43" s="1526" t="n">
        <v>1308.807421257807</v>
      </c>
      <c r="JH43" s="1526" t="n">
        <v>1308.807421257807</v>
      </c>
      <c r="JI43" s="1526" t="n">
        <v>1308.807421257807</v>
      </c>
      <c r="JJ43" s="1526" t="n">
        <v>1204.326321257807</v>
      </c>
      <c r="JK43" s="1526" t="n">
        <v>1210.541321257807</v>
      </c>
      <c r="JL43" s="1526" t="n">
        <v>1433.591321257808</v>
      </c>
      <c r="JM43" s="1526" t="n">
        <v>1459.647485207807</v>
      </c>
      <c r="JN43" s="1526" t="n">
        <v>1459.647485207807</v>
      </c>
      <c r="JO43" s="1526" t="n">
        <v>1459.647485207807</v>
      </c>
      <c r="JP43" s="1526" t="n">
        <v>1389.051485207808</v>
      </c>
      <c r="JQ43" s="1526" t="n">
        <v>1389.051485207808</v>
      </c>
      <c r="JR43" s="1526" t="n">
        <v>1462.177485207807</v>
      </c>
      <c r="JS43" s="1526">
        <f>SUM(JS27:JS41)</f>
        <v/>
      </c>
      <c r="JT43" s="1526" t="n">
        <v>1534.260048287807</v>
      </c>
      <c r="JU43" s="1526" t="n">
        <v>1583.810048287807</v>
      </c>
      <c r="JV43" s="1526" t="n">
        <v>1583.810048287807</v>
      </c>
      <c r="JW43" s="1526" t="n">
        <v>1634.847580977807</v>
      </c>
      <c r="JX43" s="1526" t="n">
        <v>1634.847580977807</v>
      </c>
      <c r="JY43" s="1526" t="n">
        <v>2227.482664437808</v>
      </c>
      <c r="JZ43" s="1526" t="n">
        <v>2227.482664437808</v>
      </c>
      <c r="KA43" s="1526" t="n">
        <v>2934.21360235</v>
      </c>
      <c r="KB43" s="1526" t="n">
        <v>2284.94360235</v>
      </c>
      <c r="KC43" s="1526" t="n">
        <v>2357.96060235</v>
      </c>
      <c r="KD43" s="1526" t="n">
        <v>2203.50160235</v>
      </c>
      <c r="KE43" s="1526" t="n">
        <v>2203.50160235</v>
      </c>
      <c r="KF43" s="1526" t="n">
        <v>1210.541321257807</v>
      </c>
      <c r="KG43" s="1526" t="n">
        <v>2019.86540235</v>
      </c>
      <c r="KH43" s="1526" t="n">
        <v>2019.86540235</v>
      </c>
      <c r="KI43" s="1526" t="n">
        <v>1529.18381466</v>
      </c>
      <c r="KJ43" s="1526">
        <f>SUM(KJ27:KJ41)</f>
        <v/>
      </c>
      <c r="KK43" s="1526" t="n">
        <v>1651.55864412</v>
      </c>
      <c r="KL43" s="1526" t="n">
        <v>1629.08366466</v>
      </c>
      <c r="KM43" s="1526" t="n">
        <v>1629.08366466</v>
      </c>
      <c r="KN43" s="1526" t="n">
        <v>1642.64337852</v>
      </c>
      <c r="KO43" s="1526" t="n">
        <v>1754.75137852</v>
      </c>
      <c r="KP43" s="1526" t="n">
        <v>1799.96937852</v>
      </c>
      <c r="KQ43" s="1526" t="n">
        <v>1831.82232756</v>
      </c>
      <c r="KR43" s="1526" t="n">
        <v>1831.82232756</v>
      </c>
      <c r="KS43" s="1526">
        <f>SUM(KS27:KS41)</f>
        <v/>
      </c>
      <c r="KT43" s="1526" t="n">
        <v>1744.18460104</v>
      </c>
      <c r="KU43" s="1526">
        <f>SUM(KU27:KU41)</f>
        <v/>
      </c>
      <c r="KV43" s="1526">
        <f>SUM(KV27:KV41)</f>
        <v/>
      </c>
      <c r="KW43" s="1526">
        <f>SUM(KW27:KW41)</f>
        <v/>
      </c>
      <c r="KX43" s="1526" t="n">
        <v>1593.2249354</v>
      </c>
      <c r="KY43" s="1526" t="n">
        <v>1593.2249354</v>
      </c>
      <c r="KZ43" s="1526" t="n">
        <v>1741.4536369</v>
      </c>
      <c r="LA43" s="1526" t="n">
        <v>1741.4536369</v>
      </c>
      <c r="LB43" s="1526" t="n">
        <v>1782.30713156</v>
      </c>
      <c r="LC43" s="1526" t="n">
        <v>1782.30713156</v>
      </c>
      <c r="LD43" s="1526" t="n">
        <v>1782.30713156</v>
      </c>
      <c r="LE43" s="1526">
        <f>SUM(LE27:LE41)</f>
        <v/>
      </c>
      <c r="LF43" s="1527" t="n">
        <v>1790.83635466</v>
      </c>
      <c r="LG43" s="1527" t="n">
        <v>1790.83635466</v>
      </c>
      <c r="LH43" s="1527" t="n">
        <v>1790.83635466</v>
      </c>
      <c r="LI43" s="1527" t="n">
        <v>1682.43070556</v>
      </c>
      <c r="LJ43" s="1527" t="n">
        <v>1682.43070556</v>
      </c>
      <c r="LK43" s="1527" t="n">
        <v>1682.43070556</v>
      </c>
      <c r="LL43" s="1527" t="n">
        <v>1832.66250556</v>
      </c>
      <c r="LM43" s="1527" t="n">
        <v>1832.66250556</v>
      </c>
      <c r="LN43" s="1527" t="n">
        <v>1647.9963516</v>
      </c>
      <c r="LO43" s="1527" t="n">
        <v>1647.9963516</v>
      </c>
      <c r="LP43" s="1527" t="n">
        <v>1647.9963516</v>
      </c>
      <c r="LQ43" s="1527" t="n">
        <v>1746.40658884</v>
      </c>
      <c r="LR43" s="1527" t="n">
        <v>1430.12018241</v>
      </c>
      <c r="LS43" s="1527" t="n">
        <v>1430.12018241</v>
      </c>
      <c r="LT43" s="1527" t="n">
        <v>1252.42293406</v>
      </c>
      <c r="LU43" s="1527" t="n">
        <v>1180.96293406</v>
      </c>
      <c r="LV43" s="1527" t="n">
        <v>1115.40229974</v>
      </c>
      <c r="LW43" s="1527" t="n">
        <v>1115.40229974</v>
      </c>
      <c r="LX43" s="1527" t="n">
        <v>804.8040347900001</v>
      </c>
      <c r="LY43" s="1527" t="n">
        <v>804.8040347900001</v>
      </c>
      <c r="LZ43" s="1527" t="n">
        <v>928.85677467</v>
      </c>
      <c r="MA43" s="1527" t="n">
        <v>928.85677467</v>
      </c>
      <c r="MB43" s="1527" t="n">
        <v>928.85677467</v>
      </c>
      <c r="MC43" s="1527" t="n">
        <v>928.85677467</v>
      </c>
      <c r="MD43" s="1527" t="n">
        <v>1152.39728804</v>
      </c>
      <c r="ME43" s="1527" t="n">
        <v>1159.22535191</v>
      </c>
      <c r="MF43" s="1527" t="n">
        <v>1159.22535191</v>
      </c>
      <c r="MG43" s="1527" t="n">
        <v>1159.22535191</v>
      </c>
      <c r="MH43" s="1527" t="n">
        <v>2024.04874024</v>
      </c>
      <c r="MI43" s="1527" t="n">
        <v>2024.04874024</v>
      </c>
      <c r="MJ43" s="1527" t="n">
        <v>1605.8681975</v>
      </c>
      <c r="MK43" s="1527" t="n">
        <v>1531.13767557</v>
      </c>
      <c r="ML43" s="1527" t="n">
        <v>1531.13767557</v>
      </c>
      <c r="MM43" s="1527" t="n">
        <v>1531.13767557</v>
      </c>
      <c r="MN43" s="1527" t="n">
        <v>1531.13767557</v>
      </c>
      <c r="MO43" s="1527" t="n">
        <v>1531.13767557</v>
      </c>
      <c r="MP43" s="1527" t="n">
        <v>1531.13767557</v>
      </c>
      <c r="MQ43" s="1527" t="n">
        <v>964.1537268899999</v>
      </c>
      <c r="MR43" s="1527" t="n">
        <v>964.1537268899999</v>
      </c>
      <c r="MS43" s="1527" t="n">
        <v>1032.92362213</v>
      </c>
      <c r="MT43" s="1527" t="n">
        <v>1032.91377155</v>
      </c>
      <c r="MU43" s="1527" t="n">
        <v>1032.91377155</v>
      </c>
      <c r="MV43" s="1527" t="n">
        <v>1032.91377155</v>
      </c>
      <c r="MW43" s="1527" t="n">
        <v>912.11337365</v>
      </c>
      <c r="MX43" s="1527" t="n">
        <v>1131.98160347</v>
      </c>
      <c r="MY43" s="1527" t="n">
        <v>1131.98160347</v>
      </c>
      <c r="MZ43" s="1527" t="n">
        <v>1131.98160347</v>
      </c>
      <c r="NA43" s="1527" t="n">
        <v>1131.98160347</v>
      </c>
      <c r="NB43" s="1527" t="n">
        <v>1131.98160347</v>
      </c>
      <c r="NC43" s="1527" t="n">
        <v>1131.98160347</v>
      </c>
      <c r="ND43" s="1527" t="n">
        <v>1131.98160347</v>
      </c>
      <c r="NE43" s="1527" t="n">
        <v>1131.98160347</v>
      </c>
      <c r="NF43" s="1527" t="n">
        <v>730.30300441</v>
      </c>
      <c r="NG43" s="1527" t="n">
        <v>779.22162374</v>
      </c>
      <c r="NH43" s="1527" t="n">
        <v>963.290879589</v>
      </c>
      <c r="NI43" s="1527" t="n">
        <v>910.0839596300001</v>
      </c>
      <c r="NJ43" s="1527" t="n">
        <v>910.0839596300001</v>
      </c>
      <c r="NK43" s="1527" t="n">
        <v>898.8919398100001</v>
      </c>
      <c r="NL43" s="1527" t="n">
        <v>898.8919398100001</v>
      </c>
      <c r="NM43" s="1527" t="n">
        <v>1023.55896638</v>
      </c>
      <c r="NN43" s="1527" t="n">
        <v>1023.55896638</v>
      </c>
      <c r="NO43" s="1527" t="n">
        <v>1023.55896638</v>
      </c>
      <c r="NP43" s="1527" t="n">
        <v>1066.43239252</v>
      </c>
      <c r="NQ43" s="1527" t="n">
        <v>1066.43239252</v>
      </c>
      <c r="NR43" s="1527" t="n">
        <v>1239.69048253</v>
      </c>
      <c r="NS43" s="1527" t="n">
        <v>1239.69048253</v>
      </c>
      <c r="NT43" s="1527" t="n">
        <v>1239.69048253</v>
      </c>
      <c r="NU43" s="1527">
        <f>SUM(NU27:NU41)</f>
        <v/>
      </c>
      <c r="NV43" s="1527" t="n">
        <v>1342.87146912</v>
      </c>
      <c r="NW43" s="1527" t="n">
        <v>1342.87146912</v>
      </c>
      <c r="NX43" s="1527" t="n">
        <v>1342.87146912</v>
      </c>
      <c r="NY43" s="1527" t="n">
        <v>1334.99936502</v>
      </c>
      <c r="NZ43" s="1527" t="n">
        <v>1594.88635012</v>
      </c>
      <c r="OA43" s="1527" t="n">
        <v>1594.88635012</v>
      </c>
      <c r="OB43" s="1527" t="n">
        <v>1594.88635012</v>
      </c>
      <c r="OC43" s="1527" t="n">
        <v>1596.05882961</v>
      </c>
      <c r="OD43" s="1527" t="n">
        <v>1596.05882961</v>
      </c>
      <c r="OE43" s="1527" t="n">
        <v>1596.05882961</v>
      </c>
      <c r="OF43" s="1527" t="n">
        <v>1596.05882961</v>
      </c>
      <c r="OG43" s="1527" t="n">
        <v>1541.10586774</v>
      </c>
      <c r="OH43" s="1527" t="n">
        <v>1541.10586774</v>
      </c>
      <c r="OI43" s="1527" t="n">
        <v>1377.72996206</v>
      </c>
      <c r="OJ43" s="1527" t="n">
        <v>1465.07543201</v>
      </c>
      <c r="OK43" s="1527" t="n">
        <v>1465.07543201</v>
      </c>
      <c r="OL43" s="1527" t="n">
        <v>1628.27886434</v>
      </c>
      <c r="OM43" s="1527" t="n">
        <v>1628.27886434</v>
      </c>
      <c r="ON43" s="1527" t="n">
        <v>1628.27886434</v>
      </c>
      <c r="OO43" s="1527" t="n">
        <v>1370.05572395</v>
      </c>
      <c r="OP43" s="1527" t="n">
        <v>1517.08096399</v>
      </c>
      <c r="OQ43" s="1527" t="n">
        <v>1517.08096399</v>
      </c>
      <c r="OR43" s="1527" t="n">
        <v>1517.08096399</v>
      </c>
      <c r="OS43" s="1527" t="n">
        <v>1547.99189075</v>
      </c>
      <c r="OT43" s="1527" t="n">
        <v>2531.79202779</v>
      </c>
      <c r="OU43" s="1527" t="n">
        <v>2531.79202779</v>
      </c>
      <c r="OV43" s="1527" t="n">
        <v>2531.79202779</v>
      </c>
      <c r="OW43" s="1527" t="n">
        <v>2965.60861923</v>
      </c>
      <c r="OX43" s="1527" t="n">
        <v>2965.60861923</v>
      </c>
      <c r="OY43" s="1527" t="n">
        <v>1182.59767093</v>
      </c>
      <c r="OZ43" s="1527" t="n">
        <v>1182.59767093</v>
      </c>
      <c r="PA43" s="1527" t="n">
        <v>1182.59767093</v>
      </c>
      <c r="PB43" s="1527" t="n">
        <v>1039.73575027</v>
      </c>
      <c r="PC43" s="1527" t="n">
        <v>1039.73575027</v>
      </c>
      <c r="PD43" s="1527" t="n">
        <v>1039.73575027</v>
      </c>
      <c r="PE43" s="1527" t="n">
        <v>1211.93126366</v>
      </c>
      <c r="PF43" s="1527" t="n">
        <v>1236.23059366</v>
      </c>
      <c r="PG43" s="1527" t="n">
        <v>1236.23059366</v>
      </c>
      <c r="PH43" s="1527" t="n">
        <v>1236.23059366</v>
      </c>
      <c r="PI43" s="1527" t="n">
        <v>1348.60225363</v>
      </c>
      <c r="PJ43" s="1527" t="n">
        <v>1424.30414714</v>
      </c>
      <c r="PK43" s="1527" t="n">
        <v>1424.30414714</v>
      </c>
      <c r="PL43" s="1527" t="n">
        <v>1424.30414714</v>
      </c>
      <c r="PM43" s="1527" t="n">
        <v>1424.30414714</v>
      </c>
      <c r="PN43" s="1527" t="n">
        <v>1426.86996709</v>
      </c>
      <c r="PO43" s="1527" t="n">
        <v>1426.86996709</v>
      </c>
      <c r="PP43" s="1527" t="n">
        <v>1426.86996709</v>
      </c>
      <c r="PQ43" s="1527" t="n">
        <v>997.0814190299999</v>
      </c>
      <c r="PR43" s="1527" t="n">
        <v>997.0814190299999</v>
      </c>
      <c r="PS43" s="1527" t="n">
        <v>1332.39378107</v>
      </c>
      <c r="PT43" s="1527" t="n">
        <v>1332.39378107</v>
      </c>
      <c r="PU43" s="1527" t="n">
        <v>1396.1656604</v>
      </c>
      <c r="PV43" s="1527" t="n">
        <v>1396.1656604</v>
      </c>
      <c r="PW43" s="1527" t="n">
        <v>1396.1656604</v>
      </c>
      <c r="PX43" s="1527" t="n">
        <v>1445.53139724</v>
      </c>
      <c r="PY43" s="1527" t="n">
        <v>2092.0022783</v>
      </c>
      <c r="PZ43" s="1527" t="n">
        <v>2092.0022783</v>
      </c>
      <c r="QA43" s="1527" t="n">
        <v>2092.0022783</v>
      </c>
      <c r="QB43" s="1527" t="n">
        <v>1642.68220054</v>
      </c>
      <c r="QC43" s="1527" t="n">
        <v>1512.32139036</v>
      </c>
      <c r="QD43" s="1527" t="n">
        <v>1512.32139036</v>
      </c>
      <c r="QE43" s="1527" t="n">
        <v>1501.490398790001</v>
      </c>
      <c r="QF43" s="1527" t="n">
        <v>1501.490398790001</v>
      </c>
      <c r="QG43" s="1527" t="n">
        <v>1501.490398790001</v>
      </c>
      <c r="QH43" s="1527">
        <f>SUM(QH27:QH41)</f>
        <v/>
      </c>
      <c r="QI43" s="1527" t="n">
        <v>1634.04327306</v>
      </c>
      <c r="QJ43" s="1527" t="n">
        <v>1634.04327306</v>
      </c>
      <c r="QK43" s="1527" t="n">
        <v>1061.90126001</v>
      </c>
      <c r="QL43" s="1527" t="n">
        <v>1061.90126001</v>
      </c>
      <c r="QM43" s="1527" t="n">
        <v>1061.90126001</v>
      </c>
      <c r="QN43" s="1527" t="n">
        <v>1108.12411913</v>
      </c>
      <c r="QO43" s="1527" t="n">
        <v>1071.93659309</v>
      </c>
      <c r="QP43" s="1527" t="n">
        <v>1071.93659309</v>
      </c>
      <c r="QQ43" s="1527" t="n">
        <v>1172.82578217</v>
      </c>
      <c r="QR43" s="1527" t="n">
        <v>1172.82578217</v>
      </c>
      <c r="QS43" s="1527" t="n">
        <v>1067.48240945</v>
      </c>
      <c r="QT43" s="1527" t="n">
        <v>1112.22490777</v>
      </c>
      <c r="QU43" s="1527" t="n">
        <v>1112.22490777</v>
      </c>
      <c r="QV43" s="1527" t="n">
        <v>1295.71782929</v>
      </c>
      <c r="QW43" s="1527" t="n">
        <v>1112.22490777</v>
      </c>
      <c r="QX43" s="1527" t="n">
        <v>1112.22490777</v>
      </c>
      <c r="QY43" s="1527" t="n">
        <v>1691.64774224</v>
      </c>
      <c r="QZ43" s="1527" t="n">
        <v>1691.64774224</v>
      </c>
      <c r="RA43" s="1527" t="n">
        <v>1220.17352892</v>
      </c>
      <c r="RB43" s="1527" t="n">
        <v>1220.17352892</v>
      </c>
      <c r="RC43" s="1527" t="n">
        <v>1220.17352892</v>
      </c>
      <c r="RD43" s="1527" t="n">
        <v>1220.17352892</v>
      </c>
      <c r="RE43" s="1527" t="n">
        <v>865.3813013999999</v>
      </c>
      <c r="RF43" s="1527" t="n">
        <v>865.3813013999999</v>
      </c>
      <c r="RG43" s="1527">
        <f>SUM(RG27:RG41)</f>
        <v/>
      </c>
      <c r="RH43" s="1527" t="n">
        <v>883.4359168799999</v>
      </c>
      <c r="RI43" s="1527" t="n">
        <v>775.4494352600001</v>
      </c>
      <c r="RJ43" s="1527" t="n">
        <v>775.4494352600001</v>
      </c>
      <c r="RK43" s="1527" t="n">
        <v>948.1509932699997</v>
      </c>
      <c r="RL43" s="1527" t="n">
        <v>948.1509932699997</v>
      </c>
      <c r="RM43" s="1527" t="n">
        <v>825.6193722699998</v>
      </c>
      <c r="RN43" s="1527" t="n">
        <v>825.6193722699998</v>
      </c>
      <c r="RO43" s="1527" t="n">
        <v>825.6193722699998</v>
      </c>
      <c r="RP43" s="1527" t="n">
        <v>825.6193722699998</v>
      </c>
      <c r="RQ43" s="1527" t="n">
        <v>983.9891265899998</v>
      </c>
      <c r="RR43" s="1527" t="n">
        <v>983.9891265899998</v>
      </c>
      <c r="RS43" s="1527" t="n">
        <v>900.25053459</v>
      </c>
      <c r="RT43" s="1527" t="n">
        <v>900.25053459</v>
      </c>
      <c r="RU43" s="1527" t="n">
        <v>900.25053459</v>
      </c>
      <c r="RV43" s="1527" t="n">
        <v>900.25053459</v>
      </c>
      <c r="RW43" s="1527" t="n">
        <v>900.25053459</v>
      </c>
      <c r="RX43" s="1527" t="n">
        <v>900.25053459</v>
      </c>
      <c r="RY43" s="1527" t="n">
        <v>1153.38210842</v>
      </c>
      <c r="RZ43" s="1527" t="n">
        <v>1153.38210842</v>
      </c>
      <c r="SA43" s="1527" t="n">
        <v>1192.30597242</v>
      </c>
      <c r="SB43" s="1527" t="n">
        <v>1280.16874349</v>
      </c>
      <c r="SC43" s="1527" t="n">
        <v>1280.16874349</v>
      </c>
      <c r="SD43" s="1527" t="n">
        <v>1280.16874349</v>
      </c>
      <c r="SE43" s="1527" t="n">
        <v>1557.05799781</v>
      </c>
      <c r="SF43" s="1527" t="n">
        <v>1557.05799781</v>
      </c>
      <c r="SG43" s="1527" t="n">
        <v>1669.11349202</v>
      </c>
      <c r="SH43" s="1527" t="n">
        <v>1669.11349202</v>
      </c>
      <c r="SI43" s="1527" t="n">
        <v>1739.17334192</v>
      </c>
      <c r="SJ43" s="1527" t="n">
        <v>1739.17334192</v>
      </c>
      <c r="SK43" s="1527" t="n">
        <v>2069.61807614</v>
      </c>
      <c r="SL43" s="1527" t="n">
        <v>2069.61807614</v>
      </c>
      <c r="SM43" s="1527" t="n">
        <v>1632.56193442</v>
      </c>
      <c r="SN43" s="1527" t="n">
        <v>1632.56193442</v>
      </c>
      <c r="SO43" s="1527" t="n">
        <v>1632.56193442</v>
      </c>
      <c r="SP43" s="1527" t="n">
        <v>1815.11953123</v>
      </c>
      <c r="SQ43" s="1527" t="n">
        <v>1815.11953123</v>
      </c>
      <c r="SR43" s="1527" t="n">
        <v>1815.11953123</v>
      </c>
      <c r="SS43" s="1527" t="n">
        <v>1613.16773991</v>
      </c>
      <c r="ST43" s="1527" t="n">
        <v>1613.16773991</v>
      </c>
      <c r="SU43" s="1527" t="n">
        <v>1879.79370115</v>
      </c>
      <c r="SV43" s="1527" t="n">
        <v>1879.79370115</v>
      </c>
      <c r="SW43" s="1527" t="n">
        <v>1879.79370115</v>
      </c>
      <c r="SX43" s="1527" t="n">
        <v>1626.66253004</v>
      </c>
      <c r="SY43" s="1527" t="n">
        <v>1626.66253004</v>
      </c>
      <c r="SZ43" s="1527" t="n">
        <v>1626.66253004</v>
      </c>
      <c r="TA43" s="1527" t="n">
        <v>1825.3015065</v>
      </c>
      <c r="TB43" s="1527" t="n">
        <v>1825.3015065</v>
      </c>
      <c r="TC43" s="1527" t="n">
        <v>1986.96381909</v>
      </c>
      <c r="TD43" s="1527" t="n">
        <v>1986.96381909</v>
      </c>
      <c r="TE43" s="1527">
        <f>SUM(TE27:TE41)</f>
        <v/>
      </c>
      <c r="TF43" s="1527">
        <f>SUM(TF27:TF41)</f>
        <v/>
      </c>
      <c r="TG43" s="1527" t="n">
        <v>1297.17478269</v>
      </c>
      <c r="TH43" s="1527" t="n">
        <v>1268.54592429</v>
      </c>
      <c r="TI43" s="1527" t="n">
        <v>1153.44432115</v>
      </c>
      <c r="TJ43" s="1527" t="n">
        <v>1212.38355116</v>
      </c>
      <c r="TK43" s="1527" t="n">
        <v>1313.29838549</v>
      </c>
      <c r="TL43" s="1527" t="n">
        <v>1133.77050974</v>
      </c>
      <c r="TM43" s="1527" t="n">
        <v>930.57111056</v>
      </c>
      <c r="TN43" s="1527" t="n">
        <v>1110.46563653</v>
      </c>
      <c r="TO43" s="1527" t="n">
        <v>1367.02702674</v>
      </c>
      <c r="TP43" s="1527" t="n">
        <v>1473.81853498</v>
      </c>
      <c r="TQ43" s="1527" t="n">
        <v>1591.83264412</v>
      </c>
      <c r="TR43" s="1527" t="n">
        <v>1415.216</v>
      </c>
      <c r="TS43" s="1527" t="n">
        <v>1478.9</v>
      </c>
      <c r="TT43" s="1527" t="n">
        <v>1420.301</v>
      </c>
      <c r="TU43" s="1527" t="n">
        <v>1470.829</v>
      </c>
      <c r="TV43" s="1527" t="n">
        <v>1571.879</v>
      </c>
      <c r="TW43" s="1527" t="n">
        <v>1260.96108119</v>
      </c>
      <c r="TX43" s="1527" t="n">
        <v>1504.05698826</v>
      </c>
      <c r="TY43" s="1527" t="n">
        <v>1531.26909842</v>
      </c>
      <c r="TZ43" s="1527">
        <f>SUM(TZ27:TZ41)</f>
        <v/>
      </c>
      <c r="UA43" s="1527">
        <f>SUM(UA27:UA41)</f>
        <v/>
      </c>
      <c r="UB43" s="1527">
        <f>SUM(UB27:UB41)</f>
        <v/>
      </c>
      <c r="UC43" s="1527">
        <f>SUM(UC27:UC41)</f>
        <v/>
      </c>
      <c r="UD43" s="1527">
        <f>SUM(UD27:UD41)</f>
        <v/>
      </c>
      <c r="UE43" s="1527">
        <f>SUM(UE27:UE41)</f>
        <v/>
      </c>
      <c r="UF43" s="1527" t="n">
        <v>1827.6363345</v>
      </c>
      <c r="UG43" s="1527" t="n">
        <v>1658.30001764</v>
      </c>
      <c r="UH43" s="1527" t="n">
        <v>1313.79622994</v>
      </c>
      <c r="UI43" s="1527" t="n">
        <v>1355.03125598</v>
      </c>
      <c r="UJ43" s="1527" t="n">
        <v>1054.30317174</v>
      </c>
      <c r="UK43" s="1527" t="n">
        <v>1055.72721414</v>
      </c>
      <c r="UL43" s="1527" t="n">
        <v>971.07202918</v>
      </c>
      <c r="UM43" s="1527" t="n">
        <v>1385.50447063</v>
      </c>
      <c r="UN43" s="1527" t="n">
        <v>1349.95175423</v>
      </c>
      <c r="UO43" s="1527" t="n">
        <v>1355.97475423</v>
      </c>
      <c r="UP43" s="1527" t="n">
        <v>1141.80375423</v>
      </c>
      <c r="UQ43" s="1527" t="n">
        <v>1236.35716363</v>
      </c>
      <c r="UR43" s="1527" t="n">
        <v>816.0865561800002</v>
      </c>
      <c r="US43" s="1527" t="n">
        <v>795.59596893</v>
      </c>
      <c r="UT43" s="1527" t="n">
        <v>836.22565157</v>
      </c>
      <c r="UU43" s="1527" t="n">
        <v>963.6104836300001</v>
      </c>
      <c r="UV43" s="1527" t="n">
        <v>806.7955871100002</v>
      </c>
      <c r="UW43" s="1527" t="n">
        <v>862.3665560300001</v>
      </c>
      <c r="UX43" s="1527" t="n">
        <v>872.6742248000002</v>
      </c>
      <c r="UY43" s="1527" t="n">
        <v>840.80051373</v>
      </c>
      <c r="UZ43" s="1527" t="n">
        <v>1061.90050672</v>
      </c>
      <c r="VA43" s="1527" t="n">
        <v>1096.36687806</v>
      </c>
      <c r="VB43" s="1527" t="n">
        <v>1149.47599541</v>
      </c>
      <c r="VC43" s="1527" t="n">
        <v>1019.51209904</v>
      </c>
      <c r="VD43" s="1527" t="n">
        <v>906.0483233000001</v>
      </c>
      <c r="VE43" s="1527" t="n">
        <v>906.0483233000001</v>
      </c>
      <c r="VF43" s="1527" t="n">
        <v>740.32134391</v>
      </c>
      <c r="VG43" s="1527" t="n">
        <v>897.6142277500001</v>
      </c>
      <c r="VH43" s="1527" t="n">
        <v>906.32174379</v>
      </c>
      <c r="VI43" s="1527" t="n">
        <v>1185.90476959</v>
      </c>
      <c r="VJ43" s="1527" t="n">
        <v>1075.82875061</v>
      </c>
      <c r="VK43" s="1527" t="n">
        <v>1234.10266252</v>
      </c>
      <c r="VL43" s="1527" t="n">
        <v>736.7640000000001</v>
      </c>
      <c r="VM43" s="1527" t="n">
        <v>694.5260246099999</v>
      </c>
      <c r="VN43" s="1527" t="n">
        <v>796.76649642</v>
      </c>
      <c r="VO43" s="1527" t="n">
        <v>666.9196233700002</v>
      </c>
      <c r="VP43" s="1527" t="n">
        <v>713.6559010100001</v>
      </c>
      <c r="VQ43" s="1527" t="n">
        <v>857.6303431500002</v>
      </c>
      <c r="VR43" s="1527" t="n">
        <v>731.3612990600002</v>
      </c>
      <c r="VS43" s="1527" t="n">
        <v>780.06718661</v>
      </c>
      <c r="VT43" s="1527" t="n">
        <v>767.6890082699999</v>
      </c>
      <c r="VU43" s="1527" t="n">
        <v>675.1763931300001</v>
      </c>
      <c r="VV43" s="1527">
        <f>SUM(VV27:VV41)</f>
        <v/>
      </c>
      <c r="VW43" s="1527" t="n">
        <v>610.89215873</v>
      </c>
      <c r="VX43" s="1527" t="n">
        <v>659.83080395</v>
      </c>
      <c r="VY43" s="1527" t="n">
        <v>799.1091162099998</v>
      </c>
      <c r="VZ43" s="1527" t="n">
        <v>942.6668634499999</v>
      </c>
      <c r="WA43" s="1527" t="n">
        <v>936.6938835799999</v>
      </c>
      <c r="WB43" s="1527" t="n">
        <v>1109.7497046</v>
      </c>
      <c r="WC43" s="1527" t="n">
        <v>982.06852056</v>
      </c>
      <c r="WD43" s="1527" t="n">
        <v>741.71917923</v>
      </c>
      <c r="WE43" s="1527" t="n">
        <v>772.4484741699999</v>
      </c>
      <c r="WF43" s="1527" t="n">
        <v>862.6936654799998</v>
      </c>
      <c r="WG43" s="1527" t="n">
        <v>197.85689886</v>
      </c>
      <c r="WH43" s="1527" t="n">
        <v>336.41001611</v>
      </c>
      <c r="WI43" s="1527" t="n">
        <v>391.1712480800001</v>
      </c>
      <c r="WJ43" s="1527" t="n">
        <v>385.13829327</v>
      </c>
      <c r="WK43" s="1527" t="n">
        <v>344.62514452</v>
      </c>
      <c r="WL43" s="1527" t="n">
        <v>418.41124461</v>
      </c>
      <c r="WM43" s="1527" t="n">
        <v>393.84676394</v>
      </c>
      <c r="WN43" s="1527" t="n">
        <v>334.41880917</v>
      </c>
      <c r="WO43" s="1527" t="n">
        <v>428.49546008</v>
      </c>
      <c r="WP43" s="1527" t="n">
        <v>257.19580428</v>
      </c>
      <c r="WQ43" s="1527" t="n">
        <v>315.81370403</v>
      </c>
      <c r="WR43" s="1527">
        <f>SUM(WR27:WR41)</f>
        <v/>
      </c>
      <c r="WS43" s="1527">
        <f>SUM(WS27:WS41)</f>
        <v/>
      </c>
      <c r="WT43" s="1527">
        <f>SUM(WT27:WT41)</f>
        <v/>
      </c>
      <c r="WU43" s="1527">
        <f>SUM(WU27:WU41)</f>
        <v/>
      </c>
      <c r="WV43" s="1527">
        <f>SUM(WV27:WV41)</f>
        <v/>
      </c>
      <c r="WW43" s="1527" t="n">
        <v>312.4151084</v>
      </c>
      <c r="WX43" s="1527" t="n">
        <v>342.9314960299999</v>
      </c>
      <c r="WY43" s="1527" t="n">
        <v>354.18149603</v>
      </c>
      <c r="WZ43" s="1527" t="n">
        <v>445.68983335</v>
      </c>
      <c r="XA43" s="1527" t="n">
        <v>384.54268507</v>
      </c>
      <c r="XB43" s="1527" t="n">
        <v>290.77690068</v>
      </c>
      <c r="XC43" s="1527" t="n">
        <v>389.91190068</v>
      </c>
      <c r="XD43" s="1527" t="n">
        <v>566.5549999999999</v>
      </c>
      <c r="XE43" s="1527" t="n">
        <v>454.6189000000001</v>
      </c>
      <c r="XF43" s="1527" t="n">
        <v>595.8879999999999</v>
      </c>
      <c r="XG43" s="1527" t="n">
        <v>330.721</v>
      </c>
      <c r="XH43" s="1527" t="n">
        <v>391.808</v>
      </c>
      <c r="XI43" s="1527" t="n">
        <v>428.696</v>
      </c>
      <c r="XJ43" s="1527" t="n">
        <v>486.84</v>
      </c>
      <c r="XK43" s="1527" t="n">
        <v>434.09</v>
      </c>
      <c r="XL43" s="1527" t="n">
        <v>346.10592166</v>
      </c>
      <c r="XM43" s="1527" t="n">
        <v>346.7665608400001</v>
      </c>
      <c r="XN43" s="1527" t="n">
        <v>480.89066509</v>
      </c>
      <c r="XO43" s="1527" t="n">
        <v>621.6226650900001</v>
      </c>
      <c r="XP43" s="1527" t="n">
        <v>365.9719387</v>
      </c>
      <c r="XQ43" s="1527" t="n">
        <v>466.109375557</v>
      </c>
      <c r="XR43" s="1527" t="n">
        <v>456.94721066</v>
      </c>
      <c r="XS43" s="1527" t="n">
        <v>581.5102233400002</v>
      </c>
      <c r="XT43" s="1527" t="n">
        <v>385.51222334</v>
      </c>
      <c r="XU43" s="1527" t="n">
        <v>435.5277600700001</v>
      </c>
      <c r="XV43" s="1527" t="n">
        <v>482.7440000000001</v>
      </c>
      <c r="XW43" s="1527" t="n">
        <v>554.578</v>
      </c>
      <c r="XX43" s="1527" t="n">
        <v>590.234</v>
      </c>
      <c r="XY43" s="1527" t="n">
        <v>587.7560000000001</v>
      </c>
      <c r="XZ43" s="1527" t="n">
        <v>471.186</v>
      </c>
      <c r="YA43" s="1527" t="n">
        <v>423.896</v>
      </c>
      <c r="YB43" s="1527" t="n">
        <v>554.4920627400001</v>
      </c>
      <c r="YC43" s="1527" t="n">
        <v>423.06006274</v>
      </c>
      <c r="YD43" s="1527" t="n">
        <v>563.10197643</v>
      </c>
      <c r="YE43" s="1527" t="n">
        <v>438.24705698</v>
      </c>
      <c r="YF43" s="1527" t="n">
        <v>856.3669450799999</v>
      </c>
      <c r="YG43" s="1527" t="n">
        <v>862.79894508</v>
      </c>
      <c r="YH43" s="1527" t="n">
        <v>810.3753635499999</v>
      </c>
      <c r="YI43" s="1527" t="n">
        <v>627.2821020600001</v>
      </c>
      <c r="YJ43" s="1528">
        <f>SUM(YJ27:YJ41)</f>
        <v/>
      </c>
    </row>
    <row r="44" ht="15" customFormat="1" customHeight="1" s="948" thickBot="1">
      <c r="B44" s="921" t="inlineStr">
        <is>
          <t xml:space="preserve">                                     (M.USD)</t>
        </is>
      </c>
      <c r="C44" s="1539">
        <f>C43/C2</f>
        <v/>
      </c>
      <c r="D44" s="1529">
        <f>D43/D2</f>
        <v/>
      </c>
      <c r="E44" s="1529">
        <f>E43/E2</f>
        <v/>
      </c>
      <c r="F44" s="1529">
        <f>F43/F2</f>
        <v/>
      </c>
      <c r="G44" s="1529">
        <f>G43/G2</f>
        <v/>
      </c>
      <c r="H44" s="1529">
        <f>H43/H2</f>
        <v/>
      </c>
      <c r="I44" s="1529">
        <f>I43/I2</f>
        <v/>
      </c>
      <c r="J44" s="1529">
        <f>J43/J2</f>
        <v/>
      </c>
      <c r="K44" s="1529">
        <f>K43/K2</f>
        <v/>
      </c>
      <c r="L44" s="1529">
        <f>L43/L2</f>
        <v/>
      </c>
      <c r="M44" s="1529">
        <f>M43/M2</f>
        <v/>
      </c>
      <c r="N44" s="1529">
        <f>N43/N2</f>
        <v/>
      </c>
      <c r="O44" s="1529">
        <f>O43/O2</f>
        <v/>
      </c>
      <c r="P44" s="1529">
        <f>P43/P2</f>
        <v/>
      </c>
      <c r="Q44" s="1529">
        <f>Q43/Q2</f>
        <v/>
      </c>
      <c r="R44" s="1529">
        <f>R43/R2</f>
        <v/>
      </c>
      <c r="S44" s="1529">
        <f>S43/S2</f>
        <v/>
      </c>
      <c r="T44" s="1529">
        <f>T43/T2</f>
        <v/>
      </c>
      <c r="U44" s="1529">
        <f>U43/U2</f>
        <v/>
      </c>
      <c r="V44" s="1529">
        <f>V43/V2</f>
        <v/>
      </c>
      <c r="W44" s="1529">
        <f>W43/W2</f>
        <v/>
      </c>
      <c r="X44" s="1529">
        <f>X43/X2</f>
        <v/>
      </c>
      <c r="Y44" s="1529">
        <f>Y43/Y2</f>
        <v/>
      </c>
      <c r="Z44" s="1529">
        <f>Z43/Z2</f>
        <v/>
      </c>
      <c r="AA44" s="1529">
        <f>AA43/AA2</f>
        <v/>
      </c>
      <c r="AB44" s="1529">
        <f>AB43/AB2</f>
        <v/>
      </c>
      <c r="AC44" s="1529">
        <f>AC43/AC2</f>
        <v/>
      </c>
      <c r="AD44" s="1529">
        <f>AD43/AD2</f>
        <v/>
      </c>
      <c r="AE44" s="1529">
        <f>AE43/AE2</f>
        <v/>
      </c>
      <c r="AF44" s="1529">
        <f>AF43/AF2</f>
        <v/>
      </c>
      <c r="AG44" s="1529">
        <f>AG43/AG2</f>
        <v/>
      </c>
      <c r="AH44" s="1529">
        <f>AH43/AH2</f>
        <v/>
      </c>
      <c r="AI44" s="1529">
        <f>AI43/AI2</f>
        <v/>
      </c>
      <c r="AJ44" s="1529">
        <f>AJ43/AJ2</f>
        <v/>
      </c>
      <c r="AK44" s="1529">
        <f>AK43/AK2</f>
        <v/>
      </c>
      <c r="AL44" s="1529">
        <f>AL43/AL2</f>
        <v/>
      </c>
      <c r="AM44" s="1529">
        <f>AM43/AM2</f>
        <v/>
      </c>
      <c r="AN44" s="1529">
        <f>AN43/AN2</f>
        <v/>
      </c>
      <c r="AO44" s="1529">
        <f>AO43/AO2</f>
        <v/>
      </c>
      <c r="AP44" s="1529">
        <f>AP43/AP2</f>
        <v/>
      </c>
      <c r="AQ44" s="1529">
        <f>AQ43/AQ2</f>
        <v/>
      </c>
      <c r="AR44" s="1529">
        <f>AR43/AR2</f>
        <v/>
      </c>
      <c r="AS44" s="1529">
        <f>AS43/AS2</f>
        <v/>
      </c>
      <c r="AT44" s="1529">
        <f>AT43/AT2</f>
        <v/>
      </c>
      <c r="AU44" s="1529">
        <f>AU43/AU2</f>
        <v/>
      </c>
      <c r="AV44" s="1529">
        <f>AV43/AV2</f>
        <v/>
      </c>
      <c r="AW44" s="1529">
        <f>AW43/AW2</f>
        <v/>
      </c>
      <c r="AX44" s="1529">
        <f>AX43/AX2</f>
        <v/>
      </c>
      <c r="AY44" s="1529">
        <f>AY43/AY2</f>
        <v/>
      </c>
      <c r="AZ44" s="1529">
        <f>AZ43/AZ2</f>
        <v/>
      </c>
      <c r="BA44" s="1529">
        <f>BA43/BA2</f>
        <v/>
      </c>
      <c r="BB44" s="1529">
        <f>BB43/BB2</f>
        <v/>
      </c>
      <c r="BC44" s="1529">
        <f>BC43/BC2</f>
        <v/>
      </c>
      <c r="BD44" s="1529">
        <f>BD43/BD2</f>
        <v/>
      </c>
      <c r="BE44" s="1529">
        <f>BE43/BE2</f>
        <v/>
      </c>
      <c r="BF44" s="1529">
        <f>BF43/BF2</f>
        <v/>
      </c>
      <c r="BG44" s="1529">
        <f>BG43/BG2</f>
        <v/>
      </c>
      <c r="BH44" s="1529">
        <f>BH43/BH2</f>
        <v/>
      </c>
      <c r="BI44" s="1529">
        <f>BI43/BI2</f>
        <v/>
      </c>
      <c r="BJ44" s="1529">
        <f>BJ43/BJ2</f>
        <v/>
      </c>
      <c r="BK44" s="1529">
        <f>BK43/BK2</f>
        <v/>
      </c>
      <c r="BL44" s="1529">
        <f>BL43/BL2</f>
        <v/>
      </c>
      <c r="BM44" s="1529">
        <f>BM43/BM2</f>
        <v/>
      </c>
      <c r="BN44" s="1529">
        <f>BN43/BN2</f>
        <v/>
      </c>
      <c r="BO44" s="1529">
        <f>BO43/BO2</f>
        <v/>
      </c>
      <c r="BP44" s="1529">
        <f>BP43/BP2</f>
        <v/>
      </c>
      <c r="BQ44" s="1529">
        <f>BQ43/BQ2</f>
        <v/>
      </c>
      <c r="BR44" s="1529">
        <f>BR43/BR2</f>
        <v/>
      </c>
      <c r="BS44" s="1529">
        <f>BS43/BS2</f>
        <v/>
      </c>
      <c r="BT44" s="1529">
        <f>BT43/BT2</f>
        <v/>
      </c>
      <c r="BU44" s="1529">
        <f>BU43/BU2</f>
        <v/>
      </c>
      <c r="BV44" s="1529">
        <f>BV43/BV2</f>
        <v/>
      </c>
      <c r="BW44" s="1529">
        <f>BW43/BW2</f>
        <v/>
      </c>
      <c r="BX44" s="1529">
        <f>BX43/BX2</f>
        <v/>
      </c>
      <c r="BY44" s="1529">
        <f>BY43/BY2</f>
        <v/>
      </c>
      <c r="BZ44" s="1529">
        <f>BZ43/BZ2</f>
        <v/>
      </c>
      <c r="CA44" s="1529">
        <f>CA43/CA2</f>
        <v/>
      </c>
      <c r="CB44" s="1529">
        <f>CB43/CB2</f>
        <v/>
      </c>
      <c r="CC44" s="1529">
        <f>CC43/CC2</f>
        <v/>
      </c>
      <c r="CD44" s="1529">
        <f>CD43/CD2</f>
        <v/>
      </c>
      <c r="CE44" s="1529">
        <f>CE43/CE2</f>
        <v/>
      </c>
      <c r="CF44" s="1529">
        <f>CF43/CF2</f>
        <v/>
      </c>
      <c r="CG44" s="1529">
        <f>CG43/CG2</f>
        <v/>
      </c>
      <c r="CH44" s="1529">
        <f>CH43/CH2</f>
        <v/>
      </c>
      <c r="CI44" s="1529">
        <f>CI43/CI2</f>
        <v/>
      </c>
      <c r="CJ44" s="1529">
        <f>CJ43/CJ2</f>
        <v/>
      </c>
      <c r="CK44" s="1529">
        <f>CK43/CK2</f>
        <v/>
      </c>
      <c r="CL44" s="1529">
        <f>CL43/CL2</f>
        <v/>
      </c>
      <c r="CM44" s="1529">
        <f>CM43/CM2</f>
        <v/>
      </c>
      <c r="CN44" s="1529">
        <f>CN43/CN2</f>
        <v/>
      </c>
      <c r="CO44" s="1529">
        <f>CO43/CO2</f>
        <v/>
      </c>
      <c r="CP44" s="1529">
        <f>CP43/CP2</f>
        <v/>
      </c>
      <c r="CQ44" s="1529">
        <f>CQ43/CQ2</f>
        <v/>
      </c>
      <c r="CR44" s="1529">
        <f>CR43/CR2</f>
        <v/>
      </c>
      <c r="CS44" s="1529">
        <f>CS43/CS2</f>
        <v/>
      </c>
      <c r="CT44" s="1529">
        <f>CT43/CT2</f>
        <v/>
      </c>
      <c r="CU44" s="1529">
        <f>CU43/CU2</f>
        <v/>
      </c>
      <c r="CV44" s="1529">
        <f>CV43/CV2</f>
        <v/>
      </c>
      <c r="CW44" s="1529">
        <f>CW43/CW2</f>
        <v/>
      </c>
      <c r="CX44" s="1529">
        <f>CX43/CX2</f>
        <v/>
      </c>
      <c r="CY44" s="1529">
        <f>CY43/CY2</f>
        <v/>
      </c>
      <c r="CZ44" s="1529">
        <f>CZ43/CZ2</f>
        <v/>
      </c>
      <c r="DA44" s="1529">
        <f>DA43/DA2</f>
        <v/>
      </c>
      <c r="DB44" s="1529">
        <f>DB43/DB2</f>
        <v/>
      </c>
      <c r="DC44" s="1529">
        <f>DC43/DC2</f>
        <v/>
      </c>
      <c r="DD44" s="1529">
        <f>DD43/DD2</f>
        <v/>
      </c>
      <c r="DE44" s="1529">
        <f>DE43/DE2</f>
        <v/>
      </c>
      <c r="DF44" s="1529">
        <f>DF43/DF2</f>
        <v/>
      </c>
      <c r="DG44" s="1529">
        <f>DG43/DG2</f>
        <v/>
      </c>
      <c r="DH44" s="1529">
        <f>DH43/DH2</f>
        <v/>
      </c>
      <c r="DI44" s="1529">
        <f>DI43/DI2</f>
        <v/>
      </c>
      <c r="DJ44" s="1529">
        <f>DJ43/DJ2</f>
        <v/>
      </c>
      <c r="DK44" s="1529">
        <f>DK43/DK2</f>
        <v/>
      </c>
      <c r="DL44" s="1529">
        <f>DL43/DL2</f>
        <v/>
      </c>
      <c r="DM44" s="1529">
        <f>DM43/DM2</f>
        <v/>
      </c>
      <c r="DN44" s="1529">
        <f>DN43/DN2</f>
        <v/>
      </c>
      <c r="DO44" s="1529">
        <f>DO43/DO2</f>
        <v/>
      </c>
      <c r="DP44" s="1529">
        <f>DP43/DP2</f>
        <v/>
      </c>
      <c r="DQ44" s="1529">
        <f>DQ43/DQ2</f>
        <v/>
      </c>
      <c r="DR44" s="1529">
        <f>DR43/DR2</f>
        <v/>
      </c>
      <c r="DS44" s="1529">
        <f>DS43/DS2</f>
        <v/>
      </c>
      <c r="DT44" s="1529">
        <f>DT43/DT2</f>
        <v/>
      </c>
      <c r="DU44" s="1529">
        <f>DU43/DU2</f>
        <v/>
      </c>
      <c r="DV44" s="1529">
        <f>DV43/DV2</f>
        <v/>
      </c>
      <c r="DW44" s="1529">
        <f>DW43/DW2</f>
        <v/>
      </c>
      <c r="DX44" s="1529">
        <f>DX43/DX2</f>
        <v/>
      </c>
      <c r="DY44" s="1529">
        <f>DY43/DY2</f>
        <v/>
      </c>
      <c r="DZ44" s="1529">
        <f>DZ43/DZ2</f>
        <v/>
      </c>
      <c r="EA44" s="1529">
        <f>EA43/EA2</f>
        <v/>
      </c>
      <c r="EB44" s="1529">
        <f>EB43/EB2</f>
        <v/>
      </c>
      <c r="EC44" s="1529">
        <f>EC43/EC2</f>
        <v/>
      </c>
      <c r="ED44" s="1529">
        <f>ED43/ED2</f>
        <v/>
      </c>
      <c r="EE44" s="1529">
        <f>EE43/EE2</f>
        <v/>
      </c>
      <c r="EF44" s="1529">
        <f>EF43/EF2</f>
        <v/>
      </c>
      <c r="EG44" s="1529">
        <f>EG43/EG2</f>
        <v/>
      </c>
      <c r="EH44" s="1529">
        <f>EH43/EH2</f>
        <v/>
      </c>
      <c r="EI44" s="1529">
        <f>EI43/EI2</f>
        <v/>
      </c>
      <c r="EJ44" s="1529">
        <f>EJ43/EJ2</f>
        <v/>
      </c>
      <c r="EK44" s="1529">
        <f>EK43/EK2</f>
        <v/>
      </c>
      <c r="EL44" s="1529">
        <f>EL43/EL2</f>
        <v/>
      </c>
      <c r="EM44" s="1529">
        <f>EM43/EM2</f>
        <v/>
      </c>
      <c r="EN44" s="1529">
        <f>EN43/EN2</f>
        <v/>
      </c>
      <c r="EO44" s="1529">
        <f>EO43/EO2</f>
        <v/>
      </c>
      <c r="EP44" s="1529">
        <f>EP43/EP2</f>
        <v/>
      </c>
      <c r="EQ44" s="1529">
        <f>EQ43/EQ2</f>
        <v/>
      </c>
      <c r="ER44" s="1529">
        <f>ER43/ER2</f>
        <v/>
      </c>
      <c r="ES44" s="1529">
        <f>ES43/ES2</f>
        <v/>
      </c>
      <c r="ET44" s="1529">
        <f>ET43/ET2</f>
        <v/>
      </c>
      <c r="EU44" s="1529">
        <f>EU43/EU2</f>
        <v/>
      </c>
      <c r="EV44" s="1529">
        <f>EV43/EV2</f>
        <v/>
      </c>
      <c r="EW44" s="1529">
        <f>EW43/EW2</f>
        <v/>
      </c>
      <c r="EX44" s="1529">
        <f>EX43/EX2</f>
        <v/>
      </c>
      <c r="EY44" s="1529">
        <f>EY43/EY2</f>
        <v/>
      </c>
      <c r="EZ44" s="1529">
        <f>EZ43/EZ2</f>
        <v/>
      </c>
      <c r="FA44" s="1529">
        <f>FA43/FA2</f>
        <v/>
      </c>
      <c r="FB44" s="1529">
        <f>FB43/FB2</f>
        <v/>
      </c>
      <c r="FC44" s="1529">
        <f>FC43/FC2</f>
        <v/>
      </c>
      <c r="FD44" s="1529">
        <f>FD43/FD2</f>
        <v/>
      </c>
      <c r="FE44" s="1529">
        <f>FE43/FE2</f>
        <v/>
      </c>
      <c r="FF44" s="1529">
        <f>FF43/FF2</f>
        <v/>
      </c>
      <c r="FG44" s="1529">
        <f>FG43/FG2</f>
        <v/>
      </c>
      <c r="FH44" s="1529">
        <f>FH43/FH2</f>
        <v/>
      </c>
      <c r="FI44" s="1529">
        <f>FI43/FI2</f>
        <v/>
      </c>
      <c r="FJ44" s="1529">
        <f>FJ43/FJ2</f>
        <v/>
      </c>
      <c r="FK44" s="1529">
        <f>FK43/FK2</f>
        <v/>
      </c>
      <c r="FL44" s="1529">
        <f>FL43/FL2</f>
        <v/>
      </c>
      <c r="FM44" s="1529">
        <f>FM43/FM2</f>
        <v/>
      </c>
      <c r="FN44" s="1529">
        <f>FN43/FN2</f>
        <v/>
      </c>
      <c r="FO44" s="1529">
        <f>FO43/FO2</f>
        <v/>
      </c>
      <c r="FP44" s="1529">
        <f>FP43/FP2</f>
        <v/>
      </c>
      <c r="FQ44" s="1529">
        <f>FQ43/FQ2</f>
        <v/>
      </c>
      <c r="FR44" s="1529">
        <f>FR43/FR2</f>
        <v/>
      </c>
      <c r="FS44" s="1529">
        <f>FS43/FS2</f>
        <v/>
      </c>
      <c r="FT44" s="1529">
        <f>FT43/FT2</f>
        <v/>
      </c>
      <c r="FU44" s="1529">
        <f>FU43/FU2</f>
        <v/>
      </c>
      <c r="FV44" s="1529">
        <f>FV43/FV2</f>
        <v/>
      </c>
      <c r="FW44" s="1529">
        <f>FW43/FW2</f>
        <v/>
      </c>
      <c r="FX44" s="1529">
        <f>FX43/FX2</f>
        <v/>
      </c>
      <c r="FY44" s="1529">
        <f>FY43/FY2</f>
        <v/>
      </c>
      <c r="FZ44" s="1529">
        <f>FZ43/FZ2</f>
        <v/>
      </c>
      <c r="GA44" s="1529">
        <f>GA43/GA2</f>
        <v/>
      </c>
      <c r="GB44" s="1529">
        <f>GB43/GB2</f>
        <v/>
      </c>
      <c r="GC44" s="1529">
        <f>GC43/GC2</f>
        <v/>
      </c>
      <c r="GD44" s="1529">
        <f>GD43/GD2</f>
        <v/>
      </c>
      <c r="GE44" s="1529">
        <f>GE43/GE2</f>
        <v/>
      </c>
      <c r="GF44" s="1529">
        <f>GF43/GF2</f>
        <v/>
      </c>
      <c r="GG44" s="1529">
        <f>GG43/GG2</f>
        <v/>
      </c>
      <c r="GH44" s="1529">
        <f>GH43/GH2</f>
        <v/>
      </c>
      <c r="GI44" s="1529">
        <f>GI43/GI2</f>
        <v/>
      </c>
      <c r="GJ44" s="1529">
        <f>GJ43/GJ2</f>
        <v/>
      </c>
      <c r="GK44" s="1529">
        <f>GK43/GK2</f>
        <v/>
      </c>
      <c r="GL44" s="1529">
        <f>GL43/GL2</f>
        <v/>
      </c>
      <c r="GM44" s="1529">
        <f>GM43/GM2</f>
        <v/>
      </c>
      <c r="GN44" s="1529">
        <f>GN43/GN2</f>
        <v/>
      </c>
      <c r="GO44" s="1529">
        <f>GO43/GO2</f>
        <v/>
      </c>
      <c r="GP44" s="1529">
        <f>GP43/GP2</f>
        <v/>
      </c>
      <c r="GQ44" s="1529">
        <f>GQ43/GQ2</f>
        <v/>
      </c>
      <c r="GR44" s="1529">
        <f>GR43/GR2</f>
        <v/>
      </c>
      <c r="GS44" s="1529">
        <f>GS43/GS2</f>
        <v/>
      </c>
      <c r="GT44" s="1529">
        <f>GT43/GT2</f>
        <v/>
      </c>
      <c r="GU44" s="1529">
        <f>GU43/GU2</f>
        <v/>
      </c>
      <c r="GV44" s="1529">
        <f>GV43/GV2</f>
        <v/>
      </c>
      <c r="GW44" s="1529">
        <f>GW43/GW2</f>
        <v/>
      </c>
      <c r="GX44" s="1529">
        <f>GX43/GX2</f>
        <v/>
      </c>
      <c r="GY44" s="1529">
        <f>GY43/GY2</f>
        <v/>
      </c>
      <c r="GZ44" s="1529">
        <f>GZ43/GZ2</f>
        <v/>
      </c>
      <c r="HA44" s="1529">
        <f>HA43/HA2</f>
        <v/>
      </c>
      <c r="HB44" s="1529">
        <f>HB43/HB2</f>
        <v/>
      </c>
      <c r="HC44" s="1529">
        <f>HC43/HC2</f>
        <v/>
      </c>
      <c r="HD44" s="1529">
        <f>HD43/HD2</f>
        <v/>
      </c>
      <c r="HE44" s="1529">
        <f>HE43/HE2</f>
        <v/>
      </c>
      <c r="HF44" s="1529">
        <f>HF43/HF2</f>
        <v/>
      </c>
      <c r="HG44" s="1529">
        <f>HG43/HG2</f>
        <v/>
      </c>
      <c r="HH44" s="1529">
        <f>HH43/HH2</f>
        <v/>
      </c>
      <c r="HI44" s="1529">
        <f>HI43/HI2</f>
        <v/>
      </c>
      <c r="HJ44" s="1529">
        <f>HJ43/HJ2</f>
        <v/>
      </c>
      <c r="HK44" s="1529">
        <f>HK43/HK2</f>
        <v/>
      </c>
      <c r="HL44" s="1529">
        <f>HL43/HL2</f>
        <v/>
      </c>
      <c r="HM44" s="1529">
        <f>HM43/HM2</f>
        <v/>
      </c>
      <c r="HN44" s="1529">
        <f>HN43/HN2</f>
        <v/>
      </c>
      <c r="HO44" s="1529" t="n">
        <v>25.45542597191442</v>
      </c>
      <c r="HP44" s="1529" t="n">
        <v>22.007528947631</v>
      </c>
      <c r="HQ44" s="1529" t="n">
        <v>20.77245795950851</v>
      </c>
      <c r="HR44" s="1529">
        <f>HR43/HR2</f>
        <v/>
      </c>
      <c r="HS44" s="1529">
        <f>HS43/HS2</f>
        <v/>
      </c>
      <c r="HT44" s="1529">
        <f>HT43/HT2</f>
        <v/>
      </c>
      <c r="HU44" s="1529">
        <f>HU43/HU2</f>
        <v/>
      </c>
      <c r="HV44" s="1529" t="n">
        <v>16.70448596099503</v>
      </c>
      <c r="HW44" s="1529" t="n">
        <v>16.56997317940511</v>
      </c>
      <c r="HX44" s="1529" t="n">
        <v>21.45769925396985</v>
      </c>
      <c r="HY44" s="1529" t="n">
        <v>21.41996424111129</v>
      </c>
      <c r="HZ44" s="1529" t="n">
        <v>17.56342199118903</v>
      </c>
      <c r="IA44" s="1529" t="n">
        <v>16.74390991710811</v>
      </c>
      <c r="IB44" s="1529" t="n">
        <v>17.06369125695687</v>
      </c>
      <c r="IC44" s="1529" t="n">
        <v>16.97320250423531</v>
      </c>
      <c r="ID44" s="1529" t="n">
        <v>16.99108679233419</v>
      </c>
      <c r="IE44" s="1529" t="n">
        <v>17.67065745885326</v>
      </c>
      <c r="IF44" s="1529" t="n">
        <v>17.7077963115878</v>
      </c>
      <c r="IG44" s="1529" t="n">
        <v>18.77238155676928</v>
      </c>
      <c r="IH44" s="1529" t="n">
        <v>18.64427549640217</v>
      </c>
      <c r="II44" s="1529" t="n">
        <v>18.63237949563109</v>
      </c>
      <c r="IJ44" s="1529" t="n">
        <v>18.64062059816865</v>
      </c>
      <c r="IK44" s="1529" t="n">
        <v>15.86008083380651</v>
      </c>
      <c r="IL44" s="1529" t="n">
        <v>15.90141194160293</v>
      </c>
      <c r="IM44" s="1529" t="n">
        <v>15.84771170593474</v>
      </c>
      <c r="IN44" s="1529" t="n">
        <v>15.38414016638785</v>
      </c>
      <c r="IO44" s="1529" t="n">
        <v>13.27348008423</v>
      </c>
      <c r="IP44" s="1529" t="n">
        <v>12.66521322813399</v>
      </c>
      <c r="IQ44" s="1529" t="n">
        <v>13.30435689628065</v>
      </c>
      <c r="IR44" s="1529" t="n">
        <v>13.41403671736587</v>
      </c>
      <c r="IS44" s="1529" t="n">
        <v>14.21101549913956</v>
      </c>
      <c r="IT44" s="1529" t="n">
        <v>14.81927504602024</v>
      </c>
      <c r="IU44" s="1529" t="n">
        <v>15.73555156380588</v>
      </c>
      <c r="IV44" s="1529" t="n">
        <v>15.90316193967956</v>
      </c>
      <c r="IW44" s="1529" t="n">
        <v>15.5300831535865</v>
      </c>
      <c r="IX44" s="1529" t="n">
        <v>16.72929710592877</v>
      </c>
      <c r="IY44" s="1529">
        <f>IY43/IY2</f>
        <v/>
      </c>
      <c r="IZ44" s="1529" t="n">
        <v>16.16852905792859</v>
      </c>
      <c r="JA44" s="1529" t="n">
        <v>16.57321225248885</v>
      </c>
      <c r="JB44" s="1529" t="n">
        <v>16.56728272631389</v>
      </c>
      <c r="JC44" s="1529" t="n">
        <v>17.42624279964583</v>
      </c>
      <c r="JD44" s="1529" t="n">
        <v>17.54043008554549</v>
      </c>
      <c r="JE44" s="1529" t="n">
        <v>17.5366581434036</v>
      </c>
      <c r="JF44" s="1529" t="n">
        <v>17.54047395488132</v>
      </c>
      <c r="JG44" s="1529" t="n">
        <v>16.34875081984133</v>
      </c>
      <c r="JH44" s="1529" t="n">
        <v>16.22075646766535</v>
      </c>
      <c r="JI44" s="1529" t="n">
        <v>16.15927339559879</v>
      </c>
      <c r="JJ44" s="1529" t="n">
        <v>14.87452490693969</v>
      </c>
      <c r="JK44" s="1529" t="n">
        <v>14.96794238630449</v>
      </c>
      <c r="JL44" s="1529" t="n">
        <v>17.62697525443207</v>
      </c>
      <c r="JM44" s="1529" t="n">
        <v>17.96484790447048</v>
      </c>
      <c r="JN44" s="1529" t="n">
        <v>17.91899743804247</v>
      </c>
      <c r="JO44" s="1529" t="n">
        <v>17.78041349698278</v>
      </c>
      <c r="JP44" s="1529" t="n">
        <v>16.80811848265231</v>
      </c>
      <c r="JQ44" s="1529" t="n">
        <v>16.60740293527427</v>
      </c>
      <c r="JR44" s="1529" t="n">
        <v>17.33980692782093</v>
      </c>
      <c r="JS44" s="1529">
        <f>JS43/JS2</f>
        <v/>
      </c>
      <c r="JT44" s="1529" t="n">
        <v>18.34146702428227</v>
      </c>
      <c r="JU44" s="1529" t="n">
        <v>18.85788980965782</v>
      </c>
      <c r="JV44" s="1529" t="n">
        <v>18.80259241309653</v>
      </c>
      <c r="JW44" s="1529" t="n">
        <v>19.40547915797067</v>
      </c>
      <c r="JX44" s="1529" t="n">
        <v>19.55379206673318</v>
      </c>
      <c r="JY44" s="1529" t="n">
        <v>26.49264045297484</v>
      </c>
      <c r="JZ44" s="1529" t="n">
        <v>26.31092209352478</v>
      </c>
      <c r="KA44" s="1529" t="n">
        <v>34.49970373272789</v>
      </c>
      <c r="KB44" s="1529" t="n">
        <v>26.68728045052979</v>
      </c>
      <c r="KC44" s="1529" t="n">
        <v>27.09237646336321</v>
      </c>
      <c r="KD44" s="1529" t="n">
        <v>24.93088828288703</v>
      </c>
      <c r="KE44" s="1529" t="n">
        <v>24.66822578491024</v>
      </c>
      <c r="KF44" s="1529" t="n">
        <v>13.5188041907176</v>
      </c>
      <c r="KG44" s="1529" t="n">
        <v>22.35897852896898</v>
      </c>
      <c r="KH44" s="1529" t="n">
        <v>21.81998825044966</v>
      </c>
      <c r="KI44" s="1529" t="n">
        <v>16.67814198667436</v>
      </c>
      <c r="KJ44" s="1529">
        <f>KJ43/KJ2</f>
        <v/>
      </c>
      <c r="KK44" s="1529" t="n">
        <v>18.24835940886917</v>
      </c>
      <c r="KL44" s="1529" t="n">
        <v>17.97603610316324</v>
      </c>
      <c r="KM44" s="1529" t="n">
        <v>18.06566142164685</v>
      </c>
      <c r="KN44" s="1529" t="n">
        <v>18.22749229929315</v>
      </c>
      <c r="KO44" s="1529" t="n">
        <v>19.40630820389353</v>
      </c>
      <c r="KP44" s="1529" t="n">
        <v>19.84736431912458</v>
      </c>
      <c r="KQ44" s="1529" t="n">
        <v>20.08475808851746</v>
      </c>
      <c r="KR44" s="1529" t="n">
        <v>20.1621529760221</v>
      </c>
      <c r="KS44" s="1529">
        <f>KS43/KS2</f>
        <v/>
      </c>
      <c r="KT44" s="1529" t="n">
        <v>19.27510085247931</v>
      </c>
      <c r="KU44" s="1529">
        <f>KU43/KU2</f>
        <v/>
      </c>
      <c r="KV44" s="1529">
        <f>KV43/KV2</f>
        <v/>
      </c>
      <c r="KW44" s="1529">
        <f>KW43/KW2</f>
        <v/>
      </c>
      <c r="KX44" s="1529" t="n">
        <v>16.98910777016652</v>
      </c>
      <c r="KY44" s="1529" t="n">
        <v>16.8048229825457</v>
      </c>
      <c r="KZ44" s="1529" t="n">
        <v>18.03366826797616</v>
      </c>
      <c r="LA44" s="1529" t="n">
        <v>18.12588679632164</v>
      </c>
      <c r="LB44" s="1529" t="n">
        <v>18.2988599737782</v>
      </c>
      <c r="LC44" s="1529" t="n">
        <v>18.32152677298585</v>
      </c>
      <c r="LD44" s="1529" t="n">
        <v>18.14854736402645</v>
      </c>
      <c r="LE44" s="1529">
        <f>LE43/LE2</f>
        <v/>
      </c>
      <c r="LF44" s="1530" t="n">
        <v>18.38231476827031</v>
      </c>
      <c r="LG44" s="1530" t="n">
        <v>18.51864550936099</v>
      </c>
      <c r="LH44" s="1530" t="n">
        <v>19.10306951400593</v>
      </c>
      <c r="LI44" s="1530" t="n">
        <v>18.01227032001602</v>
      </c>
      <c r="LJ44" s="1530" t="n">
        <v>17.87112614040008</v>
      </c>
      <c r="LK44" s="1530" t="n">
        <v>17.87566424836775</v>
      </c>
      <c r="LL44" s="1530" t="n">
        <v>19.40514352772757</v>
      </c>
      <c r="LM44" s="1530" t="n">
        <v>19.41365377121144</v>
      </c>
      <c r="LN44" s="1530" t="n">
        <v>17.40013484712026</v>
      </c>
      <c r="LO44" s="1530" t="n">
        <v>17.26162152344622</v>
      </c>
      <c r="LP44" s="1530" t="n">
        <v>17.21918304408246</v>
      </c>
      <c r="LQ44" s="1530" t="n">
        <v>18.20533240805893</v>
      </c>
      <c r="LR44" s="1530" t="n">
        <v>14.84537384786743</v>
      </c>
      <c r="LS44" s="1530" t="n">
        <v>14.84434143278414</v>
      </c>
      <c r="LT44" s="1530" t="n">
        <v>12.96237042327719</v>
      </c>
      <c r="LU44" s="1530" t="n">
        <v>12.10768420261579</v>
      </c>
      <c r="LV44" s="1530" t="n">
        <v>11.39981439558316</v>
      </c>
      <c r="LW44" s="1530" t="n">
        <v>11.358926675703</v>
      </c>
      <c r="LX44" s="1530" t="n">
        <v>8.218651330877691</v>
      </c>
      <c r="LY44" s="1530" t="n">
        <v>8.33922092493599</v>
      </c>
      <c r="LZ44" s="1530" t="n">
        <v>9.808051177306012</v>
      </c>
      <c r="MA44" s="1530" t="n">
        <v>9.677668069085659</v>
      </c>
      <c r="MB44" s="1530" t="n">
        <v>9.65940184284881</v>
      </c>
      <c r="MC44" s="1530" t="n">
        <v>9.612131310887083</v>
      </c>
      <c r="MD44" s="1530" t="n">
        <v>11.92375245263184</v>
      </c>
      <c r="ME44" s="1530" t="n">
        <v>12.04720413609551</v>
      </c>
      <c r="MF44" s="1530" t="n">
        <v>11.99812612981954</v>
      </c>
      <c r="MG44" s="1530" t="n">
        <v>12.06568694338452</v>
      </c>
      <c r="MH44" s="1530" t="n">
        <v>21.07464284067683</v>
      </c>
      <c r="MI44" s="1530" t="n">
        <v>21.05191231049575</v>
      </c>
      <c r="MJ44" s="1530" t="n">
        <v>16.68645997206919</v>
      </c>
      <c r="MK44" s="1530" t="n">
        <v>15.86671166393782</v>
      </c>
      <c r="ML44" s="1530" t="n">
        <v>15.78463157972326</v>
      </c>
      <c r="MM44" s="1530" t="n">
        <v>15.71772715586046</v>
      </c>
      <c r="MN44" s="1530" t="n">
        <v>15.54793864214016</v>
      </c>
      <c r="MO44" s="1530" t="n">
        <v>15.42432911782987</v>
      </c>
      <c r="MP44" s="1530" t="n">
        <v>15.39520363951717</v>
      </c>
      <c r="MQ44" s="1530" t="n">
        <v>9.672857983049113</v>
      </c>
      <c r="MR44" s="1530" t="n">
        <v>9.594419076813766</v>
      </c>
      <c r="MS44" s="1530" t="n">
        <v>10.1906635779668</v>
      </c>
      <c r="MT44" s="1530" t="n">
        <v>10.33586636450329</v>
      </c>
      <c r="MU44" s="1530" t="n">
        <v>10.33112129078783</v>
      </c>
      <c r="MV44" s="1530" t="n">
        <v>10.64916646614045</v>
      </c>
      <c r="MW44" s="1530" t="n">
        <v>9.373515645248309</v>
      </c>
      <c r="MX44" s="1530" t="n">
        <v>11.63554659145925</v>
      </c>
      <c r="MY44" s="1530" t="n">
        <v>11.6284585823939</v>
      </c>
      <c r="MZ44" s="1530" t="n">
        <v>11.62528194303519</v>
      </c>
      <c r="NA44" s="1530" t="n">
        <v>11.63304747090149</v>
      </c>
      <c r="NB44" s="1530" t="n">
        <v>11.80311832057248</v>
      </c>
      <c r="NC44" s="1530" t="n">
        <v>11.95232090465335</v>
      </c>
      <c r="ND44" s="1530" t="n">
        <v>12.10385537015731</v>
      </c>
      <c r="NE44" s="1530" t="n">
        <v>12.15215348322664</v>
      </c>
      <c r="NF44" s="1530" t="n">
        <v>7.805584816954819</v>
      </c>
      <c r="NG44" s="1530" t="n">
        <v>8.359186415197163</v>
      </c>
      <c r="NH44" s="1530" t="n">
        <v>10.33091721770418</v>
      </c>
      <c r="NI44" s="1530" t="n">
        <v>9.889787504699934</v>
      </c>
      <c r="NJ44" s="1530" t="n">
        <v>9.756464236530622</v>
      </c>
      <c r="NK44" s="1530" t="n">
        <v>9.647558196151246</v>
      </c>
      <c r="NL44" s="1530" t="n">
        <v>9.661858156867677</v>
      </c>
      <c r="NM44" s="1530" t="n">
        <v>11.07566800641887</v>
      </c>
      <c r="NN44" s="1530" t="n">
        <v>11.10183233543716</v>
      </c>
      <c r="NO44" s="1530" t="n">
        <v>11.13452435290765</v>
      </c>
      <c r="NP44" s="1530" t="n">
        <v>11.5849195578658</v>
      </c>
      <c r="NQ44" s="1530" t="n">
        <v>11.57674508942286</v>
      </c>
      <c r="NR44" s="1530" t="n">
        <v>13.5846070167768</v>
      </c>
      <c r="NS44" s="1530" t="n">
        <v>13.8580257726381</v>
      </c>
      <c r="NT44" s="1530" t="n">
        <v>13.93746902669692</v>
      </c>
      <c r="NU44" s="1530">
        <f>NU43/NU2</f>
        <v/>
      </c>
      <c r="NV44" s="1530" t="n">
        <v>15.17447764652174</v>
      </c>
      <c r="NW44" s="1530" t="n">
        <v>15.2824620561488</v>
      </c>
      <c r="NX44" s="1530" t="n">
        <v>15.23137883962761</v>
      </c>
      <c r="NY44" s="1530" t="n">
        <v>15.14968537458892</v>
      </c>
      <c r="NZ44" s="1530" t="n">
        <v>17.95774225391918</v>
      </c>
      <c r="OA44" s="1530" t="n">
        <v>17.97976822055251</v>
      </c>
      <c r="OB44" s="1530" t="n">
        <v>17.99890249790656</v>
      </c>
      <c r="OC44" s="1530" t="n">
        <v>17.95662924651316</v>
      </c>
      <c r="OD44" s="1530" t="n">
        <v>18.01788886454231</v>
      </c>
      <c r="OE44" s="1530" t="n">
        <v>17.78102769226142</v>
      </c>
      <c r="OF44" s="1530" t="n">
        <v>17.60239928192358</v>
      </c>
      <c r="OG44" s="1530" t="n">
        <v>16.82755147817864</v>
      </c>
      <c r="OH44" s="1530" t="n">
        <v>16.60985861292958</v>
      </c>
      <c r="OI44" s="1530" t="n">
        <v>14.88385468069063</v>
      </c>
      <c r="OJ44" s="1530" t="n">
        <v>15.98725703359443</v>
      </c>
      <c r="OK44" s="1530" t="n">
        <v>16.10245505294303</v>
      </c>
      <c r="OL44" s="1530" t="n">
        <v>18.04871058439874</v>
      </c>
      <c r="OM44" s="1530" t="n">
        <v>18.11360294773986</v>
      </c>
      <c r="ON44" s="1530" t="n">
        <v>18.15773857044565</v>
      </c>
      <c r="OO44" s="1530" t="n">
        <v>15.27433285040904</v>
      </c>
      <c r="OP44" s="1530" t="n">
        <v>16.77886223917838</v>
      </c>
      <c r="OQ44" s="1530" t="n">
        <v>16.84017631833672</v>
      </c>
      <c r="OR44" s="1530" t="n">
        <v>16.78082955027122</v>
      </c>
      <c r="OS44" s="1530" t="n">
        <v>16.87990442031182</v>
      </c>
      <c r="OT44" s="1530" t="n">
        <v>27.53776723225968</v>
      </c>
      <c r="OU44" s="1530" t="n">
        <v>27.52875455631789</v>
      </c>
      <c r="OV44" s="1530" t="n">
        <v>27.60743224108545</v>
      </c>
      <c r="OW44" s="1530" t="n">
        <v>32.33853536204639</v>
      </c>
      <c r="OX44" s="1530" t="n">
        <v>32.84024334697981</v>
      </c>
      <c r="OY44" s="1530" t="n">
        <v>13.18564038932614</v>
      </c>
      <c r="OZ44" s="1530" t="n">
        <v>13.08125382648998</v>
      </c>
      <c r="PA44" s="1530" t="n">
        <v>13.22906452151657</v>
      </c>
      <c r="PB44" s="1530" t="n">
        <v>11.71113618185259</v>
      </c>
      <c r="PC44" s="1530" t="n">
        <v>11.79742921184491</v>
      </c>
      <c r="PD44" s="1530" t="n">
        <v>11.85867877019339</v>
      </c>
      <c r="PE44" s="1530" t="n">
        <v>13.82761805382352</v>
      </c>
      <c r="PF44" s="1530" t="n">
        <v>13.99178977363787</v>
      </c>
      <c r="PG44" s="1530" t="n">
        <v>13.94334142024115</v>
      </c>
      <c r="PH44" s="1530" t="n">
        <v>13.95457924699965</v>
      </c>
      <c r="PI44" s="1530" t="n">
        <v>15.32983360269812</v>
      </c>
      <c r="PJ44" s="1530" t="n">
        <v>16.20002009943141</v>
      </c>
      <c r="PK44" s="1530" t="n">
        <v>16.13340915556693</v>
      </c>
      <c r="PL44" s="1530" t="n">
        <v>16.0654770578933</v>
      </c>
      <c r="PM44" s="1530" t="n">
        <v>15.91118613721137</v>
      </c>
      <c r="PN44" s="1530" t="n">
        <v>15.92328858808825</v>
      </c>
      <c r="PO44" s="1530" t="n">
        <v>15.98040924652279</v>
      </c>
      <c r="PP44" s="1530" t="n">
        <v>15.91284683119247</v>
      </c>
      <c r="PQ44" s="1530" t="n">
        <v>11.05045466114891</v>
      </c>
      <c r="PR44" s="1530" t="n">
        <v>10.99771481327471</v>
      </c>
      <c r="PS44" s="1530" t="n">
        <v>14.60263187331906</v>
      </c>
      <c r="PT44" s="1530" t="n">
        <v>14.69267833944612</v>
      </c>
      <c r="PU44" s="1530" t="n">
        <v>15.3169963423491</v>
      </c>
      <c r="PV44" s="1530" t="n">
        <v>15.29942283748703</v>
      </c>
      <c r="PW44" s="1530" t="n">
        <v>15.3610311838143</v>
      </c>
      <c r="PX44" s="1530" t="n">
        <v>15.87173977324382</v>
      </c>
      <c r="PY44" s="1530" t="n">
        <v>22.93718789834407</v>
      </c>
      <c r="PZ44" s="1530" t="n">
        <v>22.88051700178056</v>
      </c>
      <c r="QA44" s="1530" t="n">
        <v>22.78281400444547</v>
      </c>
      <c r="QB44" s="1530" t="n">
        <v>17.74928579112515</v>
      </c>
      <c r="QC44" s="1530" t="n">
        <v>16.3653080543057</v>
      </c>
      <c r="QD44" s="1530" t="n">
        <v>16.37615340025339</v>
      </c>
      <c r="QE44" s="1530" t="n">
        <v>16.24309297718381</v>
      </c>
      <c r="QF44" s="1530" t="n">
        <v>16.18824410917728</v>
      </c>
      <c r="QG44" s="1530" t="n">
        <v>16.20918017393539</v>
      </c>
      <c r="QH44" s="1530">
        <f>QH43/QH2</f>
        <v/>
      </c>
      <c r="QI44" s="1530" t="n">
        <v>17.78662786940563</v>
      </c>
      <c r="QJ44" s="1530" t="n">
        <v>17.98769156064961</v>
      </c>
      <c r="QK44" s="1530" t="n">
        <v>11.6266221851542</v>
      </c>
      <c r="QL44" s="1530" t="n">
        <v>11.62410222290577</v>
      </c>
      <c r="QM44" s="1530" t="n">
        <v>11.6487121602143</v>
      </c>
      <c r="QN44" s="1530" t="n">
        <v>12.26598848731254</v>
      </c>
      <c r="QO44" s="1530" t="n">
        <v>11.8120645899197</v>
      </c>
      <c r="QP44" s="1530" t="n">
        <v>11.82823975108468</v>
      </c>
      <c r="QQ44" s="1530" t="n">
        <v>12.90495767216319</v>
      </c>
      <c r="QR44" s="1530" t="n">
        <v>12.81148138421693</v>
      </c>
      <c r="QS44" s="1530" t="n">
        <v>11.64917253445429</v>
      </c>
      <c r="QT44" s="1530" t="n">
        <v>12.10650819386089</v>
      </c>
      <c r="QU44" s="1530" t="n">
        <v>12.09164864088869</v>
      </c>
      <c r="QV44" s="1530" t="n">
        <v>14.0496358258073</v>
      </c>
      <c r="QW44" s="1530" t="n">
        <v>11.99991053426565</v>
      </c>
      <c r="QX44" s="1530" t="n">
        <v>12.09598822587083</v>
      </c>
      <c r="QY44" s="1530" t="n">
        <v>18.26600651580036</v>
      </c>
      <c r="QZ44" s="1530" t="n">
        <v>18.23365869270211</v>
      </c>
      <c r="RA44" s="1530" t="n">
        <v>13.18044957218241</v>
      </c>
      <c r="RB44" s="1530" t="n">
        <v>13.17797268357168</v>
      </c>
      <c r="RC44" s="1530" t="n">
        <v>13.22497831108529</v>
      </c>
      <c r="RD44" s="1530" t="n">
        <v>13.21020211896153</v>
      </c>
      <c r="RE44" s="1530" t="n">
        <v>9.376619071766166</v>
      </c>
      <c r="RF44" s="1530" t="n">
        <v>9.35290527141736</v>
      </c>
      <c r="RG44" s="1530">
        <f>RG43/RG2</f>
        <v/>
      </c>
      <c r="RH44" s="1530" t="n">
        <v>9.570751966615314</v>
      </c>
      <c r="RI44" s="1530" t="n">
        <v>8.390902340624681</v>
      </c>
      <c r="RJ44" s="1530" t="n">
        <v>8.375902563808989</v>
      </c>
      <c r="RK44" s="1530" t="n">
        <v>10.2230600387293</v>
      </c>
      <c r="RL44" s="1530" t="n">
        <v>10.1711330990841</v>
      </c>
      <c r="RM44" s="1530" t="n">
        <v>8.809463252830781</v>
      </c>
      <c r="RN44" s="1530" t="n">
        <v>8.835644098311354</v>
      </c>
      <c r="RO44" s="1530" t="n">
        <v>8.821747108049973</v>
      </c>
      <c r="RP44" s="1530" t="n">
        <v>8.776257170084888</v>
      </c>
      <c r="RQ44" s="1530" t="n">
        <v>10.43199016360594</v>
      </c>
      <c r="RR44" s="1530" t="n">
        <v>10.45771197389369</v>
      </c>
      <c r="RS44" s="1530" t="n">
        <v>9.634437752525928</v>
      </c>
      <c r="RT44" s="1530" t="n">
        <v>9.653964526084723</v>
      </c>
      <c r="RU44" s="1530" t="n">
        <v>9.649835618886119</v>
      </c>
      <c r="RV44" s="1530" t="n">
        <v>9.731827999865954</v>
      </c>
      <c r="RW44" s="1530" t="n">
        <v>9.771375823986176</v>
      </c>
      <c r="RX44" s="1530" t="n">
        <v>9.783906850415265</v>
      </c>
      <c r="RY44" s="1530" t="n">
        <v>12.56693635500893</v>
      </c>
      <c r="RZ44" s="1530" t="n">
        <v>12.5294350523281</v>
      </c>
      <c r="SA44" s="1530" t="n">
        <v>13.00340894627436</v>
      </c>
      <c r="SB44" s="1530" t="n">
        <v>14.01965936159821</v>
      </c>
      <c r="SC44" s="1530" t="n">
        <v>14.04878393612597</v>
      </c>
      <c r="SD44" s="1530" t="n">
        <v>13.94156361785984</v>
      </c>
      <c r="SE44" s="1530" t="n">
        <v>16.99232806750843</v>
      </c>
      <c r="SF44" s="1530" t="n">
        <v>17.04327207481247</v>
      </c>
      <c r="SG44" s="1530" t="n">
        <v>18.29019149174915</v>
      </c>
      <c r="SH44" s="1530" t="n">
        <v>18.35725801488937</v>
      </c>
      <c r="SI44" s="1530" t="n">
        <v>19.11446258895473</v>
      </c>
      <c r="SJ44" s="1530" t="n">
        <v>19.18480262714043</v>
      </c>
      <c r="SK44" s="1530" t="n">
        <v>22.89192878676934</v>
      </c>
      <c r="SL44" s="1530" t="n">
        <v>22.94764284372654</v>
      </c>
      <c r="SM44" s="1530" t="n">
        <v>18.08960952768242</v>
      </c>
      <c r="SN44" s="1530" t="n">
        <v>18.19971700285164</v>
      </c>
      <c r="SO44" s="1530" t="n">
        <v>18.40850485109128</v>
      </c>
      <c r="SP44" s="1530" t="n">
        <v>20.52431978775972</v>
      </c>
      <c r="SQ44" s="1530" t="n">
        <v>20.33544589088595</v>
      </c>
      <c r="SR44" s="1530" t="n">
        <v>20.21586145896562</v>
      </c>
      <c r="SS44" s="1530" t="n">
        <v>17.88602850501433</v>
      </c>
      <c r="ST44" s="1530" t="n">
        <v>18.04932828247115</v>
      </c>
      <c r="SU44" s="1530" t="n">
        <v>21.17900818579634</v>
      </c>
      <c r="SV44" s="1530" t="n">
        <v>21.18230160991892</v>
      </c>
      <c r="SW44" s="1530" t="n">
        <v>21.17829235954322</v>
      </c>
      <c r="SX44" s="1530" t="n">
        <v>18.32640304414346</v>
      </c>
      <c r="SY44" s="1530" t="n">
        <v>18.2782571716872</v>
      </c>
      <c r="SZ44" s="1530" t="n">
        <v>18.27271341542595</v>
      </c>
      <c r="TA44" s="1530" t="n">
        <v>20.69315148852712</v>
      </c>
      <c r="TB44" s="1530" t="n">
        <v>20.49385405509186</v>
      </c>
      <c r="TC44" s="1530" t="n">
        <v>22.31292588863099</v>
      </c>
      <c r="TD44" s="1530" t="n">
        <v>22.82937539311591</v>
      </c>
      <c r="TE44" s="1530">
        <f>TE43/TE2</f>
        <v/>
      </c>
      <c r="TF44" s="1530">
        <f>TF43/TF2</f>
        <v/>
      </c>
      <c r="TG44" s="1530" t="n">
        <v>14.85929425789143</v>
      </c>
      <c r="TH44" s="1530" t="n">
        <v>14.38769637660941</v>
      </c>
      <c r="TI44" s="1530" t="n">
        <v>13.14575823572788</v>
      </c>
      <c r="TJ44" s="1530" t="n">
        <v>13.80725780495333</v>
      </c>
      <c r="TK44" s="1530" t="n">
        <v>14.96116319102762</v>
      </c>
      <c r="TL44" s="1530" t="n">
        <v>12.87100179980746</v>
      </c>
      <c r="TM44" s="1530" t="n">
        <v>10.87560463460527</v>
      </c>
      <c r="TN44" s="1530" t="n">
        <v>12.86303297266304</v>
      </c>
      <c r="TO44" s="1530" t="n">
        <v>15.95086049795572</v>
      </c>
      <c r="TP44" s="1530" t="n">
        <v>17.02614117471734</v>
      </c>
      <c r="TQ44" s="1530" t="n">
        <v>17.69735283493149</v>
      </c>
      <c r="TR44" s="1530" t="n">
        <v>15.60422694234705</v>
      </c>
      <c r="TS44" s="1530" t="n">
        <v>16.13001738538624</v>
      </c>
      <c r="TT44" s="1530" t="n">
        <v>15.55844628160735</v>
      </c>
      <c r="TU44" s="1530" t="n">
        <v>16.02655421713003</v>
      </c>
      <c r="TV44" s="1530" t="n">
        <v>17.18262977874022</v>
      </c>
      <c r="TW44" s="1530" t="n">
        <v>13.82832911331464</v>
      </c>
      <c r="TX44" s="1530" t="n">
        <v>16.9735519226559</v>
      </c>
      <c r="TY44" s="1530" t="n">
        <v>17.2190460055685</v>
      </c>
      <c r="TZ44" s="1530">
        <f>TZ43/TZ2</f>
        <v/>
      </c>
      <c r="UA44" s="1530">
        <f>UA43/UA2</f>
        <v/>
      </c>
      <c r="UB44" s="1530">
        <f>UB43/UB2</f>
        <v/>
      </c>
      <c r="UC44" s="1530">
        <f>UC43/UC2</f>
        <v/>
      </c>
      <c r="UD44" s="1530">
        <f>UD43/UD2</f>
        <v/>
      </c>
      <c r="UE44" s="1530">
        <f>UE43/UE2</f>
        <v/>
      </c>
      <c r="UF44" s="1530" t="n">
        <v>19.78218312443174</v>
      </c>
      <c r="UG44" s="1530" t="n">
        <v>17.88645791014382</v>
      </c>
      <c r="UH44" s="1530" t="n">
        <v>14.09318423356694</v>
      </c>
      <c r="UI44" s="1530" t="n">
        <v>14.51434054441982</v>
      </c>
      <c r="UJ44" s="1530" t="n">
        <v>10.84234550747948</v>
      </c>
      <c r="UK44" s="1530" t="n">
        <v>10.98930570592264</v>
      </c>
      <c r="UL44" s="1530" t="n">
        <v>10.10458698800547</v>
      </c>
      <c r="UM44" s="1530" t="n">
        <v>14.26164418192673</v>
      </c>
      <c r="UN44" s="1530" t="n">
        <v>13.97584219602492</v>
      </c>
      <c r="UO44" s="1530" t="n">
        <v>14.03150062480662</v>
      </c>
      <c r="UP44" s="1530" t="n">
        <v>11.80278471855547</v>
      </c>
      <c r="UQ44" s="1530" t="n">
        <v>12.70324366875894</v>
      </c>
      <c r="UR44" s="1530" t="n">
        <v>8.411303718721207</v>
      </c>
      <c r="US44" s="1530" t="n">
        <v>8.164966501813419</v>
      </c>
      <c r="UT44" s="1530" t="n">
        <v>8.572286097371704</v>
      </c>
      <c r="UU44" s="1530" t="n">
        <v>9.825481160181337</v>
      </c>
      <c r="UV44" s="1530" t="n">
        <v>8.236390047572867</v>
      </c>
      <c r="UW44" s="1530" t="n">
        <v>8.803620364163875</v>
      </c>
      <c r="UX44" s="1530" t="n">
        <v>8.871732980093672</v>
      </c>
      <c r="UY44" s="1530" t="n">
        <v>8.408257385021551</v>
      </c>
      <c r="UZ44" s="1530" t="n">
        <v>10.61531093899323</v>
      </c>
      <c r="VA44" s="1530" t="n">
        <v>10.93968898235069</v>
      </c>
      <c r="VB44" s="1530" t="n">
        <v>11.07493145259503</v>
      </c>
      <c r="VC44" s="1530" t="n">
        <v>9.30396829880396</v>
      </c>
      <c r="VD44" s="1530" t="n">
        <v>8.409511367549372</v>
      </c>
      <c r="VE44" s="1530" t="n">
        <v>8.453851739851721</v>
      </c>
      <c r="VF44" s="1530" t="n">
        <v>7.160909736351088</v>
      </c>
      <c r="VG44" s="1530" t="n">
        <v>8.691857688095462</v>
      </c>
      <c r="VH44" s="1530" t="n">
        <v>8.762615899468726</v>
      </c>
      <c r="VI44" s="1530" t="n">
        <v>11.53869880108546</v>
      </c>
      <c r="VJ44" s="1530" t="n">
        <v>10.51190937418779</v>
      </c>
      <c r="VK44" s="1530" t="n">
        <v>12.3890341324633</v>
      </c>
      <c r="VL44" s="1530" t="n">
        <v>7.245930111910245</v>
      </c>
      <c r="VM44" s="1530" t="n">
        <v>6.814784384278601</v>
      </c>
      <c r="VN44" s="1530" t="n">
        <v>7.757581889062303</v>
      </c>
      <c r="VO44" s="1530" t="n">
        <v>6.514401036276011</v>
      </c>
      <c r="VP44" s="1530" t="n">
        <v>6.968363617465242</v>
      </c>
      <c r="VQ44" s="1530" t="n">
        <v>8.582465641830836</v>
      </c>
      <c r="VR44" s="1530" t="n">
        <v>7.442850649273995</v>
      </c>
      <c r="VS44" s="1530" t="n">
        <v>7.958845970926187</v>
      </c>
      <c r="VT44" s="1530" t="n">
        <v>7.681245348812777</v>
      </c>
      <c r="VU44" s="1530" t="n">
        <v>6.852245255730026</v>
      </c>
      <c r="VV44" s="1530">
        <f>VV43/VV2</f>
        <v/>
      </c>
      <c r="VW44" s="1530" t="n">
        <v>6.279975561648173</v>
      </c>
      <c r="VX44" s="1530" t="n">
        <v>7.248394826285026</v>
      </c>
      <c r="VY44" s="1530" t="n">
        <v>8.739670127533635</v>
      </c>
      <c r="VZ44" s="1530" t="n">
        <v>10.4246402996678</v>
      </c>
      <c r="WA44" s="1530" t="n">
        <v>10.62401475802903</v>
      </c>
      <c r="WB44" s="1530" t="n">
        <v>12.80995782841867</v>
      </c>
      <c r="WC44" s="1530" t="n">
        <v>11.19846608321636</v>
      </c>
      <c r="WD44" s="1530" t="n">
        <v>8.311063269008391</v>
      </c>
      <c r="WE44" s="1530" t="n">
        <v>8.739370340614929</v>
      </c>
      <c r="WF44" s="1530" t="n">
        <v>9.965629651518071</v>
      </c>
      <c r="WG44" s="1530" t="n">
        <v>2.312238941257038</v>
      </c>
      <c r="WH44" s="1530" t="n">
        <v>4.127639096437134</v>
      </c>
      <c r="WI44" s="1530" t="n">
        <v>4.721513410349228</v>
      </c>
      <c r="WJ44" s="1530" t="n">
        <v>4.550310648275047</v>
      </c>
      <c r="WK44" s="1530" t="n">
        <v>4.093275504139299</v>
      </c>
      <c r="WL44" s="1530" t="n">
        <v>4.968871103893405</v>
      </c>
      <c r="WM44" s="1530" t="n">
        <v>4.697896741325489</v>
      </c>
      <c r="WN44" s="1530" t="n">
        <v>3.911500371010208</v>
      </c>
      <c r="WO44" s="1530" t="n">
        <v>5.067821536045189</v>
      </c>
      <c r="WP44" s="1530" t="n">
        <v>3.051776683666084</v>
      </c>
      <c r="WQ44" s="1530" t="n">
        <v>3.695279117547602</v>
      </c>
      <c r="WR44" s="1530">
        <f>WR43/WR2</f>
        <v/>
      </c>
      <c r="WS44" s="1530">
        <f>WS43/WS2</f>
        <v/>
      </c>
      <c r="WT44" s="1530">
        <f>WT43/WT2</f>
        <v/>
      </c>
      <c r="WU44" s="1530">
        <f>WU43/WU2</f>
        <v/>
      </c>
      <c r="WV44" s="1530">
        <f>WV43/WV2</f>
        <v/>
      </c>
      <c r="WW44" s="1530" t="n">
        <v>3.779753026136381</v>
      </c>
      <c r="WX44" s="1530" t="n">
        <v>4.204570484517223</v>
      </c>
      <c r="WY44" s="1530" t="n">
        <v>4.346142517605742</v>
      </c>
      <c r="WZ44" s="1530" t="n">
        <v>5.440968157341201</v>
      </c>
      <c r="XA44" s="1530" t="n">
        <v>4.749528003295276</v>
      </c>
      <c r="XB44" s="1530" t="n">
        <v>3.596000315107864</v>
      </c>
      <c r="XC44" s="1530" t="n">
        <v>4.82037452486948</v>
      </c>
      <c r="XD44" s="1530" t="n">
        <v>7.062189851627386</v>
      </c>
      <c r="XE44" s="1530" t="n">
        <v>5.653500585099305</v>
      </c>
      <c r="XF44" s="1530" t="n">
        <v>7.471668777350067</v>
      </c>
      <c r="XG44" s="1530" t="n">
        <v>4.149011175399067</v>
      </c>
      <c r="XH44" s="1530" t="n">
        <v>4.918577734035662</v>
      </c>
      <c r="XI44" s="1530" t="n">
        <v>5.417719279399964</v>
      </c>
      <c r="XJ44" s="1530" t="n">
        <v>6.173871249598947</v>
      </c>
      <c r="XK44" s="1530" t="n">
        <v>5.485977009170045</v>
      </c>
      <c r="XL44" s="1530" t="n">
        <v>4.371663637247807</v>
      </c>
      <c r="XM44" s="1530" t="n">
        <v>4.389294567281161</v>
      </c>
      <c r="XN44" s="1530" t="n">
        <v>6.125472922565845</v>
      </c>
      <c r="XO44" s="1530" t="n">
        <v>7.897281471285105</v>
      </c>
      <c r="XP44" s="1530" t="n">
        <v>4.674430802262803</v>
      </c>
      <c r="XQ44" s="1530" t="n">
        <v>5.940082651726489</v>
      </c>
      <c r="XR44" s="1530" t="n">
        <v>5.827063020654671</v>
      </c>
      <c r="XS44" s="1530" t="n">
        <v>7.381154376255822</v>
      </c>
      <c r="XT44" s="1530" t="n">
        <v>4.890090281015889</v>
      </c>
      <c r="XU44" s="1530" t="n">
        <v>5.532724328715614</v>
      </c>
      <c r="XV44" s="1530" t="n">
        <v>6.1757082803493</v>
      </c>
      <c r="XW44" s="1530" t="n">
        <v>7.094266924386646</v>
      </c>
      <c r="XX44" s="1530" t="n">
        <v>7.576534378052679</v>
      </c>
      <c r="XY44" s="1530" t="n">
        <v>7.499547033259243</v>
      </c>
      <c r="XZ44" s="1530" t="n">
        <v>6.026506159702043</v>
      </c>
      <c r="YA44" s="1530" t="n">
        <v>5.412850245617261</v>
      </c>
      <c r="YB44" s="1530" t="n">
        <v>7.100843184245508</v>
      </c>
      <c r="YC44" s="1530" t="n">
        <v>5.364541266739621</v>
      </c>
      <c r="YD44" s="1530" t="n">
        <v>6.8487476411371</v>
      </c>
      <c r="YE44" s="1530" t="n">
        <v>5.456514517974559</v>
      </c>
      <c r="YF44" s="1530" t="n">
        <v>10.69803426751115</v>
      </c>
      <c r="YG44" s="1530" t="n">
        <v>10.75924531907411</v>
      </c>
      <c r="YH44" s="1530" t="n">
        <v>10.1576764429754</v>
      </c>
      <c r="YI44" s="1530" t="n">
        <v>7.853651019764272</v>
      </c>
      <c r="YJ44" s="1531">
        <f>YJ43/YJ2</f>
        <v/>
      </c>
    </row>
    <row r="45" ht="15" customHeight="1" thickTop="1">
      <c r="B45" s="917" t="inlineStr">
        <is>
          <t>Severnaya</t>
        </is>
      </c>
      <c r="C45" s="1532" t="n">
        <v>296.556568</v>
      </c>
      <c r="D45" s="1533" t="n">
        <v>57.5</v>
      </c>
      <c r="E45" s="1533" t="n">
        <v>113.915317</v>
      </c>
      <c r="F45" s="1533" t="n">
        <v>131.264629</v>
      </c>
      <c r="G45" s="1533" t="n">
        <v>165.192827</v>
      </c>
      <c r="H45" s="1533" t="n">
        <v>42.728111</v>
      </c>
      <c r="I45" s="1533" t="n">
        <v>80.040465</v>
      </c>
      <c r="J45" s="1533" t="n">
        <v>131.272725</v>
      </c>
      <c r="K45" s="1533" t="n">
        <v>232.548253</v>
      </c>
      <c r="L45" s="1533" t="n">
        <v>279.522714</v>
      </c>
      <c r="M45" s="1533" t="n">
        <v>269.466991</v>
      </c>
      <c r="N45" s="1533" t="n">
        <v>80.58756200000001</v>
      </c>
      <c r="O45" s="1533" t="n">
        <v>164.334842</v>
      </c>
      <c r="P45" s="1533" t="n">
        <v>183.82578</v>
      </c>
      <c r="Q45" s="1533" t="n">
        <v>186.949623</v>
      </c>
      <c r="R45" s="1533" t="n">
        <v>248.4809</v>
      </c>
      <c r="S45" s="1533" t="n">
        <v>94.43579</v>
      </c>
      <c r="T45" s="1533" t="n">
        <v>178.504204</v>
      </c>
      <c r="U45" s="1533" t="n">
        <v>98.08605900000001</v>
      </c>
      <c r="V45" s="1533" t="n">
        <v>207.720594</v>
      </c>
      <c r="W45" s="1533" t="n">
        <v>136.49819</v>
      </c>
      <c r="X45" s="1533" t="n">
        <v>79.52673299999999</v>
      </c>
      <c r="Y45" s="1533" t="n">
        <v>189.355058</v>
      </c>
      <c r="Z45" s="1533" t="n">
        <v>250.754108</v>
      </c>
      <c r="AA45" s="1533" t="n">
        <v>299.206284</v>
      </c>
      <c r="AB45" s="1533" t="n">
        <v>476.215737</v>
      </c>
      <c r="AC45" s="1533" t="n">
        <v>207.343114</v>
      </c>
      <c r="AD45" s="1533" t="n">
        <v>311.09919</v>
      </c>
      <c r="AE45" s="1533" t="n">
        <v>168.300011</v>
      </c>
      <c r="AF45" s="1533" t="n">
        <v>37.146092</v>
      </c>
      <c r="AG45" s="1533" t="n">
        <v>137.692203</v>
      </c>
      <c r="AH45" s="1533" t="n">
        <v>53.47028</v>
      </c>
      <c r="AI45" s="1533" t="n">
        <v>73.35709799999999</v>
      </c>
      <c r="AJ45" s="1533" t="n">
        <v>229.636878</v>
      </c>
      <c r="AK45" s="1533" t="n">
        <v>141.71554</v>
      </c>
      <c r="AL45" s="1533" t="n">
        <v>133.054746</v>
      </c>
      <c r="AM45" s="1533" t="n">
        <v>190.29859</v>
      </c>
      <c r="AN45" s="1533" t="n">
        <v>282.895972</v>
      </c>
      <c r="AO45" s="1533" t="n">
        <v>317.319636</v>
      </c>
      <c r="AP45" s="1533" t="n">
        <v>56.920909</v>
      </c>
      <c r="AQ45" s="1533" t="n">
        <v>90.340552</v>
      </c>
      <c r="AR45" s="1533" t="n">
        <v>114.681591</v>
      </c>
      <c r="AS45" s="1533" t="n">
        <v>152.402231</v>
      </c>
      <c r="AT45" s="1533" t="n">
        <v>205.02433</v>
      </c>
      <c r="AU45" s="1533" t="n">
        <v>258.511701</v>
      </c>
      <c r="AV45" s="1533" t="n">
        <v>285.381021</v>
      </c>
      <c r="AW45" s="1533" t="n">
        <v>184.033061</v>
      </c>
      <c r="AX45" s="1533" t="n">
        <v>65.83729599999999</v>
      </c>
      <c r="AY45" s="1533" t="n">
        <v>161.887438</v>
      </c>
      <c r="AZ45" s="1533" t="n">
        <v>252.957986</v>
      </c>
      <c r="BA45" s="1533" t="n">
        <v>274.583743</v>
      </c>
      <c r="BB45" s="1533" t="n">
        <v>292.835292</v>
      </c>
      <c r="BC45" s="1533" t="n">
        <v>412.876113</v>
      </c>
      <c r="BD45" s="1533" t="n">
        <v>62.997766</v>
      </c>
      <c r="BE45" s="1533" t="n">
        <v>81.55657100000001</v>
      </c>
      <c r="BF45" s="1533" t="n">
        <v>45.588788</v>
      </c>
      <c r="BG45" s="1533" t="n">
        <v>67.82700199999999</v>
      </c>
      <c r="BH45" s="1533" t="n">
        <v>154.66774</v>
      </c>
      <c r="BI45" s="1533" t="n">
        <v>232.345843</v>
      </c>
      <c r="BJ45" s="1533" t="n">
        <v>307.758125</v>
      </c>
      <c r="BK45" s="1533" t="n">
        <v>434.923744</v>
      </c>
      <c r="BL45" s="1533" t="n">
        <v>121.930366</v>
      </c>
      <c r="BM45" s="1533" t="n">
        <v>153.316985</v>
      </c>
      <c r="BN45" s="1533" t="n">
        <v>563.343379</v>
      </c>
      <c r="BO45" s="1533" t="n">
        <v>39.479161</v>
      </c>
      <c r="BP45" s="1533" t="n">
        <v>62.04268</v>
      </c>
      <c r="BQ45" s="1533" t="n">
        <v>71.443427</v>
      </c>
      <c r="BR45" s="1533" t="n">
        <v>77.3309</v>
      </c>
      <c r="BS45" s="1533" t="n">
        <v>187.240861</v>
      </c>
      <c r="BT45" s="1533" t="n">
        <v>2348.095764</v>
      </c>
      <c r="BU45" s="1533" t="n">
        <v>50.11342</v>
      </c>
      <c r="BV45" s="1533" t="n">
        <v>2281.2769</v>
      </c>
      <c r="BW45" s="1533" t="n">
        <v>49.297241</v>
      </c>
      <c r="BX45" s="1533" t="n">
        <v>221.928225</v>
      </c>
      <c r="BY45" s="1533" t="n">
        <v>111.034903</v>
      </c>
      <c r="BZ45" s="1533" t="n">
        <v>140.406782</v>
      </c>
      <c r="CA45" s="1533" t="n">
        <v>198.426041</v>
      </c>
      <c r="CB45" s="1533" t="n">
        <v>144.829483</v>
      </c>
      <c r="CC45" s="1533" t="n">
        <v>113.969261</v>
      </c>
      <c r="CD45" s="1533" t="n">
        <v>155.55602</v>
      </c>
      <c r="CE45" s="1533" t="n">
        <v>628.757293</v>
      </c>
      <c r="CF45" s="1533" t="n">
        <v>463.059564</v>
      </c>
      <c r="CG45" s="1533" t="n">
        <v>204.128259</v>
      </c>
      <c r="CH45" s="1533" t="n">
        <v>109.451006</v>
      </c>
      <c r="CI45" s="1533" t="n">
        <v>114.448015</v>
      </c>
      <c r="CJ45" s="1533" t="n">
        <v>33.896803</v>
      </c>
      <c r="CK45" s="1533" t="n">
        <v>21.255238</v>
      </c>
      <c r="CL45" s="1533" t="n">
        <v>117.849284</v>
      </c>
      <c r="CM45" s="1533" t="n">
        <v>129.703455</v>
      </c>
      <c r="CN45" s="1533" t="n">
        <v>316.079563</v>
      </c>
      <c r="CO45" s="1533" t="n">
        <v>178.537126</v>
      </c>
      <c r="CP45" s="1533" t="n">
        <v>261.308874</v>
      </c>
      <c r="CQ45" s="1533" t="n">
        <v>290.535992</v>
      </c>
      <c r="CR45" s="1533" t="n">
        <v>255.276141</v>
      </c>
      <c r="CS45" s="1533" t="n">
        <v>183.27022</v>
      </c>
      <c r="CT45" s="1533" t="n">
        <v>85.22726900000001</v>
      </c>
      <c r="CU45" s="1533" t="n">
        <v>27.927907</v>
      </c>
      <c r="CV45" s="1533" t="n">
        <v>101.049836</v>
      </c>
      <c r="CW45" s="1533" t="n">
        <v>56.811612</v>
      </c>
      <c r="CX45" s="1533" t="n">
        <v>59.8963</v>
      </c>
      <c r="CY45" s="1533" t="n">
        <v>142.662802</v>
      </c>
      <c r="CZ45" s="1533" t="n">
        <v>154.602529</v>
      </c>
      <c r="DA45" s="1533" t="n">
        <v>278.265723</v>
      </c>
      <c r="DB45" s="1533" t="n">
        <v>92.2461</v>
      </c>
      <c r="DC45" s="1533" t="n">
        <v>31.693119</v>
      </c>
      <c r="DD45" s="1533" t="n">
        <v>491.605221</v>
      </c>
      <c r="DE45" s="1533" t="n">
        <v>36.995721</v>
      </c>
      <c r="DF45" s="1533" t="n">
        <v>127.928825</v>
      </c>
      <c r="DG45" s="1533" t="n">
        <v>187.362775</v>
      </c>
      <c r="DH45" s="1533" t="n">
        <v>266.771896</v>
      </c>
      <c r="DI45" s="1533" t="n">
        <v>190.393651</v>
      </c>
      <c r="DJ45" s="1533" t="n">
        <v>186.91875</v>
      </c>
      <c r="DK45" s="1533" t="n">
        <v>265.705281</v>
      </c>
      <c r="DL45" s="1533" t="n">
        <v>339.298078</v>
      </c>
      <c r="DM45" s="1533" t="n">
        <v>302.329602</v>
      </c>
      <c r="DN45" s="1533" t="n">
        <v>302.329602</v>
      </c>
      <c r="DO45" s="1533" t="n">
        <v>302.329602</v>
      </c>
      <c r="DP45" s="1533" t="n">
        <v>433.351</v>
      </c>
      <c r="DQ45" s="1533" t="n">
        <v>141.489832</v>
      </c>
      <c r="DR45" s="1533" t="n">
        <v>260.500001</v>
      </c>
      <c r="DS45" s="1533" t="n">
        <v>131.3256</v>
      </c>
      <c r="DT45" s="1533" t="n">
        <v>162.559012</v>
      </c>
      <c r="DU45" s="1533" t="n">
        <v>178.57429</v>
      </c>
      <c r="DV45" s="1533" t="n">
        <v>250.968423</v>
      </c>
      <c r="DW45" s="1533" t="n">
        <v>344.452766</v>
      </c>
      <c r="DX45" s="1533" t="n">
        <v>322.583502</v>
      </c>
      <c r="DY45" s="1533" t="n">
        <v>317.680525</v>
      </c>
      <c r="DZ45" s="1533" t="n">
        <v>273.783797</v>
      </c>
      <c r="EA45" s="1533" t="n">
        <v>251.234062</v>
      </c>
      <c r="EB45" s="1533" t="n">
        <v>269.987724</v>
      </c>
      <c r="EC45" s="1533" t="n">
        <v>151.37772</v>
      </c>
      <c r="ED45" s="1533" t="n">
        <v>191.418645</v>
      </c>
      <c r="EE45" s="1533" t="n">
        <v>92.877619</v>
      </c>
      <c r="EF45" s="1533" t="n">
        <v>114.454062</v>
      </c>
      <c r="EG45" s="1533" t="n">
        <v>200.411653</v>
      </c>
      <c r="EH45" s="1533" t="n">
        <v>184.394429</v>
      </c>
      <c r="EI45" s="1533" t="n">
        <v>196.966822</v>
      </c>
      <c r="EJ45" s="1533" t="n">
        <v>108.704621</v>
      </c>
      <c r="EK45" s="1533" t="n">
        <v>163.357256</v>
      </c>
      <c r="EL45" s="1533" t="n">
        <v>153.372095</v>
      </c>
      <c r="EM45" s="1533" t="n">
        <v>713.328942</v>
      </c>
      <c r="EN45" s="1533" t="n">
        <v>147.392646</v>
      </c>
      <c r="EO45" s="1533" t="n">
        <v>216.30154</v>
      </c>
      <c r="EP45" s="1533" t="n">
        <v>53.863404</v>
      </c>
      <c r="EQ45" s="1533" t="n">
        <v>138.383566</v>
      </c>
      <c r="ER45" s="1533" t="n">
        <v>138.871601</v>
      </c>
      <c r="ES45" s="1533" t="n">
        <v>317.80686</v>
      </c>
      <c r="ET45" s="1533" t="n">
        <v>209.730675</v>
      </c>
      <c r="EU45" s="1533" t="n">
        <v>264.060288</v>
      </c>
      <c r="EV45" s="1533" t="n">
        <v>330.262727</v>
      </c>
      <c r="EW45" s="1533" t="n">
        <v>110.983788</v>
      </c>
      <c r="EX45" s="1533" t="n">
        <v>419.481384</v>
      </c>
      <c r="EY45" s="1533" t="n">
        <v>162.885242</v>
      </c>
      <c r="EZ45" s="1533" t="n">
        <v>171.13662</v>
      </c>
      <c r="FA45" s="1533" t="n">
        <v>249.478887</v>
      </c>
      <c r="FB45" s="1533" t="n">
        <v>258.485051</v>
      </c>
      <c r="FC45" s="1533" t="n">
        <v>75.467539</v>
      </c>
      <c r="FD45" s="1533" t="n">
        <v>116.13346</v>
      </c>
      <c r="FE45" s="1533" t="n">
        <v>156.695239</v>
      </c>
      <c r="FF45" s="1533" t="n">
        <v>177.757657</v>
      </c>
      <c r="FG45" s="1533" t="n">
        <v>234.510391</v>
      </c>
      <c r="FH45" s="1533" t="n">
        <v>413.068095</v>
      </c>
      <c r="FI45" s="1533" t="n">
        <v>119.580297</v>
      </c>
      <c r="FJ45" s="1533" t="n">
        <v>578.359327</v>
      </c>
      <c r="FK45" s="1533" t="n">
        <v>189.507008</v>
      </c>
      <c r="FL45" s="1533" t="n">
        <v>23.442356</v>
      </c>
      <c r="FM45" s="1533" t="n">
        <v>237.761787</v>
      </c>
      <c r="FN45" s="1533" t="n">
        <v>267.540869</v>
      </c>
      <c r="FO45" s="1533" t="n">
        <v>251.822086</v>
      </c>
      <c r="FP45" s="1533" t="n">
        <v>324.576482</v>
      </c>
      <c r="FQ45" s="1533" t="n">
        <v>116.696235</v>
      </c>
      <c r="FR45" s="1533" t="n">
        <v>141.237572</v>
      </c>
      <c r="FS45" s="1533" t="n">
        <v>85.039491</v>
      </c>
      <c r="FT45" s="1533" t="n">
        <v>91.09181700000001</v>
      </c>
      <c r="FU45" s="1533" t="n">
        <v>18.684106</v>
      </c>
      <c r="FV45" s="1533" t="n">
        <v>5.615273</v>
      </c>
      <c r="FW45" s="1533" t="n">
        <v>107.310908</v>
      </c>
      <c r="FX45" s="1533" t="n">
        <v>52.317752</v>
      </c>
      <c r="FY45" s="1533" t="n">
        <v>23.40974</v>
      </c>
      <c r="FZ45" s="1533" t="n">
        <v>39.275268</v>
      </c>
      <c r="GA45" s="1533" t="n">
        <v>12.333284</v>
      </c>
      <c r="GB45" s="1533" t="n">
        <v>121.404923</v>
      </c>
      <c r="GC45" s="1533" t="n">
        <v>121.404923</v>
      </c>
      <c r="GD45" s="1533" t="n">
        <v>291.798553</v>
      </c>
      <c r="GE45" s="1533" t="n">
        <v>244.772121</v>
      </c>
      <c r="GF45" s="1533" t="n">
        <v>205.644159</v>
      </c>
      <c r="GG45" s="1533" t="n">
        <v>923.353518</v>
      </c>
      <c r="GH45" s="1533" t="n">
        <v>1066.572994</v>
      </c>
      <c r="GI45" s="1533" t="n">
        <v>566.348489</v>
      </c>
      <c r="GJ45" s="1533" t="n">
        <v>218.915904</v>
      </c>
      <c r="GK45" s="1533" t="n">
        <v>87.88469600000001</v>
      </c>
      <c r="GL45" s="1533">
        <f>68153834/10^6</f>
        <v/>
      </c>
      <c r="GM45" s="1533" t="n">
        <v>43.793398</v>
      </c>
      <c r="GN45" s="1533" t="n">
        <v>253.309944</v>
      </c>
      <c r="GO45" s="1533" t="n">
        <v>215.585585</v>
      </c>
      <c r="GP45" s="1533" t="n">
        <v>108.769937</v>
      </c>
      <c r="GQ45" s="1533" t="n">
        <v>43.885718</v>
      </c>
      <c r="GR45" s="1533" t="n">
        <v>167.748947</v>
      </c>
      <c r="GS45" s="1533" t="n">
        <v>479.286426</v>
      </c>
      <c r="GT45" s="1533" t="n">
        <v>238.251836</v>
      </c>
      <c r="GU45" s="1533" t="n">
        <v>340.963357</v>
      </c>
      <c r="GV45" s="1533" t="n">
        <v>57.937083</v>
      </c>
      <c r="GW45" s="1533" t="n">
        <v>199.126521</v>
      </c>
      <c r="GX45" s="1533" t="n">
        <v>151.090474</v>
      </c>
      <c r="GY45" s="1533" t="n">
        <v>259.386248</v>
      </c>
      <c r="GZ45" s="1533" t="n">
        <v>146.606935</v>
      </c>
      <c r="HA45" s="1533" t="n">
        <v>184.766834</v>
      </c>
      <c r="HB45" s="1533" t="n">
        <v>235.76156</v>
      </c>
      <c r="HC45" s="1533" t="n">
        <v>222.443793</v>
      </c>
      <c r="HD45" s="1533" t="n">
        <v>630.12032</v>
      </c>
      <c r="HE45" s="1533" t="n">
        <v>557.872284</v>
      </c>
      <c r="HF45" s="1533" t="n">
        <v>341.521164</v>
      </c>
      <c r="HG45" s="1533" t="n">
        <v>1288.831571</v>
      </c>
      <c r="HH45" s="1533" t="n">
        <v>163.197506</v>
      </c>
      <c r="HI45" s="1533" t="n">
        <v>248.528132</v>
      </c>
      <c r="HJ45" s="1533" t="n">
        <v>218.270463</v>
      </c>
      <c r="HK45" s="1533" t="n">
        <v>214.108249</v>
      </c>
      <c r="HL45" s="1533" t="n">
        <v>118.927174</v>
      </c>
      <c r="HM45" s="1533" t="n">
        <v>131.731241</v>
      </c>
      <c r="HN45" s="1533" t="n">
        <v>107.582954</v>
      </c>
      <c r="HO45" s="1533" t="n">
        <v>273.323431</v>
      </c>
      <c r="HP45" s="1533" t="n">
        <v>365.030813</v>
      </c>
      <c r="HQ45" s="1547" t="n">
        <v>106.456375</v>
      </c>
      <c r="HR45" s="1547" t="n">
        <v>32.893595</v>
      </c>
      <c r="HS45" s="1547" t="n">
        <v>82.486169</v>
      </c>
      <c r="HT45" s="1547" t="n">
        <v>72.26242000000001</v>
      </c>
      <c r="HU45" s="1547" t="n">
        <v>37.758545</v>
      </c>
      <c r="HV45" s="1547" t="n">
        <v>313.202216</v>
      </c>
      <c r="HW45" s="1547" t="n">
        <v>255.324418</v>
      </c>
      <c r="HX45" s="1547" t="n">
        <v>252.605702</v>
      </c>
      <c r="HY45" s="1547" t="n">
        <v>23.332798</v>
      </c>
      <c r="HZ45" s="1547" t="n">
        <v>54.460604</v>
      </c>
      <c r="IA45" s="1547" t="n">
        <v>115.359142</v>
      </c>
      <c r="IB45" s="1547" t="n">
        <v>33.836459</v>
      </c>
      <c r="IC45" s="1547" t="n">
        <v>33.836459623653</v>
      </c>
      <c r="ID45" s="1547" t="n">
        <v>27.737453</v>
      </c>
      <c r="IE45" s="1547" t="n">
        <v>164.15738</v>
      </c>
      <c r="IF45" s="1547" t="n">
        <v>45.674972</v>
      </c>
      <c r="IG45" s="1547" t="n">
        <v>29.60148</v>
      </c>
      <c r="IH45" s="1547" t="n">
        <v>11.572341</v>
      </c>
      <c r="II45" s="1547" t="n">
        <v>24.59142</v>
      </c>
      <c r="IJ45" s="1547" t="n">
        <v>73.600346</v>
      </c>
      <c r="IK45" s="1547" t="n">
        <v>644.33618</v>
      </c>
      <c r="IL45" s="1547" t="n">
        <v>18.546149</v>
      </c>
      <c r="IM45" s="1547" t="n">
        <v>131.097956</v>
      </c>
      <c r="IN45" s="1533" t="n">
        <v>152.477812</v>
      </c>
      <c r="IO45" s="1533" t="n">
        <v>143.350466</v>
      </c>
      <c r="IP45" s="1533" t="n">
        <v>378.485435</v>
      </c>
      <c r="IQ45" s="1533" t="n">
        <v>182.821468</v>
      </c>
      <c r="IR45" s="1533" t="n">
        <v>137.335688</v>
      </c>
      <c r="IS45" s="1533" t="n">
        <v>194.275033</v>
      </c>
      <c r="IT45" s="1533" t="n">
        <v>127.237012</v>
      </c>
      <c r="IU45" s="1533" t="n">
        <v>272.634349</v>
      </c>
      <c r="IV45" s="1533" t="n">
        <v>206.45383</v>
      </c>
      <c r="IW45" s="1533" t="n">
        <v>143.202419</v>
      </c>
      <c r="IX45" s="1533" t="n">
        <v>122.815491</v>
      </c>
      <c r="IY45" s="1533" t="n">
        <v>57.163933</v>
      </c>
      <c r="IZ45" s="1533" t="n">
        <v>23.801997</v>
      </c>
      <c r="JA45" s="1533" t="n">
        <v>465.318408</v>
      </c>
      <c r="JB45" s="1533" t="n">
        <v>353.037926</v>
      </c>
      <c r="JC45" s="1533" t="n">
        <v>285.565582</v>
      </c>
      <c r="JD45" s="1533" t="n">
        <v>324.396014</v>
      </c>
      <c r="JE45" s="1533" t="n">
        <v>168.861672</v>
      </c>
      <c r="JF45" s="1533" t="n">
        <v>339.447521</v>
      </c>
      <c r="JG45" s="1533" t="n">
        <v>352.728272</v>
      </c>
      <c r="JH45" s="1533" t="n">
        <v>326.835784</v>
      </c>
      <c r="JI45" s="1533" t="n">
        <v>140.131612</v>
      </c>
      <c r="JJ45" s="1533" t="n">
        <v>177.044552</v>
      </c>
      <c r="JK45" s="1533" t="n">
        <v>266.50316</v>
      </c>
      <c r="JL45" s="1533" t="n">
        <v>266.50316</v>
      </c>
      <c r="JM45" s="1533" t="n">
        <v>412.464982</v>
      </c>
      <c r="JN45" s="1533" t="n">
        <v>809.9544069999999</v>
      </c>
      <c r="JO45" s="1533" t="n">
        <v>1519.293215</v>
      </c>
      <c r="JP45" s="1533" t="n">
        <v>1741.252832</v>
      </c>
      <c r="JQ45" s="1533" t="n">
        <v>806.603124</v>
      </c>
      <c r="JR45" s="1533" t="n">
        <v>161.692797</v>
      </c>
      <c r="JS45" s="1533" t="n">
        <v>278.93466</v>
      </c>
      <c r="JT45" s="1533" t="n">
        <v>325.996838</v>
      </c>
      <c r="JU45" s="1533" t="n">
        <v>244.509326</v>
      </c>
      <c r="JV45" s="1533" t="n">
        <v>470.714016</v>
      </c>
      <c r="JW45" s="1533" t="n">
        <v>494.024817</v>
      </c>
      <c r="JX45" s="1533" t="n">
        <v>365.425405</v>
      </c>
      <c r="JY45" s="1533" t="n">
        <v>158.891211</v>
      </c>
      <c r="JZ45" s="1533" t="n">
        <v>406.281823</v>
      </c>
      <c r="KA45" s="1533" t="n">
        <v>212.012658</v>
      </c>
      <c r="KB45" s="1533" t="n">
        <v>377.250343</v>
      </c>
      <c r="KC45" s="1533" t="n">
        <v>458.839666</v>
      </c>
      <c r="KD45" s="1533" t="n">
        <v>411.850286</v>
      </c>
      <c r="KE45" s="1533" t="n">
        <v>441.772725</v>
      </c>
      <c r="KF45" s="1533" t="n">
        <v>508.214825</v>
      </c>
      <c r="KG45" s="1533" t="n">
        <v>93.452703</v>
      </c>
      <c r="KH45" s="1533" t="n">
        <v>275.488679</v>
      </c>
      <c r="KI45" s="1533" t="n">
        <v>152.365206</v>
      </c>
      <c r="KJ45" s="1533" t="n">
        <v>185.675574</v>
      </c>
      <c r="KK45" s="1533" t="n">
        <v>223.730339</v>
      </c>
      <c r="KL45" s="1533" t="n">
        <v>312.55905</v>
      </c>
      <c r="KM45" s="1533" t="n">
        <v>184.501104</v>
      </c>
      <c r="KN45" s="1533" t="n">
        <v>204.659203</v>
      </c>
      <c r="KO45" s="1533" t="n">
        <v>79.192283</v>
      </c>
      <c r="KP45" s="1533" t="n">
        <v>881.697762</v>
      </c>
      <c r="KQ45" s="1533" t="n">
        <v>302.534201</v>
      </c>
      <c r="KR45" s="1533" t="n">
        <v>415.534387</v>
      </c>
      <c r="KS45" s="1533" t="n">
        <v>441.494096</v>
      </c>
      <c r="KT45" s="1533" t="n">
        <v>104.813987</v>
      </c>
      <c r="KU45" s="1533" t="n">
        <v>429.116798</v>
      </c>
      <c r="KV45" s="1533" t="n">
        <v>254.38815771</v>
      </c>
      <c r="KW45" s="1533" t="n">
        <v>363.15812</v>
      </c>
      <c r="KX45" s="1533" t="n">
        <v>111.228512</v>
      </c>
      <c r="KY45" s="1533" t="n">
        <v>951.844894</v>
      </c>
      <c r="KZ45" s="1533" t="n">
        <v>991.8519250000001</v>
      </c>
      <c r="LA45" s="1533" t="n">
        <v>296.056007</v>
      </c>
      <c r="LB45" s="1533" t="n">
        <v>682.959637</v>
      </c>
      <c r="LC45" s="1533" t="n">
        <v>777.680427</v>
      </c>
      <c r="LD45" s="1533" t="n">
        <v>1845.7242</v>
      </c>
      <c r="LE45" s="1533" t="n">
        <v>1655.630602</v>
      </c>
      <c r="LF45" s="1545" t="n">
        <v>849.348807</v>
      </c>
      <c r="LG45" s="1545" t="n">
        <v>286.810782</v>
      </c>
      <c r="LH45" s="1545" t="n">
        <v>588.171174</v>
      </c>
      <c r="LI45" s="1545" t="n">
        <v>735.445238</v>
      </c>
      <c r="LJ45" s="1545" t="n">
        <v>275.948928</v>
      </c>
      <c r="LK45" s="1545" t="n">
        <v>1159.750654</v>
      </c>
      <c r="LL45" s="1545" t="n">
        <v>312.13273</v>
      </c>
      <c r="LM45" s="1545" t="n">
        <v>365.495178</v>
      </c>
      <c r="LN45" s="1545" t="n">
        <v>373.110322</v>
      </c>
      <c r="LO45" s="1545" t="n">
        <v>147.329525</v>
      </c>
      <c r="LP45" s="1545" t="n">
        <v>47.32836</v>
      </c>
      <c r="LQ45" s="1545" t="n">
        <v>227.169493</v>
      </c>
      <c r="LR45" s="1545" t="n">
        <v>839.7137719999999</v>
      </c>
      <c r="LS45" s="1545" t="n">
        <v>1000.408125</v>
      </c>
      <c r="LT45" s="1545" t="n">
        <v>1347.025247</v>
      </c>
      <c r="LU45" s="1545" t="n">
        <v>1167.58662</v>
      </c>
      <c r="LV45" s="1545" t="n">
        <v>497.561537</v>
      </c>
      <c r="LW45" s="1545" t="n">
        <v>24.138878</v>
      </c>
      <c r="LX45" s="1545" t="n">
        <v>28.124262</v>
      </c>
      <c r="LY45" s="1545" t="n">
        <v>574.246032</v>
      </c>
      <c r="LZ45" s="1545" t="n">
        <v>205.241372</v>
      </c>
      <c r="MA45" s="1545" t="n">
        <v>622.981422</v>
      </c>
      <c r="MB45" s="1545" t="n">
        <v>87.224735</v>
      </c>
      <c r="MC45" s="1545" t="n">
        <v>444.627939</v>
      </c>
      <c r="MD45" s="1545" t="n">
        <v>50.707616</v>
      </c>
      <c r="ME45" s="1545" t="n">
        <v>286.79067</v>
      </c>
      <c r="MF45" s="1545" t="n">
        <v>218.942246</v>
      </c>
      <c r="MG45" s="1545" t="n">
        <v>248.248052</v>
      </c>
      <c r="MH45" s="1545" t="n">
        <v>495.340951</v>
      </c>
      <c r="MI45" s="1545" t="n">
        <v>513.9772390000001</v>
      </c>
      <c r="MJ45" s="1545" t="n">
        <v>451.443056</v>
      </c>
      <c r="MK45" s="1545" t="n">
        <v>151.820198</v>
      </c>
      <c r="ML45" s="1545" t="n">
        <v>390.248041</v>
      </c>
      <c r="MM45" s="1545" t="n">
        <v>397.513463</v>
      </c>
      <c r="MN45" s="1545" t="n">
        <v>324.9144964</v>
      </c>
      <c r="MO45" s="1545" t="n">
        <v>101.92509</v>
      </c>
      <c r="MP45" s="1545" t="n">
        <v>106.839561</v>
      </c>
      <c r="MQ45" s="1545" t="n">
        <v>139.513967</v>
      </c>
      <c r="MR45" s="1545" t="n">
        <v>114.432133</v>
      </c>
      <c r="MS45" s="1545" t="n">
        <v>182.405086</v>
      </c>
      <c r="MT45" s="1545" t="n">
        <v>565.653509</v>
      </c>
      <c r="MU45" s="1545" t="n">
        <v>374.28303</v>
      </c>
      <c r="MV45" s="1545" t="n">
        <v>371.46428</v>
      </c>
      <c r="MW45" s="1545" t="n">
        <v>497.164475</v>
      </c>
      <c r="MX45" s="1545" t="n">
        <v>369.929483</v>
      </c>
      <c r="MY45" s="1545" t="n">
        <v>455.231369</v>
      </c>
      <c r="MZ45" s="1545" t="n">
        <v>307.127998</v>
      </c>
      <c r="NA45" s="1545" t="n">
        <v>253.693499</v>
      </c>
      <c r="NB45" s="1545" t="n">
        <v>607.927082</v>
      </c>
      <c r="NC45" s="1545" t="n">
        <v>299.327328</v>
      </c>
      <c r="ND45" s="1545" t="n">
        <v>171.605998</v>
      </c>
      <c r="NE45" s="1545" t="n">
        <v>541.729739</v>
      </c>
      <c r="NF45" s="1545" t="n">
        <v>654.6460520000001</v>
      </c>
      <c r="NG45" s="1545" t="n">
        <v>421.930322</v>
      </c>
      <c r="NH45" s="1545" t="n">
        <v>460.00218</v>
      </c>
      <c r="NI45" s="1545" t="n">
        <v>566.614978</v>
      </c>
      <c r="NJ45" s="1545" t="n">
        <v>755.696745</v>
      </c>
      <c r="NK45" s="1545" t="n">
        <v>567.770316</v>
      </c>
      <c r="NL45" s="1545" t="n">
        <v>357.37862</v>
      </c>
      <c r="NM45" s="1545" t="n">
        <v>837.756831</v>
      </c>
      <c r="NN45" s="1545" t="n">
        <v>574.952521</v>
      </c>
      <c r="NO45" s="1545" t="n">
        <v>562.574147</v>
      </c>
      <c r="NP45" s="1545" t="n">
        <v>254.260783</v>
      </c>
      <c r="NQ45" s="1545" t="n">
        <v>254.261424</v>
      </c>
      <c r="NR45" s="1545" t="n">
        <v>304.525387</v>
      </c>
      <c r="NS45" s="1545" t="n">
        <v>408.317979</v>
      </c>
      <c r="NT45" s="1545" t="n">
        <v>602.33006</v>
      </c>
      <c r="NU45" s="1545" t="n">
        <v>1054.185534</v>
      </c>
      <c r="NV45" s="1545" t="n">
        <v>416.609885</v>
      </c>
      <c r="NW45" s="1545" t="n">
        <v>843.383871</v>
      </c>
      <c r="NX45" s="1545" t="n">
        <v>382.11535</v>
      </c>
      <c r="NY45" s="1545" t="n">
        <v>494.128223</v>
      </c>
      <c r="NZ45" s="1545" t="n">
        <v>521.127207</v>
      </c>
      <c r="OA45" s="1545" t="n">
        <v>354.202605</v>
      </c>
      <c r="OB45" s="1545" t="n">
        <v>735.798592</v>
      </c>
      <c r="OC45" s="1545" t="n">
        <v>646.979795</v>
      </c>
      <c r="OD45" s="1545" t="n">
        <v>891.344847</v>
      </c>
      <c r="OE45" s="1545" t="n">
        <v>1039.424514</v>
      </c>
      <c r="OF45" s="1545" t="n">
        <v>1071.496012</v>
      </c>
      <c r="OG45" s="1545" t="n">
        <v>691.376401</v>
      </c>
      <c r="OH45" s="1545" t="n">
        <v>89.84843499999999</v>
      </c>
      <c r="OI45" s="1545" t="n">
        <v>527.6294349999999</v>
      </c>
      <c r="OJ45" s="1545" t="n">
        <v>578.821442</v>
      </c>
      <c r="OK45" s="1545" t="n">
        <v>660.639216</v>
      </c>
      <c r="OL45" s="1545" t="n">
        <v>469.346808</v>
      </c>
      <c r="OM45" s="1545" t="n">
        <v>546.003201</v>
      </c>
      <c r="ON45" s="1545" t="n">
        <v>784.45875</v>
      </c>
      <c r="OO45" s="1545" t="n">
        <v>802.44341</v>
      </c>
      <c r="OP45" s="1545" t="n">
        <v>333.234915</v>
      </c>
      <c r="OQ45" s="1545" t="n">
        <v>328.321363</v>
      </c>
      <c r="OR45" s="1545" t="n">
        <v>792.093579</v>
      </c>
      <c r="OS45" s="1545" t="n">
        <v>153.487101</v>
      </c>
      <c r="OT45" s="1545" t="n">
        <v>1568.423071</v>
      </c>
      <c r="OU45" s="1545" t="n">
        <v>689.718529</v>
      </c>
      <c r="OV45" s="1545" t="n">
        <v>1229.989531</v>
      </c>
      <c r="OW45" s="1545" t="n">
        <v>1139.162906</v>
      </c>
      <c r="OX45" s="1545" t="n">
        <v>743.645342</v>
      </c>
      <c r="OY45" s="1545" t="n">
        <v>826.178871</v>
      </c>
      <c r="OZ45" s="1545" t="n">
        <v>1069.108883</v>
      </c>
      <c r="PA45" s="1545" t="n">
        <v>740.479132</v>
      </c>
      <c r="PB45" s="1545" t="n">
        <v>291.292358</v>
      </c>
      <c r="PC45" s="1545" t="n">
        <v>331.236205</v>
      </c>
      <c r="PD45" s="1545" t="n">
        <v>763.130599</v>
      </c>
      <c r="PE45" s="1545" t="n">
        <v>788.911621</v>
      </c>
      <c r="PF45" s="1545" t="n">
        <v>772.10927</v>
      </c>
      <c r="PG45" s="1545" t="n">
        <v>317.549862</v>
      </c>
      <c r="PH45" s="1545" t="n">
        <v>993.445165</v>
      </c>
      <c r="PI45" s="1545" t="n">
        <v>1092.741368</v>
      </c>
      <c r="PJ45" s="1545" t="n">
        <v>1516.988423</v>
      </c>
      <c r="PK45" s="1545" t="n">
        <v>911.80839</v>
      </c>
      <c r="PL45" s="1545" t="n">
        <v>327.306427</v>
      </c>
      <c r="PM45" s="1545" t="n">
        <v>223.310663</v>
      </c>
      <c r="PN45" s="1545" t="n">
        <v>699.235573</v>
      </c>
      <c r="PO45" s="1545" t="n">
        <v>1149.827722</v>
      </c>
      <c r="PP45" s="1545" t="n">
        <v>1253.515027</v>
      </c>
      <c r="PQ45" s="1545" t="n">
        <v>872.134142</v>
      </c>
      <c r="PR45" s="1545" t="n">
        <v>920.6858570000001</v>
      </c>
      <c r="PS45" s="1545" t="n">
        <v>942.628416</v>
      </c>
      <c r="PT45" s="1545" t="n">
        <v>1027.727804</v>
      </c>
      <c r="PU45" s="1545" t="n">
        <v>717.9542740000001</v>
      </c>
      <c r="PV45" s="1545" t="n">
        <v>335.269758</v>
      </c>
      <c r="PW45" s="1545" t="n">
        <v>382.127096</v>
      </c>
      <c r="PX45" s="1545" t="n">
        <v>823.348059</v>
      </c>
      <c r="PY45" s="1545" t="n">
        <v>260.288779</v>
      </c>
      <c r="PZ45" s="1545" t="n">
        <v>20.487576</v>
      </c>
      <c r="QA45" s="1545" t="n">
        <v>25.852277</v>
      </c>
      <c r="QB45" s="1545" t="n">
        <v>127.817393</v>
      </c>
      <c r="QC45" s="1545" t="n">
        <v>289.940166</v>
      </c>
      <c r="QD45" s="1545" t="n">
        <v>209.482381</v>
      </c>
      <c r="QE45" s="1545" t="n">
        <v>110.491286</v>
      </c>
      <c r="QF45" s="1545" t="n">
        <v>459.570448</v>
      </c>
      <c r="QG45" s="1545" t="n">
        <v>342.298771</v>
      </c>
      <c r="QH45" s="1545" t="n">
        <v>189.004077</v>
      </c>
      <c r="QI45" s="1545" t="n">
        <v>870.872125</v>
      </c>
      <c r="QJ45" s="1545" t="n">
        <v>576.518686</v>
      </c>
      <c r="QK45" s="1545" t="n">
        <v>945.768657</v>
      </c>
      <c r="QL45" s="1545" t="n">
        <v>85.17052099999999</v>
      </c>
      <c r="QM45" s="1545" t="n">
        <v>18.729657</v>
      </c>
      <c r="QN45" s="1545" t="n">
        <v>76.980451</v>
      </c>
      <c r="QO45" s="1545" t="n">
        <v>692.320068</v>
      </c>
      <c r="QP45" s="1545" t="n">
        <v>195.476734</v>
      </c>
      <c r="QQ45" s="1545" t="n">
        <v>224.011571</v>
      </c>
      <c r="QR45" s="1545" t="n">
        <v>357.279911</v>
      </c>
      <c r="QS45" s="1545" t="n">
        <v>400.474158</v>
      </c>
      <c r="QT45" s="1545" t="n">
        <v>367.521233</v>
      </c>
      <c r="QU45" s="1545" t="n">
        <v>187.692729</v>
      </c>
      <c r="QV45" s="1545" t="n">
        <v>330.192778</v>
      </c>
      <c r="QW45" s="1545" t="n">
        <v>272.099764</v>
      </c>
      <c r="QX45" s="1545" t="n">
        <v>300.339628</v>
      </c>
      <c r="QY45" s="1545" t="n">
        <v>334.286878</v>
      </c>
      <c r="QZ45" s="1545" t="n">
        <v>432.942548</v>
      </c>
      <c r="RA45" s="1545" t="n">
        <v>469.198467</v>
      </c>
      <c r="RB45" s="1545" t="n">
        <v>358.172517</v>
      </c>
      <c r="RC45" s="1545" t="n">
        <v>432.023694</v>
      </c>
      <c r="RD45" s="1545" t="n">
        <v>656.021987</v>
      </c>
      <c r="RE45" s="1545" t="n">
        <v>592.427776</v>
      </c>
      <c r="RF45" s="1545" t="n">
        <v>387.472419</v>
      </c>
      <c r="RG45" s="1545" t="n">
        <v>234.479597</v>
      </c>
      <c r="RH45" s="1545" t="n">
        <v>254.526816</v>
      </c>
      <c r="RI45" s="1545" t="n">
        <v>254.526816</v>
      </c>
      <c r="RJ45" s="1545" t="n">
        <v>152.98213</v>
      </c>
      <c r="RK45" s="1545" t="n">
        <v>231.319432</v>
      </c>
      <c r="RL45" s="1545" t="n">
        <v>166.759602</v>
      </c>
      <c r="RM45" s="1545" t="n">
        <v>166.759602</v>
      </c>
      <c r="RN45" s="1545" t="n">
        <v>154.411307</v>
      </c>
      <c r="RO45" s="1545" t="n">
        <v>175.11532</v>
      </c>
      <c r="RP45" s="1545" t="n">
        <v>259.534602</v>
      </c>
      <c r="RQ45" s="1545" t="n">
        <v>163.785098</v>
      </c>
      <c r="RR45" s="1545" t="n">
        <v>210.524325</v>
      </c>
      <c r="RS45" s="1545" t="n">
        <v>2557.898312</v>
      </c>
      <c r="RT45" s="1545" t="n">
        <v>3017.361461</v>
      </c>
      <c r="RU45" s="1545" t="n">
        <v>2064.082273</v>
      </c>
      <c r="RV45" s="1545" t="n">
        <v>2104.060969</v>
      </c>
      <c r="RW45" s="1545" t="n">
        <v>508.978314</v>
      </c>
      <c r="RX45" s="1545" t="n">
        <v>771.040544</v>
      </c>
      <c r="RY45" s="1545" t="n">
        <v>844.109989</v>
      </c>
      <c r="RZ45" s="1545" t="n">
        <v>449.646884</v>
      </c>
      <c r="SA45" s="1545" t="n">
        <v>1036.70818</v>
      </c>
      <c r="SB45" s="1545" t="n">
        <v>343.936515</v>
      </c>
      <c r="SC45" s="1545" t="n">
        <v>431.2611</v>
      </c>
      <c r="SD45" s="1545" t="n">
        <v>572.066184</v>
      </c>
      <c r="SE45" s="1545" t="n">
        <v>474.89399</v>
      </c>
      <c r="SF45" s="1545" t="n">
        <v>1111.383221</v>
      </c>
      <c r="SG45" s="1545" t="n">
        <v>743.739774</v>
      </c>
      <c r="SH45" s="1545" t="n">
        <v>246.508374</v>
      </c>
      <c r="SI45" s="1545" t="n">
        <v>346.957134</v>
      </c>
      <c r="SJ45" s="1545" t="n">
        <v>424.534794</v>
      </c>
      <c r="SK45" s="1545" t="n">
        <v>507.701917</v>
      </c>
      <c r="SL45" s="1545" t="n">
        <v>500.370488</v>
      </c>
      <c r="SM45" s="1545" t="n">
        <v>301.588048</v>
      </c>
      <c r="SN45" s="1545" t="n">
        <v>363.476395</v>
      </c>
      <c r="SO45" s="1545" t="n">
        <v>472.933761</v>
      </c>
      <c r="SP45" s="1545" t="n">
        <v>234.699881</v>
      </c>
      <c r="SQ45" s="1545" t="n">
        <v>192.925132</v>
      </c>
      <c r="SR45" s="1545" t="n">
        <v>299.55915</v>
      </c>
      <c r="SS45" s="1545" t="n">
        <v>279.659295</v>
      </c>
      <c r="ST45" s="1545" t="n">
        <v>302.820272</v>
      </c>
      <c r="SU45" s="1545" t="n">
        <v>362.825563</v>
      </c>
      <c r="SV45" s="1545" t="n">
        <v>104.25731</v>
      </c>
      <c r="SW45" s="1545" t="n">
        <v>116.474943</v>
      </c>
      <c r="SX45" s="1545" t="n">
        <v>292.250704</v>
      </c>
      <c r="SY45" s="1545" t="n">
        <v>174.690911</v>
      </c>
      <c r="SZ45" s="1545" t="n">
        <v>256.253844</v>
      </c>
      <c r="TA45" s="1545" t="n">
        <v>402.636208</v>
      </c>
      <c r="TB45" s="1545" t="n">
        <v>409.40079</v>
      </c>
      <c r="TC45" s="1545" t="n">
        <v>423.55609</v>
      </c>
      <c r="TD45" s="1545" t="n">
        <v>616.783221</v>
      </c>
      <c r="TE45" s="1545" t="n">
        <v>626.954212</v>
      </c>
      <c r="TF45" s="1545" t="n">
        <v>368.614093</v>
      </c>
      <c r="TG45" s="1545" t="n">
        <v>267.232676</v>
      </c>
      <c r="TH45" s="1545" t="n">
        <v>216.782089</v>
      </c>
      <c r="TI45" s="1545" t="n">
        <v>430.480233</v>
      </c>
      <c r="TJ45" s="1545" t="n">
        <v>127.470376</v>
      </c>
      <c r="TK45" s="1545" t="n">
        <v>131.498565</v>
      </c>
      <c r="TL45" s="1545" t="n">
        <v>539.696217</v>
      </c>
      <c r="TM45" s="1545" t="n">
        <v>792.625221</v>
      </c>
      <c r="TN45" s="1545" t="n">
        <v>332.892379</v>
      </c>
      <c r="TO45" s="1545" t="n">
        <v>448.140793</v>
      </c>
      <c r="TP45" s="1545" t="n">
        <v>795.963313</v>
      </c>
      <c r="TQ45" s="1545" t="n">
        <v>161.59621299</v>
      </c>
      <c r="TR45" s="1545" t="n">
        <v>259.156402</v>
      </c>
      <c r="TS45" s="1545" t="n">
        <v>78.044399</v>
      </c>
      <c r="TT45" s="1545" t="n">
        <v>417.26183</v>
      </c>
      <c r="TU45" s="1545" t="n">
        <v>397.280193</v>
      </c>
      <c r="TV45" s="1545" t="n">
        <v>656.145942</v>
      </c>
      <c r="TW45" s="1545" t="n">
        <v>467.536512</v>
      </c>
      <c r="TX45" s="1545" t="n">
        <v>244.439082</v>
      </c>
      <c r="TY45" s="1545" t="n">
        <v>117.048866</v>
      </c>
      <c r="TZ45" s="1545" t="n">
        <v>117.048866</v>
      </c>
      <c r="UA45" s="1545">
        <f>380488710/1000000</f>
        <v/>
      </c>
      <c r="UB45" s="1545">
        <f>334078371/1000000</f>
        <v/>
      </c>
      <c r="UC45" s="1545">
        <f>102385096/1000000</f>
        <v/>
      </c>
      <c r="UD45" s="1545">
        <f>453647180/1000000</f>
        <v/>
      </c>
      <c r="UE45" s="1545">
        <f>492012221/1000000</f>
        <v/>
      </c>
      <c r="UF45" s="1545" t="n">
        <v>59.827054</v>
      </c>
      <c r="UG45" s="1545" t="n">
        <v>682.872309</v>
      </c>
      <c r="UH45" s="1545" t="n">
        <v>699.173307</v>
      </c>
      <c r="UI45" s="1545" t="n">
        <v>121.585201</v>
      </c>
      <c r="UJ45" s="1545" t="n">
        <v>372.587181</v>
      </c>
      <c r="UK45" s="1545" t="n">
        <v>424.277709</v>
      </c>
      <c r="UL45" s="1545" t="n">
        <v>646.314906</v>
      </c>
      <c r="UM45" s="1545" t="n">
        <v>325.270702</v>
      </c>
      <c r="UN45" s="1545" t="n">
        <v>417.816203</v>
      </c>
      <c r="UO45" s="1545" t="n">
        <v>264.417083</v>
      </c>
      <c r="UP45" s="1545" t="n">
        <v>204.703572</v>
      </c>
      <c r="UQ45" s="1545" t="n">
        <v>96.368421</v>
      </c>
      <c r="UR45" s="1545" t="n">
        <v>188.311822</v>
      </c>
      <c r="US45" s="1545" t="n">
        <v>91.74178499999999</v>
      </c>
      <c r="UT45" s="1545" t="n">
        <v>202.269059</v>
      </c>
      <c r="UU45" s="1545" t="n">
        <v>265.305844</v>
      </c>
      <c r="UV45" s="1545" t="n">
        <v>236.9404</v>
      </c>
      <c r="UW45" s="1545" t="n">
        <v>252.885585</v>
      </c>
      <c r="UX45" s="1545" t="n">
        <v>194.176554</v>
      </c>
      <c r="UY45" s="1545" t="n">
        <v>287.194413</v>
      </c>
      <c r="UZ45" s="1545" t="n">
        <v>41.637164</v>
      </c>
      <c r="VA45" s="1545" t="n">
        <v>56.605459</v>
      </c>
      <c r="VB45" s="1545" t="n">
        <v>315.376611</v>
      </c>
      <c r="VC45" s="1545" t="n">
        <v>336.889054</v>
      </c>
      <c r="VD45" s="1545" t="n">
        <v>340.446939</v>
      </c>
      <c r="VE45" s="1545" t="n">
        <v>541.676741</v>
      </c>
      <c r="VF45" s="1545" t="n">
        <v>367.010516</v>
      </c>
      <c r="VG45" s="1545" t="n">
        <v>257.488228</v>
      </c>
      <c r="VH45" s="1545" t="n">
        <v>285.792593</v>
      </c>
      <c r="VI45" s="1545" t="n">
        <v>706.533934</v>
      </c>
      <c r="VJ45" s="1545" t="n">
        <v>1003.41144</v>
      </c>
      <c r="VK45" s="1545" t="n">
        <v>697.142435</v>
      </c>
      <c r="VL45" s="1545" t="n">
        <v>225.124206</v>
      </c>
      <c r="VM45" s="1545" t="n">
        <v>1125.144779</v>
      </c>
      <c r="VN45" s="1545" t="n">
        <v>1189.129619</v>
      </c>
      <c r="VO45" s="1545" t="n">
        <v>391.576444</v>
      </c>
      <c r="VP45" s="1545" t="n">
        <v>436.088524</v>
      </c>
      <c r="VQ45" s="1545" t="n">
        <v>408.551267</v>
      </c>
      <c r="VR45" s="1545" t="n">
        <v>147.633639</v>
      </c>
      <c r="VS45" s="1545" t="n">
        <v>127.478027</v>
      </c>
      <c r="VT45" s="1545" t="n">
        <v>313.907892</v>
      </c>
      <c r="VU45" s="1545" t="n">
        <v>326.677576</v>
      </c>
      <c r="VV45" s="1545" t="n">
        <v>104.919439</v>
      </c>
      <c r="VW45" s="1545" t="n">
        <v>94.111276</v>
      </c>
      <c r="VX45" s="1545" t="n">
        <v>542.327826</v>
      </c>
      <c r="VY45" s="1545" t="n">
        <v>280.548889</v>
      </c>
      <c r="VZ45" s="1545" t="n">
        <v>264.86116921</v>
      </c>
      <c r="WA45" s="1545" t="n">
        <v>450.237477</v>
      </c>
      <c r="WB45" s="1545" t="n">
        <v>133.838152</v>
      </c>
      <c r="WC45" s="1545" t="n">
        <v>238.851968</v>
      </c>
      <c r="WD45" s="1545" t="n">
        <v>418.871563</v>
      </c>
      <c r="WE45" s="1545" t="n">
        <v>294.21088228</v>
      </c>
      <c r="WF45" s="1545" t="n">
        <v>293.018831</v>
      </c>
      <c r="WG45" s="1545" t="n">
        <v>227.869186</v>
      </c>
      <c r="WH45" s="1545" t="n">
        <v>133.38427</v>
      </c>
      <c r="WI45" s="1545" t="n">
        <v>249.568825</v>
      </c>
      <c r="WJ45" s="1545" t="n">
        <v>691.901189</v>
      </c>
      <c r="WK45" s="1545" t="n">
        <v>625.003546</v>
      </c>
      <c r="WL45" s="1545" t="n">
        <v>508.130341</v>
      </c>
      <c r="WM45" s="1545" t="n">
        <v>295.891674</v>
      </c>
      <c r="WN45" s="1545" t="n">
        <v>508.841073</v>
      </c>
      <c r="WO45" s="1545" t="n">
        <v>505.447234</v>
      </c>
      <c r="WP45" s="1545" t="n">
        <v>506.17249</v>
      </c>
      <c r="WQ45" s="1545" t="n">
        <v>987.490487</v>
      </c>
      <c r="WR45" s="1545" t="n">
        <v>732.905368</v>
      </c>
      <c r="WS45" s="1545" t="n">
        <v>469.594432</v>
      </c>
      <c r="WT45" s="1545" t="n">
        <v>565.867169</v>
      </c>
      <c r="WU45" s="1545" t="n">
        <v>503.525059</v>
      </c>
      <c r="WV45" s="1545" t="n">
        <v>430.868546</v>
      </c>
      <c r="WW45" s="1545" t="n">
        <v>459.44777</v>
      </c>
      <c r="WX45" s="1545" t="n">
        <v>438.05361526</v>
      </c>
      <c r="WY45" s="1545" t="n">
        <v>425.226014</v>
      </c>
      <c r="WZ45" s="1545" t="n">
        <v>392.414534</v>
      </c>
      <c r="XA45" s="1545" t="n">
        <v>397.52937</v>
      </c>
      <c r="XB45" s="1545" t="n">
        <v>818.4513040000001</v>
      </c>
      <c r="XC45" s="1545" t="n">
        <v>214.857775</v>
      </c>
      <c r="XD45" s="1545" t="n">
        <v>383.542734</v>
      </c>
      <c r="XE45" s="1545" t="n">
        <v>323.728362</v>
      </c>
      <c r="XF45" s="1545" t="n">
        <v>397.391663</v>
      </c>
      <c r="XG45" s="1545" t="n">
        <v>408.576702</v>
      </c>
      <c r="XH45" s="1545" t="n">
        <v>592.397776</v>
      </c>
      <c r="XI45" s="1545" t="n">
        <v>566.9041559999999</v>
      </c>
      <c r="XJ45" s="1545" t="n">
        <v>1195.764201</v>
      </c>
      <c r="XK45" s="1545" t="n">
        <v>297.283585</v>
      </c>
      <c r="XL45" s="1545" t="n">
        <v>433.093583</v>
      </c>
      <c r="XM45" s="1545" t="n">
        <v>838.4096500000001</v>
      </c>
      <c r="XN45" s="1545" t="n">
        <v>303.215495</v>
      </c>
      <c r="XO45" s="1545" t="n">
        <v>303.33377</v>
      </c>
      <c r="XP45" s="1545" t="n">
        <v>1182.72767</v>
      </c>
      <c r="XQ45" s="1545" t="n">
        <v>1838.346755</v>
      </c>
      <c r="XR45" s="1545" t="n">
        <v>2234.309425</v>
      </c>
      <c r="XS45" s="1545" t="n">
        <v>2246.989971</v>
      </c>
      <c r="XT45" s="1545" t="n">
        <v>569.418727</v>
      </c>
      <c r="XU45" s="1545" t="n">
        <v>672.374311</v>
      </c>
      <c r="XV45" s="1545" t="n">
        <v>523.320685</v>
      </c>
      <c r="XW45" s="1545" t="n">
        <v>700.7782120000001</v>
      </c>
      <c r="XX45" s="1545" t="n">
        <v>207.334288</v>
      </c>
      <c r="XY45" s="1545" t="n">
        <v>392.530729</v>
      </c>
      <c r="XZ45" s="1545" t="n">
        <v>376.215018</v>
      </c>
      <c r="YA45" s="1545" t="n">
        <v>457.177039</v>
      </c>
      <c r="YB45" s="1545" t="n">
        <v>364.824449</v>
      </c>
      <c r="YC45" s="1545" t="n">
        <v>183.309675</v>
      </c>
      <c r="YD45" s="1545" t="n">
        <v>2164.491852</v>
      </c>
      <c r="YE45" s="1545" t="n">
        <v>241.604422</v>
      </c>
      <c r="YF45" s="1545" t="n">
        <v>666.095249</v>
      </c>
      <c r="YG45" s="1545" t="n">
        <v>265.176072</v>
      </c>
      <c r="YH45" s="1545" t="n">
        <v>568.421201</v>
      </c>
      <c r="YI45" s="1545" t="n">
        <v>534.651619</v>
      </c>
      <c r="YJ45" s="1546" t="n">
        <v>540.243166</v>
      </c>
    </row>
    <row r="46">
      <c r="B46" s="917" t="inlineStr">
        <is>
          <t>Woyskovitsy</t>
        </is>
      </c>
      <c r="C46" s="1532" t="n">
        <v>2.53261717</v>
      </c>
      <c r="D46" s="1533" t="n">
        <v>2.26</v>
      </c>
      <c r="E46" s="1533" t="n">
        <v>2.317804</v>
      </c>
      <c r="F46" s="1533" t="n">
        <v>2.38472391</v>
      </c>
      <c r="G46" s="1533" t="n">
        <v>32.99628352</v>
      </c>
      <c r="H46" s="1533" t="n">
        <v>13.8177939</v>
      </c>
      <c r="I46" s="1533" t="n">
        <v>14.56904298</v>
      </c>
      <c r="J46" s="1533" t="n">
        <v>14.38306461</v>
      </c>
      <c r="K46" s="1533" t="n">
        <v>3.72793763</v>
      </c>
      <c r="L46" s="1533" t="n">
        <v>2.30941511</v>
      </c>
      <c r="M46" s="1533" t="n">
        <v>2.29952296</v>
      </c>
      <c r="N46" s="1533" t="n">
        <v>2.16586802</v>
      </c>
      <c r="O46" s="1533" t="n">
        <v>1.508176</v>
      </c>
      <c r="P46" s="1533" t="n">
        <v>1.736646</v>
      </c>
      <c r="Q46" s="1533" t="n">
        <v>7.565008</v>
      </c>
      <c r="R46" s="1533" t="n">
        <v>10.280233</v>
      </c>
      <c r="S46" s="1533" t="n">
        <v>6.138983</v>
      </c>
      <c r="T46" s="1533" t="n">
        <v>1.274286</v>
      </c>
      <c r="U46" s="1533" t="n">
        <v>36.085727</v>
      </c>
      <c r="V46" s="1533" t="n">
        <v>12.623455</v>
      </c>
      <c r="W46" s="1533" t="n">
        <v>5.470212</v>
      </c>
      <c r="X46" s="1533" t="n">
        <v>1.199677</v>
      </c>
      <c r="Y46" s="1533" t="n">
        <v>4.45833</v>
      </c>
      <c r="Z46" s="1533" t="n">
        <v>18.265545</v>
      </c>
      <c r="AA46" s="1533" t="n">
        <v>17.38783</v>
      </c>
      <c r="AB46" s="1533" t="n">
        <v>18.08495</v>
      </c>
      <c r="AC46" s="1533" t="n">
        <v>9.692368</v>
      </c>
      <c r="AD46" s="1533" t="n">
        <v>10.173751</v>
      </c>
      <c r="AE46" s="1533" t="n">
        <v>9.736124999999999</v>
      </c>
      <c r="AF46" s="1533" t="n">
        <v>22.243791</v>
      </c>
      <c r="AG46" s="1533" t="n">
        <v>37.042165</v>
      </c>
      <c r="AH46" s="1533" t="n">
        <v>33.298804</v>
      </c>
      <c r="AI46" s="1533" t="n">
        <v>5.532114</v>
      </c>
      <c r="AJ46" s="1533" t="n">
        <v>181.909965</v>
      </c>
      <c r="AK46" s="1533" t="n">
        <v>55.994492</v>
      </c>
      <c r="AL46" s="1533" t="n">
        <v>59.303495</v>
      </c>
      <c r="AM46" s="1533" t="n">
        <v>71.093791</v>
      </c>
      <c r="AN46" s="1533" t="n">
        <v>27.954479</v>
      </c>
      <c r="AO46" s="1533" t="n">
        <v>28.343567</v>
      </c>
      <c r="AP46" s="1533" t="n">
        <v>94.889056</v>
      </c>
      <c r="AQ46" s="1533" t="n">
        <v>94.29463699999999</v>
      </c>
      <c r="AR46" s="1533" t="n">
        <v>38.579382</v>
      </c>
      <c r="AS46" s="1533" t="n">
        <v>53.985286</v>
      </c>
      <c r="AT46" s="1533" t="n">
        <v>52.894457</v>
      </c>
      <c r="AU46" s="1533" t="n">
        <v>38.125311</v>
      </c>
      <c r="AV46" s="1533" t="n">
        <v>70.50014</v>
      </c>
      <c r="AW46" s="1533" t="n">
        <v>46.418692</v>
      </c>
      <c r="AX46" s="1533" t="n">
        <v>17.863826</v>
      </c>
      <c r="AY46" s="1533" t="n">
        <v>102.340637</v>
      </c>
      <c r="AZ46" s="1533" t="n">
        <v>68.92313300000001</v>
      </c>
      <c r="BA46" s="1533" t="n">
        <v>125.117728</v>
      </c>
      <c r="BB46" s="1533" t="n">
        <v>107.260964</v>
      </c>
      <c r="BC46" s="1533" t="n">
        <v>296.41683</v>
      </c>
      <c r="BD46" s="1533" t="n">
        <v>263.458787</v>
      </c>
      <c r="BE46" s="1533" t="n">
        <v>253.80856</v>
      </c>
      <c r="BF46" s="1533" t="n">
        <v>196.792467</v>
      </c>
      <c r="BG46" s="1533" t="n">
        <v>195.285119</v>
      </c>
      <c r="BH46" s="1533" t="n">
        <v>183.286476</v>
      </c>
      <c r="BI46" s="1533" t="n">
        <v>186.011041</v>
      </c>
      <c r="BJ46" s="1533" t="n">
        <v>154.461029</v>
      </c>
      <c r="BK46" s="1533" t="n">
        <v>146.354865</v>
      </c>
      <c r="BL46" s="1533" t="n">
        <v>146.363327</v>
      </c>
      <c r="BM46" s="1533" t="n">
        <v>104.43911</v>
      </c>
      <c r="BN46" s="1533" t="n">
        <v>99.063902</v>
      </c>
      <c r="BO46" s="1533" t="n">
        <v>67.038217</v>
      </c>
      <c r="BP46" s="1533" t="n">
        <v>55.35108</v>
      </c>
      <c r="BQ46" s="1533" t="n">
        <v>47.273926</v>
      </c>
      <c r="BR46" s="1533" t="n">
        <v>6.147983</v>
      </c>
      <c r="BS46" s="1533" t="n">
        <v>4.189438</v>
      </c>
      <c r="BT46" s="1533" t="n">
        <v>5.103845</v>
      </c>
      <c r="BU46" s="1533" t="n">
        <v>126.290839</v>
      </c>
      <c r="BV46" s="1533" t="n">
        <v>111.290839</v>
      </c>
      <c r="BW46" s="1533" t="n">
        <v>81.081293</v>
      </c>
      <c r="BX46" s="1533" t="n">
        <v>51.577156</v>
      </c>
      <c r="BY46" s="1533" t="n">
        <v>47.821271</v>
      </c>
      <c r="BZ46" s="1533" t="n">
        <v>22.231159</v>
      </c>
      <c r="CA46" s="1533" t="n">
        <v>18.849404</v>
      </c>
      <c r="CB46" s="1533" t="n">
        <v>18.138584</v>
      </c>
      <c r="CC46" s="1533" t="n">
        <v>13.472651</v>
      </c>
      <c r="CD46" s="1533" t="n">
        <v>12.878252</v>
      </c>
      <c r="CE46" s="1533" t="n">
        <v>41.170996</v>
      </c>
      <c r="CF46" s="1533" t="n">
        <v>39.269623</v>
      </c>
      <c r="CG46" s="1533" t="n">
        <v>34.635959</v>
      </c>
      <c r="CH46" s="1533" t="n">
        <v>12.008598</v>
      </c>
      <c r="CI46" s="1533" t="n">
        <v>21.768451</v>
      </c>
      <c r="CJ46" s="1533" t="n">
        <v>19.254537</v>
      </c>
      <c r="CK46" s="1533" t="n">
        <v>16.291752</v>
      </c>
      <c r="CL46" s="1533" t="n">
        <v>12.088851</v>
      </c>
      <c r="CM46" s="1533" t="n">
        <v>11.005792</v>
      </c>
      <c r="CN46" s="1533" t="n">
        <v>9.295074</v>
      </c>
      <c r="CO46" s="1533" t="n">
        <v>34.466619</v>
      </c>
      <c r="CP46" s="1533" t="n">
        <v>33.322974</v>
      </c>
      <c r="CQ46" s="1533" t="n">
        <v>9.637342</v>
      </c>
      <c r="CR46" s="1533" t="n">
        <v>8.247444</v>
      </c>
      <c r="CS46" s="1533" t="n">
        <v>29.54291</v>
      </c>
      <c r="CT46" s="1533" t="n">
        <v>28.886605</v>
      </c>
      <c r="CU46" s="1533" t="n">
        <v>24.30505</v>
      </c>
      <c r="CV46" s="1533" t="n">
        <v>6.015328</v>
      </c>
      <c r="CW46" s="1533" t="n">
        <v>7.014092</v>
      </c>
      <c r="CX46" s="1533" t="n">
        <v>59.3304</v>
      </c>
      <c r="CY46" s="1533" t="n">
        <v>6.020942</v>
      </c>
      <c r="CZ46" s="1533" t="n">
        <v>178.24851</v>
      </c>
      <c r="DA46" s="1533" t="n">
        <v>176.023966</v>
      </c>
      <c r="DB46" s="1533" t="n">
        <v>57.206631</v>
      </c>
      <c r="DC46" s="1533" t="n">
        <v>54.649658</v>
      </c>
      <c r="DD46" s="1533" t="n">
        <v>53.841493</v>
      </c>
      <c r="DE46" s="1533" t="n">
        <v>51.619953</v>
      </c>
      <c r="DF46" s="1533" t="n">
        <v>51.860062</v>
      </c>
      <c r="DG46" s="1533" t="n">
        <v>50.198438</v>
      </c>
      <c r="DH46" s="1533" t="n">
        <v>50.197688</v>
      </c>
      <c r="DI46" s="1533" t="n">
        <v>35.580878</v>
      </c>
      <c r="DJ46" s="1533" t="n">
        <v>35.406114</v>
      </c>
      <c r="DK46" s="1533" t="n">
        <v>35.11273</v>
      </c>
      <c r="DL46" s="1533" t="n">
        <v>27.885227</v>
      </c>
      <c r="DM46" s="1533" t="n">
        <v>27.805016</v>
      </c>
      <c r="DN46" s="1533" t="n">
        <v>27.805016</v>
      </c>
      <c r="DO46" s="1533" t="n">
        <v>27.805016</v>
      </c>
      <c r="DP46" s="1533" t="n">
        <v>27.154121</v>
      </c>
      <c r="DQ46" s="1533" t="n">
        <v>22.349445</v>
      </c>
      <c r="DR46" s="1533" t="n">
        <v>22.019297</v>
      </c>
      <c r="DS46" s="1533" t="n">
        <v>2.952902</v>
      </c>
      <c r="DT46" s="1533" t="n">
        <v>2.769605</v>
      </c>
      <c r="DU46" s="1533" t="n">
        <v>2.553991</v>
      </c>
      <c r="DV46" s="1533" t="n">
        <v>16.63283</v>
      </c>
      <c r="DW46" s="1533" t="n">
        <v>15.107889</v>
      </c>
      <c r="DX46" s="1533" t="n">
        <v>16.707777</v>
      </c>
      <c r="DY46" s="1533" t="n">
        <v>15.088342</v>
      </c>
      <c r="DZ46" s="1533" t="n">
        <v>11.003558</v>
      </c>
      <c r="EA46" s="1533" t="n">
        <v>10.725992</v>
      </c>
      <c r="EB46" s="1533" t="n">
        <v>73.504839</v>
      </c>
      <c r="EC46" s="1533" t="n">
        <v>152.472913</v>
      </c>
      <c r="ED46" s="1533" t="n">
        <v>51.640583</v>
      </c>
      <c r="EE46" s="1533" t="n">
        <v>46.736741</v>
      </c>
      <c r="EF46" s="1533" t="n">
        <v>48.919527</v>
      </c>
      <c r="EG46" s="1533" t="n">
        <v>48.712403</v>
      </c>
      <c r="EH46" s="1533" t="n">
        <v>33.789282</v>
      </c>
      <c r="EI46" s="1533" t="n">
        <v>33.238982</v>
      </c>
      <c r="EJ46" s="1533" t="n">
        <v>18.5016</v>
      </c>
      <c r="EK46" s="1533" t="n">
        <v>18.034382</v>
      </c>
      <c r="EL46" s="1533" t="n">
        <v>17.974382</v>
      </c>
      <c r="EM46" s="1533" t="n">
        <v>7.497994</v>
      </c>
      <c r="EN46" s="1533" t="n">
        <v>7.348079</v>
      </c>
      <c r="EO46" s="1533" t="n">
        <v>5.109538</v>
      </c>
      <c r="EP46" s="1533" t="n">
        <v>3.594718</v>
      </c>
      <c r="EQ46" s="1533" t="n">
        <v>2.809557</v>
      </c>
      <c r="ER46" s="1533" t="n">
        <v>16.412836</v>
      </c>
      <c r="ES46" s="1533" t="n">
        <v>19.062744</v>
      </c>
      <c r="ET46" s="1533" t="n">
        <v>17.712782</v>
      </c>
      <c r="EU46" s="1533" t="n">
        <v>100.166193</v>
      </c>
      <c r="EV46" s="1533" t="n">
        <v>99.130793</v>
      </c>
      <c r="EW46" s="1533" t="n">
        <v>80.93231900000001</v>
      </c>
      <c r="EX46" s="1533" t="n">
        <v>90.516605</v>
      </c>
      <c r="EY46" s="1533" t="n">
        <v>88.390827</v>
      </c>
      <c r="EZ46" s="1533" t="n">
        <v>87.665524</v>
      </c>
      <c r="FA46" s="1533" t="n">
        <v>89.444106</v>
      </c>
      <c r="FB46" s="1533" t="n">
        <v>88.721771</v>
      </c>
      <c r="FC46" s="1533" t="n">
        <v>8.791371</v>
      </c>
      <c r="FD46" s="1533" t="n">
        <v>8.501279</v>
      </c>
      <c r="FE46" s="1533" t="n">
        <v>88.349777</v>
      </c>
      <c r="FF46" s="1533" t="n">
        <v>21.349777</v>
      </c>
      <c r="FG46" s="1533" t="n">
        <v>21.138253</v>
      </c>
      <c r="FH46" s="1533" t="n">
        <v>14.187161</v>
      </c>
      <c r="FI46" s="1533" t="n">
        <v>12.002386</v>
      </c>
      <c r="FJ46" s="1533" t="n">
        <v>12.002386</v>
      </c>
      <c r="FK46" s="1533" t="n">
        <v>16.247737</v>
      </c>
      <c r="FL46" s="1533" t="n">
        <v>16.229334</v>
      </c>
      <c r="FM46" s="1533" t="n">
        <v>13.487108</v>
      </c>
      <c r="FN46" s="1533" t="n">
        <v>13.934236</v>
      </c>
      <c r="FO46" s="1533" t="n">
        <v>13.537942</v>
      </c>
      <c r="FP46" s="1533" t="n">
        <v>13.133751</v>
      </c>
      <c r="FQ46" s="1533" t="n">
        <v>8.404596</v>
      </c>
      <c r="FR46" s="1533" t="n">
        <v>8.02807</v>
      </c>
      <c r="FS46" s="1533" t="n">
        <v>10.851659</v>
      </c>
      <c r="FT46" s="1533" t="n">
        <v>10.504846</v>
      </c>
      <c r="FU46" s="1533" t="n">
        <v>345.306531</v>
      </c>
      <c r="FV46" s="1533" t="n">
        <v>18.699445</v>
      </c>
      <c r="FW46" s="1533" t="n">
        <v>19.926547</v>
      </c>
      <c r="FX46" s="1533" t="n">
        <v>18.846897</v>
      </c>
      <c r="FY46" s="1533" t="n">
        <v>18.806297</v>
      </c>
      <c r="FZ46" s="1533" t="n">
        <v>18.856623</v>
      </c>
      <c r="GA46" s="1533" t="n">
        <v>17.498525</v>
      </c>
      <c r="GB46" s="1533" t="n">
        <v>14.929504</v>
      </c>
      <c r="GC46" s="1533" t="n">
        <v>22.861882</v>
      </c>
      <c r="GD46" s="1533" t="n">
        <v>21.47168</v>
      </c>
      <c r="GE46" s="1533" t="n">
        <v>-1.845079</v>
      </c>
      <c r="GF46" s="1533" t="n">
        <v>50.681337</v>
      </c>
      <c r="GG46" s="1533" t="n">
        <v>61.245248</v>
      </c>
      <c r="GH46" s="1533" t="n">
        <v>34.408627</v>
      </c>
      <c r="GI46" s="1533" t="n">
        <v>5.01447241</v>
      </c>
      <c r="GJ46" s="1533" t="n">
        <v>4.7627902</v>
      </c>
      <c r="GK46" s="1533" t="n">
        <v>10.73021328</v>
      </c>
      <c r="GL46" s="1533">
        <f>22755202.91/10^6</f>
        <v/>
      </c>
      <c r="GM46" s="1533" t="n">
        <v>17.54560244</v>
      </c>
      <c r="GN46" s="1533" t="n">
        <v>3.650326359999999</v>
      </c>
      <c r="GO46" s="1533">
        <f>3637777.94/1000000</f>
        <v/>
      </c>
      <c r="GP46" s="1533" t="n">
        <v>3.51119425</v>
      </c>
      <c r="GQ46" s="1533" t="n">
        <v>2.52246832</v>
      </c>
      <c r="GR46" s="1533" t="n">
        <v>2.09060394</v>
      </c>
      <c r="GS46" s="1533" t="n">
        <v>2.22765398</v>
      </c>
      <c r="GT46" s="1533" t="n">
        <v>3.19457904</v>
      </c>
      <c r="GU46" s="1533" t="n">
        <v>42.14498467</v>
      </c>
      <c r="GV46" s="1533" t="n">
        <v>46.72950866</v>
      </c>
      <c r="GW46" s="1533" t="n">
        <v>4.64428712</v>
      </c>
      <c r="GX46" s="1533" t="n">
        <v>5.090677299999999</v>
      </c>
      <c r="GY46" s="1533" t="n">
        <v>6.995982429999999</v>
      </c>
      <c r="GZ46" s="1533" t="n">
        <v>158.33600393</v>
      </c>
      <c r="HA46" s="1533" t="n">
        <v>17.25188342</v>
      </c>
      <c r="HB46" s="1533" t="n">
        <v>20.25677364</v>
      </c>
      <c r="HC46" s="1533" t="n">
        <v>15.07941554</v>
      </c>
      <c r="HD46" s="1533" t="n">
        <v>17.71061056</v>
      </c>
      <c r="HE46" s="1533" t="n">
        <v>15.81333015</v>
      </c>
      <c r="HF46" s="1533" t="n">
        <v>17.85634272</v>
      </c>
      <c r="HG46" s="1533" t="n">
        <v>17.5948848</v>
      </c>
      <c r="HH46" s="1533" t="n">
        <v>17.64337226</v>
      </c>
      <c r="HI46" s="1533" t="n">
        <v>12.49045823</v>
      </c>
      <c r="HJ46" s="1533" t="n">
        <v>13.2855548</v>
      </c>
      <c r="HK46" s="1533" t="n">
        <v>13.1091151</v>
      </c>
      <c r="HL46" s="1533" t="n">
        <v>13.66063919</v>
      </c>
      <c r="HM46" s="1533" t="n">
        <v>13.66063919</v>
      </c>
      <c r="HN46" s="1533" t="n">
        <v>17.207019</v>
      </c>
      <c r="HO46" s="1533" t="n">
        <v>19.04618116</v>
      </c>
      <c r="HP46" s="1533" t="n">
        <v>17.73654949</v>
      </c>
      <c r="HQ46" s="1547" t="n">
        <v>22.42805221</v>
      </c>
      <c r="HR46" s="1547" t="n">
        <v>47.15662057000001</v>
      </c>
      <c r="HS46" s="1547" t="n">
        <v>14.40225188</v>
      </c>
      <c r="HT46" s="1547" t="n">
        <v>46.0357596</v>
      </c>
      <c r="HU46" s="1547" t="n">
        <v>46.08714028000001</v>
      </c>
      <c r="HV46" s="1547" t="n">
        <v>47.23513662000001</v>
      </c>
      <c r="HW46" s="1547" t="n">
        <v>47.17428662</v>
      </c>
      <c r="HX46" s="1547" t="n">
        <v>58.75499215000001</v>
      </c>
      <c r="HY46" s="1547" t="n">
        <v>58.288907</v>
      </c>
      <c r="HZ46" s="1547" t="n">
        <v>16.0897197</v>
      </c>
      <c r="IA46" s="1547" t="n">
        <v>19.68632637999999</v>
      </c>
      <c r="IB46" s="1547" t="n">
        <v>19.67617038</v>
      </c>
      <c r="IC46" s="1547" t="n">
        <v>17.01515848</v>
      </c>
      <c r="ID46" s="1547" t="n">
        <v>28.64231923</v>
      </c>
      <c r="IE46" s="1547" t="n">
        <v>27.665385</v>
      </c>
      <c r="IF46" s="1547" t="n">
        <v>27.536942</v>
      </c>
      <c r="IG46" s="1547" t="n">
        <v>27.616952</v>
      </c>
      <c r="IH46" s="1547" t="n">
        <v>27.479148</v>
      </c>
      <c r="II46" s="1547" t="n">
        <v>12.153842</v>
      </c>
      <c r="IJ46" s="1547" t="n">
        <v>11.962457</v>
      </c>
      <c r="IK46" s="1547" t="n">
        <v>13.495352</v>
      </c>
      <c r="IL46" s="1547" t="n">
        <v>13.495352</v>
      </c>
      <c r="IM46" s="1547" t="n">
        <v>68.334732</v>
      </c>
      <c r="IN46" s="1533" t="n">
        <v>20.008118</v>
      </c>
      <c r="IO46" s="1533" t="n">
        <v>22.250759</v>
      </c>
      <c r="IP46" s="1533" t="n">
        <v>44.785615</v>
      </c>
      <c r="IQ46" s="1533" t="n">
        <v>40.301152</v>
      </c>
      <c r="IR46" s="1533" t="n">
        <v>39.361098</v>
      </c>
      <c r="IS46" s="1533" t="n">
        <v>19.657989</v>
      </c>
      <c r="IT46" s="1533" t="n">
        <v>18.657255</v>
      </c>
      <c r="IU46" s="1533" t="n">
        <v>18.355399</v>
      </c>
      <c r="IV46" s="1533" t="n">
        <v>6.934018</v>
      </c>
      <c r="IW46" s="1533" t="n">
        <v>28.404554</v>
      </c>
      <c r="IX46" s="1533" t="n">
        <v>28.315814</v>
      </c>
      <c r="IY46" s="1533" t="n">
        <v>26.934586</v>
      </c>
      <c r="IZ46" s="1533" t="n">
        <v>19.534555</v>
      </c>
      <c r="JA46" s="1533" t="n">
        <v>9.974168000000001</v>
      </c>
      <c r="JB46" s="1533" t="n">
        <v>22.282385</v>
      </c>
      <c r="JC46" s="1533" t="n">
        <v>21.919255</v>
      </c>
      <c r="JD46" s="1533" t="n">
        <v>48.689698</v>
      </c>
      <c r="JE46" s="1533" t="n">
        <v>21.71161</v>
      </c>
      <c r="JF46" s="1533" t="n">
        <v>21.561239</v>
      </c>
      <c r="JG46" s="1533" t="n">
        <v>19.394926</v>
      </c>
      <c r="JH46" s="1533" t="n">
        <v>22.125522</v>
      </c>
      <c r="JI46" s="1533" t="n">
        <v>26.370596</v>
      </c>
      <c r="JJ46" s="1533" t="n">
        <v>25.670415</v>
      </c>
      <c r="JK46" s="1533" t="n">
        <v>24.253865</v>
      </c>
      <c r="JL46" s="1533" t="n">
        <v>24.253865</v>
      </c>
      <c r="JM46" s="1533" t="n">
        <v>20.089017</v>
      </c>
      <c r="JN46" s="1533" t="n">
        <v>57.733052</v>
      </c>
      <c r="JO46" s="1533" t="n">
        <v>6.050031</v>
      </c>
      <c r="JP46" s="1533" t="n">
        <v>12.778011</v>
      </c>
      <c r="JQ46" s="1533" t="n">
        <v>11.706158</v>
      </c>
      <c r="JR46" s="1533" t="n">
        <v>11.148122</v>
      </c>
      <c r="JS46" s="1533" t="n">
        <v>8.684419999999999</v>
      </c>
      <c r="JT46" s="1533" t="n">
        <v>8.074942</v>
      </c>
      <c r="JU46" s="1533" t="n">
        <v>12.251318</v>
      </c>
      <c r="JV46" s="1533" t="n">
        <v>12.083647</v>
      </c>
      <c r="JW46" s="1533" t="n">
        <v>19.783375</v>
      </c>
      <c r="JX46" s="1533" t="n">
        <v>17.686471</v>
      </c>
      <c r="JY46" s="1533" t="n">
        <v>17.654731</v>
      </c>
      <c r="JZ46" s="1533" t="n">
        <v>85.48055600000001</v>
      </c>
      <c r="KA46" s="1533" t="n">
        <v>13.650555</v>
      </c>
      <c r="KB46" s="1533" t="n">
        <v>172.739547</v>
      </c>
      <c r="KC46" s="1533" t="n">
        <v>18.295845</v>
      </c>
      <c r="KD46" s="1533" t="n">
        <v>16.462671</v>
      </c>
      <c r="KE46" s="1533" t="n">
        <v>40.613435</v>
      </c>
      <c r="KF46" s="1533" t="n">
        <v>39.844455</v>
      </c>
      <c r="KG46" s="1533" t="n">
        <v>46.311036</v>
      </c>
      <c r="KH46" s="1533" t="n">
        <v>15.975832</v>
      </c>
      <c r="KI46" s="1533" t="n">
        <v>19.026762</v>
      </c>
      <c r="KJ46" s="1533" t="n">
        <v>15.77047</v>
      </c>
      <c r="KK46" s="1533" t="n">
        <v>9.069675999999999</v>
      </c>
      <c r="KL46" s="1533" t="n">
        <v>15.53573</v>
      </c>
      <c r="KM46" s="1533" t="n">
        <v>20.84547</v>
      </c>
      <c r="KN46" s="1533" t="n">
        <v>16.247033</v>
      </c>
      <c r="KO46" s="1533" t="n">
        <v>82.098202</v>
      </c>
      <c r="KP46" s="1533" t="n">
        <v>82.01704076999999</v>
      </c>
      <c r="KQ46" s="1533" t="n">
        <v>64.131613</v>
      </c>
      <c r="KR46" s="1533" t="n">
        <v>9.100956760000001</v>
      </c>
      <c r="KS46" s="1533" t="n">
        <v>9.086405560000001</v>
      </c>
      <c r="KT46" s="1533" t="n">
        <v>7.190837170000001</v>
      </c>
      <c r="KU46" s="1533" t="n">
        <v>6.47546345</v>
      </c>
      <c r="KV46" s="1533" t="n">
        <v>13.97351841</v>
      </c>
      <c r="KW46" s="1533" t="n">
        <v>10.07526229</v>
      </c>
      <c r="KX46" s="1533" t="n">
        <v>8.85476107</v>
      </c>
      <c r="KY46" s="1533" t="n">
        <v>37.578541</v>
      </c>
      <c r="KZ46" s="1533" t="n">
        <v>36.582579</v>
      </c>
      <c r="LA46" s="1533" t="n">
        <v>36.616473</v>
      </c>
      <c r="LB46" s="1533" t="n">
        <v>43.59779</v>
      </c>
      <c r="LC46" s="1533" t="n">
        <v>42.455438</v>
      </c>
      <c r="LD46" s="1533" t="n">
        <v>43.139517</v>
      </c>
      <c r="LE46" s="1533" t="n">
        <v>13.826367</v>
      </c>
      <c r="LF46" s="1545" t="n">
        <v>12.29575</v>
      </c>
      <c r="LG46" s="1545" t="n">
        <v>11.543676</v>
      </c>
      <c r="LH46" s="1545" t="n">
        <v>23.01653</v>
      </c>
      <c r="LI46" s="1545" t="n">
        <v>40.930363</v>
      </c>
      <c r="LJ46" s="1545" t="n">
        <v>9.080633000000001</v>
      </c>
      <c r="LK46" s="1545" t="n">
        <v>12.148152</v>
      </c>
      <c r="LL46" s="1545" t="n">
        <v>2.418282</v>
      </c>
      <c r="LM46" s="1545" t="n">
        <v>2.131182</v>
      </c>
      <c r="LN46" s="1545" t="n">
        <v>8.169499999999999</v>
      </c>
      <c r="LO46" s="1545" t="n">
        <v>6.449802</v>
      </c>
      <c r="LP46" s="1545" t="n">
        <v>7.712729</v>
      </c>
      <c r="LQ46" s="1545" t="n">
        <v>6.407287</v>
      </c>
      <c r="LR46" s="1545" t="n">
        <v>23.486048</v>
      </c>
      <c r="LS46" s="1545" t="n">
        <v>30.031652</v>
      </c>
      <c r="LT46" s="1545" t="n">
        <v>3.922504</v>
      </c>
      <c r="LU46" s="1545" t="n">
        <v>3.28948</v>
      </c>
      <c r="LV46" s="1545" t="n">
        <v>2.98948</v>
      </c>
      <c r="LW46" s="1545" t="n">
        <v>6.552588</v>
      </c>
      <c r="LX46" s="1545" t="n">
        <v>2.976992</v>
      </c>
      <c r="LY46" s="1545" t="n">
        <v>5.855792</v>
      </c>
      <c r="LZ46" s="1545" t="n">
        <v>18.531001</v>
      </c>
      <c r="MA46" s="1545" t="n">
        <v>14.434566</v>
      </c>
      <c r="MB46" s="1545" t="n">
        <v>22.159653</v>
      </c>
      <c r="MC46" s="1545" t="n">
        <v>37.110267</v>
      </c>
      <c r="MD46" s="1545" t="n">
        <v>37.110267</v>
      </c>
      <c r="ME46" s="1545" t="n">
        <v>24.811315</v>
      </c>
      <c r="MF46" s="1545" t="n">
        <v>11.996265</v>
      </c>
      <c r="MG46" s="1545" t="n">
        <v>7.783539</v>
      </c>
      <c r="MH46" s="1545" t="n">
        <v>6.977369</v>
      </c>
      <c r="MI46" s="1545" t="n">
        <v>8.776263999999999</v>
      </c>
      <c r="MJ46" s="1545" t="n">
        <v>11.097002</v>
      </c>
      <c r="MK46" s="1545" t="n">
        <v>18.365494</v>
      </c>
      <c r="ML46" s="1545" t="n">
        <v>18.58148</v>
      </c>
      <c r="MM46" s="1545" t="n">
        <v>14.297143</v>
      </c>
      <c r="MN46" s="1545" t="n">
        <v>42.082733</v>
      </c>
      <c r="MO46" s="1545" t="n">
        <v>34.556673</v>
      </c>
      <c r="MP46" s="1545" t="n">
        <v>5.951253</v>
      </c>
      <c r="MQ46" s="1545" t="n">
        <v>11.070577</v>
      </c>
      <c r="MR46" s="1545" t="n">
        <v>6.405794</v>
      </c>
      <c r="MS46" s="1545" t="n">
        <v>5.982264</v>
      </c>
      <c r="MT46" s="1545" t="n">
        <v>9.585623999999999</v>
      </c>
      <c r="MU46" s="1545" t="n">
        <v>9.585623999999999</v>
      </c>
      <c r="MV46" s="1545" t="n">
        <v>9.864875</v>
      </c>
      <c r="MW46" s="1545" t="n">
        <v>23.501221</v>
      </c>
      <c r="MX46" s="1545" t="n">
        <v>22.610629</v>
      </c>
      <c r="MY46" s="1545" t="n">
        <v>36.23528</v>
      </c>
      <c r="MZ46" s="1545" t="n">
        <v>25.934334</v>
      </c>
      <c r="NA46" s="1545" t="n">
        <v>15.31951</v>
      </c>
      <c r="NB46" s="1545" t="n">
        <v>13.232922</v>
      </c>
      <c r="NC46" s="1545" t="n">
        <v>6.332664</v>
      </c>
      <c r="ND46" s="1545" t="n">
        <v>6.274429</v>
      </c>
      <c r="NE46" s="1545" t="n">
        <v>48.758823</v>
      </c>
      <c r="NF46" s="1545" t="n">
        <v>42.693757</v>
      </c>
      <c r="NG46" s="1545" t="n">
        <v>38.402334</v>
      </c>
      <c r="NH46" s="1545" t="n">
        <v>10.964677</v>
      </c>
      <c r="NI46" s="1545" t="n">
        <v>11.782884</v>
      </c>
      <c r="NJ46" s="1545" t="n">
        <v>39.290933</v>
      </c>
      <c r="NK46" s="1545" t="n">
        <v>31.029575</v>
      </c>
      <c r="NL46" s="1545" t="n">
        <v>37.217107</v>
      </c>
      <c r="NM46" s="1545" t="n">
        <v>77.979145</v>
      </c>
      <c r="NN46" s="1545" t="n">
        <v>29.519262</v>
      </c>
      <c r="NO46" s="1545" t="n">
        <v>25.021911</v>
      </c>
      <c r="NP46" s="1545" t="n">
        <v>12.300583</v>
      </c>
      <c r="NQ46" s="1545" t="n">
        <v>12.83355</v>
      </c>
      <c r="NR46" s="1545" t="n">
        <v>20.142821</v>
      </c>
      <c r="NS46" s="1545" t="n">
        <v>20.141921</v>
      </c>
      <c r="NT46" s="1545" t="n">
        <v>18.33946</v>
      </c>
      <c r="NU46" s="1545" t="n">
        <v>17.520432</v>
      </c>
      <c r="NV46" s="1545" t="n">
        <v>10.806219</v>
      </c>
      <c r="NW46" s="1545" t="n">
        <v>15.83351</v>
      </c>
      <c r="NX46" s="1545" t="n">
        <v>4.889213</v>
      </c>
      <c r="NY46" s="1545" t="n">
        <v>3.031857</v>
      </c>
      <c r="NZ46" s="1545" t="n">
        <v>3.370356</v>
      </c>
      <c r="OA46" s="1545" t="n">
        <v>1.797051</v>
      </c>
      <c r="OB46" s="1545" t="n">
        <v>9.204859000000001</v>
      </c>
      <c r="OC46" s="1545" t="n">
        <v>6.317902</v>
      </c>
      <c r="OD46" s="1545" t="n">
        <v>2.29228</v>
      </c>
      <c r="OE46" s="1545" t="n">
        <v>2.122178</v>
      </c>
      <c r="OF46" s="1545" t="n">
        <v>4.910411</v>
      </c>
      <c r="OG46" s="1545" t="n">
        <v>5.984203</v>
      </c>
      <c r="OH46" s="1545" t="n">
        <v>5.740579</v>
      </c>
      <c r="OI46" s="1545" t="n">
        <v>27.631758</v>
      </c>
      <c r="OJ46" s="1545" t="n">
        <v>18.3493662</v>
      </c>
      <c r="OK46" s="1545" t="n">
        <v>25.92950808</v>
      </c>
      <c r="OL46" s="1545" t="n">
        <v>24.46583109</v>
      </c>
      <c r="OM46" s="1545" t="n">
        <v>78.86660241</v>
      </c>
      <c r="ON46" s="1545" t="n">
        <v>71.04560694</v>
      </c>
      <c r="OO46" s="1545" t="n">
        <v>83.98217039000001</v>
      </c>
      <c r="OP46" s="1545" t="n">
        <v>81.05395738999999</v>
      </c>
      <c r="OQ46" s="1545" t="n">
        <v>71.92425179</v>
      </c>
      <c r="OR46" s="1545" t="n">
        <v>16.95389414</v>
      </c>
      <c r="OS46" s="1545" t="n">
        <v>16.77454296</v>
      </c>
      <c r="OT46" s="1545" t="n">
        <v>12.17050681</v>
      </c>
      <c r="OU46" s="1545" t="n">
        <v>21.99173707</v>
      </c>
      <c r="OV46" s="1545" t="n">
        <v>4.393815089999999</v>
      </c>
      <c r="OW46" s="1545" t="n">
        <v>48.43776045000001</v>
      </c>
      <c r="OX46" s="1545" t="n">
        <v>3.66389716</v>
      </c>
      <c r="OY46" s="1545" t="n">
        <v>22.83618593</v>
      </c>
      <c r="OZ46" s="1545" t="n">
        <v>22.72959032</v>
      </c>
      <c r="PA46" s="1545" t="n">
        <v>17.45559449</v>
      </c>
      <c r="PB46" s="1545" t="n">
        <v>18.48443688</v>
      </c>
      <c r="PC46" s="1545" t="n">
        <v>18.05457905</v>
      </c>
      <c r="PD46" s="1545" t="n">
        <v>52.06793846</v>
      </c>
      <c r="PE46" s="1545" t="n">
        <v>51.6439231</v>
      </c>
      <c r="PF46" s="1545" t="n">
        <v>57.53320898</v>
      </c>
      <c r="PG46" s="1545" t="n">
        <v>81.13692198000001</v>
      </c>
      <c r="PH46" s="1545" t="n">
        <v>81.13692198000001</v>
      </c>
      <c r="PI46" s="1545" t="n">
        <v>67.63962739</v>
      </c>
      <c r="PJ46" s="1545" t="n">
        <v>64.77166584</v>
      </c>
      <c r="PK46" s="1545" t="n">
        <v>55.75702372</v>
      </c>
      <c r="PL46" s="1545" t="n">
        <v>58.79390724</v>
      </c>
      <c r="PM46" s="1545" t="n">
        <v>57.44419187</v>
      </c>
      <c r="PN46" s="1545" t="n">
        <v>60.86584477</v>
      </c>
      <c r="PO46" s="1545" t="n">
        <v>60.57797348</v>
      </c>
      <c r="PP46" s="1545" t="n">
        <v>62.04962562</v>
      </c>
      <c r="PQ46" s="1545" t="n">
        <v>10.08977325</v>
      </c>
      <c r="PR46" s="1545" t="n">
        <v>9.5829284</v>
      </c>
      <c r="PS46" s="1545" t="n">
        <v>102.51621078</v>
      </c>
      <c r="PT46" s="1545" t="n">
        <v>49.43288286</v>
      </c>
      <c r="PU46" s="1545" t="n">
        <v>8.19379005</v>
      </c>
      <c r="PV46" s="1545" t="n">
        <v>7.01600797</v>
      </c>
      <c r="PW46" s="1545" t="n">
        <v>10.10950857</v>
      </c>
      <c r="PX46" s="1545" t="n">
        <v>11.79827199</v>
      </c>
      <c r="PY46" s="1545" t="n">
        <v>18.40276709</v>
      </c>
      <c r="PZ46" s="1545" t="n">
        <v>27.39027288</v>
      </c>
      <c r="QA46" s="1545" t="n">
        <v>42.71638417</v>
      </c>
      <c r="QB46" s="1545" t="n">
        <v>42.71638417</v>
      </c>
      <c r="QC46" s="1545" t="n">
        <v>41.84441086</v>
      </c>
      <c r="QD46" s="1545" t="n">
        <v>35.42562681</v>
      </c>
      <c r="QE46" s="1545" t="n">
        <v>20.92863549</v>
      </c>
      <c r="QF46" s="1545" t="n">
        <v>20.70790131</v>
      </c>
      <c r="QG46" s="1545" t="n">
        <v>19.4328778</v>
      </c>
      <c r="QH46" s="1545" t="n">
        <v>18.94750405</v>
      </c>
      <c r="QI46" s="1545" t="n">
        <v>17.7502378</v>
      </c>
      <c r="QJ46" s="1545" t="n">
        <v>18.05774895</v>
      </c>
      <c r="QK46" s="1545" t="n">
        <v>53.5168015</v>
      </c>
      <c r="QL46" s="1545" t="n">
        <v>49.6671498</v>
      </c>
      <c r="QM46" s="1545" t="n">
        <v>48.27757590000001</v>
      </c>
      <c r="QN46" s="1545" t="n">
        <v>18.11736748</v>
      </c>
      <c r="QO46" s="1545" t="n">
        <v>18.75783418</v>
      </c>
      <c r="QP46" s="1545" t="n">
        <v>16.98908532</v>
      </c>
      <c r="QQ46" s="1545" t="n">
        <v>16.68178775</v>
      </c>
      <c r="QR46" s="1545" t="n">
        <v>22.38890775</v>
      </c>
      <c r="QS46" s="1545" t="n">
        <v>21.33324346</v>
      </c>
      <c r="QT46" s="1545" t="n">
        <v>20.25336812</v>
      </c>
      <c r="QU46" s="1545" t="n">
        <v>19.23032719</v>
      </c>
      <c r="QV46" s="1545" t="n">
        <v>28.8635015</v>
      </c>
      <c r="QW46" s="1545" t="n">
        <v>17.94581273</v>
      </c>
      <c r="QX46" s="1545" t="n">
        <v>17.94581273</v>
      </c>
      <c r="QY46" s="1545" t="n">
        <v>15.24737564</v>
      </c>
      <c r="QZ46" s="1545" t="n">
        <v>15.23678166</v>
      </c>
      <c r="RA46" s="1545" t="n">
        <v>15.20774927</v>
      </c>
      <c r="RB46" s="1545" t="n">
        <v>43.93743727</v>
      </c>
      <c r="RC46" s="1545" t="n">
        <v>44.6921758</v>
      </c>
      <c r="RD46" s="1545" t="n">
        <v>41.8920712</v>
      </c>
      <c r="RE46" s="1545" t="n">
        <v>7.62276792</v>
      </c>
      <c r="RF46" s="1545" t="n">
        <v>44.2493605</v>
      </c>
      <c r="RG46" s="1545" t="n">
        <v>9.35547334</v>
      </c>
      <c r="RH46" s="1545" t="n">
        <v>7.317700889999999</v>
      </c>
      <c r="RI46" s="1545" t="n">
        <v>7.993918809999999</v>
      </c>
      <c r="RJ46" s="1545" t="n">
        <v>9.651964570000001</v>
      </c>
      <c r="RK46" s="1545" t="n">
        <v>7.72538896</v>
      </c>
      <c r="RL46" s="1545" t="n">
        <v>15.53156466</v>
      </c>
      <c r="RM46" s="1545" t="n">
        <v>15.17172211</v>
      </c>
      <c r="RN46" s="1545" t="n">
        <v>17.90037439</v>
      </c>
      <c r="RO46" s="1545" t="n">
        <v>32.29376228</v>
      </c>
      <c r="RP46" s="1545" t="n">
        <v>31.73062023999999</v>
      </c>
      <c r="RQ46" s="1545" t="n">
        <v>15.64879634</v>
      </c>
      <c r="RR46" s="1545" t="n">
        <v>64.83179842</v>
      </c>
      <c r="RS46" s="1545" t="n">
        <v>14.55670374</v>
      </c>
      <c r="RT46" s="1545" t="n">
        <v>12.15206201</v>
      </c>
      <c r="RU46" s="1545" t="n">
        <v>8.04279492</v>
      </c>
      <c r="RV46" s="1545" t="n">
        <v>6.23469757</v>
      </c>
      <c r="RW46" s="1545" t="n">
        <v>12.74506035</v>
      </c>
      <c r="RX46" s="1545" t="n">
        <v>5.18920972</v>
      </c>
      <c r="RY46" s="1545" t="n">
        <v>13.56206517</v>
      </c>
      <c r="RZ46" s="1545" t="n">
        <v>11.37883099</v>
      </c>
      <c r="SA46" s="1545" t="n">
        <v>48.32465456</v>
      </c>
      <c r="SB46" s="1545" t="n">
        <v>49.07586124</v>
      </c>
      <c r="SC46" s="1545" t="n">
        <v>80.00348011</v>
      </c>
      <c r="SD46" s="1545" t="n">
        <v>78.80361827</v>
      </c>
      <c r="SE46" s="1545" t="n">
        <v>20.70639781</v>
      </c>
      <c r="SF46" s="1545" t="n">
        <v>77.15991981000001</v>
      </c>
      <c r="SG46" s="1545" t="n">
        <v>73.90268052</v>
      </c>
      <c r="SH46" s="1545" t="n">
        <v>74.49212052000001</v>
      </c>
      <c r="SI46" s="1545" t="n">
        <v>17.35616771</v>
      </c>
      <c r="SJ46" s="1545" t="n">
        <v>28.03811618</v>
      </c>
      <c r="SK46" s="1545" t="n">
        <v>29.7224123</v>
      </c>
      <c r="SL46" s="1545" t="n">
        <v>19.50474454</v>
      </c>
      <c r="SM46" s="1545" t="n">
        <v>132.44111472</v>
      </c>
      <c r="SN46" s="1545" t="n">
        <v>12.81184473</v>
      </c>
      <c r="SO46" s="1545" t="n">
        <v>12.73309869</v>
      </c>
      <c r="SP46" s="1545" t="n">
        <v>10.44134535</v>
      </c>
      <c r="SQ46" s="1545" t="n">
        <v>13.85057078</v>
      </c>
      <c r="SR46" s="1545" t="n">
        <v>12.68183327</v>
      </c>
      <c r="SS46" s="1545" t="n">
        <v>9.750372680000002</v>
      </c>
      <c r="ST46" s="1545" t="n">
        <v>8.343422819999999</v>
      </c>
      <c r="SU46" s="1545" t="n">
        <v>41.99564469</v>
      </c>
      <c r="SV46" s="1545" t="n">
        <v>10.047476</v>
      </c>
      <c r="SW46" s="1545" t="n">
        <v>10.30294858</v>
      </c>
      <c r="SX46" s="1545" t="n">
        <v>67.64504138</v>
      </c>
      <c r="SY46" s="1545" t="n">
        <v>63.11908475</v>
      </c>
      <c r="SZ46" s="1545" t="n">
        <v>109.65462030943</v>
      </c>
      <c r="TA46" s="1545" t="n">
        <v>72.85250846000001</v>
      </c>
      <c r="TB46" s="1545" t="n">
        <v>71.85000006</v>
      </c>
      <c r="TC46" s="1545" t="n">
        <v>15.66808858</v>
      </c>
      <c r="TD46" s="1545" t="n">
        <v>82.81488797</v>
      </c>
      <c r="TE46" s="1545" t="n">
        <v>19.75250026</v>
      </c>
      <c r="TF46" s="1545">
        <f>14728787.49/1000000</f>
        <v/>
      </c>
      <c r="TG46" s="1545" t="n">
        <v>14.82777141</v>
      </c>
      <c r="TH46" s="1545" t="n">
        <v>15.2892483</v>
      </c>
      <c r="TI46" s="1545" t="n">
        <v>48.89903734000001</v>
      </c>
      <c r="TJ46" s="1545" t="n">
        <v>47.1654051</v>
      </c>
      <c r="TK46" s="1545" t="n">
        <v>47.11253599</v>
      </c>
      <c r="TL46" s="1545" t="n">
        <v>28.55725936</v>
      </c>
      <c r="TM46" s="1545" t="n">
        <v>45.24368884</v>
      </c>
      <c r="TN46" s="1545" t="n">
        <v>20.45615612</v>
      </c>
      <c r="TO46" s="1545" t="n">
        <v>20.34275025</v>
      </c>
      <c r="TP46" s="1545" t="n">
        <v>25.25260278</v>
      </c>
      <c r="TQ46" s="1545" t="n">
        <v>23.10473604</v>
      </c>
      <c r="TR46" s="1545" t="n">
        <v>78.96895806000001</v>
      </c>
      <c r="TS46" s="1545" t="n">
        <v>83.92801826</v>
      </c>
      <c r="TT46" s="1545" t="n">
        <v>87.40786497000001</v>
      </c>
      <c r="TU46" s="1545" t="n">
        <v>33.1349011</v>
      </c>
      <c r="TV46" s="1545" t="n">
        <v>35.31539375</v>
      </c>
      <c r="TW46" s="1545" t="n">
        <v>41.16521627</v>
      </c>
      <c r="TX46" s="1545" t="n">
        <v>82.07114192</v>
      </c>
      <c r="TY46" s="1545" t="n">
        <v>49.13379461000001</v>
      </c>
      <c r="TZ46" s="1545" t="n">
        <v>49.13379461000001</v>
      </c>
      <c r="UA46" s="1545" t="n">
        <v>18.31646499</v>
      </c>
      <c r="UB46" s="1545">
        <f>30163475.38/1000000</f>
        <v/>
      </c>
      <c r="UC46" s="1545">
        <f>40711371.18/1000000</f>
        <v/>
      </c>
      <c r="UD46" s="1545" t="n">
        <v>41.73606273000001</v>
      </c>
      <c r="UE46" s="1545" t="n">
        <v>42.88249038</v>
      </c>
      <c r="UF46" s="1545" t="n">
        <v>14.61039868</v>
      </c>
      <c r="UG46" s="1545" t="n">
        <v>30.77325226</v>
      </c>
      <c r="UH46" s="1545" t="n">
        <v>37.87526835</v>
      </c>
      <c r="UI46" s="1545" t="n">
        <v>6.15659051</v>
      </c>
      <c r="UJ46" s="1545" t="n">
        <v>29.45474176</v>
      </c>
      <c r="UK46" s="1545" t="n">
        <v>28.15545431</v>
      </c>
      <c r="UL46" s="1545" t="n">
        <v>28.64024965</v>
      </c>
      <c r="UM46" s="1545" t="n">
        <v>8.37456398</v>
      </c>
      <c r="UN46" s="1545" t="n">
        <v>27.65089577</v>
      </c>
      <c r="UO46" s="1545" t="n">
        <v>16.54045271</v>
      </c>
      <c r="UP46" s="1545" t="n">
        <v>11.71423029</v>
      </c>
      <c r="UQ46" s="1545" t="n">
        <v>22.27955521</v>
      </c>
      <c r="UR46" s="1545" t="n">
        <v>22.55697057</v>
      </c>
      <c r="US46" s="1545" t="n">
        <v>14.7088386</v>
      </c>
      <c r="UT46" s="1545" t="n">
        <v>44.14358786</v>
      </c>
      <c r="UU46" s="1545" t="n">
        <v>19.10438101</v>
      </c>
      <c r="UV46" s="1545" t="n">
        <v>21.94078721</v>
      </c>
      <c r="UW46" s="1545" t="n">
        <v>19.24726263</v>
      </c>
      <c r="UX46" s="1545" t="n">
        <v>28.68938303</v>
      </c>
      <c r="UY46" s="1545" t="n">
        <v>110.23098496</v>
      </c>
      <c r="UZ46" s="1545" t="n">
        <v>52.30653829000001</v>
      </c>
      <c r="VA46" s="1545" t="n">
        <v>44.74542390000001</v>
      </c>
      <c r="VB46" s="1545" t="n">
        <v>13.25940858</v>
      </c>
      <c r="VC46" s="1545" t="n">
        <v>200.75180455</v>
      </c>
      <c r="VD46" s="1545" t="n">
        <v>203.07196042</v>
      </c>
      <c r="VE46" s="1545" t="n">
        <v>63.73487988</v>
      </c>
      <c r="VF46" s="1545" t="n">
        <v>335.18994578</v>
      </c>
      <c r="VG46" s="1545" t="n">
        <v>551.5465977699999</v>
      </c>
      <c r="VH46" s="1545" t="n">
        <v>496.58172283</v>
      </c>
      <c r="VI46" s="1545" t="n">
        <v>447.8918508200001</v>
      </c>
      <c r="VJ46" s="1545" t="n">
        <v>354.0553269600001</v>
      </c>
      <c r="VK46" s="1545" t="n">
        <v>60.75069928</v>
      </c>
      <c r="VL46" s="1545" t="n">
        <v>21.90388869</v>
      </c>
      <c r="VM46" s="1545" t="n">
        <v>10.05863915</v>
      </c>
      <c r="VN46" s="1545" t="n">
        <v>19.90039858</v>
      </c>
      <c r="VO46" s="1545" t="n">
        <v>21.01818524</v>
      </c>
      <c r="VP46" s="1545" t="n">
        <v>67.39268403</v>
      </c>
      <c r="VQ46" s="1545" t="n">
        <v>40.60817986000001</v>
      </c>
      <c r="VR46" s="1545" t="n">
        <v>179.36156139</v>
      </c>
      <c r="VS46" s="1545" t="n">
        <v>13.81043451</v>
      </c>
      <c r="VT46" s="1545" t="n">
        <v>9.771879510000002</v>
      </c>
      <c r="VU46" s="1545" t="n">
        <v>10.73219259</v>
      </c>
      <c r="VV46" s="1545" t="n">
        <v>20.64394541</v>
      </c>
      <c r="VW46" s="1545" t="n">
        <v>20.34637701</v>
      </c>
      <c r="VX46" s="1545" t="n">
        <v>167.36561229</v>
      </c>
      <c r="VY46" s="1545" t="n">
        <v>156.79781107</v>
      </c>
      <c r="VZ46" s="1545" t="n">
        <v>26.08663865</v>
      </c>
      <c r="WA46" s="1545" t="n">
        <v>21.74656315</v>
      </c>
      <c r="WB46" s="1545" t="n">
        <v>22.7662162</v>
      </c>
      <c r="WC46" s="1545" t="n">
        <v>17.58623868</v>
      </c>
      <c r="WD46" s="1545" t="n">
        <v>2.046548429999997</v>
      </c>
      <c r="WE46" s="1545" t="n">
        <v>2.836159989999997</v>
      </c>
      <c r="WF46" s="1545" t="n">
        <v>47.00131094</v>
      </c>
      <c r="WG46" s="1545" t="n">
        <v>2.878221850000001</v>
      </c>
      <c r="WH46" s="1545" t="n">
        <v>2.768068640000024</v>
      </c>
      <c r="WI46" s="1545" t="n">
        <v>25.40347956</v>
      </c>
      <c r="WJ46" s="1545" t="n">
        <v>53.054755839</v>
      </c>
      <c r="WK46" s="1545" t="n">
        <v>61.33400404</v>
      </c>
      <c r="WL46" s="1545" t="n">
        <v>60.38801167000001</v>
      </c>
      <c r="WM46" s="1545" t="n">
        <v>33.71297755000001</v>
      </c>
      <c r="WN46" s="1545" t="n">
        <v>12.2454242</v>
      </c>
      <c r="WO46" s="1545" t="n">
        <v>5.470741760000008</v>
      </c>
      <c r="WP46" s="1545" t="n">
        <v>4.6477384</v>
      </c>
      <c r="WQ46" s="1545" t="n">
        <v>3.267041917616</v>
      </c>
      <c r="WR46" s="1545" t="n">
        <v>14.63429127</v>
      </c>
      <c r="WS46" s="1545" t="n">
        <v>41.17649006</v>
      </c>
      <c r="WT46" s="1545" t="n">
        <v>35.76412585999999</v>
      </c>
      <c r="WU46" s="1545" t="n">
        <v>44.68449269</v>
      </c>
      <c r="WV46" s="1545" t="n">
        <v>40.16548877</v>
      </c>
      <c r="WW46" s="1545" t="n">
        <v>35.67000885999999</v>
      </c>
      <c r="WX46" s="1545" t="n">
        <v>31.52573799</v>
      </c>
      <c r="WY46" s="1545" t="n">
        <v>106.80019828</v>
      </c>
      <c r="WZ46" s="1545" t="n">
        <v>66.82893469</v>
      </c>
      <c r="XA46" s="1545" t="n">
        <v>46.57061177</v>
      </c>
      <c r="XB46" s="1545" t="n">
        <v>24.77539296</v>
      </c>
      <c r="XC46" s="1545" t="n">
        <v>35.66534338</v>
      </c>
      <c r="XD46" s="1545" t="n">
        <v>33.50506002</v>
      </c>
      <c r="XE46" s="1545" t="n">
        <v>54.36790947999999</v>
      </c>
      <c r="XF46" s="1545" t="n">
        <v>42.21746741</v>
      </c>
      <c r="XG46" s="1545" t="n">
        <v>34.86442312</v>
      </c>
      <c r="XH46" s="1545" t="n">
        <v>34.78797068999999</v>
      </c>
      <c r="XI46" s="1545" t="n">
        <v>15.17013105</v>
      </c>
      <c r="XJ46" s="1545" t="n">
        <v>96.61311141</v>
      </c>
      <c r="XK46" s="1545" t="n">
        <v>33.00111697000001</v>
      </c>
      <c r="XL46" s="1545" t="n">
        <v>42.56501519999999</v>
      </c>
      <c r="XM46" s="1545" t="n">
        <v>42.56501519999999</v>
      </c>
      <c r="XN46" s="1545" t="n">
        <v>42.56501519999999</v>
      </c>
      <c r="XO46" s="1545" t="n">
        <v>45.46782415</v>
      </c>
      <c r="XP46" s="1545" t="n">
        <v>31.05828747</v>
      </c>
      <c r="XQ46" s="1545" t="n">
        <v>20.54653033</v>
      </c>
      <c r="XR46" s="1545" t="n">
        <v>13.06893924</v>
      </c>
      <c r="XS46" s="1545" t="n">
        <v>54.25042945999999</v>
      </c>
      <c r="XT46" s="1545" t="n">
        <v>42.68582911999999</v>
      </c>
      <c r="XU46" s="1545" t="n">
        <v>65.48449305</v>
      </c>
      <c r="XV46" s="1545" t="n">
        <v>65.69306483999999</v>
      </c>
      <c r="XW46" s="1545" t="n">
        <v>23.49932394</v>
      </c>
      <c r="XX46" s="1545" t="n">
        <v>26.20149664000001</v>
      </c>
      <c r="XY46" s="1545" t="n">
        <v>52.87378454</v>
      </c>
      <c r="XZ46" s="1545" t="n">
        <v>73.96653703</v>
      </c>
      <c r="YA46" s="1545" t="n">
        <v>24.8861281</v>
      </c>
      <c r="YB46" s="1545" t="n">
        <v>34.4433064</v>
      </c>
      <c r="YC46" s="1545" t="n">
        <v>64.10846185</v>
      </c>
      <c r="YD46" s="1545" t="n">
        <v>67.75773623000001</v>
      </c>
      <c r="YE46" s="1545" t="n">
        <v>63.01968027</v>
      </c>
      <c r="YF46" s="1545" t="n">
        <v>126.47766616</v>
      </c>
      <c r="YG46" s="1545" t="n">
        <v>130.40317333</v>
      </c>
      <c r="YH46" s="1545" t="n">
        <v>113.60801106787</v>
      </c>
      <c r="YI46" s="1545" t="n">
        <v>104.42363862787</v>
      </c>
      <c r="YJ46" s="1546" t="n">
        <v>90.4736575</v>
      </c>
    </row>
    <row r="47">
      <c r="B47" s="917" t="inlineStr">
        <is>
          <t>CPFT</t>
        </is>
      </c>
      <c r="C47" s="1545" t="n">
        <v>0</v>
      </c>
      <c r="D47" s="1545" t="n">
        <v>0</v>
      </c>
      <c r="E47" s="1545" t="n">
        <v>0</v>
      </c>
      <c r="F47" s="1545" t="n">
        <v>0</v>
      </c>
      <c r="G47" s="1545" t="n">
        <v>0</v>
      </c>
      <c r="H47" s="1545" t="n">
        <v>0</v>
      </c>
      <c r="I47" s="1545" t="n">
        <v>0</v>
      </c>
      <c r="J47" s="1545" t="n">
        <v>0</v>
      </c>
      <c r="K47" s="1545" t="n">
        <v>0</v>
      </c>
      <c r="L47" s="1545" t="n">
        <v>0</v>
      </c>
      <c r="M47" s="1545" t="n">
        <v>0</v>
      </c>
      <c r="N47" s="1545" t="n">
        <v>0</v>
      </c>
      <c r="O47" s="1545" t="n">
        <v>0</v>
      </c>
      <c r="P47" s="1545" t="n">
        <v>0</v>
      </c>
      <c r="Q47" s="1545" t="n">
        <v>0</v>
      </c>
      <c r="R47" s="1545" t="n">
        <v>0</v>
      </c>
      <c r="S47" s="1545" t="n">
        <v>0</v>
      </c>
      <c r="T47" s="1545" t="n">
        <v>0</v>
      </c>
      <c r="U47" s="1545" t="n">
        <v>0</v>
      </c>
      <c r="V47" s="1545" t="n">
        <v>0</v>
      </c>
      <c r="W47" s="1545" t="n">
        <v>0</v>
      </c>
      <c r="X47" s="1545" t="n">
        <v>0</v>
      </c>
      <c r="Y47" s="1545" t="n">
        <v>0</v>
      </c>
      <c r="Z47" s="1545" t="n">
        <v>0</v>
      </c>
      <c r="AA47" s="1545" t="n">
        <v>0</v>
      </c>
      <c r="AB47" s="1545" t="n">
        <v>0</v>
      </c>
      <c r="AC47" s="1545" t="n">
        <v>0</v>
      </c>
      <c r="AD47" s="1545" t="n">
        <v>0</v>
      </c>
      <c r="AE47" s="1545" t="n">
        <v>0</v>
      </c>
      <c r="AF47" s="1545" t="n">
        <v>0</v>
      </c>
      <c r="AG47" s="1545" t="n">
        <v>0</v>
      </c>
      <c r="AH47" s="1545" t="n">
        <v>0</v>
      </c>
      <c r="AI47" s="1545" t="n">
        <v>0</v>
      </c>
      <c r="AJ47" s="1545" t="n">
        <v>0</v>
      </c>
      <c r="AK47" s="1545" t="n">
        <v>0</v>
      </c>
      <c r="AL47" s="1545" t="n">
        <v>0</v>
      </c>
      <c r="AM47" s="1545" t="n">
        <v>0</v>
      </c>
      <c r="AN47" s="1545" t="n">
        <v>0</v>
      </c>
      <c r="AO47" s="1545" t="n">
        <v>0</v>
      </c>
      <c r="AP47" s="1545" t="n">
        <v>0</v>
      </c>
      <c r="AQ47" s="1545" t="n">
        <v>0</v>
      </c>
      <c r="AR47" s="1545" t="n">
        <v>0</v>
      </c>
      <c r="AS47" s="1545" t="n">
        <v>0</v>
      </c>
      <c r="AT47" s="1545" t="n">
        <v>0</v>
      </c>
      <c r="AU47" s="1545" t="n">
        <v>0</v>
      </c>
      <c r="AV47" s="1545" t="n">
        <v>0</v>
      </c>
      <c r="AW47" s="1545" t="n">
        <v>0</v>
      </c>
      <c r="AX47" s="1545" t="n">
        <v>0</v>
      </c>
      <c r="AY47" s="1545" t="n">
        <v>0</v>
      </c>
      <c r="AZ47" s="1545" t="n">
        <v>0</v>
      </c>
      <c r="BA47" s="1545" t="n">
        <v>0</v>
      </c>
      <c r="BB47" s="1545" t="n">
        <v>0</v>
      </c>
      <c r="BC47" s="1545" t="n">
        <v>0</v>
      </c>
      <c r="BD47" s="1545" t="n">
        <v>0</v>
      </c>
      <c r="BE47" s="1545" t="n">
        <v>0</v>
      </c>
      <c r="BF47" s="1545" t="n">
        <v>0</v>
      </c>
      <c r="BG47" s="1545" t="n">
        <v>0</v>
      </c>
      <c r="BH47" s="1545" t="n">
        <v>0</v>
      </c>
      <c r="BI47" s="1545" t="n">
        <v>0</v>
      </c>
      <c r="BJ47" s="1545" t="n">
        <v>0</v>
      </c>
      <c r="BK47" s="1545" t="n">
        <v>0</v>
      </c>
      <c r="BL47" s="1545" t="n">
        <v>0</v>
      </c>
      <c r="BM47" s="1545" t="n">
        <v>0</v>
      </c>
      <c r="BN47" s="1545" t="n">
        <v>0</v>
      </c>
      <c r="BO47" s="1545" t="n">
        <v>0</v>
      </c>
      <c r="BP47" s="1545" t="n">
        <v>0</v>
      </c>
      <c r="BQ47" s="1545" t="n">
        <v>0</v>
      </c>
      <c r="BR47" s="1545" t="n">
        <v>0</v>
      </c>
      <c r="BS47" s="1545" t="n">
        <v>0</v>
      </c>
      <c r="BT47" s="1545" t="n">
        <v>0</v>
      </c>
      <c r="BU47" s="1545" t="n">
        <v>0</v>
      </c>
      <c r="BV47" s="1545" t="n">
        <v>0</v>
      </c>
      <c r="BW47" s="1545" t="n">
        <v>0</v>
      </c>
      <c r="BX47" s="1545" t="n">
        <v>0</v>
      </c>
      <c r="BY47" s="1545" t="n">
        <v>0</v>
      </c>
      <c r="BZ47" s="1545" t="n">
        <v>0</v>
      </c>
      <c r="CA47" s="1545" t="n">
        <v>0</v>
      </c>
      <c r="CB47" s="1545" t="n">
        <v>0</v>
      </c>
      <c r="CC47" s="1545" t="n">
        <v>0</v>
      </c>
      <c r="CD47" s="1545" t="n">
        <v>0</v>
      </c>
      <c r="CE47" s="1545" t="n">
        <v>0</v>
      </c>
      <c r="CF47" s="1545" t="n">
        <v>0</v>
      </c>
      <c r="CG47" s="1545" t="n">
        <v>0</v>
      </c>
      <c r="CH47" s="1545" t="n">
        <v>0</v>
      </c>
      <c r="CI47" s="1545" t="n">
        <v>0</v>
      </c>
      <c r="CJ47" s="1545" t="n">
        <v>0</v>
      </c>
      <c r="CK47" s="1545" t="n">
        <v>0</v>
      </c>
      <c r="CL47" s="1545" t="n">
        <v>0</v>
      </c>
      <c r="CM47" s="1545" t="n">
        <v>0</v>
      </c>
      <c r="CN47" s="1545" t="n">
        <v>0</v>
      </c>
      <c r="CO47" s="1545" t="n">
        <v>0</v>
      </c>
      <c r="CP47" s="1545" t="n">
        <v>0</v>
      </c>
      <c r="CQ47" s="1545" t="n">
        <v>0</v>
      </c>
      <c r="CR47" s="1545" t="n">
        <v>0</v>
      </c>
      <c r="CS47" s="1545" t="n">
        <v>0</v>
      </c>
      <c r="CT47" s="1545" t="n">
        <v>0</v>
      </c>
      <c r="CU47" s="1545" t="n">
        <v>0</v>
      </c>
      <c r="CV47" s="1545" t="n">
        <v>0</v>
      </c>
      <c r="CW47" s="1545" t="n">
        <v>0</v>
      </c>
      <c r="CX47" s="1545" t="n">
        <v>0</v>
      </c>
      <c r="CY47" s="1545" t="n">
        <v>0</v>
      </c>
      <c r="CZ47" s="1545" t="n">
        <v>0</v>
      </c>
      <c r="DA47" s="1545" t="n">
        <v>0</v>
      </c>
      <c r="DB47" s="1545" t="n">
        <v>0</v>
      </c>
      <c r="DC47" s="1545" t="n">
        <v>0</v>
      </c>
      <c r="DD47" s="1545" t="n">
        <v>0</v>
      </c>
      <c r="DE47" s="1545" t="n">
        <v>0</v>
      </c>
      <c r="DF47" s="1545" t="n">
        <v>0</v>
      </c>
      <c r="DG47" s="1545" t="n">
        <v>0</v>
      </c>
      <c r="DH47" s="1545" t="n">
        <v>0</v>
      </c>
      <c r="DI47" s="1545" t="n">
        <v>0</v>
      </c>
      <c r="DJ47" s="1545" t="n">
        <v>0</v>
      </c>
      <c r="DK47" s="1545" t="n">
        <v>0</v>
      </c>
      <c r="DL47" s="1545" t="n">
        <v>0</v>
      </c>
      <c r="DM47" s="1545" t="n">
        <v>0</v>
      </c>
      <c r="DN47" s="1545" t="n">
        <v>0</v>
      </c>
      <c r="DO47" s="1545" t="n">
        <v>0</v>
      </c>
      <c r="DP47" s="1545" t="n">
        <v>0</v>
      </c>
      <c r="DQ47" s="1545" t="n">
        <v>0</v>
      </c>
      <c r="DR47" s="1545" t="n">
        <v>0</v>
      </c>
      <c r="DS47" s="1545" t="n">
        <v>0</v>
      </c>
      <c r="DT47" s="1545" t="n">
        <v>0</v>
      </c>
      <c r="DU47" s="1545" t="n">
        <v>0</v>
      </c>
      <c r="DV47" s="1545" t="n">
        <v>0</v>
      </c>
      <c r="DW47" s="1545" t="n">
        <v>0</v>
      </c>
      <c r="DX47" s="1545" t="n">
        <v>0</v>
      </c>
      <c r="DY47" s="1545" t="n">
        <v>0</v>
      </c>
      <c r="DZ47" s="1545" t="n">
        <v>0</v>
      </c>
      <c r="EA47" s="1545" t="n">
        <v>0</v>
      </c>
      <c r="EB47" s="1545" t="n">
        <v>0</v>
      </c>
      <c r="EC47" s="1545" t="n">
        <v>0</v>
      </c>
      <c r="ED47" s="1545" t="n">
        <v>0</v>
      </c>
      <c r="EE47" s="1545" t="n">
        <v>0</v>
      </c>
      <c r="EF47" s="1545" t="n">
        <v>0</v>
      </c>
      <c r="EG47" s="1545" t="n">
        <v>0</v>
      </c>
      <c r="EH47" s="1545" t="n">
        <v>0</v>
      </c>
      <c r="EI47" s="1545" t="n">
        <v>0</v>
      </c>
      <c r="EJ47" s="1545" t="n">
        <v>0</v>
      </c>
      <c r="EK47" s="1545" t="n">
        <v>0</v>
      </c>
      <c r="EL47" s="1545" t="n">
        <v>0</v>
      </c>
      <c r="EM47" s="1545" t="n">
        <v>0</v>
      </c>
      <c r="EN47" s="1545" t="n">
        <v>0</v>
      </c>
      <c r="EO47" s="1545" t="n">
        <v>0</v>
      </c>
      <c r="EP47" s="1545" t="n">
        <v>0</v>
      </c>
      <c r="EQ47" s="1545" t="n">
        <v>0</v>
      </c>
      <c r="ER47" s="1545" t="n">
        <v>0</v>
      </c>
      <c r="ES47" s="1545" t="n">
        <v>0</v>
      </c>
      <c r="ET47" s="1545" t="n">
        <v>0</v>
      </c>
      <c r="EU47" s="1545" t="n">
        <v>0</v>
      </c>
      <c r="EV47" s="1545" t="n">
        <v>0</v>
      </c>
      <c r="EW47" s="1545" t="n">
        <v>0</v>
      </c>
      <c r="EX47" s="1545" t="n">
        <v>0</v>
      </c>
      <c r="EY47" s="1545" t="n">
        <v>0</v>
      </c>
      <c r="EZ47" s="1545" t="n">
        <v>0</v>
      </c>
      <c r="FA47" s="1545" t="n">
        <v>0</v>
      </c>
      <c r="FB47" s="1545" t="n">
        <v>0</v>
      </c>
      <c r="FC47" s="1545" t="n">
        <v>0</v>
      </c>
      <c r="FD47" s="1545" t="n">
        <v>0</v>
      </c>
      <c r="FE47" s="1545" t="n">
        <v>0</v>
      </c>
      <c r="FF47" s="1545" t="n">
        <v>0</v>
      </c>
      <c r="FG47" s="1545" t="n">
        <v>0</v>
      </c>
      <c r="FH47" s="1545" t="n">
        <v>0</v>
      </c>
      <c r="FI47" s="1545" t="n">
        <v>0</v>
      </c>
      <c r="FJ47" s="1545" t="n">
        <v>0</v>
      </c>
      <c r="FK47" s="1545" t="n">
        <v>0</v>
      </c>
      <c r="FL47" s="1545" t="n">
        <v>0</v>
      </c>
      <c r="FM47" s="1545" t="n">
        <v>0</v>
      </c>
      <c r="FN47" s="1545" t="n">
        <v>0</v>
      </c>
      <c r="FO47" s="1545" t="n">
        <v>0</v>
      </c>
      <c r="FP47" s="1545" t="n">
        <v>0</v>
      </c>
      <c r="FQ47" s="1545" t="n">
        <v>0</v>
      </c>
      <c r="FR47" s="1545" t="n">
        <v>0</v>
      </c>
      <c r="FS47" s="1545" t="n">
        <v>0</v>
      </c>
      <c r="FT47" s="1545" t="n">
        <v>0</v>
      </c>
      <c r="FU47" s="1545" t="n">
        <v>0</v>
      </c>
      <c r="FV47" s="1545" t="n">
        <v>0</v>
      </c>
      <c r="FW47" s="1545" t="n">
        <v>0</v>
      </c>
      <c r="FX47" s="1545" t="n">
        <v>0</v>
      </c>
      <c r="FY47" s="1545" t="n">
        <v>0</v>
      </c>
      <c r="FZ47" s="1545" t="n">
        <v>0</v>
      </c>
      <c r="GA47" s="1545" t="n">
        <v>0</v>
      </c>
      <c r="GB47" s="1545" t="n">
        <v>0</v>
      </c>
      <c r="GC47" s="1545" t="n">
        <v>0</v>
      </c>
      <c r="GD47" s="1545" t="n">
        <v>0</v>
      </c>
      <c r="GE47" s="1545" t="n">
        <v>0</v>
      </c>
      <c r="GF47" s="1545" t="n">
        <v>0</v>
      </c>
      <c r="GG47" s="1545" t="n">
        <v>0</v>
      </c>
      <c r="GH47" s="1545" t="n">
        <v>0</v>
      </c>
      <c r="GI47" s="1545" t="n">
        <v>0</v>
      </c>
      <c r="GJ47" s="1545" t="n">
        <v>0</v>
      </c>
      <c r="GK47" s="1545" t="n">
        <v>0</v>
      </c>
      <c r="GL47" s="1545" t="n">
        <v>0</v>
      </c>
      <c r="GM47" s="1545" t="n">
        <v>0</v>
      </c>
      <c r="GN47" s="1545" t="n">
        <v>0</v>
      </c>
      <c r="GO47" s="1545" t="n">
        <v>0</v>
      </c>
      <c r="GP47" s="1545" t="n">
        <v>0</v>
      </c>
      <c r="GQ47" s="1545" t="n">
        <v>0</v>
      </c>
      <c r="GR47" s="1545" t="n">
        <v>0</v>
      </c>
      <c r="GS47" s="1545" t="n">
        <v>0</v>
      </c>
      <c r="GT47" s="1545" t="n">
        <v>0</v>
      </c>
      <c r="GU47" s="1545" t="n">
        <v>0</v>
      </c>
      <c r="GV47" s="1545" t="n">
        <v>0</v>
      </c>
      <c r="GW47" s="1545" t="n">
        <v>0</v>
      </c>
      <c r="GX47" s="1545" t="n">
        <v>0</v>
      </c>
      <c r="GY47" s="1545" t="n">
        <v>0</v>
      </c>
      <c r="GZ47" s="1545" t="n">
        <v>0</v>
      </c>
      <c r="HA47" s="1545" t="n">
        <v>0</v>
      </c>
      <c r="HB47" s="1545" t="n">
        <v>0</v>
      </c>
      <c r="HC47" s="1545" t="n">
        <v>0</v>
      </c>
      <c r="HD47" s="1545" t="n">
        <v>0</v>
      </c>
      <c r="HE47" s="1545" t="n">
        <v>0</v>
      </c>
      <c r="HF47" s="1545" t="n">
        <v>0</v>
      </c>
      <c r="HG47" s="1545" t="n">
        <v>0</v>
      </c>
      <c r="HH47" s="1545" t="n">
        <v>0</v>
      </c>
      <c r="HI47" s="1545" t="n">
        <v>0</v>
      </c>
      <c r="HJ47" s="1545" t="n">
        <v>0</v>
      </c>
      <c r="HK47" s="1545" t="n">
        <v>0</v>
      </c>
      <c r="HL47" s="1545" t="n">
        <v>0</v>
      </c>
      <c r="HM47" s="1545" t="n">
        <v>0</v>
      </c>
      <c r="HN47" s="1545" t="n">
        <v>0</v>
      </c>
      <c r="HO47" s="1545" t="n">
        <v>0</v>
      </c>
      <c r="HP47" s="1545" t="n">
        <v>0</v>
      </c>
      <c r="HQ47" s="1545" t="n">
        <v>0</v>
      </c>
      <c r="HR47" s="1545" t="n">
        <v>0</v>
      </c>
      <c r="HS47" s="1545" t="n">
        <v>0</v>
      </c>
      <c r="HT47" s="1545" t="n">
        <v>0</v>
      </c>
      <c r="HU47" s="1545" t="n">
        <v>0</v>
      </c>
      <c r="HV47" s="1545" t="n">
        <v>0</v>
      </c>
      <c r="HW47" s="1545" t="n">
        <v>0</v>
      </c>
      <c r="HX47" s="1545" t="n">
        <v>0</v>
      </c>
      <c r="HY47" s="1545" t="n">
        <v>0</v>
      </c>
      <c r="HZ47" s="1545" t="n">
        <v>0</v>
      </c>
      <c r="IA47" s="1545" t="n">
        <v>0</v>
      </c>
      <c r="IB47" s="1545" t="n">
        <v>0</v>
      </c>
      <c r="IC47" s="1545" t="n">
        <v>0</v>
      </c>
      <c r="ID47" s="1545" t="n">
        <v>0</v>
      </c>
      <c r="IE47" s="1545" t="n">
        <v>0</v>
      </c>
      <c r="IF47" s="1545" t="n">
        <v>0</v>
      </c>
      <c r="IG47" s="1545" t="n">
        <v>0</v>
      </c>
      <c r="IH47" s="1545" t="n">
        <v>0</v>
      </c>
      <c r="II47" s="1545" t="n">
        <v>0</v>
      </c>
      <c r="IJ47" s="1545" t="n">
        <v>0</v>
      </c>
      <c r="IK47" s="1545" t="n">
        <v>0</v>
      </c>
      <c r="IL47" s="1545" t="n">
        <v>0</v>
      </c>
      <c r="IM47" s="1545" t="n">
        <v>0</v>
      </c>
      <c r="IN47" s="1545" t="n">
        <v>0</v>
      </c>
      <c r="IO47" s="1545" t="n">
        <v>0</v>
      </c>
      <c r="IP47" s="1545" t="n">
        <v>0</v>
      </c>
      <c r="IQ47" s="1545" t="n">
        <v>0</v>
      </c>
      <c r="IR47" s="1545" t="n">
        <v>0</v>
      </c>
      <c r="IS47" s="1545" t="n">
        <v>0</v>
      </c>
      <c r="IT47" s="1545" t="n">
        <v>0</v>
      </c>
      <c r="IU47" s="1545" t="n">
        <v>0</v>
      </c>
      <c r="IV47" s="1545" t="n">
        <v>0</v>
      </c>
      <c r="IW47" s="1545" t="n">
        <v>0</v>
      </c>
      <c r="IX47" s="1545" t="n">
        <v>0</v>
      </c>
      <c r="IY47" s="1545" t="n">
        <v>0</v>
      </c>
      <c r="IZ47" s="1545" t="n">
        <v>0</v>
      </c>
      <c r="JA47" s="1545" t="n">
        <v>0</v>
      </c>
      <c r="JB47" s="1545" t="n">
        <v>0</v>
      </c>
      <c r="JC47" s="1545" t="n">
        <v>0</v>
      </c>
      <c r="JD47" s="1545" t="n">
        <v>0</v>
      </c>
      <c r="JE47" s="1545" t="n">
        <v>0</v>
      </c>
      <c r="JF47" s="1545" t="n">
        <v>0</v>
      </c>
      <c r="JG47" s="1545" t="n">
        <v>0</v>
      </c>
      <c r="JH47" s="1545" t="n">
        <v>0</v>
      </c>
      <c r="JI47" s="1545" t="n">
        <v>0</v>
      </c>
      <c r="JJ47" s="1545" t="n">
        <v>0</v>
      </c>
      <c r="JK47" s="1545" t="n">
        <v>0</v>
      </c>
      <c r="JL47" s="1545" t="n">
        <v>0</v>
      </c>
      <c r="JM47" s="1545" t="n">
        <v>0</v>
      </c>
      <c r="JN47" s="1545" t="n">
        <v>0</v>
      </c>
      <c r="JO47" s="1545" t="n">
        <v>0</v>
      </c>
      <c r="JP47" s="1545" t="n">
        <v>0</v>
      </c>
      <c r="JQ47" s="1545" t="n">
        <v>0</v>
      </c>
      <c r="JR47" s="1545" t="n">
        <v>0</v>
      </c>
      <c r="JS47" s="1545" t="n">
        <v>0</v>
      </c>
      <c r="JT47" s="1545" t="n">
        <v>0</v>
      </c>
      <c r="JU47" s="1545" t="n">
        <v>0</v>
      </c>
      <c r="JV47" s="1545" t="n">
        <v>0</v>
      </c>
      <c r="JW47" s="1545" t="n">
        <v>0</v>
      </c>
      <c r="JX47" s="1545" t="n">
        <v>0</v>
      </c>
      <c r="JY47" s="1545" t="n">
        <v>0</v>
      </c>
      <c r="JZ47" s="1545" t="n">
        <v>0</v>
      </c>
      <c r="KA47" s="1545" t="n">
        <v>0</v>
      </c>
      <c r="KB47" s="1545" t="n">
        <v>0</v>
      </c>
      <c r="KC47" s="1545" t="n">
        <v>0</v>
      </c>
      <c r="KD47" s="1545" t="n">
        <v>0</v>
      </c>
      <c r="KE47" s="1545" t="n">
        <v>0</v>
      </c>
      <c r="KF47" s="1545" t="n">
        <v>0</v>
      </c>
      <c r="KG47" s="1545" t="n">
        <v>0</v>
      </c>
      <c r="KH47" s="1545" t="n">
        <v>0</v>
      </c>
      <c r="KI47" s="1545" t="n">
        <v>0</v>
      </c>
      <c r="KJ47" s="1545" t="n">
        <v>0</v>
      </c>
      <c r="KK47" s="1545" t="n">
        <v>0</v>
      </c>
      <c r="KL47" s="1545" t="n">
        <v>0</v>
      </c>
      <c r="KM47" s="1545" t="n">
        <v>0</v>
      </c>
      <c r="KN47" s="1545" t="n">
        <v>0</v>
      </c>
      <c r="KO47" s="1545" t="n">
        <v>0</v>
      </c>
      <c r="KP47" s="1545" t="n">
        <v>0</v>
      </c>
      <c r="KQ47" s="1545" t="n">
        <v>0</v>
      </c>
      <c r="KR47" s="1545" t="n">
        <v>0</v>
      </c>
      <c r="KS47" s="1545" t="n">
        <v>0</v>
      </c>
      <c r="KT47" s="1545" t="n">
        <v>0</v>
      </c>
      <c r="KU47" s="1545" t="n">
        <v>0</v>
      </c>
      <c r="KV47" s="1545" t="n">
        <v>0</v>
      </c>
      <c r="KW47" s="1545" t="n">
        <v>0</v>
      </c>
      <c r="KX47" s="1545" t="n">
        <v>0</v>
      </c>
      <c r="KY47" s="1545" t="n">
        <v>0</v>
      </c>
      <c r="KZ47" s="1545" t="n">
        <v>0</v>
      </c>
      <c r="LA47" s="1545" t="n">
        <v>0</v>
      </c>
      <c r="LB47" s="1545" t="n">
        <v>0</v>
      </c>
      <c r="LC47" s="1545" t="n">
        <v>0</v>
      </c>
      <c r="LD47" s="1545" t="n">
        <v>0</v>
      </c>
      <c r="LE47" s="1545" t="n">
        <v>0</v>
      </c>
      <c r="LF47" s="1545" t="n">
        <v>0</v>
      </c>
      <c r="LG47" s="1545" t="n">
        <v>0</v>
      </c>
      <c r="LH47" s="1545" t="n">
        <v>0</v>
      </c>
      <c r="LI47" s="1545" t="n">
        <v>0</v>
      </c>
      <c r="LJ47" s="1545" t="n">
        <v>0</v>
      </c>
      <c r="LK47" s="1545" t="n">
        <v>4.78838</v>
      </c>
      <c r="LL47" s="1545" t="n">
        <v>4.770366</v>
      </c>
      <c r="LM47" s="1545" t="n">
        <v>4.770366</v>
      </c>
      <c r="LN47" s="1545" t="n">
        <v>4.770366</v>
      </c>
      <c r="LO47" s="1545" t="n">
        <v>4.770366</v>
      </c>
      <c r="LP47" s="1545" t="n">
        <v>4.770366</v>
      </c>
      <c r="LQ47" s="1545" t="n">
        <v>4.770366</v>
      </c>
      <c r="LR47" s="1545" t="n">
        <v>4.59452</v>
      </c>
      <c r="LS47" s="1545" t="n">
        <v>4.59452</v>
      </c>
      <c r="LT47" s="1545" t="n">
        <v>4.59452</v>
      </c>
      <c r="LU47" s="1545" t="n">
        <v>4.59452</v>
      </c>
      <c r="LV47" s="1545" t="n">
        <v>4.534345</v>
      </c>
      <c r="LW47" s="1545" t="n">
        <v>4.534345</v>
      </c>
      <c r="LX47" s="1545" t="n">
        <v>4.534345</v>
      </c>
      <c r="LY47" s="1545" t="n">
        <v>4.534345</v>
      </c>
      <c r="LZ47" s="1545" t="n">
        <v>2.765141</v>
      </c>
      <c r="MA47" s="1545" t="n">
        <v>2.773664</v>
      </c>
      <c r="MB47" s="1545" t="n">
        <v>2.773664</v>
      </c>
      <c r="MC47" s="1545" t="n">
        <v>2.773664</v>
      </c>
      <c r="MD47" s="1545" t="n">
        <v>2.666495</v>
      </c>
      <c r="ME47" s="1545" t="n">
        <v>2.666495</v>
      </c>
      <c r="MF47" s="1545" t="n">
        <v>2.639378</v>
      </c>
      <c r="MG47" s="1545" t="n">
        <v>2.639378</v>
      </c>
      <c r="MH47" s="1545" t="n">
        <v>2.639378</v>
      </c>
      <c r="MI47" s="1545" t="n">
        <v>2.639378</v>
      </c>
      <c r="MJ47" s="1545" t="n">
        <v>2.639378</v>
      </c>
      <c r="MK47" s="1545" t="n">
        <v>2.404991</v>
      </c>
      <c r="ML47" s="1545" t="n">
        <v>1.989524</v>
      </c>
      <c r="MM47" s="1545" t="n">
        <v>1.989524</v>
      </c>
      <c r="MN47" s="1545" t="n">
        <v>1.989524</v>
      </c>
      <c r="MO47" s="1545" t="n">
        <v>1.989524</v>
      </c>
      <c r="MP47" s="1545" t="n">
        <v>1.949249</v>
      </c>
      <c r="MQ47" s="1545" t="n">
        <v>1.929249</v>
      </c>
      <c r="MR47" s="1545" t="n">
        <v>1.929249</v>
      </c>
      <c r="MS47" s="1545" t="n">
        <v>1.929249</v>
      </c>
      <c r="MT47" s="1545" t="n">
        <v>1.929249</v>
      </c>
      <c r="MU47" s="1545" t="n">
        <v>1.929249</v>
      </c>
      <c r="MV47" s="1545" t="n">
        <v>1.898086</v>
      </c>
      <c r="MW47" s="1545" t="n">
        <v>1.898086</v>
      </c>
      <c r="MX47" s="1545" t="n">
        <v>1.898086</v>
      </c>
      <c r="MY47" s="1545" t="n">
        <v>1.898086</v>
      </c>
      <c r="MZ47" s="1545" t="n">
        <v>1.898086</v>
      </c>
      <c r="NA47" s="1545" t="n">
        <v>1.854457</v>
      </c>
      <c r="NB47" s="1545" t="n">
        <v>1.854457</v>
      </c>
      <c r="NC47" s="1545" t="n">
        <v>1.854457</v>
      </c>
      <c r="ND47" s="1545" t="n">
        <v>1.848937</v>
      </c>
      <c r="NE47" s="1545" t="n">
        <v>1.848937</v>
      </c>
      <c r="NF47" s="1545" t="n">
        <v>1.848937</v>
      </c>
      <c r="NG47" s="1545" t="n">
        <v>1.848937</v>
      </c>
      <c r="NH47" s="1545" t="n">
        <v>0.201509</v>
      </c>
      <c r="NI47" s="1545" t="n">
        <v>0.201509</v>
      </c>
      <c r="NJ47" s="1545" t="n">
        <v>0.201509</v>
      </c>
      <c r="NK47" s="1545" t="n">
        <v>0.201509</v>
      </c>
      <c r="NL47" s="1545" t="n">
        <v>0.42996</v>
      </c>
      <c r="NM47" s="1545" t="n">
        <v>0.42996</v>
      </c>
      <c r="NN47" s="1545" t="n">
        <v>0.541529</v>
      </c>
      <c r="NO47" s="1545" t="n">
        <v>0.541529</v>
      </c>
      <c r="NP47" s="1545" t="n">
        <v>0.541529</v>
      </c>
      <c r="NQ47" s="1545" t="n">
        <v>0.251146</v>
      </c>
      <c r="NR47" s="1545" t="n">
        <v>0.251146</v>
      </c>
      <c r="NS47" s="1545" t="n">
        <v>0.251146</v>
      </c>
      <c r="NT47" s="1545" t="n">
        <v>0.251146</v>
      </c>
      <c r="NU47" s="1545" t="n">
        <v>0.251146</v>
      </c>
      <c r="NV47" s="1545" t="n">
        <v>0.251146</v>
      </c>
      <c r="NW47" s="1545" t="n">
        <v>0.251146</v>
      </c>
      <c r="NX47" s="1545" t="n">
        <v>0.251146</v>
      </c>
      <c r="NY47" s="1545" t="n">
        <v>0.251146</v>
      </c>
      <c r="NZ47" s="1545" t="n">
        <v>0.251146</v>
      </c>
      <c r="OA47" s="1545" t="n">
        <v>0.22346</v>
      </c>
      <c r="OB47" s="1545" t="n">
        <v>0.22346</v>
      </c>
      <c r="OC47" s="1545" t="n">
        <v>0.22346</v>
      </c>
      <c r="OD47" s="1545" t="n">
        <v>0.22346</v>
      </c>
      <c r="OE47" s="1545" t="n">
        <v>0.22346</v>
      </c>
      <c r="OF47" s="1545" t="n">
        <v>0.22346</v>
      </c>
      <c r="OG47" s="1545" t="n">
        <v>0.22346</v>
      </c>
      <c r="OH47" s="1545" t="n">
        <v>0.22346</v>
      </c>
      <c r="OI47" s="1545" t="n">
        <v>0.22346</v>
      </c>
      <c r="OJ47" s="1545" t="n">
        <v>0.13714792</v>
      </c>
      <c r="OK47" s="1545" t="n">
        <v>0.13714792</v>
      </c>
      <c r="OL47" s="1545" t="n">
        <v>0.13714792</v>
      </c>
      <c r="OM47" s="1545" t="n">
        <v>0.13714792</v>
      </c>
      <c r="ON47" s="1545" t="n">
        <v>0.13714792</v>
      </c>
      <c r="OO47" s="1545" t="n">
        <v>0.13714792</v>
      </c>
      <c r="OP47" s="1545" t="n">
        <v>0.13714792</v>
      </c>
      <c r="OQ47" s="1545" t="n">
        <v>0.20328228</v>
      </c>
      <c r="OR47" s="1545" t="n">
        <v>0.20328228</v>
      </c>
      <c r="OS47" s="1545" t="n">
        <v>0.20328228</v>
      </c>
      <c r="OT47" s="1545" t="n">
        <v>0.20328228</v>
      </c>
      <c r="OU47" s="1545" t="n">
        <v>0.20328228</v>
      </c>
      <c r="OV47" s="1545" t="n">
        <v>0.20328228</v>
      </c>
      <c r="OW47" s="1545" t="n">
        <v>0.20328228</v>
      </c>
      <c r="OX47" s="1545" t="n">
        <v>0.13714792</v>
      </c>
      <c r="OY47" s="1545" t="n">
        <v>0.13714792</v>
      </c>
      <c r="OZ47" s="1545" t="n">
        <v>0.13714792</v>
      </c>
      <c r="PA47" s="1545" t="n">
        <v>0.05502923</v>
      </c>
      <c r="PB47" s="1545" t="n">
        <v>0.05502923</v>
      </c>
      <c r="PC47" s="1545" t="n">
        <v>0.05502923</v>
      </c>
      <c r="PD47" s="1545" t="n">
        <v>0.05502923</v>
      </c>
      <c r="PE47" s="1545" t="n">
        <v>0.05502923</v>
      </c>
      <c r="PF47" s="1545" t="n">
        <v>0.05502923</v>
      </c>
      <c r="PG47" s="1545" t="n">
        <v>0.05502923</v>
      </c>
      <c r="PH47" s="1545" t="n">
        <v>0.05502923</v>
      </c>
      <c r="PI47" s="1545" t="n">
        <v>0.05502923</v>
      </c>
      <c r="PJ47" s="1545" t="n">
        <v>0.05502923</v>
      </c>
      <c r="PK47" s="1545" t="n">
        <v>0.05502923</v>
      </c>
      <c r="PL47" s="1545" t="n">
        <v>0.05502923</v>
      </c>
      <c r="PM47" s="1545" t="n">
        <v>0.05502923</v>
      </c>
      <c r="PN47" s="1545" t="n">
        <v>0.05502923</v>
      </c>
      <c r="PO47" s="1545" t="n">
        <v>0.05502923</v>
      </c>
      <c r="PP47" s="1545" t="n">
        <v>0.05502923</v>
      </c>
      <c r="PQ47" s="1545" t="n">
        <v>0.033465</v>
      </c>
      <c r="PR47" s="1545" t="n">
        <v>0.033465</v>
      </c>
      <c r="PS47" s="1545" t="n">
        <v>0.033465</v>
      </c>
      <c r="PT47" s="1545" t="n">
        <v>0.033465</v>
      </c>
      <c r="PU47" s="1545" t="n">
        <v>0.033465</v>
      </c>
      <c r="PV47" s="1545" t="n">
        <v>0.02651411</v>
      </c>
      <c r="PW47" s="1545" t="n">
        <v>0.02651411</v>
      </c>
      <c r="PX47" s="1545" t="n">
        <v>0.02651411</v>
      </c>
      <c r="PY47" s="1545" t="n">
        <v>0.02651411</v>
      </c>
      <c r="PZ47" s="1545" t="n">
        <v>0.02651411</v>
      </c>
      <c r="QA47" s="1545" t="n">
        <v>0.02651411</v>
      </c>
      <c r="QB47" s="1545" t="n">
        <v>0.02651411</v>
      </c>
      <c r="QC47" s="1545" t="n">
        <v>0.02651411</v>
      </c>
      <c r="QD47" s="1545" t="n">
        <v>0.02651411</v>
      </c>
      <c r="QE47" s="1545" t="n">
        <v>0.0756066</v>
      </c>
      <c r="QF47" s="1545" t="n">
        <v>0.0756066</v>
      </c>
      <c r="QG47" s="1545" t="n">
        <v>0.0756066</v>
      </c>
      <c r="QH47" s="1545" t="n">
        <v>0.0756066</v>
      </c>
      <c r="QI47" s="1545" t="n">
        <v>0.0756066</v>
      </c>
      <c r="QJ47" s="1545" t="n">
        <v>0.0756066</v>
      </c>
      <c r="QK47" s="1545" t="n">
        <v>0.0756066</v>
      </c>
      <c r="QL47" s="1545" t="n">
        <v>0.0756066</v>
      </c>
      <c r="QM47" s="1545" t="n">
        <v>0.0756066</v>
      </c>
      <c r="QN47" s="1545" t="n">
        <v>0.0756066</v>
      </c>
      <c r="QO47" s="1545" t="n">
        <v>0.06806448</v>
      </c>
      <c r="QP47" s="1545" t="n">
        <v>0.06806448</v>
      </c>
      <c r="QQ47" s="1545" t="n">
        <v>0.06806448</v>
      </c>
      <c r="QR47" s="1545" t="n">
        <v>0.06806448</v>
      </c>
      <c r="QS47" s="1545" t="n">
        <v>0.06806448</v>
      </c>
      <c r="QT47" s="1545" t="n">
        <v>0.06806448</v>
      </c>
      <c r="QU47" s="1545" t="n">
        <v>0.06806448</v>
      </c>
      <c r="QV47" s="1545" t="n">
        <v>0.06806448</v>
      </c>
      <c r="QW47" s="1545" t="n">
        <v>0.09133674999999999</v>
      </c>
      <c r="QX47" s="1545" t="n">
        <v>0.09133674999999999</v>
      </c>
      <c r="QY47" s="1545" t="n">
        <v>0.09133674999999999</v>
      </c>
      <c r="QZ47" s="1545" t="n">
        <v>0.09133674999999999</v>
      </c>
      <c r="RA47" s="1545" t="n">
        <v>0.09113677000000001</v>
      </c>
      <c r="RB47" s="1545" t="n">
        <v>0.17578</v>
      </c>
      <c r="RC47" s="1545" t="n">
        <v>0.17578</v>
      </c>
      <c r="RD47" s="1545" t="n">
        <v>0.17578</v>
      </c>
      <c r="RE47" s="1545" t="n">
        <v>0.20914283</v>
      </c>
      <c r="RF47" s="1545" t="n">
        <v>0.20914283</v>
      </c>
      <c r="RG47" s="1545" t="n">
        <v>0.16524183</v>
      </c>
      <c r="RH47" s="1545" t="n">
        <v>0.16524183</v>
      </c>
      <c r="RI47" s="1545" t="n">
        <v>0.16805295</v>
      </c>
      <c r="RJ47" s="1545" t="n">
        <v>0.16805295</v>
      </c>
      <c r="RK47" s="1545" t="n">
        <v>0.16805295</v>
      </c>
      <c r="RL47" s="1545" t="n">
        <v>0.16805295</v>
      </c>
      <c r="RM47" s="1545" t="n">
        <v>0.16805295</v>
      </c>
      <c r="RN47" s="1545" t="n">
        <v>0.16805295</v>
      </c>
      <c r="RO47" s="1545" t="n">
        <v>0.16805295</v>
      </c>
      <c r="RP47" s="1545" t="n">
        <v>0.16805295</v>
      </c>
      <c r="RQ47" s="1545" t="n">
        <v>0.12517363</v>
      </c>
      <c r="RR47" s="1545" t="n">
        <v>0.09517363000000001</v>
      </c>
      <c r="RS47" s="1545" t="n">
        <v>0.09517363000000001</v>
      </c>
      <c r="RT47" s="1545" t="n">
        <v>0.09517363000000001</v>
      </c>
      <c r="RU47" s="1545" t="n">
        <v>0.09517363000000001</v>
      </c>
      <c r="RV47" s="1545" t="n">
        <v>0.09517363000000001</v>
      </c>
      <c r="RW47" s="1545" t="n">
        <v>0.09517363000000001</v>
      </c>
      <c r="RX47" s="1545" t="n">
        <v>0.09517363000000001</v>
      </c>
      <c r="RY47" s="1545" t="n">
        <v>0.09517363000000001</v>
      </c>
      <c r="RZ47" s="1545" t="n">
        <v>0.09517363000000001</v>
      </c>
      <c r="SA47" s="1545" t="n">
        <v>0.09517363000000001</v>
      </c>
      <c r="SB47" s="1545" t="n">
        <v>0.09517363000000001</v>
      </c>
      <c r="SC47" s="1545" t="n">
        <v>0.09517363000000001</v>
      </c>
      <c r="SD47" s="1545" t="n">
        <v>0.02604399</v>
      </c>
      <c r="SE47" s="1545" t="n">
        <v>6.11987484</v>
      </c>
      <c r="SF47" s="1545" t="n">
        <v>6.11987484</v>
      </c>
      <c r="SG47" s="1545" t="n">
        <v>6.10316336</v>
      </c>
      <c r="SH47" s="1545" t="n">
        <v>6.10316336</v>
      </c>
      <c r="SI47" s="1545" t="n">
        <v>6.08871584</v>
      </c>
      <c r="SJ47" s="1545" t="n">
        <v>6.08871584</v>
      </c>
      <c r="SK47" s="1545" t="n">
        <v>6.08871584</v>
      </c>
      <c r="SL47" s="1545" t="n">
        <v>5.84949975</v>
      </c>
      <c r="SM47" s="1545" t="n">
        <v>5.84949975</v>
      </c>
      <c r="SN47" s="1545" t="n">
        <v>5.84949975</v>
      </c>
      <c r="SO47" s="1545" t="n">
        <v>5.84949975</v>
      </c>
      <c r="SP47" s="1545" t="n">
        <v>5.84949975</v>
      </c>
      <c r="SQ47" s="1545" t="n">
        <v>5.84949975</v>
      </c>
      <c r="SR47" s="1545" t="n">
        <v>5.2420703</v>
      </c>
      <c r="SS47" s="1545" t="n">
        <v>5.2420703</v>
      </c>
      <c r="ST47" s="1545" t="n">
        <v>5.2420703</v>
      </c>
      <c r="SU47" s="1545" t="n">
        <v>5.2420703</v>
      </c>
      <c r="SV47" s="1545" t="n">
        <v>5.2420703</v>
      </c>
      <c r="SW47" s="1545" t="n">
        <v>5.04155192</v>
      </c>
      <c r="SX47" s="1545" t="n">
        <v>5.04155192</v>
      </c>
      <c r="SY47" s="1545" t="n">
        <v>5.04155192</v>
      </c>
      <c r="SZ47" s="1545" t="n">
        <v>5.0237998</v>
      </c>
      <c r="TA47" s="1545" t="n">
        <v>5.0237998</v>
      </c>
      <c r="TB47" s="1545" t="n">
        <v>5.0237998</v>
      </c>
      <c r="TC47" s="1545" t="n">
        <v>5.0237998</v>
      </c>
      <c r="TD47" s="1545" t="n">
        <v>5.0237998</v>
      </c>
      <c r="TE47" s="1545" t="n">
        <v>5.0237998</v>
      </c>
      <c r="TF47" s="1545">
        <f>4999275.48/1000000</f>
        <v/>
      </c>
      <c r="TG47" s="1545" t="n">
        <v>4.579315269999999</v>
      </c>
      <c r="TH47" s="1545" t="n">
        <v>4.579315269999999</v>
      </c>
      <c r="TI47" s="1545" t="n">
        <v>4.579315269999999</v>
      </c>
      <c r="TJ47" s="1545" t="n">
        <v>4.579315269999999</v>
      </c>
      <c r="TK47" s="1545" t="n">
        <v>4.579315269999999</v>
      </c>
      <c r="TL47" s="1545" t="n">
        <v>4.579315269999999</v>
      </c>
      <c r="TM47" s="1545" t="n">
        <v>4.579315269999999</v>
      </c>
      <c r="TN47" s="1545" t="n">
        <v>4.579315269999999</v>
      </c>
      <c r="TO47" s="1545" t="n">
        <v>4.43525179</v>
      </c>
      <c r="TP47" s="1545" t="n">
        <v>4.35613779</v>
      </c>
      <c r="TQ47" s="1545" t="n">
        <v>4.35613779</v>
      </c>
      <c r="TR47" s="1545" t="n">
        <v>4.35613779</v>
      </c>
      <c r="TS47" s="1545" t="n">
        <v>4.35613779</v>
      </c>
      <c r="TT47" s="1545" t="n">
        <v>4.35613779</v>
      </c>
      <c r="TU47" s="1545" t="n">
        <v>4.27881543</v>
      </c>
      <c r="TV47" s="1545" t="n">
        <v>4.27881543</v>
      </c>
      <c r="TW47" s="1545" t="n">
        <v>4.27881543</v>
      </c>
      <c r="TX47" s="1545" t="n">
        <v>4.27881543</v>
      </c>
      <c r="TY47" s="1545" t="n">
        <v>4.27881543</v>
      </c>
      <c r="TZ47" s="1545" t="n">
        <v>4.27881543</v>
      </c>
      <c r="UA47" s="1545" t="n">
        <v>4.27881543</v>
      </c>
      <c r="UB47" s="1545" t="n">
        <v>4.27881543</v>
      </c>
      <c r="UC47" s="1545">
        <f>4185663.63/1000000</f>
        <v/>
      </c>
      <c r="UD47" s="1545">
        <f>4185663.63/1000000</f>
        <v/>
      </c>
      <c r="UE47" s="1545">
        <f>4185663.63/1000000</f>
        <v/>
      </c>
      <c r="UF47" s="1545" t="n">
        <v>3.72263138</v>
      </c>
      <c r="UG47" s="1545" t="n">
        <v>3.72263138</v>
      </c>
      <c r="UH47" s="1545" t="n">
        <v>3.72263138</v>
      </c>
      <c r="UI47" s="1545" t="n">
        <v>3.72263138</v>
      </c>
      <c r="UJ47" s="1545" t="n">
        <v>3.69127177</v>
      </c>
      <c r="UK47" s="1545" t="n">
        <v>3.69127177</v>
      </c>
      <c r="UL47" s="1545" t="n">
        <v>3.69127177</v>
      </c>
      <c r="UM47" s="1545" t="n">
        <v>3.69127177</v>
      </c>
      <c r="UN47" s="1545" t="n">
        <v>3.69127177</v>
      </c>
      <c r="UO47" s="1545" t="n">
        <v>3.69127177</v>
      </c>
      <c r="UP47" s="1545" t="n">
        <v>3.69127177</v>
      </c>
      <c r="UQ47" s="1545" t="n">
        <v>3.69127177</v>
      </c>
      <c r="UR47" s="1545" t="n">
        <v>3.52054172</v>
      </c>
      <c r="US47" s="1545" t="n">
        <v>3.52054172</v>
      </c>
      <c r="UT47" s="1545" t="n">
        <v>3.52054172</v>
      </c>
      <c r="UU47" s="1545" t="n">
        <v>3.52054172</v>
      </c>
      <c r="UV47" s="1545" t="n">
        <v>3.52054172</v>
      </c>
      <c r="UW47" s="1545" t="n">
        <v>3.52054172</v>
      </c>
      <c r="UX47" s="1545" t="n">
        <v>3.52054172</v>
      </c>
      <c r="UY47" s="1545" t="n">
        <v>3.52054172</v>
      </c>
      <c r="UZ47" s="1545" t="n">
        <v>3.52054172</v>
      </c>
      <c r="VA47" s="1545" t="n">
        <v>3.52054172</v>
      </c>
      <c r="VB47" s="1545" t="n">
        <v>3.52054172</v>
      </c>
      <c r="VC47" s="1545" t="n">
        <v>3.52054172</v>
      </c>
      <c r="VD47" s="1545" t="n">
        <v>3.52054172</v>
      </c>
      <c r="VE47" s="1545" t="n">
        <v>3.52054172</v>
      </c>
      <c r="VF47" s="1545" t="n">
        <v>3.34653732</v>
      </c>
      <c r="VG47" s="1545" t="n">
        <v>3.34653732</v>
      </c>
      <c r="VH47" s="1545" t="n">
        <v>3.25268393</v>
      </c>
      <c r="VI47" s="1545" t="n">
        <v>3.25268393</v>
      </c>
      <c r="VJ47" s="1545" t="n">
        <v>3.25268393</v>
      </c>
      <c r="VK47" s="1545" t="n">
        <v>3.25268393</v>
      </c>
      <c r="VL47" s="1545" t="n">
        <v>2.73438668</v>
      </c>
      <c r="VM47" s="1545" t="n">
        <v>2.70260419</v>
      </c>
      <c r="VN47" s="1545" t="n">
        <v>2.70260419</v>
      </c>
      <c r="VO47" s="1545" t="n">
        <v>2.70260419</v>
      </c>
      <c r="VP47" s="1545" t="n">
        <v>2.70260419</v>
      </c>
      <c r="VQ47" s="1545" t="n">
        <v>2.70260419</v>
      </c>
      <c r="VR47" s="1545" t="n">
        <v>2.70260419</v>
      </c>
      <c r="VS47" s="1545" t="n">
        <v>2.70260419</v>
      </c>
      <c r="VT47" s="1545" t="n">
        <v>2.68934596</v>
      </c>
      <c r="VU47" s="1545" t="n">
        <v>2.68934596</v>
      </c>
      <c r="VV47" s="1545" t="n">
        <v>2.68934596</v>
      </c>
      <c r="VW47" s="1545" t="n">
        <v>2.68934596</v>
      </c>
      <c r="VX47" s="1545" t="n">
        <v>2.68934596</v>
      </c>
      <c r="VY47" s="1545" t="n">
        <v>2.68934596</v>
      </c>
      <c r="VZ47" s="1545" t="n">
        <v>2.68934596</v>
      </c>
      <c r="WA47" s="1545" t="n">
        <v>2.68934596</v>
      </c>
      <c r="WB47" s="1545" t="n">
        <v>2.68934596</v>
      </c>
      <c r="WC47" s="1545" t="n">
        <v>2.6495632</v>
      </c>
      <c r="WD47" s="1545" t="n">
        <v>2.6495632</v>
      </c>
      <c r="WE47" s="1545" t="n">
        <v>2.6495632</v>
      </c>
      <c r="WF47" s="1545" t="n">
        <v>2.6495632</v>
      </c>
      <c r="WG47" s="1545" t="n">
        <v>2.6495632</v>
      </c>
      <c r="WH47" s="1545" t="n">
        <v>2.6495632</v>
      </c>
      <c r="WI47" s="1545" t="n">
        <v>2.6495632</v>
      </c>
      <c r="WJ47" s="1545" t="n">
        <v>2.6495632</v>
      </c>
      <c r="WK47" s="1545" t="n">
        <v>2.6495632</v>
      </c>
      <c r="WL47" s="1545" t="n">
        <v>2.6495632</v>
      </c>
      <c r="WM47" s="1545" t="n">
        <v>2.6495632</v>
      </c>
      <c r="WN47" s="1545" t="n">
        <v>2.05052127</v>
      </c>
      <c r="WO47" s="1545" t="n">
        <v>2.05052127</v>
      </c>
      <c r="WP47" s="1545" t="n">
        <v>2.05052127</v>
      </c>
      <c r="WQ47" s="1545" t="n">
        <v>2.05052127</v>
      </c>
      <c r="WR47" s="1545" t="n">
        <v>2.05052127</v>
      </c>
      <c r="WS47" s="1545" t="n">
        <v>2.05052127</v>
      </c>
      <c r="WT47" s="1545" t="n">
        <v>2.05052127</v>
      </c>
      <c r="WU47" s="1545" t="n">
        <v>2.05052127</v>
      </c>
      <c r="WV47" s="1545" t="n">
        <v>2.05052127</v>
      </c>
      <c r="WW47" s="1545" t="n">
        <v>1.9940128</v>
      </c>
      <c r="WX47" s="1545" t="n">
        <v>1.9940128</v>
      </c>
      <c r="WY47" s="1545" t="n">
        <v>1.9940128</v>
      </c>
      <c r="WZ47" s="1545" t="n">
        <v>1.9940128</v>
      </c>
      <c r="XA47" s="1545" t="n">
        <v>1.9940128</v>
      </c>
      <c r="XB47" s="1545" t="n">
        <v>1.9940128</v>
      </c>
      <c r="XC47" s="1545" t="n">
        <v>1.9940128</v>
      </c>
      <c r="XD47" s="1545" t="n">
        <v>1.9940128</v>
      </c>
      <c r="XE47" s="1545" t="n">
        <v>1.9940128</v>
      </c>
      <c r="XF47" s="1545" t="n">
        <v>1.9940128</v>
      </c>
      <c r="XG47" s="1545" t="n">
        <v>1.9940128</v>
      </c>
      <c r="XH47" s="1545" t="n">
        <v>1.9940128</v>
      </c>
      <c r="XI47" s="1545" t="n">
        <v>1.9464879</v>
      </c>
      <c r="XJ47" s="1545" t="n">
        <v>1.9464879</v>
      </c>
      <c r="XK47" s="1545" t="n">
        <v>1.9464879</v>
      </c>
      <c r="XL47" s="1545" t="n">
        <v>1.9464879</v>
      </c>
      <c r="XM47" s="1545" t="n">
        <v>1.9464879</v>
      </c>
      <c r="XN47" s="1545" t="n">
        <v>1.9464879</v>
      </c>
      <c r="XO47" s="1545" t="n">
        <v>1.9464879</v>
      </c>
      <c r="XP47" s="1545" t="n">
        <v>1.9464879</v>
      </c>
      <c r="XQ47" s="1545" t="n">
        <v>1.9464879</v>
      </c>
      <c r="XR47" s="1545" t="n">
        <v>1.41859157</v>
      </c>
      <c r="XS47" s="1545" t="n">
        <v>1.41859157</v>
      </c>
      <c r="XT47" s="1545" t="n">
        <v>1.41859157</v>
      </c>
      <c r="XU47" s="1545" t="n">
        <v>1.41859157</v>
      </c>
      <c r="XV47" s="1545" t="n">
        <v>1.41859157</v>
      </c>
      <c r="XW47" s="1545" t="n">
        <v>1.41859157</v>
      </c>
      <c r="XX47" s="1545" t="n">
        <v>1.41859157</v>
      </c>
      <c r="XY47" s="1545" t="n">
        <v>1.41859157</v>
      </c>
      <c r="XZ47" s="1545" t="n">
        <v>1.41859157</v>
      </c>
      <c r="YA47" s="1545" t="n">
        <v>1.41859157</v>
      </c>
      <c r="YB47" s="1545" t="n">
        <v>1.41859157</v>
      </c>
      <c r="YC47" s="1545" t="n">
        <v>1.41859157</v>
      </c>
      <c r="YD47" s="1545" t="n">
        <v>1.2869186</v>
      </c>
      <c r="YE47" s="1545" t="n">
        <v>1.2869186</v>
      </c>
      <c r="YF47" s="1545" t="n">
        <v>1.2869186</v>
      </c>
      <c r="YG47" s="1545" t="n">
        <v>1.2869186</v>
      </c>
      <c r="YH47" s="1545" t="n">
        <v>1.2869186</v>
      </c>
      <c r="YI47" s="1545" t="n">
        <v>1.2869186</v>
      </c>
      <c r="YJ47" s="1546" t="n">
        <v>1.2869186</v>
      </c>
    </row>
    <row r="48">
      <c r="B48" s="917" t="inlineStr">
        <is>
          <t>Stesha</t>
        </is>
      </c>
      <c r="C48" s="1532" t="n"/>
      <c r="D48" s="1533" t="n"/>
      <c r="E48" s="1533" t="n"/>
      <c r="F48" s="1533" t="n"/>
      <c r="G48" s="1533" t="n"/>
      <c r="H48" s="1533" t="n"/>
      <c r="I48" s="1533" t="n"/>
      <c r="J48" s="1533" t="n"/>
      <c r="K48" s="1533" t="n"/>
      <c r="L48" s="1533" t="n"/>
      <c r="M48" s="1533" t="n"/>
      <c r="N48" s="1533" t="n"/>
      <c r="O48" s="1533" t="n"/>
      <c r="P48" s="1533" t="n"/>
      <c r="Q48" s="1533" t="n"/>
      <c r="R48" s="1533" t="n"/>
      <c r="S48" s="1533" t="n"/>
      <c r="T48" s="1533" t="n"/>
      <c r="U48" s="1533" t="n"/>
      <c r="V48" s="1533" t="n"/>
      <c r="W48" s="1533" t="n"/>
      <c r="X48" s="1533" t="n"/>
      <c r="Y48" s="1533" t="n"/>
      <c r="Z48" s="1533" t="n"/>
      <c r="AA48" s="1533" t="n"/>
      <c r="AB48" s="1533" t="n"/>
      <c r="AC48" s="1533" t="n"/>
      <c r="AD48" s="1533" t="n"/>
      <c r="AE48" s="1533" t="n"/>
      <c r="AF48" s="1533" t="n"/>
      <c r="AG48" s="1533" t="n"/>
      <c r="AH48" s="1533" t="n"/>
      <c r="AI48" s="1533" t="n"/>
      <c r="AJ48" s="1533" t="n"/>
      <c r="AK48" s="1533" t="n"/>
      <c r="AL48" s="1533" t="n"/>
      <c r="AM48" s="1533" t="n"/>
      <c r="AN48" s="1533" t="n"/>
      <c r="AO48" s="1533" t="n"/>
      <c r="AP48" s="1533" t="n"/>
      <c r="AQ48" s="1533" t="n"/>
      <c r="AR48" s="1533" t="n"/>
      <c r="AS48" s="1533" t="n"/>
      <c r="AT48" s="1533" t="n"/>
      <c r="AU48" s="1533" t="n"/>
      <c r="AV48" s="1533" t="n"/>
      <c r="AW48" s="1533" t="n"/>
      <c r="AX48" s="1533" t="n"/>
      <c r="AY48" s="1533" t="n"/>
      <c r="AZ48" s="1533" t="n"/>
      <c r="BA48" s="1533" t="n"/>
      <c r="BB48" s="1533" t="n"/>
      <c r="BC48" s="1533" t="n"/>
      <c r="BD48" s="1533" t="n"/>
      <c r="BE48" s="1533" t="n"/>
      <c r="BF48" s="1533" t="n"/>
      <c r="BG48" s="1533" t="n"/>
      <c r="BH48" s="1533" t="n"/>
      <c r="BI48" s="1533" t="n"/>
      <c r="BJ48" s="1533" t="n"/>
      <c r="BK48" s="1533" t="n"/>
      <c r="BL48" s="1533" t="n"/>
      <c r="BM48" s="1533" t="n"/>
      <c r="BN48" s="1533" t="n"/>
      <c r="BO48" s="1533" t="n"/>
      <c r="BP48" s="1533" t="n"/>
      <c r="BQ48" s="1533" t="n"/>
      <c r="BR48" s="1533" t="n"/>
      <c r="BS48" s="1533" t="n"/>
      <c r="BT48" s="1533" t="n"/>
      <c r="BU48" s="1533" t="n"/>
      <c r="BV48" s="1533" t="n"/>
      <c r="BW48" s="1533" t="n"/>
      <c r="BX48" s="1533" t="n"/>
      <c r="BY48" s="1533" t="n"/>
      <c r="BZ48" s="1533" t="n"/>
      <c r="CA48" s="1533" t="n"/>
      <c r="CB48" s="1533" t="n"/>
      <c r="CC48" s="1533" t="n"/>
      <c r="CD48" s="1533" t="n"/>
      <c r="CE48" s="1533" t="n"/>
      <c r="CF48" s="1533" t="n"/>
      <c r="CG48" s="1533" t="n"/>
      <c r="CH48" s="1533" t="n"/>
      <c r="CI48" s="1533" t="n"/>
      <c r="CJ48" s="1533" t="n"/>
      <c r="CK48" s="1533" t="n"/>
      <c r="CL48" s="1533" t="n"/>
      <c r="CM48" s="1533" t="n"/>
      <c r="CN48" s="1533" t="n"/>
      <c r="CO48" s="1533" t="n"/>
      <c r="CP48" s="1533" t="n"/>
      <c r="CQ48" s="1533" t="n"/>
      <c r="CR48" s="1533" t="n"/>
      <c r="CS48" s="1533" t="n"/>
      <c r="CT48" s="1533" t="n"/>
      <c r="CU48" s="1533" t="n"/>
      <c r="CV48" s="1533" t="n"/>
      <c r="CW48" s="1533" t="n"/>
      <c r="CX48" s="1533" t="n"/>
      <c r="CY48" s="1533" t="n"/>
      <c r="CZ48" s="1533" t="n"/>
      <c r="DA48" s="1533" t="n"/>
      <c r="DB48" s="1533" t="n"/>
      <c r="DC48" s="1533" t="n"/>
      <c r="DD48" s="1533" t="n"/>
      <c r="DE48" s="1533" t="n"/>
      <c r="DF48" s="1533" t="n"/>
      <c r="DG48" s="1533" t="n"/>
      <c r="DH48" s="1533" t="n"/>
      <c r="DI48" s="1533" t="n"/>
      <c r="DJ48" s="1533" t="n"/>
      <c r="DK48" s="1533" t="n"/>
      <c r="DL48" s="1533" t="n"/>
      <c r="DM48" s="1533" t="n"/>
      <c r="DN48" s="1533" t="n"/>
      <c r="DO48" s="1533" t="n"/>
      <c r="DP48" s="1533" t="n"/>
      <c r="DQ48" s="1533" t="n"/>
      <c r="DR48" s="1533" t="n"/>
      <c r="DS48" s="1533" t="n"/>
      <c r="DT48" s="1533" t="n"/>
      <c r="DU48" s="1533" t="n"/>
      <c r="DV48" s="1533" t="n"/>
      <c r="DW48" s="1533" t="n"/>
      <c r="DX48" s="1533" t="n"/>
      <c r="DY48" s="1533" t="n"/>
      <c r="DZ48" s="1533" t="n"/>
      <c r="EA48" s="1533" t="n"/>
      <c r="EB48" s="1533" t="n"/>
      <c r="EC48" s="1533" t="n"/>
      <c r="ED48" s="1533" t="n"/>
      <c r="EE48" s="1533" t="n"/>
      <c r="EF48" s="1533" t="n"/>
      <c r="EG48" s="1533" t="n"/>
      <c r="EH48" s="1533" t="n"/>
      <c r="EI48" s="1533" t="n"/>
      <c r="EJ48" s="1533" t="n"/>
      <c r="EK48" s="1533" t="n"/>
      <c r="EL48" s="1533" t="n"/>
      <c r="EM48" s="1533" t="n"/>
      <c r="EN48" s="1533" t="n"/>
      <c r="EO48" s="1533" t="n"/>
      <c r="EP48" s="1533" t="n"/>
      <c r="EQ48" s="1533" t="n"/>
      <c r="ER48" s="1533" t="n"/>
      <c r="ES48" s="1533" t="n"/>
      <c r="ET48" s="1533" t="n"/>
      <c r="EU48" s="1533" t="n"/>
      <c r="EV48" s="1533" t="n"/>
      <c r="EW48" s="1533" t="n"/>
      <c r="EX48" s="1533" t="n"/>
      <c r="EY48" s="1533" t="n"/>
      <c r="EZ48" s="1533" t="n"/>
      <c r="FA48" s="1533" t="n"/>
      <c r="FB48" s="1533" t="n"/>
      <c r="FC48" s="1533" t="n"/>
      <c r="FD48" s="1533" t="n"/>
      <c r="FE48" s="1533" t="n"/>
      <c r="FF48" s="1533" t="n"/>
      <c r="FG48" s="1533" t="n"/>
      <c r="FH48" s="1533" t="n"/>
      <c r="FI48" s="1533" t="n"/>
      <c r="FJ48" s="1533" t="n"/>
      <c r="FK48" s="1533" t="n"/>
      <c r="FL48" s="1533" t="n"/>
      <c r="FM48" s="1533" t="n"/>
      <c r="FN48" s="1533" t="n"/>
      <c r="FO48" s="1533" t="n"/>
      <c r="FP48" s="1533" t="n"/>
      <c r="FQ48" s="1533" t="n"/>
      <c r="FR48" s="1533" t="n"/>
      <c r="FS48" s="1533" t="n"/>
      <c r="FT48" s="1533" t="n"/>
      <c r="FU48" s="1533" t="n"/>
      <c r="FV48" s="1533" t="n"/>
      <c r="FW48" s="1533" t="n"/>
      <c r="FX48" s="1533" t="n"/>
      <c r="FY48" s="1533" t="n"/>
      <c r="FZ48" s="1533" t="n"/>
      <c r="GA48" s="1533" t="n"/>
      <c r="GB48" s="1533" t="n"/>
      <c r="GC48" s="1533" t="n"/>
      <c r="GD48" s="1533" t="n"/>
      <c r="GE48" s="1533" t="n"/>
      <c r="GF48" s="1533" t="n"/>
      <c r="GG48" s="1533" t="n"/>
      <c r="GH48" s="1533" t="n"/>
      <c r="GI48" s="1533" t="n"/>
      <c r="GJ48" s="1533" t="n"/>
      <c r="GK48" s="1533" t="n"/>
      <c r="GL48" s="1533" t="n"/>
      <c r="GM48" s="1533" t="n"/>
      <c r="GN48" s="1533" t="n"/>
      <c r="GO48" s="1533" t="n"/>
      <c r="GP48" s="1533" t="n"/>
      <c r="GQ48" s="1533" t="n"/>
      <c r="GR48" s="1533" t="n"/>
      <c r="GS48" s="1533" t="n"/>
      <c r="GT48" s="1533" t="n"/>
      <c r="GU48" s="1533" t="n"/>
      <c r="GV48" s="1533" t="n"/>
      <c r="GW48" s="1533" t="n"/>
      <c r="GX48" s="1533" t="n"/>
      <c r="GY48" s="1533" t="n"/>
      <c r="GZ48" s="1533" t="n"/>
      <c r="HA48" s="1533" t="n"/>
      <c r="HB48" s="1533" t="n"/>
      <c r="HC48" s="1533" t="n"/>
      <c r="HD48" s="1533" t="n"/>
      <c r="HE48" s="1533" t="n"/>
      <c r="HF48" s="1533" t="n"/>
      <c r="HG48" s="1533" t="n"/>
      <c r="HH48" s="1533" t="n"/>
      <c r="HI48" s="1533" t="n"/>
      <c r="HJ48" s="1533" t="n"/>
      <c r="HK48" s="1533" t="n"/>
      <c r="HL48" s="1533" t="n"/>
      <c r="HM48" s="1533" t="n"/>
      <c r="HN48" s="1533" t="n"/>
      <c r="HO48" s="1533" t="n"/>
      <c r="HP48" s="1533" t="n"/>
      <c r="HQ48" s="1547" t="n"/>
      <c r="HR48" s="1547" t="n"/>
      <c r="HS48" s="1547" t="n"/>
      <c r="HT48" s="1547" t="n"/>
      <c r="HU48" s="1547" t="n"/>
      <c r="HV48" s="1547" t="n"/>
      <c r="HW48" s="1547" t="n"/>
      <c r="HX48" s="1547" t="n"/>
      <c r="HY48" s="1547" t="n"/>
      <c r="HZ48" s="1547" t="n"/>
      <c r="IA48" s="1547" t="n"/>
      <c r="IB48" s="1547" t="n"/>
      <c r="IC48" s="1547" t="n"/>
      <c r="ID48" s="1547" t="n"/>
      <c r="IE48" s="1547" t="n"/>
      <c r="IF48" s="1547" t="n"/>
      <c r="IG48" s="1547" t="n"/>
      <c r="IH48" s="1547" t="n"/>
      <c r="II48" s="1547" t="n"/>
      <c r="IJ48" s="1547" t="n"/>
      <c r="IK48" s="1547" t="n"/>
      <c r="IL48" s="1547" t="n"/>
      <c r="IM48" s="1547" t="n"/>
      <c r="IN48" s="1533" t="n"/>
      <c r="IO48" s="1533" t="n"/>
      <c r="IP48" s="1533" t="n"/>
      <c r="IQ48" s="1533" t="n"/>
      <c r="IR48" s="1533" t="n"/>
      <c r="IS48" s="1533" t="n"/>
      <c r="IT48" s="1533" t="n"/>
      <c r="IU48" s="1533" t="n"/>
      <c r="IV48" s="1533" t="n"/>
      <c r="IW48" s="1533" t="n"/>
      <c r="IX48" s="1533" t="n"/>
      <c r="IY48" s="1533" t="n"/>
      <c r="IZ48" s="1533" t="n"/>
      <c r="JA48" s="1533" t="n">
        <v>20.1</v>
      </c>
      <c r="JB48" s="1533" t="n">
        <v>20.1</v>
      </c>
      <c r="JC48" s="1533" t="n">
        <v>1248.8</v>
      </c>
      <c r="JD48" s="1533" t="n">
        <v>31.4</v>
      </c>
      <c r="JE48" s="1533" t="n">
        <v>31.4</v>
      </c>
      <c r="JF48" s="1533" t="n">
        <v>30.3</v>
      </c>
      <c r="JG48" s="1533" t="n">
        <v>30.3</v>
      </c>
      <c r="JH48" s="1533" t="n">
        <v>30.3</v>
      </c>
      <c r="JI48" s="1533" t="n">
        <v>30.3</v>
      </c>
      <c r="JJ48" s="1533" t="n">
        <v>30.3</v>
      </c>
      <c r="JK48" s="1533" t="n">
        <v>30.3</v>
      </c>
      <c r="JL48" s="1533" t="n">
        <v>30.3</v>
      </c>
      <c r="JM48" s="1533" t="n">
        <v>30.3</v>
      </c>
      <c r="JN48" s="1533" t="n">
        <v>682.1</v>
      </c>
      <c r="JO48" s="1533" t="n">
        <v>30.3</v>
      </c>
      <c r="JP48" s="1533" t="n">
        <v>30.3</v>
      </c>
      <c r="JQ48" s="1533" t="n">
        <v>30.3</v>
      </c>
      <c r="JR48" s="1533" t="n">
        <v>632.66031155</v>
      </c>
      <c r="JS48" s="1533" t="n">
        <v>32.7</v>
      </c>
      <c r="JT48" s="1533" t="n">
        <v>32.7</v>
      </c>
      <c r="JU48" s="1533" t="n">
        <v>32.7</v>
      </c>
      <c r="JV48" s="1533" t="n">
        <v>33.9</v>
      </c>
      <c r="JW48" s="1533" t="n">
        <v>1204</v>
      </c>
      <c r="JX48" s="1533" t="n">
        <v>32.9</v>
      </c>
      <c r="JY48" s="1533" t="n">
        <v>31.7</v>
      </c>
      <c r="JZ48" s="1533" t="n">
        <v>31.7</v>
      </c>
      <c r="KA48" s="1533" t="n">
        <v>32.2</v>
      </c>
      <c r="KB48" s="1533" t="n">
        <v>32.2</v>
      </c>
      <c r="KC48" s="1533" t="n">
        <v>43.8</v>
      </c>
      <c r="KD48" s="1533" t="n">
        <v>43.8</v>
      </c>
      <c r="KE48" s="1533" t="n">
        <v>43.70858365</v>
      </c>
      <c r="KF48" s="1533" t="n">
        <v>43.70858365</v>
      </c>
      <c r="KG48" s="1533" t="n">
        <v>43.70858365</v>
      </c>
      <c r="KH48" s="1533" t="n">
        <v>42.5</v>
      </c>
      <c r="KI48" s="1533" t="n">
        <v>42.5</v>
      </c>
      <c r="KJ48" s="1533" t="n">
        <v>42.55434176</v>
      </c>
      <c r="KK48" s="1533" t="n">
        <v>42.55434176</v>
      </c>
      <c r="KL48" s="1533" t="n">
        <v>42.55434176</v>
      </c>
      <c r="KM48" s="1533" t="n">
        <v>42.032089</v>
      </c>
      <c r="KN48" s="1533" t="n">
        <v>42.032089</v>
      </c>
      <c r="KO48" s="1533" t="n">
        <v>42.032089</v>
      </c>
      <c r="KP48" s="1533" t="n">
        <v>42.032089</v>
      </c>
      <c r="KQ48" s="1533" t="n">
        <v>41.81597683</v>
      </c>
      <c r="KR48" s="1533" t="n">
        <v>41.81597683</v>
      </c>
      <c r="KS48" s="1533" t="n">
        <v>40.59266423</v>
      </c>
      <c r="KT48" s="1533" t="n">
        <v>40.59266423</v>
      </c>
      <c r="KU48" s="1533" t="n">
        <v>38.24106893</v>
      </c>
      <c r="KV48" s="1533" t="n">
        <v>38.10232711</v>
      </c>
      <c r="KW48" s="1533" t="n">
        <v>38.08442626</v>
      </c>
      <c r="KX48" s="1533" t="n">
        <v>38.08442626</v>
      </c>
      <c r="KY48" s="1533" t="n">
        <v>37.95455811999999</v>
      </c>
      <c r="KZ48" s="1533" t="n">
        <v>38.74167319</v>
      </c>
      <c r="LA48" s="1533" t="n">
        <v>37.49228186</v>
      </c>
      <c r="LB48" s="1533" t="n">
        <v>37.39690313000001</v>
      </c>
      <c r="LC48" s="1533" t="n">
        <v>37.42690313</v>
      </c>
      <c r="LD48" s="1533" t="n">
        <v>36.2263767</v>
      </c>
      <c r="LE48" s="1533" t="n">
        <v>41.01010958</v>
      </c>
      <c r="LF48" s="1545" t="n">
        <v>40.43971902000001</v>
      </c>
      <c r="LG48" s="1545" t="n">
        <v>40.43648502000001</v>
      </c>
      <c r="LH48" s="1545" t="n">
        <v>40.42529502</v>
      </c>
      <c r="LI48" s="1545" t="n">
        <v>40.42529502</v>
      </c>
      <c r="LJ48" s="1545" t="n">
        <v>40.42529502</v>
      </c>
      <c r="LK48" s="1545" t="n">
        <v>40.42529502</v>
      </c>
      <c r="LL48" s="1545" t="n">
        <v>39.41604646</v>
      </c>
      <c r="LM48" s="1545" t="n">
        <v>39.41604646</v>
      </c>
      <c r="LN48" s="1545" t="n">
        <v>39.41604646</v>
      </c>
      <c r="LO48" s="1545" t="n">
        <v>39.41604646</v>
      </c>
      <c r="LP48" s="1545" t="n">
        <v>39.41604646</v>
      </c>
      <c r="LQ48" s="1545" t="n">
        <v>39.41604646</v>
      </c>
      <c r="LR48" s="1545" t="n">
        <v>39.41424646</v>
      </c>
      <c r="LS48" s="1545" t="n">
        <v>42.55303941</v>
      </c>
      <c r="LT48" s="1545" t="n">
        <v>42.58303941</v>
      </c>
      <c r="LU48" s="1545" t="n">
        <v>42.20731824</v>
      </c>
      <c r="LV48" s="1545" t="n">
        <v>41.69336668</v>
      </c>
      <c r="LW48" s="1545" t="n">
        <v>39.81087912</v>
      </c>
      <c r="LX48" s="1545" t="n">
        <v>38.90897912</v>
      </c>
      <c r="LY48" s="1545" t="n">
        <v>38.88563793</v>
      </c>
      <c r="LZ48" s="1545" t="n">
        <v>37.15956744</v>
      </c>
      <c r="MA48" s="1545" t="n">
        <v>37.15956744</v>
      </c>
      <c r="MB48" s="1545" t="n">
        <v>37.15956744</v>
      </c>
      <c r="MC48" s="1545" t="n">
        <v>37.06681829999999</v>
      </c>
      <c r="MD48" s="1545" t="n">
        <v>37.06681829999999</v>
      </c>
      <c r="ME48" s="1545" t="n">
        <v>37.0628283</v>
      </c>
      <c r="MF48" s="1545" t="n">
        <v>37.0628283</v>
      </c>
      <c r="MG48" s="1545" t="n">
        <v>35.77501111</v>
      </c>
      <c r="MH48" s="1545" t="n">
        <v>34.37647231</v>
      </c>
      <c r="MI48" s="1545" t="n">
        <v>34.37647231</v>
      </c>
      <c r="MJ48" s="1545" t="n">
        <v>34.35657231</v>
      </c>
      <c r="MK48" s="1545" t="n">
        <v>40.88878929</v>
      </c>
      <c r="ML48" s="1545" t="n">
        <v>82.2239757</v>
      </c>
      <c r="MM48" s="1545" t="n">
        <v>82.2239757</v>
      </c>
      <c r="MN48" s="1545" t="n">
        <v>82.20304356</v>
      </c>
      <c r="MO48" s="1545" t="n">
        <v>82.20304356</v>
      </c>
      <c r="MP48" s="1545" t="n">
        <v>40.93826432</v>
      </c>
      <c r="MQ48" s="1545" t="n">
        <v>40.93226432</v>
      </c>
      <c r="MR48" s="1545" t="n">
        <v>42.84199483</v>
      </c>
      <c r="MS48" s="1545" t="n">
        <v>42.59510758</v>
      </c>
      <c r="MT48" s="1545" t="n">
        <v>42.59510758</v>
      </c>
      <c r="MU48" s="1545" t="n">
        <v>42.59510758</v>
      </c>
      <c r="MV48" s="1545" t="n">
        <v>42.58640758</v>
      </c>
      <c r="MW48" s="1545" t="n">
        <v>47.76123468</v>
      </c>
      <c r="MX48" s="1545" t="n">
        <v>47.76123468</v>
      </c>
      <c r="MY48" s="1545" t="n">
        <v>47.76123468</v>
      </c>
      <c r="MZ48" s="1545" t="n">
        <v>47.76123468</v>
      </c>
      <c r="NA48" s="1545" t="n">
        <v>36.56111336</v>
      </c>
      <c r="NB48" s="1545" t="n">
        <v>36.56111336</v>
      </c>
      <c r="NC48" s="1545" t="n">
        <v>34.11737061</v>
      </c>
      <c r="ND48" s="1545" t="n">
        <v>33.93437061</v>
      </c>
      <c r="NE48" s="1545" t="n">
        <v>33.93437061</v>
      </c>
      <c r="NF48" s="1545" t="n">
        <v>33.82588761</v>
      </c>
      <c r="NG48" s="1545" t="n">
        <v>33.71268761</v>
      </c>
      <c r="NH48" s="1545" t="n">
        <v>33.70912161</v>
      </c>
      <c r="NI48" s="1545" t="n">
        <v>33.68826161</v>
      </c>
      <c r="NJ48" s="1545" t="n">
        <v>33.63959423</v>
      </c>
      <c r="NK48" s="1545" t="n">
        <v>33.58733423</v>
      </c>
      <c r="NL48" s="1545" t="n">
        <v>44.47597807</v>
      </c>
      <c r="NM48" s="1545" t="n">
        <v>44.50597807</v>
      </c>
      <c r="NN48" s="1545" t="n">
        <v>30.00949867</v>
      </c>
      <c r="NO48" s="1545" t="n">
        <v>29.99759977</v>
      </c>
      <c r="NP48" s="1545" t="n">
        <v>29.97211348</v>
      </c>
      <c r="NQ48" s="1545" t="n">
        <v>29.23478848</v>
      </c>
      <c r="NR48" s="1545" t="n">
        <v>29.20207464</v>
      </c>
      <c r="NS48" s="1545" t="n">
        <v>29.13420764</v>
      </c>
      <c r="NT48" s="1545" t="n">
        <v>29.12302064</v>
      </c>
      <c r="NU48" s="1545" t="n">
        <v>29.11903064</v>
      </c>
      <c r="NV48" s="1545" t="n">
        <v>29.11903064</v>
      </c>
      <c r="NW48" s="1545" t="n">
        <v>29.11903064</v>
      </c>
      <c r="NX48" s="1545" t="n">
        <v>29.11903064</v>
      </c>
      <c r="NY48" s="1545" t="n">
        <v>27.87479085</v>
      </c>
      <c r="NZ48" s="1545" t="n">
        <v>26.02469268</v>
      </c>
      <c r="OA48" s="1545" t="n">
        <v>26.00366458</v>
      </c>
      <c r="OB48" s="1545" t="n">
        <v>26.00366458</v>
      </c>
      <c r="OC48" s="1545" t="n">
        <v>25.97447163</v>
      </c>
      <c r="OD48" s="1545" t="n">
        <v>25.91011367</v>
      </c>
      <c r="OE48" s="1545" t="n">
        <v>25.82468867</v>
      </c>
      <c r="OF48" s="1545" t="n">
        <v>26.86680889</v>
      </c>
      <c r="OG48" s="1545" t="n">
        <v>26.86680889</v>
      </c>
      <c r="OH48" s="1545" t="n">
        <v>26.86680889</v>
      </c>
      <c r="OI48" s="1545" t="n">
        <v>25.21618022</v>
      </c>
      <c r="OJ48" s="1545" t="n">
        <v>26.42689077</v>
      </c>
      <c r="OK48" s="1545" t="n">
        <v>26.42689077</v>
      </c>
      <c r="OL48" s="1545" t="n">
        <v>26.42689077</v>
      </c>
      <c r="OM48" s="1545" t="n">
        <v>26.32095598</v>
      </c>
      <c r="ON48" s="1545" t="n">
        <v>26.28377392</v>
      </c>
      <c r="OO48" s="1545" t="n">
        <v>26.28377392</v>
      </c>
      <c r="OP48" s="1545" t="n">
        <v>26.28377392</v>
      </c>
      <c r="OQ48" s="1545" t="n">
        <v>26.28377392</v>
      </c>
      <c r="OR48" s="1545" t="n">
        <v>26.28377392</v>
      </c>
      <c r="OS48" s="1545" t="n">
        <v>22.64532261</v>
      </c>
      <c r="OT48" s="1545" t="n">
        <v>18.38452025</v>
      </c>
      <c r="OU48" s="1545" t="n">
        <v>18.36408665</v>
      </c>
      <c r="OV48" s="1545" t="n">
        <v>38.62772678</v>
      </c>
      <c r="OW48" s="1545" t="n">
        <v>38.62772678</v>
      </c>
      <c r="OX48" s="1545" t="n">
        <v>87.31631718999999</v>
      </c>
      <c r="OY48" s="1545" t="n">
        <v>89.77624362</v>
      </c>
      <c r="OZ48" s="1545" t="n">
        <v>89.70614362000001</v>
      </c>
      <c r="PA48" s="1545" t="n">
        <v>89.68626472</v>
      </c>
      <c r="PB48" s="1545" t="n">
        <v>89.65680115000001</v>
      </c>
      <c r="PC48" s="1545" t="n">
        <v>89.64443039</v>
      </c>
      <c r="PD48" s="1545" t="n">
        <v>89.64443039</v>
      </c>
      <c r="PE48" s="1545" t="n">
        <v>89.15854434000001</v>
      </c>
      <c r="PF48" s="1545" t="n">
        <v>88.76615134000001</v>
      </c>
      <c r="PG48" s="1545" t="n">
        <v>28.61095858</v>
      </c>
      <c r="PH48" s="1545" t="n">
        <v>28.61095858</v>
      </c>
      <c r="PI48" s="1545" t="n">
        <v>28.61095858</v>
      </c>
      <c r="PJ48" s="1545" t="n">
        <v>27.0888886</v>
      </c>
      <c r="PK48" s="1545" t="n">
        <v>27.0888886</v>
      </c>
      <c r="PL48" s="1545" t="n">
        <v>27.0888886</v>
      </c>
      <c r="PM48" s="1545" t="n">
        <v>31.35491722</v>
      </c>
      <c r="PN48" s="1545" t="n">
        <v>31.23700022</v>
      </c>
      <c r="PO48" s="1545" t="n">
        <v>31.23700022</v>
      </c>
      <c r="PP48" s="1545" t="n">
        <v>31.23700022</v>
      </c>
      <c r="PQ48" s="1545" t="n">
        <v>31.21051983</v>
      </c>
      <c r="PR48" s="1545" t="n">
        <v>31.21051983</v>
      </c>
      <c r="PS48" s="1545" t="n">
        <v>30.72082278</v>
      </c>
      <c r="PT48" s="1545" t="n">
        <v>30.72082278</v>
      </c>
      <c r="PU48" s="1545" t="n">
        <v>30.72082278</v>
      </c>
      <c r="PV48" s="1545" t="n">
        <v>28.84423765</v>
      </c>
      <c r="PW48" s="1545" t="n">
        <v>28.81881265</v>
      </c>
      <c r="PX48" s="1545" t="n">
        <v>28.73419342</v>
      </c>
      <c r="PY48" s="1545" t="n">
        <v>28.73419342</v>
      </c>
      <c r="PZ48" s="1545" t="n">
        <v>28.73419342</v>
      </c>
      <c r="QA48" s="1545" t="n">
        <v>28.49035064</v>
      </c>
      <c r="QB48" s="1545" t="n">
        <v>28.49035064</v>
      </c>
      <c r="QC48" s="1545" t="n">
        <v>27.79434764</v>
      </c>
      <c r="QD48" s="1545" t="n">
        <v>27.79434764</v>
      </c>
      <c r="QE48" s="1545" t="n">
        <v>26.37634444</v>
      </c>
      <c r="QF48" s="1545" t="n">
        <v>25.00998505</v>
      </c>
      <c r="QG48" s="1545" t="n">
        <v>24.94795276</v>
      </c>
      <c r="QH48" s="1545" t="n">
        <v>24.94795276</v>
      </c>
      <c r="QI48" s="1545" t="n">
        <v>24.93269979</v>
      </c>
      <c r="QJ48" s="1545" t="n">
        <v>24.93116779</v>
      </c>
      <c r="QK48" s="1545" t="n">
        <v>24.84338179</v>
      </c>
      <c r="QL48" s="1545" t="n">
        <v>24.84338179</v>
      </c>
      <c r="QM48" s="1545" t="n">
        <v>24.87338179</v>
      </c>
      <c r="QN48" s="1545" t="n">
        <v>23.61320816</v>
      </c>
      <c r="QO48" s="1545" t="n">
        <v>23.61320816</v>
      </c>
      <c r="QP48" s="1545" t="n">
        <v>22.31464844</v>
      </c>
      <c r="QQ48" s="1545" t="n">
        <v>22.31464844</v>
      </c>
      <c r="QR48" s="1545" t="n">
        <v>22.31464844</v>
      </c>
      <c r="QS48" s="1545" t="n">
        <v>22.31464844</v>
      </c>
      <c r="QT48" s="1545" t="n">
        <v>22.2366655</v>
      </c>
      <c r="QU48" s="1545" t="n">
        <v>41.83844419</v>
      </c>
      <c r="QV48" s="1545" t="n">
        <v>23.78805068</v>
      </c>
      <c r="QW48" s="1545" t="n">
        <v>23.59431163</v>
      </c>
      <c r="QX48" s="1545" t="n">
        <v>22.35538059</v>
      </c>
      <c r="QY48" s="1545" t="n">
        <v>20.96953426</v>
      </c>
      <c r="QZ48" s="1545" t="n">
        <v>20.96582933</v>
      </c>
      <c r="RA48" s="1545" t="n">
        <v>20.96582933</v>
      </c>
      <c r="RB48" s="1545" t="n">
        <v>45.72023585</v>
      </c>
      <c r="RC48" s="1545" t="n">
        <v>46.11064022</v>
      </c>
      <c r="RD48" s="1545" t="n">
        <v>46.10894822</v>
      </c>
      <c r="RE48" s="1545" t="n">
        <v>46.10894822</v>
      </c>
      <c r="RF48" s="1545" t="n">
        <v>46.10894822</v>
      </c>
      <c r="RG48" s="1545" t="n">
        <v>45.99911654</v>
      </c>
      <c r="RH48" s="1545" t="n">
        <v>45.99911654</v>
      </c>
      <c r="RI48" s="1545" t="n">
        <v>45.99911654</v>
      </c>
      <c r="RJ48" s="1545" t="n">
        <v>44.46154929</v>
      </c>
      <c r="RK48" s="1545" t="n">
        <v>44.45432656000001</v>
      </c>
      <c r="RL48" s="1545" t="n">
        <v>43.71284052</v>
      </c>
      <c r="RM48" s="1545" t="n">
        <v>43.71284052</v>
      </c>
      <c r="RN48" s="1545" t="n">
        <v>43.71284052</v>
      </c>
      <c r="RO48" s="1545" t="n">
        <v>27.55166952</v>
      </c>
      <c r="RP48" s="1545" t="n">
        <v>27.4359826</v>
      </c>
      <c r="RQ48" s="1545" t="n">
        <v>27.4359826</v>
      </c>
      <c r="RR48" s="1545" t="n">
        <v>27.85169664</v>
      </c>
      <c r="RS48" s="1545" t="n">
        <v>27.85169664</v>
      </c>
      <c r="RT48" s="1545" t="n">
        <v>27.85169664</v>
      </c>
      <c r="RU48" s="1545" t="n">
        <v>25.32318634</v>
      </c>
      <c r="RV48" s="1545" t="n">
        <v>25.32318634</v>
      </c>
      <c r="RW48" s="1545" t="n">
        <v>625.7370458300001</v>
      </c>
      <c r="RX48" s="1545" t="n">
        <v>25.70664583</v>
      </c>
      <c r="RY48" s="1545" t="n">
        <v>25.61576488</v>
      </c>
      <c r="RZ48" s="1545" t="n">
        <v>24.84223888</v>
      </c>
      <c r="SA48" s="1545" t="n">
        <v>24.84223888</v>
      </c>
      <c r="SB48" s="1545" t="n">
        <v>24.84223888</v>
      </c>
      <c r="SC48" s="1545" t="n">
        <v>22.9983103</v>
      </c>
      <c r="SD48" s="1545" t="n">
        <v>23.99473107</v>
      </c>
      <c r="SE48" s="1545" t="n">
        <v>23.99473107</v>
      </c>
      <c r="SF48" s="1545" t="n">
        <v>23.99473107</v>
      </c>
      <c r="SG48" s="1545" t="n">
        <v>23.99473107</v>
      </c>
      <c r="SH48" s="1545" t="n">
        <v>23.97296727</v>
      </c>
      <c r="SI48" s="1545" t="n">
        <v>23.96897727</v>
      </c>
      <c r="SJ48" s="1545" t="n">
        <v>23.96048504</v>
      </c>
      <c r="SK48" s="1545" t="n">
        <v>26.46778504</v>
      </c>
      <c r="SL48" s="1545" t="n">
        <v>26.46778504</v>
      </c>
      <c r="SM48" s="1545" t="n">
        <v>23.78669124</v>
      </c>
      <c r="SN48" s="1545" t="n">
        <v>37.59270217</v>
      </c>
      <c r="SO48" s="1545" t="n">
        <v>351.82312222</v>
      </c>
      <c r="SP48" s="1545" t="n">
        <v>336.62004571</v>
      </c>
      <c r="SQ48" s="1545" t="n">
        <v>29.57774571</v>
      </c>
      <c r="SR48" s="1545" t="n">
        <v>29.50720337</v>
      </c>
      <c r="SS48" s="1545" t="n">
        <v>29.31608164</v>
      </c>
      <c r="ST48" s="1545" t="n">
        <v>29.31608164</v>
      </c>
      <c r="SU48" s="1545" t="n">
        <v>29.23108164</v>
      </c>
      <c r="SV48" s="1545" t="n">
        <v>28.99041084</v>
      </c>
      <c r="SW48" s="1545" t="n">
        <v>26.89190128</v>
      </c>
      <c r="SX48" s="1545" t="n">
        <v>26.86690128</v>
      </c>
      <c r="SY48" s="1545" t="n">
        <v>26.89647628</v>
      </c>
      <c r="SZ48" s="1545" t="n">
        <v>26.87876903</v>
      </c>
      <c r="TA48" s="1545" t="n">
        <v>31.59133734</v>
      </c>
      <c r="TB48" s="1545" t="n">
        <v>31.57099734</v>
      </c>
      <c r="TC48" s="1545" t="n">
        <v>31.01667034</v>
      </c>
      <c r="TD48" s="1545" t="n">
        <v>24.80822454</v>
      </c>
      <c r="TE48" s="1545" t="n">
        <v>77.90402312000001</v>
      </c>
      <c r="TF48" s="1545" t="n">
        <v>19.7088967</v>
      </c>
      <c r="TG48" s="1545" t="n">
        <v>32.16221872</v>
      </c>
      <c r="TH48" s="1545" t="n">
        <v>30.45577355</v>
      </c>
      <c r="TI48" s="1545" t="n">
        <v>30.37358917</v>
      </c>
      <c r="TJ48" s="1545" t="n">
        <v>55.35965474</v>
      </c>
      <c r="TK48" s="1545" t="n">
        <v>53.95762074</v>
      </c>
      <c r="TL48" s="1545" t="n">
        <v>31.65315634</v>
      </c>
      <c r="TM48" s="1545" t="n">
        <v>340.73275266</v>
      </c>
      <c r="TN48" s="1545" t="n">
        <v>26.7389002</v>
      </c>
      <c r="TO48" s="1545" t="n">
        <v>30.483149</v>
      </c>
      <c r="TP48" s="1545" t="n">
        <v>28.67510448</v>
      </c>
      <c r="TQ48" s="1545" t="n">
        <v>28.67510448</v>
      </c>
      <c r="TR48" s="1545" t="n">
        <v>28.16261448</v>
      </c>
      <c r="TS48" s="1545" t="n">
        <v>28.16261448</v>
      </c>
      <c r="TT48" s="1545" t="n">
        <v>25.92171864</v>
      </c>
      <c r="TU48" s="1545" t="n">
        <v>24.83568751</v>
      </c>
      <c r="TV48" s="1545" t="n">
        <v>24.4208233</v>
      </c>
      <c r="TW48" s="1545" t="n">
        <v>29.65334266</v>
      </c>
      <c r="TX48" s="1545" t="n">
        <v>28.67245066</v>
      </c>
      <c r="TY48" s="1545" t="n">
        <v>28.30486544</v>
      </c>
      <c r="TZ48" s="1545" t="n">
        <v>28.30486544</v>
      </c>
      <c r="UA48" s="1545" t="n">
        <v>28.30486544</v>
      </c>
      <c r="UB48" s="1545" t="n">
        <v>33.13230819</v>
      </c>
      <c r="UC48" s="1545" t="n">
        <v>33.09355894</v>
      </c>
      <c r="UD48" s="1545" t="n">
        <v>33.07103914</v>
      </c>
      <c r="UE48" s="1545" t="n">
        <v>33.07103914</v>
      </c>
      <c r="UF48" s="1545" t="n">
        <v>24.73068792</v>
      </c>
      <c r="UG48" s="1545" t="n">
        <v>406.67918881</v>
      </c>
      <c r="UH48" s="1545" t="n">
        <v>29.50406862</v>
      </c>
      <c r="UI48" s="1545" t="n">
        <v>29.50406862</v>
      </c>
      <c r="UJ48" s="1545" t="n">
        <v>22.42182895</v>
      </c>
      <c r="UK48" s="1545" t="n">
        <v>22.42182895</v>
      </c>
      <c r="UL48" s="1545" t="n">
        <v>22.42182895</v>
      </c>
      <c r="UM48" s="1545" t="n">
        <v>20.75276597</v>
      </c>
      <c r="UN48" s="1545" t="n">
        <v>32.81572259</v>
      </c>
      <c r="UO48" s="1545" t="n">
        <v>24.97441757</v>
      </c>
      <c r="UP48" s="1545" t="n">
        <v>24.97441757</v>
      </c>
      <c r="UQ48" s="1545" t="n">
        <v>24.96051757</v>
      </c>
      <c r="UR48" s="1545" t="n">
        <v>26.41353201</v>
      </c>
      <c r="US48" s="1545" t="n">
        <v>26.41353201</v>
      </c>
      <c r="UT48" s="1545" t="n">
        <v>29.4053707</v>
      </c>
      <c r="UU48" s="1545" t="n">
        <v>27.82751114</v>
      </c>
      <c r="UV48" s="1545" t="n">
        <v>26.6207223</v>
      </c>
      <c r="UW48" s="1545" t="n">
        <v>26.6207223</v>
      </c>
      <c r="UX48" s="1545" t="n">
        <v>26.56868706</v>
      </c>
      <c r="UY48" s="1545" t="n">
        <v>26.54834706</v>
      </c>
      <c r="UZ48" s="1545" t="n">
        <v>26.40799945</v>
      </c>
      <c r="VA48" s="1545" t="n">
        <v>26.40799945</v>
      </c>
      <c r="VB48" s="1545" t="n">
        <v>22.08332362</v>
      </c>
      <c r="VC48" s="1545" t="n">
        <v>22.00789736</v>
      </c>
      <c r="VD48" s="1545" t="n">
        <v>32.72380907</v>
      </c>
      <c r="VE48" s="1545" t="n">
        <v>32.50190907</v>
      </c>
      <c r="VF48" s="1545" t="n">
        <v>32.02921112</v>
      </c>
      <c r="VG48" s="1545" t="n">
        <v>30.56433809</v>
      </c>
      <c r="VH48" s="1545" t="n">
        <v>30.56433809</v>
      </c>
      <c r="VI48" s="1545" t="n">
        <v>30.56433809</v>
      </c>
      <c r="VJ48" s="1545" t="n">
        <v>27.22254045</v>
      </c>
      <c r="VK48" s="1545" t="n">
        <v>19.60425656</v>
      </c>
      <c r="VL48" s="1545" t="n">
        <v>31.95441441</v>
      </c>
      <c r="VM48" s="1545" t="n">
        <v>31.44355162</v>
      </c>
      <c r="VN48" s="1545" t="n">
        <v>31.35553964</v>
      </c>
      <c r="VO48" s="1545" t="n">
        <v>39.25690378</v>
      </c>
      <c r="VP48" s="1545" t="n">
        <v>39.25690378</v>
      </c>
      <c r="VQ48" s="1545" t="n">
        <v>39.25690378</v>
      </c>
      <c r="VR48" s="1545" t="n">
        <v>36.38549185</v>
      </c>
      <c r="VS48" s="1545" t="n">
        <v>34.70519039</v>
      </c>
      <c r="VT48" s="1545" t="n">
        <v>34.27135018</v>
      </c>
      <c r="VU48" s="1545" t="n">
        <v>34.27135018</v>
      </c>
      <c r="VV48" s="1545" t="n">
        <v>32.1102121</v>
      </c>
      <c r="VW48" s="1545" t="n">
        <v>32.1102121</v>
      </c>
      <c r="VX48" s="1545" t="n">
        <v>16.96833576</v>
      </c>
      <c r="VY48" s="1545" t="n">
        <v>27.91974942</v>
      </c>
      <c r="VZ48" s="1545" t="n">
        <v>30.47464961</v>
      </c>
      <c r="WA48" s="1545" t="n">
        <v>27.63472937</v>
      </c>
      <c r="WB48" s="1545" t="n">
        <v>27.5392224</v>
      </c>
      <c r="WC48" s="1545" t="n">
        <v>27.5392224</v>
      </c>
      <c r="WD48" s="1545" t="n">
        <v>29.63770823</v>
      </c>
      <c r="WE48" s="1545" t="n">
        <v>25.76308704</v>
      </c>
      <c r="WF48" s="1545" t="n">
        <v>25.76635013</v>
      </c>
      <c r="WG48" s="1545" t="n">
        <v>25.68813653</v>
      </c>
      <c r="WH48" s="1545" t="n">
        <v>25.21207682</v>
      </c>
      <c r="WI48" s="1545" t="n">
        <v>24.74587942</v>
      </c>
      <c r="WJ48" s="1545" t="n">
        <v>21.78797721</v>
      </c>
      <c r="WK48" s="1545" t="n">
        <v>26.33411941</v>
      </c>
      <c r="WL48" s="1545" t="n">
        <v>26.31577689</v>
      </c>
      <c r="WM48" s="1545" t="n">
        <v>26.15922689</v>
      </c>
      <c r="WN48" s="1545" t="n">
        <v>55.07197643</v>
      </c>
      <c r="WO48" s="1545" t="n">
        <v>29.78910383</v>
      </c>
      <c r="WP48" s="1545" t="n">
        <v>29.38384051</v>
      </c>
      <c r="WQ48" s="1545" t="n">
        <v>22.46030195</v>
      </c>
      <c r="WR48" s="1545" t="n">
        <v>22.42288967</v>
      </c>
      <c r="WS48" s="1545" t="n">
        <v>28.72849337</v>
      </c>
      <c r="WT48" s="1545" t="n">
        <v>28.72849337</v>
      </c>
      <c r="WU48" s="1545" t="n">
        <v>28.71762082</v>
      </c>
      <c r="WV48" s="1545" t="n">
        <v>25.40920776</v>
      </c>
      <c r="WW48" s="1545" t="n">
        <v>25.29912304</v>
      </c>
      <c r="WX48" s="1545" t="n">
        <v>42.74577728</v>
      </c>
      <c r="WY48" s="1545" t="n">
        <v>42.27520628</v>
      </c>
      <c r="WZ48" s="1545" t="n">
        <v>42.27520628</v>
      </c>
      <c r="XA48" s="1545" t="n">
        <v>40.43207874</v>
      </c>
      <c r="XB48" s="1545" t="n">
        <v>42.70227317000001</v>
      </c>
      <c r="XC48" s="1545" t="n">
        <v>42.70227317000001</v>
      </c>
      <c r="XD48" s="1545" t="n">
        <v>42.63329820000001</v>
      </c>
      <c r="XE48" s="1545" t="n">
        <v>38.01353477000001</v>
      </c>
      <c r="XF48" s="1545" t="n">
        <v>30.32123477</v>
      </c>
      <c r="XG48" s="1545" t="n">
        <v>34.84527152</v>
      </c>
      <c r="XH48" s="1545" t="n">
        <v>31.06325728</v>
      </c>
      <c r="XI48" s="1545" t="n">
        <v>20.08590135</v>
      </c>
      <c r="XJ48" s="1545" t="n">
        <v>22.33324993</v>
      </c>
      <c r="XK48" s="1545" t="n">
        <v>42.46206258</v>
      </c>
      <c r="XL48" s="1545" t="n">
        <v>30.56784595</v>
      </c>
      <c r="XM48" s="1545" t="n">
        <v>28.01770772</v>
      </c>
      <c r="XN48" s="1545" t="n">
        <v>28.01770772</v>
      </c>
      <c r="XO48" s="1545" t="n">
        <v>49.43104105</v>
      </c>
      <c r="XP48" s="1545" t="n">
        <v>27.16459251</v>
      </c>
      <c r="XQ48" s="1545" t="n">
        <v>51.81716547</v>
      </c>
      <c r="XR48" s="1545" t="n">
        <v>21.048619</v>
      </c>
      <c r="XS48" s="1545" t="n">
        <v>41.512359</v>
      </c>
      <c r="XT48" s="1545" t="n">
        <v>29.34468776</v>
      </c>
      <c r="XU48" s="1545" t="n">
        <v>29.04018776</v>
      </c>
      <c r="XV48" s="1545" t="n">
        <v>27.45692278</v>
      </c>
      <c r="XW48" s="1545" t="n">
        <v>48.31195826</v>
      </c>
      <c r="XX48" s="1545" t="n">
        <v>48.31195826</v>
      </c>
      <c r="XY48" s="1545" t="n">
        <v>31.55191189</v>
      </c>
      <c r="XZ48" s="1545" t="n">
        <v>54.45491318</v>
      </c>
      <c r="YA48" s="1545" t="n">
        <v>29.70487143</v>
      </c>
      <c r="YB48" s="1545" t="n">
        <v>29.60606943</v>
      </c>
      <c r="YC48" s="1545" t="n">
        <v>27.1976191</v>
      </c>
      <c r="YD48" s="1545" t="n">
        <v>47.54756281</v>
      </c>
      <c r="YE48" s="1545" t="n">
        <v>47.0009869</v>
      </c>
      <c r="YF48" s="1545" t="n">
        <v>22.59597387</v>
      </c>
      <c r="YG48" s="1545" t="n">
        <v>22.35279601</v>
      </c>
      <c r="YH48" s="1545" t="n">
        <v>19.50282503</v>
      </c>
      <c r="YI48" s="1545" t="n">
        <v>19.50282503</v>
      </c>
      <c r="YJ48" s="1546" t="n">
        <v>19.50282503</v>
      </c>
    </row>
    <row r="49" customFormat="1" s="948">
      <c r="B49" s="919" t="inlineStr">
        <is>
          <t xml:space="preserve">  Total S&amp;W              (M.RUB)</t>
        </is>
      </c>
      <c r="C49" s="1538">
        <f>SUM(C45:C46)</f>
        <v/>
      </c>
      <c r="D49" s="1526">
        <f>SUM(D45:D46)</f>
        <v/>
      </c>
      <c r="E49" s="1526">
        <f>SUM(E45:E46)</f>
        <v/>
      </c>
      <c r="F49" s="1526">
        <f>SUM(F45:F46)</f>
        <v/>
      </c>
      <c r="G49" s="1526">
        <f>SUM(G45:G46)</f>
        <v/>
      </c>
      <c r="H49" s="1526">
        <f>SUM(H45:H46)</f>
        <v/>
      </c>
      <c r="I49" s="1526">
        <f>SUM(I45:I46)</f>
        <v/>
      </c>
      <c r="J49" s="1526">
        <f>SUM(J45:J46)</f>
        <v/>
      </c>
      <c r="K49" s="1526">
        <f>SUM(K45:K46)</f>
        <v/>
      </c>
      <c r="L49" s="1526">
        <f>SUM(L45:L46)</f>
        <v/>
      </c>
      <c r="M49" s="1526">
        <f>SUM(M45:M46)</f>
        <v/>
      </c>
      <c r="N49" s="1526">
        <f>SUM(N45:N46)</f>
        <v/>
      </c>
      <c r="O49" s="1526">
        <f>SUM(O45:O46)</f>
        <v/>
      </c>
      <c r="P49" s="1526">
        <f>SUM(P45:P46)</f>
        <v/>
      </c>
      <c r="Q49" s="1526">
        <f>SUM(Q45:Q46)</f>
        <v/>
      </c>
      <c r="R49" s="1526">
        <f>SUM(R45:R46)</f>
        <v/>
      </c>
      <c r="S49" s="1526">
        <f>SUM(S45:S46)</f>
        <v/>
      </c>
      <c r="T49" s="1526">
        <f>SUM(T45:T46)</f>
        <v/>
      </c>
      <c r="U49" s="1526">
        <f>SUM(U45:U46)</f>
        <v/>
      </c>
      <c r="V49" s="1526">
        <f>SUM(V45:V46)</f>
        <v/>
      </c>
      <c r="W49" s="1526">
        <f>SUM(W45:W46)</f>
        <v/>
      </c>
      <c r="X49" s="1526">
        <f>SUM(X45:X46)</f>
        <v/>
      </c>
      <c r="Y49" s="1526">
        <f>SUM(Y45:Y46)</f>
        <v/>
      </c>
      <c r="Z49" s="1526">
        <f>SUM(Z45:Z46)</f>
        <v/>
      </c>
      <c r="AA49" s="1526">
        <f>SUM(AA45:AA46)</f>
        <v/>
      </c>
      <c r="AB49" s="1526">
        <f>SUM(AB45:AB46)</f>
        <v/>
      </c>
      <c r="AC49" s="1526">
        <f>SUM(AC45:AC46)</f>
        <v/>
      </c>
      <c r="AD49" s="1526">
        <f>SUM(AD45:AD46)</f>
        <v/>
      </c>
      <c r="AE49" s="1526">
        <f>SUM(AE45:AE46)</f>
        <v/>
      </c>
      <c r="AF49" s="1526">
        <f>SUM(AF45:AF46)</f>
        <v/>
      </c>
      <c r="AG49" s="1526">
        <f>SUM(AG45:AG46)</f>
        <v/>
      </c>
      <c r="AH49" s="1526">
        <f>SUM(AH45:AH46)</f>
        <v/>
      </c>
      <c r="AI49" s="1526">
        <f>SUM(AI45:AI46)</f>
        <v/>
      </c>
      <c r="AJ49" s="1526">
        <f>SUM(AJ45:AJ46)</f>
        <v/>
      </c>
      <c r="AK49" s="1526">
        <f>SUM(AK45:AK46)</f>
        <v/>
      </c>
      <c r="AL49" s="1526">
        <f>SUM(AL45:AL46)</f>
        <v/>
      </c>
      <c r="AM49" s="1526">
        <f>SUM(AM45:AM46)</f>
        <v/>
      </c>
      <c r="AN49" s="1526">
        <f>SUM(AN45:AN46)</f>
        <v/>
      </c>
      <c r="AO49" s="1526">
        <f>SUM(AO45:AO46)</f>
        <v/>
      </c>
      <c r="AP49" s="1526">
        <f>SUM(AP45:AP46)</f>
        <v/>
      </c>
      <c r="AQ49" s="1526">
        <f>SUM(AQ45:AQ46)</f>
        <v/>
      </c>
      <c r="AR49" s="1526">
        <f>SUM(AR45:AR46)</f>
        <v/>
      </c>
      <c r="AS49" s="1526">
        <f>SUM(AS45:AS46)</f>
        <v/>
      </c>
      <c r="AT49" s="1526">
        <f>SUM(AT45:AT46)</f>
        <v/>
      </c>
      <c r="AU49" s="1526">
        <f>SUM(AU45:AU46)</f>
        <v/>
      </c>
      <c r="AV49" s="1526">
        <f>SUM(AV45:AV46)</f>
        <v/>
      </c>
      <c r="AW49" s="1526">
        <f>SUM(AW45:AW46)</f>
        <v/>
      </c>
      <c r="AX49" s="1526">
        <f>SUM(AX45:AX46)</f>
        <v/>
      </c>
      <c r="AY49" s="1526">
        <f>SUM(AY45:AY46)</f>
        <v/>
      </c>
      <c r="AZ49" s="1526">
        <f>SUM(AZ45:AZ46)</f>
        <v/>
      </c>
      <c r="BA49" s="1526">
        <f>SUM(BA45:BA46)</f>
        <v/>
      </c>
      <c r="BB49" s="1526">
        <f>SUM(BB45:BB46)</f>
        <v/>
      </c>
      <c r="BC49" s="1526">
        <f>SUM(BC45:BC46)</f>
        <v/>
      </c>
      <c r="BD49" s="1526">
        <f>SUM(BD45:BD46)</f>
        <v/>
      </c>
      <c r="BE49" s="1526">
        <f>SUM(BE45:BE46)</f>
        <v/>
      </c>
      <c r="BF49" s="1526">
        <f>SUM(BF45:BF46)</f>
        <v/>
      </c>
      <c r="BG49" s="1526">
        <f>SUM(BG45:BG46)</f>
        <v/>
      </c>
      <c r="BH49" s="1526">
        <f>SUM(BH45:BH46)</f>
        <v/>
      </c>
      <c r="BI49" s="1526">
        <f>SUM(BI45:BI46)</f>
        <v/>
      </c>
      <c r="BJ49" s="1526">
        <f>SUM(BJ45:BJ46)</f>
        <v/>
      </c>
      <c r="BK49" s="1526">
        <f>SUM(BK45:BK46)</f>
        <v/>
      </c>
      <c r="BL49" s="1526">
        <f>SUM(BL45:BL46)</f>
        <v/>
      </c>
      <c r="BM49" s="1526">
        <f>SUM(BM45:BM46)</f>
        <v/>
      </c>
      <c r="BN49" s="1526">
        <f>SUM(BN45:BN46)</f>
        <v/>
      </c>
      <c r="BO49" s="1526">
        <f>SUM(BO45:BO46)</f>
        <v/>
      </c>
      <c r="BP49" s="1526">
        <f>SUM(BP45:BP46)</f>
        <v/>
      </c>
      <c r="BQ49" s="1526">
        <f>SUM(BQ45:BQ46)</f>
        <v/>
      </c>
      <c r="BR49" s="1526">
        <f>SUM(BR45:BR46)</f>
        <v/>
      </c>
      <c r="BS49" s="1526">
        <f>SUM(BS45:BS46)</f>
        <v/>
      </c>
      <c r="BT49" s="1526">
        <f>SUM(BT45:BT46)</f>
        <v/>
      </c>
      <c r="BU49" s="1526">
        <f>SUM(BU45:BU46)</f>
        <v/>
      </c>
      <c r="BV49" s="1526">
        <f>SUM(BV45:BV46)</f>
        <v/>
      </c>
      <c r="BW49" s="1526">
        <f>SUM(BW45:BW46)</f>
        <v/>
      </c>
      <c r="BX49" s="1526">
        <f>SUM(BX45:BX46)</f>
        <v/>
      </c>
      <c r="BY49" s="1526">
        <f>SUM(BY45:BY46)</f>
        <v/>
      </c>
      <c r="BZ49" s="1526">
        <f>SUM(BZ45:BZ46)</f>
        <v/>
      </c>
      <c r="CA49" s="1526">
        <f>SUM(CA45:CA46)</f>
        <v/>
      </c>
      <c r="CB49" s="1526">
        <f>SUM(CB45:CB46)</f>
        <v/>
      </c>
      <c r="CC49" s="1526">
        <f>SUM(CC45:CC46)</f>
        <v/>
      </c>
      <c r="CD49" s="1526">
        <f>SUM(CD45:CD46)</f>
        <v/>
      </c>
      <c r="CE49" s="1526">
        <f>SUM(CE45:CE46)</f>
        <v/>
      </c>
      <c r="CF49" s="1526">
        <f>SUM(CF45:CF46)</f>
        <v/>
      </c>
      <c r="CG49" s="1526">
        <f>SUM(CG45:CG46)</f>
        <v/>
      </c>
      <c r="CH49" s="1526">
        <f>SUM(CH45:CH46)</f>
        <v/>
      </c>
      <c r="CI49" s="1526">
        <f>SUM(CI45:CI46)</f>
        <v/>
      </c>
      <c r="CJ49" s="1526">
        <f>SUM(CJ45:CJ46)</f>
        <v/>
      </c>
      <c r="CK49" s="1526">
        <f>SUM(CK45:CK46)</f>
        <v/>
      </c>
      <c r="CL49" s="1526">
        <f>SUM(CL45:CL46)</f>
        <v/>
      </c>
      <c r="CM49" s="1526">
        <f>SUM(CM45:CM46)</f>
        <v/>
      </c>
      <c r="CN49" s="1526">
        <f>SUM(CN45:CN46)</f>
        <v/>
      </c>
      <c r="CO49" s="1526">
        <f>SUM(CO45:CO46)</f>
        <v/>
      </c>
      <c r="CP49" s="1526">
        <f>SUM(CP45:CP46)</f>
        <v/>
      </c>
      <c r="CQ49" s="1526">
        <f>SUM(CQ45:CQ46)</f>
        <v/>
      </c>
      <c r="CR49" s="1526">
        <f>SUM(CR45:CR46)</f>
        <v/>
      </c>
      <c r="CS49" s="1526">
        <f>SUM(CS45:CS46)</f>
        <v/>
      </c>
      <c r="CT49" s="1526">
        <f>SUM(CT45:CT46)</f>
        <v/>
      </c>
      <c r="CU49" s="1526">
        <f>SUM(CU45:CU46)</f>
        <v/>
      </c>
      <c r="CV49" s="1526">
        <f>SUM(CV45:CV46)</f>
        <v/>
      </c>
      <c r="CW49" s="1526">
        <f>SUM(CW45:CW46)</f>
        <v/>
      </c>
      <c r="CX49" s="1526">
        <f>SUM(CX45:CX46)</f>
        <v/>
      </c>
      <c r="CY49" s="1526">
        <f>SUM(CY45:CY46)</f>
        <v/>
      </c>
      <c r="CZ49" s="1526">
        <f>SUM(CZ45:CZ46)</f>
        <v/>
      </c>
      <c r="DA49" s="1526">
        <f>SUM(DA45:DA46)</f>
        <v/>
      </c>
      <c r="DB49" s="1526">
        <f>SUM(DB45:DB46)</f>
        <v/>
      </c>
      <c r="DC49" s="1526">
        <f>SUM(DC45:DC46)</f>
        <v/>
      </c>
      <c r="DD49" s="1526">
        <f>SUM(DD45:DD46)</f>
        <v/>
      </c>
      <c r="DE49" s="1526">
        <f>SUM(DE45:DE46)</f>
        <v/>
      </c>
      <c r="DF49" s="1526">
        <f>SUM(DF45:DF46)</f>
        <v/>
      </c>
      <c r="DG49" s="1526">
        <f>SUM(DG45:DG46)</f>
        <v/>
      </c>
      <c r="DH49" s="1526">
        <f>SUM(DH45:DH46)</f>
        <v/>
      </c>
      <c r="DI49" s="1526">
        <f>SUM(DI45:DI46)</f>
        <v/>
      </c>
      <c r="DJ49" s="1526">
        <f>SUM(DJ45:DJ46)</f>
        <v/>
      </c>
      <c r="DK49" s="1526">
        <f>SUM(DK45:DK46)</f>
        <v/>
      </c>
      <c r="DL49" s="1526">
        <f>SUM(DL45:DL46)</f>
        <v/>
      </c>
      <c r="DM49" s="1526">
        <f>SUM(DM45:DM46)</f>
        <v/>
      </c>
      <c r="DN49" s="1526">
        <f>SUM(DN45:DN46)</f>
        <v/>
      </c>
      <c r="DO49" s="1526">
        <f>SUM(DO45:DO46)</f>
        <v/>
      </c>
      <c r="DP49" s="1526">
        <f>SUM(DP45:DP46)</f>
        <v/>
      </c>
      <c r="DQ49" s="1526">
        <f>SUM(DQ45:DQ46)</f>
        <v/>
      </c>
      <c r="DR49" s="1526">
        <f>SUM(DR45:DR46)</f>
        <v/>
      </c>
      <c r="DS49" s="1526">
        <f>SUM(DS45:DS46)</f>
        <v/>
      </c>
      <c r="DT49" s="1526">
        <f>SUM(DT45:DT46)</f>
        <v/>
      </c>
      <c r="DU49" s="1526">
        <f>SUM(DU45:DU46)</f>
        <v/>
      </c>
      <c r="DV49" s="1526">
        <f>SUM(DV45:DV46)</f>
        <v/>
      </c>
      <c r="DW49" s="1526">
        <f>SUM(DW45:DW46)</f>
        <v/>
      </c>
      <c r="DX49" s="1526">
        <f>SUM(DX45:DX46)</f>
        <v/>
      </c>
      <c r="DY49" s="1526">
        <f>SUM(DY45:DY46)</f>
        <v/>
      </c>
      <c r="DZ49" s="1526">
        <f>SUM(DZ45:DZ46)</f>
        <v/>
      </c>
      <c r="EA49" s="1526">
        <f>SUM(EA45:EA46)</f>
        <v/>
      </c>
      <c r="EB49" s="1526">
        <f>SUM(EB45:EB46)</f>
        <v/>
      </c>
      <c r="EC49" s="1526">
        <f>SUM(EC45:EC46)</f>
        <v/>
      </c>
      <c r="ED49" s="1526">
        <f>SUM(ED45:ED46)</f>
        <v/>
      </c>
      <c r="EE49" s="1526">
        <f>SUM(EE45:EE46)</f>
        <v/>
      </c>
      <c r="EF49" s="1526">
        <f>SUM(EF45:EF46)</f>
        <v/>
      </c>
      <c r="EG49" s="1526">
        <f>SUM(EG45:EG46)</f>
        <v/>
      </c>
      <c r="EH49" s="1526">
        <f>SUM(EH45:EH46)</f>
        <v/>
      </c>
      <c r="EI49" s="1526">
        <f>SUM(EI45:EI46)</f>
        <v/>
      </c>
      <c r="EJ49" s="1526">
        <f>SUM(EJ45:EJ46)</f>
        <v/>
      </c>
      <c r="EK49" s="1526">
        <f>SUM(EK45:EK46)</f>
        <v/>
      </c>
      <c r="EL49" s="1526">
        <f>SUM(EL45:EL46)</f>
        <v/>
      </c>
      <c r="EM49" s="1526">
        <f>SUM(EM45:EM46)</f>
        <v/>
      </c>
      <c r="EN49" s="1526">
        <f>SUM(EN45:EN46)</f>
        <v/>
      </c>
      <c r="EO49" s="1526">
        <f>SUM(EO45:EO46)</f>
        <v/>
      </c>
      <c r="EP49" s="1526">
        <f>SUM(EP45:EP46)</f>
        <v/>
      </c>
      <c r="EQ49" s="1526">
        <f>SUM(EQ45:EQ46)</f>
        <v/>
      </c>
      <c r="ER49" s="1526">
        <f>SUM(ER45:ER46)</f>
        <v/>
      </c>
      <c r="ES49" s="1526">
        <f>SUM(ES45:ES46)</f>
        <v/>
      </c>
      <c r="ET49" s="1526">
        <f>SUM(ET45:ET46)</f>
        <v/>
      </c>
      <c r="EU49" s="1526">
        <f>SUM(EU45:EU46)</f>
        <v/>
      </c>
      <c r="EV49" s="1526">
        <f>SUM(EV45:EV46)</f>
        <v/>
      </c>
      <c r="EW49" s="1526">
        <f>SUM(EW45:EW46)</f>
        <v/>
      </c>
      <c r="EX49" s="1526">
        <f>SUM(EX45:EX46)</f>
        <v/>
      </c>
      <c r="EY49" s="1526">
        <f>SUM(EY45:EY46)</f>
        <v/>
      </c>
      <c r="EZ49" s="1526">
        <f>SUM(EZ45:EZ46)</f>
        <v/>
      </c>
      <c r="FA49" s="1526">
        <f>SUM(FA45:FA46)</f>
        <v/>
      </c>
      <c r="FB49" s="1526">
        <f>SUM(FB45:FB46)</f>
        <v/>
      </c>
      <c r="FC49" s="1526">
        <f>SUM(FC45:FC46)</f>
        <v/>
      </c>
      <c r="FD49" s="1526">
        <f>SUM(FD45:FD46)</f>
        <v/>
      </c>
      <c r="FE49" s="1526">
        <f>SUM(FE45:FE46)</f>
        <v/>
      </c>
      <c r="FF49" s="1526">
        <f>SUM(FF45:FF46)</f>
        <v/>
      </c>
      <c r="FG49" s="1526">
        <f>SUM(FG45:FG46)</f>
        <v/>
      </c>
      <c r="FH49" s="1526">
        <f>SUM(FH45:FH46)</f>
        <v/>
      </c>
      <c r="FI49" s="1526">
        <f>SUM(FI45:FI46)</f>
        <v/>
      </c>
      <c r="FJ49" s="1526">
        <f>SUM(FJ45:FJ46)</f>
        <v/>
      </c>
      <c r="FK49" s="1526">
        <f>SUM(FK45:FK46)</f>
        <v/>
      </c>
      <c r="FL49" s="1526">
        <f>SUM(FL45:FL46)</f>
        <v/>
      </c>
      <c r="FM49" s="1526">
        <f>SUM(FM45:FM46)</f>
        <v/>
      </c>
      <c r="FN49" s="1526">
        <f>SUM(FN45:FN46)</f>
        <v/>
      </c>
      <c r="FO49" s="1526">
        <f>SUM(FO45:FO46)</f>
        <v/>
      </c>
      <c r="FP49" s="1526">
        <f>SUM(FP45:FP46)</f>
        <v/>
      </c>
      <c r="FQ49" s="1526">
        <f>SUM(FQ45:FQ46)</f>
        <v/>
      </c>
      <c r="FR49" s="1526">
        <f>SUM(FR45:FR46)</f>
        <v/>
      </c>
      <c r="FS49" s="1526">
        <f>SUM(FS45:FS46)</f>
        <v/>
      </c>
      <c r="FT49" s="1526">
        <f>SUM(FT45:FT46)</f>
        <v/>
      </c>
      <c r="FU49" s="1526">
        <f>SUM(FU45:FU46)</f>
        <v/>
      </c>
      <c r="FV49" s="1526">
        <f>SUM(FV45:FV46)</f>
        <v/>
      </c>
      <c r="FW49" s="1526">
        <f>SUM(FW45:FW46)</f>
        <v/>
      </c>
      <c r="FX49" s="1526">
        <f>SUM(FX45:FX46)</f>
        <v/>
      </c>
      <c r="FY49" s="1526">
        <f>SUM(FY45:FY46)</f>
        <v/>
      </c>
      <c r="FZ49" s="1526">
        <f>SUM(FZ45:FZ46)</f>
        <v/>
      </c>
      <c r="GA49" s="1526">
        <f>SUM(GA45:GA46)</f>
        <v/>
      </c>
      <c r="GB49" s="1526">
        <f>SUM(GB45:GB46)</f>
        <v/>
      </c>
      <c r="GC49" s="1526">
        <f>SUM(GC45:GC46)</f>
        <v/>
      </c>
      <c r="GD49" s="1526">
        <f>SUM(GD45:GD46)</f>
        <v/>
      </c>
      <c r="GE49" s="1526">
        <f>SUM(GE45:GE46)</f>
        <v/>
      </c>
      <c r="GF49" s="1526">
        <f>SUM(GF45:GF46)</f>
        <v/>
      </c>
      <c r="GG49" s="1526">
        <f>SUM(GG45:GG46)</f>
        <v/>
      </c>
      <c r="GH49" s="1526">
        <f>SUM(GH45:GH46)</f>
        <v/>
      </c>
      <c r="GI49" s="1526">
        <f>SUM(GI45:GI46)</f>
        <v/>
      </c>
      <c r="GJ49" s="1526">
        <f>SUM(GJ45:GJ46)</f>
        <v/>
      </c>
      <c r="GK49" s="1526">
        <f>SUM(GK45:GK46)</f>
        <v/>
      </c>
      <c r="GL49" s="1526">
        <f>SUM(GL45:GL46)</f>
        <v/>
      </c>
      <c r="GM49" s="1526">
        <f>SUM(GM45:GM46)</f>
        <v/>
      </c>
      <c r="GN49" s="1526">
        <f>SUM(GN45:GN46)</f>
        <v/>
      </c>
      <c r="GO49" s="1526">
        <f>SUM(GO45:GO46)</f>
        <v/>
      </c>
      <c r="GP49" s="1526">
        <f>SUM(GP45:GP46)</f>
        <v/>
      </c>
      <c r="GQ49" s="1526">
        <f>SUM(GQ45:GQ46)</f>
        <v/>
      </c>
      <c r="GR49" s="1526">
        <f>SUM(GR45:GR46)</f>
        <v/>
      </c>
      <c r="GS49" s="1526">
        <f>SUM(GS45:GS46)</f>
        <v/>
      </c>
      <c r="GT49" s="1526">
        <f>SUM(GT45:GT46)</f>
        <v/>
      </c>
      <c r="GU49" s="1526">
        <f>SUM(GU45:GU46)</f>
        <v/>
      </c>
      <c r="GV49" s="1526">
        <f>SUM(GV45:GV46)</f>
        <v/>
      </c>
      <c r="GW49" s="1526">
        <f>SUM(GW45:GW46)</f>
        <v/>
      </c>
      <c r="GX49" s="1526">
        <f>SUM(GX45:GX46)</f>
        <v/>
      </c>
      <c r="GY49" s="1526">
        <f>SUM(GY45:GY46)</f>
        <v/>
      </c>
      <c r="GZ49" s="1526">
        <f>SUM(GZ45:GZ46)</f>
        <v/>
      </c>
      <c r="HA49" s="1526">
        <f>SUM(HA45:HA46)</f>
        <v/>
      </c>
      <c r="HB49" s="1526">
        <f>SUM(HB45:HB46)</f>
        <v/>
      </c>
      <c r="HC49" s="1526">
        <f>SUM(HC45:HC46)</f>
        <v/>
      </c>
      <c r="HD49" s="1526">
        <f>SUM(HD45:HD46)</f>
        <v/>
      </c>
      <c r="HE49" s="1526">
        <f>SUM(HE45:HE46)</f>
        <v/>
      </c>
      <c r="HF49" s="1526">
        <f>SUM(HF45:HF46)</f>
        <v/>
      </c>
      <c r="HG49" s="1526">
        <f>SUM(HG45:HG46)</f>
        <v/>
      </c>
      <c r="HH49" s="1526">
        <f>SUM(HH45:HH46)</f>
        <v/>
      </c>
      <c r="HI49" s="1526">
        <f>SUM(HI45:HI46)</f>
        <v/>
      </c>
      <c r="HJ49" s="1526">
        <f>SUM(HJ45:HJ46)</f>
        <v/>
      </c>
      <c r="HK49" s="1526">
        <f>SUM(HK45:HK46)</f>
        <v/>
      </c>
      <c r="HL49" s="1526">
        <f>SUM(HL45:HL46)</f>
        <v/>
      </c>
      <c r="HM49" s="1526">
        <f>SUM(HM45:HM46)</f>
        <v/>
      </c>
      <c r="HN49" s="1526">
        <f>SUM(HN45:HN46)</f>
        <v/>
      </c>
      <c r="HO49" s="1526" t="n">
        <v>292.36961216</v>
      </c>
      <c r="HP49" s="1526" t="n">
        <v>382.76736249</v>
      </c>
      <c r="HQ49" s="1526" t="n">
        <v>128.88442721</v>
      </c>
      <c r="HR49" s="1526">
        <f>SUM(HR45:HR46)</f>
        <v/>
      </c>
      <c r="HS49" s="1526">
        <f>SUM(HS45:HS46)</f>
        <v/>
      </c>
      <c r="HT49" s="1526">
        <f>SUM(HT45:HT46)</f>
        <v/>
      </c>
      <c r="HU49" s="1526">
        <f>SUM(HU45:HU46)</f>
        <v/>
      </c>
      <c r="HV49" s="1526" t="n">
        <v>360.43735262</v>
      </c>
      <c r="HW49" s="1526" t="n">
        <v>302.49870462</v>
      </c>
      <c r="HX49" s="1526" t="n">
        <v>311.36069415</v>
      </c>
      <c r="HY49" s="1526" t="n">
        <v>81.62170500000001</v>
      </c>
      <c r="HZ49" s="1526" t="n">
        <v>70.55032370000001</v>
      </c>
      <c r="IA49" s="1526" t="n">
        <v>135.04546838</v>
      </c>
      <c r="IB49" s="1526" t="n">
        <v>53.51262937999999</v>
      </c>
      <c r="IC49" s="1526" t="n">
        <v>50.851618103653</v>
      </c>
      <c r="ID49" s="1526" t="n">
        <v>56.37977223</v>
      </c>
      <c r="IE49" s="1526" t="n">
        <v>191.822765</v>
      </c>
      <c r="IF49" s="1526" t="n">
        <v>73.21191399999999</v>
      </c>
      <c r="IG49" s="1526" t="n">
        <v>57.218432</v>
      </c>
      <c r="IH49" s="1526" t="n">
        <v>39.051489</v>
      </c>
      <c r="II49" s="1526" t="n">
        <v>36.745262</v>
      </c>
      <c r="IJ49" s="1526" t="n">
        <v>85.562803</v>
      </c>
      <c r="IK49" s="1526" t="n">
        <v>657.831532</v>
      </c>
      <c r="IL49" s="1526" t="n">
        <v>32.041501</v>
      </c>
      <c r="IM49" s="1526" t="n">
        <v>199.432688</v>
      </c>
      <c r="IN49" s="1526" t="n">
        <v>172.48593</v>
      </c>
      <c r="IO49" s="1526" t="n">
        <v>165.601225</v>
      </c>
      <c r="IP49" s="1526" t="n">
        <v>423.27105</v>
      </c>
      <c r="IQ49" s="1526" t="n">
        <v>223.12262</v>
      </c>
      <c r="IR49" s="1526" t="n">
        <v>176.696786</v>
      </c>
      <c r="IS49" s="1526" t="n">
        <v>213.933022</v>
      </c>
      <c r="IT49" s="1526" t="n">
        <v>145.894267</v>
      </c>
      <c r="IU49" s="1526" t="n">
        <v>213.387848</v>
      </c>
      <c r="IV49" s="1526" t="n">
        <v>213.387848</v>
      </c>
      <c r="IW49" s="1526" t="n">
        <v>171.606973</v>
      </c>
      <c r="IX49" s="1526" t="n">
        <v>151.131305</v>
      </c>
      <c r="IY49" s="1526">
        <f>SUM(IY45:IY46)</f>
        <v/>
      </c>
      <c r="IZ49" s="1526" t="n">
        <v>43.336552</v>
      </c>
      <c r="JA49" s="1526" t="n">
        <v>495.392576</v>
      </c>
      <c r="JB49" s="1526" t="n">
        <v>395.420311</v>
      </c>
      <c r="JC49" s="1526" t="n">
        <v>1556.284837</v>
      </c>
      <c r="JD49" s="1526" t="n">
        <v>404.485712</v>
      </c>
      <c r="JE49" s="1526" t="n">
        <v>221.973282</v>
      </c>
      <c r="JF49" s="1526" t="n">
        <v>391.30876</v>
      </c>
      <c r="JG49" s="1526" t="n">
        <v>402.423198</v>
      </c>
      <c r="JH49" s="1526" t="n">
        <v>379.261306</v>
      </c>
      <c r="JI49" s="1526" t="n">
        <v>196.802208</v>
      </c>
      <c r="JJ49" s="1526" t="n">
        <v>233.014967</v>
      </c>
      <c r="JK49" s="1526" t="n">
        <v>321.057025</v>
      </c>
      <c r="JL49" s="1526" t="n">
        <v>321.057025</v>
      </c>
      <c r="JM49" s="1526" t="n">
        <v>462.853999</v>
      </c>
      <c r="JN49" s="1526" t="n">
        <v>1549.787459</v>
      </c>
      <c r="JO49" s="1526" t="n">
        <v>1555.643246</v>
      </c>
      <c r="JP49" s="1526" t="n">
        <v>1784.330843</v>
      </c>
      <c r="JQ49" s="1526" t="n">
        <v>848.6092819999999</v>
      </c>
      <c r="JR49" s="1526" t="n">
        <v>805.5012305499999</v>
      </c>
      <c r="JS49" s="1526">
        <f>SUM(JS45:JS48)</f>
        <v/>
      </c>
      <c r="JT49" s="1526" t="n">
        <v>366.77178</v>
      </c>
      <c r="JU49" s="1526" t="n">
        <v>289.460644</v>
      </c>
      <c r="JV49" s="1526" t="n">
        <v>516.697663</v>
      </c>
      <c r="JW49" s="1526" t="n">
        <v>1717.808192</v>
      </c>
      <c r="JX49" s="1526" t="n">
        <v>416.011876</v>
      </c>
      <c r="JY49" s="1526" t="n">
        <v>208.245942</v>
      </c>
      <c r="JZ49" s="1526" t="n">
        <v>523.4623790000001</v>
      </c>
      <c r="KA49" s="1526" t="n">
        <v>257.863213</v>
      </c>
      <c r="KB49" s="1526" t="n">
        <v>582.18989</v>
      </c>
      <c r="KC49" s="1526" t="n">
        <v>520.935511</v>
      </c>
      <c r="KD49" s="1526" t="n">
        <v>472.112957</v>
      </c>
      <c r="KE49" s="1526" t="n">
        <v>526.0947436499999</v>
      </c>
      <c r="KF49" s="1526" t="n">
        <v>591.7678636500001</v>
      </c>
      <c r="KG49" s="1526" t="n">
        <v>183.47232265</v>
      </c>
      <c r="KH49" s="1526" t="n">
        <v>333.964511</v>
      </c>
      <c r="KI49" s="1526" t="n">
        <v>213.891968</v>
      </c>
      <c r="KJ49" s="1526">
        <f>SUM(KJ45:KJ48)</f>
        <v/>
      </c>
      <c r="KK49" s="1526" t="n">
        <v>275.35435676</v>
      </c>
      <c r="KL49" s="1526" t="n">
        <v>370.64912176</v>
      </c>
      <c r="KM49" s="1526" t="n">
        <v>247.378663</v>
      </c>
      <c r="KN49" s="1526" t="n">
        <v>262.938325</v>
      </c>
      <c r="KO49" s="1526" t="n">
        <v>203.322574</v>
      </c>
      <c r="KP49" s="1526" t="n">
        <v>1005.74689177</v>
      </c>
      <c r="KQ49" s="1526" t="n">
        <v>408.48179083</v>
      </c>
      <c r="KR49" s="1526" t="n">
        <v>466.45132059</v>
      </c>
      <c r="KS49" s="1526">
        <f>SUM(KS45:KS48)</f>
        <v/>
      </c>
      <c r="KT49" s="1526" t="n">
        <v>152.5974884</v>
      </c>
      <c r="KU49" s="1526">
        <f>SUM(KU45:KU48)</f>
        <v/>
      </c>
      <c r="KV49" s="1526">
        <f>SUM(KV45:KV48)</f>
        <v/>
      </c>
      <c r="KW49" s="1526">
        <f>SUM(KW45:KW48)</f>
        <v/>
      </c>
      <c r="KX49" s="1526" t="n">
        <v>158.16769933</v>
      </c>
      <c r="KY49" s="1526" t="n">
        <v>1027.37799312</v>
      </c>
      <c r="KZ49" s="1526" t="n">
        <v>1067.17617719</v>
      </c>
      <c r="LA49" s="1526" t="n">
        <v>370.16476186</v>
      </c>
      <c r="LB49" s="1526" t="n">
        <v>763.9543301300001</v>
      </c>
      <c r="LC49" s="1526" t="n">
        <v>857.56276813</v>
      </c>
      <c r="LD49" s="1526" t="n">
        <v>1925.0900937</v>
      </c>
      <c r="LE49" s="1526">
        <f>SUM(LE45:LE48)</f>
        <v/>
      </c>
      <c r="LF49" s="1527" t="n">
        <v>902.0842760199999</v>
      </c>
      <c r="LG49" s="1527" t="n">
        <v>338.79094302</v>
      </c>
      <c r="LH49" s="1527" t="n">
        <v>651.61299902</v>
      </c>
      <c r="LI49" s="1527" t="n">
        <v>816.80089602</v>
      </c>
      <c r="LJ49" s="1527" t="n">
        <v>325.45485602</v>
      </c>
      <c r="LK49" s="1527" t="n">
        <v>1217.11248102</v>
      </c>
      <c r="LL49" s="1527" t="n">
        <v>358.73742446</v>
      </c>
      <c r="LM49" s="1527" t="n">
        <v>411.8127724600001</v>
      </c>
      <c r="LN49" s="1527" t="n">
        <v>425.46623446</v>
      </c>
      <c r="LO49" s="1527" t="n">
        <v>197.96573946</v>
      </c>
      <c r="LP49" s="1527" t="n">
        <v>99.22750146000001</v>
      </c>
      <c r="LQ49" s="1527" t="n">
        <v>277.76319246</v>
      </c>
      <c r="LR49" s="1527" t="n">
        <v>907.2085864599999</v>
      </c>
      <c r="LS49" s="1527" t="n">
        <v>1077.58733641</v>
      </c>
      <c r="LT49" s="1527" t="n">
        <v>1398.12531041</v>
      </c>
      <c r="LU49" s="1527" t="n">
        <v>1217.67793824</v>
      </c>
      <c r="LV49" s="1527" t="n">
        <v>546.77872868</v>
      </c>
      <c r="LW49" s="1527" t="n">
        <v>75.03669012</v>
      </c>
      <c r="LX49" s="1527" t="n">
        <v>74.54457812</v>
      </c>
      <c r="LY49" s="1527" t="n">
        <v>623.52180693</v>
      </c>
      <c r="LZ49" s="1527" t="n">
        <v>263.69708144</v>
      </c>
      <c r="MA49" s="1527" t="n">
        <v>677.3492194400001</v>
      </c>
      <c r="MB49" s="1527" t="n">
        <v>149.31761944</v>
      </c>
      <c r="MC49" s="1527" t="n">
        <v>521.5786883000001</v>
      </c>
      <c r="MD49" s="1527" t="n">
        <v>127.5511963</v>
      </c>
      <c r="ME49" s="1527" t="n">
        <v>351.3313082999999</v>
      </c>
      <c r="MF49" s="1527" t="n">
        <v>270.6407173</v>
      </c>
      <c r="MG49" s="1527" t="n">
        <v>294.44598011</v>
      </c>
      <c r="MH49" s="1527" t="n">
        <v>539.3341703100001</v>
      </c>
      <c r="MI49" s="1527" t="n">
        <v>559.76935331</v>
      </c>
      <c r="MJ49" s="1527" t="n">
        <v>499.53600831</v>
      </c>
      <c r="MK49" s="1527" t="n">
        <v>213.47947229</v>
      </c>
      <c r="ML49" s="1527" t="n">
        <v>493.0430207</v>
      </c>
      <c r="MM49" s="1527" t="n">
        <v>496.0241057</v>
      </c>
      <c r="MN49" s="1527" t="n">
        <v>451.1897969600001</v>
      </c>
      <c r="MO49" s="1527" t="n">
        <v>220.67433056</v>
      </c>
      <c r="MP49" s="1527" t="n">
        <v>155.67832732</v>
      </c>
      <c r="MQ49" s="1527" t="n">
        <v>193.44605732</v>
      </c>
      <c r="MR49" s="1527" t="n">
        <v>165.60917083</v>
      </c>
      <c r="MS49" s="1527" t="n">
        <v>232.91170658</v>
      </c>
      <c r="MT49" s="1527" t="n">
        <v>619.7634895800001</v>
      </c>
      <c r="MU49" s="1527" t="n">
        <v>428.39301058</v>
      </c>
      <c r="MV49" s="1527" t="n">
        <v>425.8136485799999</v>
      </c>
      <c r="MW49" s="1527" t="n">
        <v>570.3250166800001</v>
      </c>
      <c r="MX49" s="1527" t="n">
        <v>442.19943268</v>
      </c>
      <c r="MY49" s="1527" t="n">
        <v>541.1259696799999</v>
      </c>
      <c r="MZ49" s="1527" t="n">
        <v>382.7216526799999</v>
      </c>
      <c r="NA49" s="1527" t="n">
        <v>307.42857936</v>
      </c>
      <c r="NB49" s="1527" t="n">
        <v>659.5755743600001</v>
      </c>
      <c r="NC49" s="1527" t="n">
        <v>341.6318196100001</v>
      </c>
      <c r="ND49" s="1527" t="n">
        <v>213.66373461</v>
      </c>
      <c r="NE49" s="1527" t="n">
        <v>626.27186961</v>
      </c>
      <c r="NF49" s="1527" t="n">
        <v>733.01463361</v>
      </c>
      <c r="NG49" s="1527" t="n">
        <v>495.89428061</v>
      </c>
      <c r="NH49" s="1527" t="n">
        <v>504.87748761</v>
      </c>
      <c r="NI49" s="1527" t="n">
        <v>612.2876326099999</v>
      </c>
      <c r="NJ49" s="1527" t="n">
        <v>828.82878123</v>
      </c>
      <c r="NK49" s="1527" t="n">
        <v>632.58873423</v>
      </c>
      <c r="NL49" s="1527" t="n">
        <v>439.50166507</v>
      </c>
      <c r="NM49" s="1527" t="n">
        <v>960.6719140700001</v>
      </c>
      <c r="NN49" s="1527" t="n">
        <v>635.02281067</v>
      </c>
      <c r="NO49" s="1527" t="n">
        <v>618.13518677</v>
      </c>
      <c r="NP49" s="1527" t="n">
        <v>297.0750084800001</v>
      </c>
      <c r="NQ49" s="1527" t="n">
        <v>296.58090848</v>
      </c>
      <c r="NR49" s="1527" t="n">
        <v>354.12142864</v>
      </c>
      <c r="NS49" s="1527" t="n">
        <v>457.84525364</v>
      </c>
      <c r="NT49" s="1527" t="n">
        <v>650.04368664</v>
      </c>
      <c r="NU49" s="1527">
        <f>SUM(NU45:NU48)</f>
        <v/>
      </c>
      <c r="NV49" s="1527" t="n">
        <v>456.78628064</v>
      </c>
      <c r="NW49" s="1527" t="n">
        <v>888.58755764</v>
      </c>
      <c r="NX49" s="1527" t="n">
        <v>416.37473964</v>
      </c>
      <c r="NY49" s="1527" t="n">
        <v>525.28601685</v>
      </c>
      <c r="NZ49" s="1527" t="n">
        <v>550.77340168</v>
      </c>
      <c r="OA49" s="1527" t="n">
        <v>382.22678058</v>
      </c>
      <c r="OB49" s="1527" t="n">
        <v>771.23057558</v>
      </c>
      <c r="OC49" s="1527" t="n">
        <v>679.4956286300001</v>
      </c>
      <c r="OD49" s="1527" t="n">
        <v>919.77070067</v>
      </c>
      <c r="OE49" s="1527" t="n">
        <v>1067.59484067</v>
      </c>
      <c r="OF49" s="1527" t="n">
        <v>1103.49669189</v>
      </c>
      <c r="OG49" s="1527" t="n">
        <v>724.45087289</v>
      </c>
      <c r="OH49" s="1527" t="n">
        <v>122.67928289</v>
      </c>
      <c r="OI49" s="1527" t="n">
        <v>580.7008332199999</v>
      </c>
      <c r="OJ49" s="1527" t="n">
        <v>623.73484689</v>
      </c>
      <c r="OK49" s="1527" t="n">
        <v>713.13276277</v>
      </c>
      <c r="OL49" s="1527" t="n">
        <v>520.37667778</v>
      </c>
      <c r="OM49" s="1527" t="n">
        <v>651.32790731</v>
      </c>
      <c r="ON49" s="1527" t="n">
        <v>881.92527878</v>
      </c>
      <c r="OO49" s="1527" t="n">
        <v>912.8465022299999</v>
      </c>
      <c r="OP49" s="1527" t="n">
        <v>440.70979423</v>
      </c>
      <c r="OQ49" s="1527" t="n">
        <v>426.73267099</v>
      </c>
      <c r="OR49" s="1527" t="n">
        <v>835.5345293400001</v>
      </c>
      <c r="OS49" s="1527" t="n">
        <v>193.11024885</v>
      </c>
      <c r="OT49" s="1527" t="n">
        <v>1599.18138034</v>
      </c>
      <c r="OU49" s="1527" t="n">
        <v>730.277635</v>
      </c>
      <c r="OV49" s="1527" t="n">
        <v>1273.21435515</v>
      </c>
      <c r="OW49" s="1527" t="n">
        <v>1226.43167551</v>
      </c>
      <c r="OX49" s="1527" t="n">
        <v>834.76270427</v>
      </c>
      <c r="OY49" s="1527" t="n">
        <v>938.9284484699999</v>
      </c>
      <c r="OZ49" s="1527" t="n">
        <v>1181.68176486</v>
      </c>
      <c r="PA49" s="1527" t="n">
        <v>847.67602044</v>
      </c>
      <c r="PB49" s="1527" t="n">
        <v>399.4886252599999</v>
      </c>
      <c r="PC49" s="1527" t="n">
        <v>438.9902436699999</v>
      </c>
      <c r="PD49" s="1527" t="n">
        <v>904.89799708</v>
      </c>
      <c r="PE49" s="1527" t="n">
        <v>929.76911767</v>
      </c>
      <c r="PF49" s="1527" t="n">
        <v>918.46365955</v>
      </c>
      <c r="PG49" s="1527" t="n">
        <v>427.35277179</v>
      </c>
      <c r="PH49" s="1527" t="n">
        <v>1103.24807479</v>
      </c>
      <c r="PI49" s="1527" t="n">
        <v>1189.0469832</v>
      </c>
      <c r="PJ49" s="1527" t="n">
        <v>1608.90400667</v>
      </c>
      <c r="PK49" s="1527" t="n">
        <v>994.70933155</v>
      </c>
      <c r="PL49" s="1527" t="n">
        <v>413.24425207</v>
      </c>
      <c r="PM49" s="1527" t="n">
        <v>312.16480132</v>
      </c>
      <c r="PN49" s="1527" t="n">
        <v>791.39344722</v>
      </c>
      <c r="PO49" s="1527" t="n">
        <v>1241.69772493</v>
      </c>
      <c r="PP49" s="1527" t="n">
        <v>1346.85668207</v>
      </c>
      <c r="PQ49" s="1527" t="n">
        <v>913.4679000799999</v>
      </c>
      <c r="PR49" s="1527" t="n">
        <v>961.51277023</v>
      </c>
      <c r="PS49" s="1527" t="n">
        <v>1075.89891456</v>
      </c>
      <c r="PT49" s="1527" t="n">
        <v>1107.91497464</v>
      </c>
      <c r="PU49" s="1527" t="n">
        <v>756.90235183</v>
      </c>
      <c r="PV49" s="1527" t="n">
        <v>371.15651773</v>
      </c>
      <c r="PW49" s="1527" t="n">
        <v>421.08193133</v>
      </c>
      <c r="PX49" s="1527" t="n">
        <v>863.90703852</v>
      </c>
      <c r="PY49" s="1527" t="n">
        <v>307.45225362</v>
      </c>
      <c r="PZ49" s="1527" t="n">
        <v>76.63855641000001</v>
      </c>
      <c r="QA49" s="1527" t="n">
        <v>97.08552592000001</v>
      </c>
      <c r="QB49" s="1527" t="n">
        <v>199.05064192</v>
      </c>
      <c r="QC49" s="1527" t="n">
        <v>359.60543861</v>
      </c>
      <c r="QD49" s="1527" t="n">
        <v>272.72886956</v>
      </c>
      <c r="QE49" s="1527" t="n">
        <v>157.87187253</v>
      </c>
      <c r="QF49" s="1527" t="n">
        <v>505.36394096</v>
      </c>
      <c r="QG49" s="1527" t="n">
        <v>386.7552081600001</v>
      </c>
      <c r="QH49" s="1527">
        <f>SUM(QH45:QH48)</f>
        <v/>
      </c>
      <c r="QI49" s="1527" t="n">
        <v>913.63066919</v>
      </c>
      <c r="QJ49" s="1527" t="n">
        <v>619.5832093400001</v>
      </c>
      <c r="QK49" s="1527" t="n">
        <v>1024.20444689</v>
      </c>
      <c r="QL49" s="1527" t="n">
        <v>159.75665919</v>
      </c>
      <c r="QM49" s="1527" t="n">
        <v>91.95622129</v>
      </c>
      <c r="QN49" s="1527" t="n">
        <v>118.78663324</v>
      </c>
      <c r="QO49" s="1527" t="n">
        <v>734.75917482</v>
      </c>
      <c r="QP49" s="1527" t="n">
        <v>234.84853224</v>
      </c>
      <c r="QQ49" s="1527" t="n">
        <v>263.07607167</v>
      </c>
      <c r="QR49" s="1527" t="n">
        <v>402.05153167</v>
      </c>
      <c r="QS49" s="1527" t="n">
        <v>444.19011438</v>
      </c>
      <c r="QT49" s="1527" t="n">
        <v>410.0793311</v>
      </c>
      <c r="QU49" s="1527" t="n">
        <v>248.82956486</v>
      </c>
      <c r="QV49" s="1527" t="n">
        <v>382.91239466</v>
      </c>
      <c r="QW49" s="1527" t="n">
        <v>313.73122511</v>
      </c>
      <c r="QX49" s="1527" t="n">
        <v>340.73215807</v>
      </c>
      <c r="QY49" s="1527" t="n">
        <v>370.5951246499999</v>
      </c>
      <c r="QZ49" s="1527" t="n">
        <v>469.23649574</v>
      </c>
      <c r="RA49" s="1527" t="n">
        <v>505.46318237</v>
      </c>
      <c r="RB49" s="1527" t="n">
        <v>448.00597012</v>
      </c>
      <c r="RC49" s="1527" t="n">
        <v>523.0022900199999</v>
      </c>
      <c r="RD49" s="1527" t="n">
        <v>744.19878642</v>
      </c>
      <c r="RE49" s="1527" t="n">
        <v>646.36863497</v>
      </c>
      <c r="RF49" s="1527" t="n">
        <v>478.03987055</v>
      </c>
      <c r="RG49" s="1527">
        <f>SUM(RG45:RG48)</f>
        <v/>
      </c>
      <c r="RH49" s="1527" t="n">
        <v>308.00887526</v>
      </c>
      <c r="RI49" s="1527" t="n">
        <v>308.6879043</v>
      </c>
      <c r="RJ49" s="1527" t="n">
        <v>207.26369681</v>
      </c>
      <c r="RK49" s="1527" t="n">
        <v>283.66720047</v>
      </c>
      <c r="RL49" s="1527" t="n">
        <v>226.17206013</v>
      </c>
      <c r="RM49" s="1527" t="n">
        <v>225.81221758</v>
      </c>
      <c r="RN49" s="1527" t="n">
        <v>216.19257486</v>
      </c>
      <c r="RO49" s="1527" t="n">
        <v>235.12880475</v>
      </c>
      <c r="RP49" s="1527" t="n">
        <v>318.86925779</v>
      </c>
      <c r="RQ49" s="1527" t="n">
        <v>206.99505057</v>
      </c>
      <c r="RR49" s="1527" t="n">
        <v>303.30299369</v>
      </c>
      <c r="RS49" s="1527" t="n">
        <v>2600.40188601</v>
      </c>
      <c r="RT49" s="1527" t="n">
        <v>3057.46039328</v>
      </c>
      <c r="RU49" s="1527" t="n">
        <v>2097.54342789</v>
      </c>
      <c r="RV49" s="1527" t="n">
        <v>2135.71402654</v>
      </c>
      <c r="RW49" s="1527" t="n">
        <v>1147.55559381</v>
      </c>
      <c r="RX49" s="1527" t="n">
        <v>802.0315731799999</v>
      </c>
      <c r="RY49" s="1527" t="n">
        <v>883.38299268</v>
      </c>
      <c r="RZ49" s="1527" t="n">
        <v>485.9631275</v>
      </c>
      <c r="SA49" s="1527" t="n">
        <v>1109.97024707</v>
      </c>
      <c r="SB49" s="1527" t="n">
        <v>417.94978875</v>
      </c>
      <c r="SC49" s="1527" t="n">
        <v>534.3580640399999</v>
      </c>
      <c r="SD49" s="1527" t="n">
        <v>674.89057733</v>
      </c>
      <c r="SE49" s="1527" t="n">
        <v>525.7149937199999</v>
      </c>
      <c r="SF49" s="1527" t="n">
        <v>1218.65774672</v>
      </c>
      <c r="SG49" s="1527" t="n">
        <v>847.74034895</v>
      </c>
      <c r="SH49" s="1527" t="n">
        <v>351.07662515</v>
      </c>
      <c r="SI49" s="1527" t="n">
        <v>394.37099482</v>
      </c>
      <c r="SJ49" s="1527" t="n">
        <v>482.62211106</v>
      </c>
      <c r="SK49" s="1527" t="n">
        <v>569.9808301799999</v>
      </c>
      <c r="SL49" s="1527" t="n">
        <v>552.19251733</v>
      </c>
      <c r="SM49" s="1527" t="n">
        <v>463.66535371</v>
      </c>
      <c r="SN49" s="1527" t="n">
        <v>419.73044165</v>
      </c>
      <c r="SO49" s="1527" t="n">
        <v>843.33948166</v>
      </c>
      <c r="SP49" s="1527" t="n">
        <v>587.61077181</v>
      </c>
      <c r="SQ49" s="1527" t="n">
        <v>242.20294824</v>
      </c>
      <c r="SR49" s="1527" t="n">
        <v>346.9902569400001</v>
      </c>
      <c r="SS49" s="1527" t="n">
        <v>323.96781962</v>
      </c>
      <c r="ST49" s="1527" t="n">
        <v>345.72184676</v>
      </c>
      <c r="SU49" s="1527" t="n">
        <v>439.29435963</v>
      </c>
      <c r="SV49" s="1527" t="n">
        <v>148.53726714</v>
      </c>
      <c r="SW49" s="1527" t="n">
        <v>158.71134478</v>
      </c>
      <c r="SX49" s="1527" t="n">
        <v>391.80419858</v>
      </c>
      <c r="SY49" s="1527" t="n">
        <v>269.7480239499999</v>
      </c>
      <c r="SZ49" s="1527" t="n">
        <v>397.81103313943</v>
      </c>
      <c r="TA49" s="1527" t="n">
        <v>512.1038536000001</v>
      </c>
      <c r="TB49" s="1527" t="n">
        <v>517.8455872</v>
      </c>
      <c r="TC49" s="1527" t="n">
        <v>475.26464872</v>
      </c>
      <c r="TD49" s="1527" t="n">
        <v>729.43013331</v>
      </c>
      <c r="TE49" s="1527">
        <f>SUM(TE45:TE48)</f>
        <v/>
      </c>
      <c r="TF49" s="1527">
        <f>SUM(TF45:TF48)</f>
        <v/>
      </c>
      <c r="TG49" s="1527" t="n">
        <v>318.8019814</v>
      </c>
      <c r="TH49" s="1527" t="n">
        <v>267.10642612</v>
      </c>
      <c r="TI49" s="1527" t="n">
        <v>514.3321747800001</v>
      </c>
      <c r="TJ49" s="1527" t="n">
        <v>234.57475111</v>
      </c>
      <c r="TK49" s="1527" t="n">
        <v>237.148037</v>
      </c>
      <c r="TL49" s="1527" t="n">
        <v>604.4859479700001</v>
      </c>
      <c r="TM49" s="1527" t="n">
        <v>1183.18097777</v>
      </c>
      <c r="TN49" s="1527" t="n">
        <v>384.66675059</v>
      </c>
      <c r="TO49" s="1527" t="n">
        <v>503.40194404</v>
      </c>
      <c r="TP49" s="1527" t="n">
        <v>854.2471580499999</v>
      </c>
      <c r="TQ49" s="1527" t="n">
        <v>217.7321913</v>
      </c>
      <c r="TR49" s="1527" t="n">
        <v>370.64411233</v>
      </c>
      <c r="TS49" s="1527" t="n">
        <v>194.49116953</v>
      </c>
      <c r="TT49" s="1527" t="n">
        <v>534.9475514</v>
      </c>
      <c r="TU49" s="1527" t="n">
        <v>459.52959704</v>
      </c>
      <c r="TV49" s="1527" t="n">
        <v>720.16097448</v>
      </c>
      <c r="TW49" s="1527" t="n">
        <v>542.63388636</v>
      </c>
      <c r="TX49" s="1527" t="n">
        <v>359.46149001</v>
      </c>
      <c r="TY49" s="1527" t="n">
        <v>198.7663414800001</v>
      </c>
      <c r="TZ49" s="1527">
        <f>SUM(TZ45:TZ48)</f>
        <v/>
      </c>
      <c r="UA49" s="1527">
        <f>SUM(UA45:UA48)</f>
        <v/>
      </c>
      <c r="UB49" s="1527">
        <f>SUM(UB45:UB48)</f>
        <v/>
      </c>
      <c r="UC49" s="1527">
        <f>SUM(UC45:UC48)</f>
        <v/>
      </c>
      <c r="UD49" s="1527">
        <f>SUM(UD45:UD48)</f>
        <v/>
      </c>
      <c r="UE49" s="1527">
        <f>SUM(UE45:UE48)</f>
        <v/>
      </c>
      <c r="UF49" s="1527" t="n">
        <v>102.89077198</v>
      </c>
      <c r="UG49" s="1527" t="n">
        <v>1124.04738145</v>
      </c>
      <c r="UH49" s="1527" t="n">
        <v>770.27527535</v>
      </c>
      <c r="UI49" s="1527" t="n">
        <v>160.96849151</v>
      </c>
      <c r="UJ49" s="1527" t="n">
        <v>428.15502348</v>
      </c>
      <c r="UK49" s="1527" t="n">
        <v>478.54626403</v>
      </c>
      <c r="UL49" s="1527" t="n">
        <v>701.0682563699999</v>
      </c>
      <c r="UM49" s="1527" t="n">
        <v>358.08930372</v>
      </c>
      <c r="UN49" s="1527" t="n">
        <v>481.97409313</v>
      </c>
      <c r="UO49" s="1527" t="n">
        <v>309.62322505</v>
      </c>
      <c r="UP49" s="1527" t="n">
        <v>245.08349163</v>
      </c>
      <c r="UQ49" s="1527" t="n">
        <v>147.29976555</v>
      </c>
      <c r="UR49" s="1527" t="n">
        <v>240.8028663</v>
      </c>
      <c r="US49" s="1527" t="n">
        <v>136.38469733</v>
      </c>
      <c r="UT49" s="1527" t="n">
        <v>279.33855928</v>
      </c>
      <c r="UU49" s="1527" t="n">
        <v>315.75827787</v>
      </c>
      <c r="UV49" s="1527" t="n">
        <v>289.02245123</v>
      </c>
      <c r="UW49" s="1527" t="n">
        <v>302.27411165</v>
      </c>
      <c r="UX49" s="1527" t="n">
        <v>252.95516581</v>
      </c>
      <c r="UY49" s="1527" t="n">
        <v>427.49428674</v>
      </c>
      <c r="UZ49" s="1527" t="n">
        <v>123.87224346</v>
      </c>
      <c r="VA49" s="1527" t="n">
        <v>131.27942407</v>
      </c>
      <c r="VB49" s="1527" t="n">
        <v>354.23988492</v>
      </c>
      <c r="VC49" s="1527" t="n">
        <v>563.16929763</v>
      </c>
      <c r="VD49" s="1527">
        <f>SUM(VD45:VD48)</f>
        <v/>
      </c>
      <c r="VE49" s="1527" t="n">
        <v>641.43407167</v>
      </c>
      <c r="VF49" s="1527" t="n">
        <v>737.5762102200001</v>
      </c>
      <c r="VG49" s="1527" t="n">
        <v>842.94570118</v>
      </c>
      <c r="VH49" s="1527" t="n">
        <v>816.1913378500001</v>
      </c>
      <c r="VI49" s="1527" t="n">
        <v>1188.24280684</v>
      </c>
      <c r="VJ49" s="1527" t="n">
        <v>1387.94199134</v>
      </c>
      <c r="VK49" s="1527" t="n">
        <v>780.75007477</v>
      </c>
      <c r="VL49" s="1527" t="n">
        <v>281.71689578</v>
      </c>
      <c r="VM49" s="1527" t="n">
        <v>1169.34957396</v>
      </c>
      <c r="VN49" s="1527" t="n">
        <v>1243.08816141</v>
      </c>
      <c r="VO49" s="1527" t="n">
        <v>454.55413721</v>
      </c>
      <c r="VP49" s="1527" t="n">
        <v>545.440716</v>
      </c>
      <c r="VQ49" s="1527" t="n">
        <v>491.11895483</v>
      </c>
      <c r="VR49" s="1527" t="n">
        <v>366.08329643</v>
      </c>
      <c r="VS49" s="1527" t="n">
        <v>178.69625609</v>
      </c>
      <c r="VT49" s="1527" t="n">
        <v>360.6404676500001</v>
      </c>
      <c r="VU49" s="1527" t="n">
        <v>374.37046473</v>
      </c>
      <c r="VV49" s="1527">
        <f>SUM(VV45:VV48)</f>
        <v/>
      </c>
      <c r="VW49" s="1527" t="n">
        <v>149.25721107</v>
      </c>
      <c r="VX49" s="1527" t="n">
        <v>729.3511200099999</v>
      </c>
      <c r="VY49" s="1527" t="n">
        <v>467.95579545</v>
      </c>
      <c r="VZ49" s="1527" t="n">
        <v>324.11180343</v>
      </c>
      <c r="WA49" s="1527" t="n">
        <v>502.30811548</v>
      </c>
      <c r="WB49" s="1527" t="n">
        <v>186.83293656</v>
      </c>
      <c r="WC49" s="1527" t="n">
        <v>286.62699228</v>
      </c>
      <c r="WD49" s="1527" t="n">
        <v>453.2053828599999</v>
      </c>
      <c r="WE49" s="1527" t="n">
        <v>325.45969251</v>
      </c>
      <c r="WF49" s="1527" t="n">
        <v>368.4360552699999</v>
      </c>
      <c r="WG49" s="1527" t="n">
        <v>259.08510758</v>
      </c>
      <c r="WH49" s="1527" t="n">
        <v>164.01397866</v>
      </c>
      <c r="WI49" s="1527" t="n">
        <v>302.36774718</v>
      </c>
      <c r="WJ49" s="1527" t="n">
        <v>769.393485249</v>
      </c>
      <c r="WK49" s="1527" t="n">
        <v>715.32123265</v>
      </c>
      <c r="WL49" s="1527" t="n">
        <v>597.4836927600001</v>
      </c>
      <c r="WM49" s="1527" t="n">
        <v>358.41344164</v>
      </c>
      <c r="WN49" s="1527" t="n">
        <v>578.2089948999999</v>
      </c>
      <c r="WO49" s="1527" t="n">
        <v>542.75760086</v>
      </c>
      <c r="WP49" s="1527" t="n">
        <v>542.25459018</v>
      </c>
      <c r="WQ49" s="1527" t="n">
        <v>1015.268352137616</v>
      </c>
      <c r="WR49" s="1527">
        <f>SUM(WR45:WR48)</f>
        <v/>
      </c>
      <c r="WS49" s="1527">
        <f>SUM(WS45:WS48)</f>
        <v/>
      </c>
      <c r="WT49" s="1527">
        <f>SUM(WT45:WT48)</f>
        <v/>
      </c>
      <c r="WU49" s="1527">
        <f>SUM(WU45:WU48)</f>
        <v/>
      </c>
      <c r="WV49" s="1527">
        <f>SUM(WV45:WV48)</f>
        <v/>
      </c>
      <c r="WW49" s="1527" t="n">
        <v>522.4109147</v>
      </c>
      <c r="WX49" s="1527" t="n">
        <v>514.31914333</v>
      </c>
      <c r="WY49" s="1527" t="n">
        <v>576.29543136</v>
      </c>
      <c r="WZ49" s="1527" t="n">
        <v>503.51268777</v>
      </c>
      <c r="XA49" s="1527" t="n">
        <v>486.52607331</v>
      </c>
      <c r="XB49" s="1527" t="n">
        <v>887.92298293</v>
      </c>
      <c r="XC49" s="1527" t="n">
        <v>295.21940435</v>
      </c>
      <c r="XD49" s="1527" t="n">
        <v>461.67510502</v>
      </c>
      <c r="XE49" s="1527" t="n">
        <v>418.10381905</v>
      </c>
      <c r="XF49" s="1527" t="n">
        <v>471.92437798</v>
      </c>
      <c r="XG49" s="1527" t="n">
        <v>480.28040944</v>
      </c>
      <c r="XH49" s="1527" t="n">
        <v>660.2430167699999</v>
      </c>
      <c r="XI49" s="1527" t="n">
        <v>604.1066762999999</v>
      </c>
      <c r="XJ49" s="1527" t="n">
        <v>1316.65705024</v>
      </c>
      <c r="XK49" s="1527" t="n">
        <v>374.69325245</v>
      </c>
      <c r="XL49" s="1527" t="n">
        <v>508.17293205</v>
      </c>
      <c r="XM49" s="1527" t="n">
        <v>910.9388608199999</v>
      </c>
      <c r="XN49" s="1527" t="n">
        <v>375.74470582</v>
      </c>
      <c r="XO49" s="1527" t="n">
        <v>400.1791231</v>
      </c>
      <c r="XP49" s="1527" t="n">
        <v>1242.89703788</v>
      </c>
      <c r="XQ49" s="1527" t="n">
        <v>1912.6569387</v>
      </c>
      <c r="XR49" s="1527" t="n">
        <v>2269.84557481</v>
      </c>
      <c r="XS49" s="1527" t="n">
        <v>2344.17135103</v>
      </c>
      <c r="XT49" s="1527" t="n">
        <v>642.86783545</v>
      </c>
      <c r="XU49" s="1527" t="n">
        <v>768.31758338</v>
      </c>
      <c r="XV49" s="1527" t="n">
        <v>617.8892641900001</v>
      </c>
      <c r="XW49" s="1527" t="n">
        <v>774.00808577</v>
      </c>
      <c r="XX49" s="1527" t="n">
        <v>283.26633447</v>
      </c>
      <c r="XY49" s="1527" t="n">
        <v>478.375017</v>
      </c>
      <c r="XZ49" s="1527" t="n">
        <v>506.05505978</v>
      </c>
      <c r="YA49" s="1527" t="n">
        <v>513.1866301</v>
      </c>
      <c r="YB49" s="1527" t="n">
        <v>430.2924164</v>
      </c>
      <c r="YC49" s="1527" t="n">
        <v>276.03434752</v>
      </c>
      <c r="YD49" s="1527" t="n">
        <v>2281.08406964</v>
      </c>
      <c r="YE49" s="1527" t="n">
        <v>352.9120077699999</v>
      </c>
      <c r="YF49" s="1527" t="n">
        <v>816.45580763</v>
      </c>
      <c r="YG49" s="1527" t="n">
        <v>419.2189599399999</v>
      </c>
      <c r="YH49" s="1527" t="n">
        <v>702.8189556978701</v>
      </c>
      <c r="YI49" s="1527" t="n">
        <v>659.8650012578701</v>
      </c>
      <c r="YJ49" s="1528">
        <f>SUM(YJ45:YJ48)</f>
        <v/>
      </c>
    </row>
    <row r="50" ht="15" customFormat="1" customHeight="1" s="948" thickBot="1">
      <c r="B50" s="921" t="inlineStr">
        <is>
          <t xml:space="preserve">                                     (M.USD)</t>
        </is>
      </c>
      <c r="C50" s="1539">
        <f>C49/C2</f>
        <v/>
      </c>
      <c r="D50" s="1529">
        <f>D49/D2</f>
        <v/>
      </c>
      <c r="E50" s="1529">
        <f>E49/E2</f>
        <v/>
      </c>
      <c r="F50" s="1529">
        <f>F49/F2</f>
        <v/>
      </c>
      <c r="G50" s="1529">
        <f>G49/G2</f>
        <v/>
      </c>
      <c r="H50" s="1529">
        <f>H49/H2</f>
        <v/>
      </c>
      <c r="I50" s="1529">
        <f>I49/I2</f>
        <v/>
      </c>
      <c r="J50" s="1529">
        <f>J49/J2</f>
        <v/>
      </c>
      <c r="K50" s="1529">
        <f>K49/K2</f>
        <v/>
      </c>
      <c r="L50" s="1529">
        <f>L49/L2</f>
        <v/>
      </c>
      <c r="M50" s="1529">
        <f>M49/M2</f>
        <v/>
      </c>
      <c r="N50" s="1529">
        <f>N49/N2</f>
        <v/>
      </c>
      <c r="O50" s="1529">
        <f>O49/O2</f>
        <v/>
      </c>
      <c r="P50" s="1529">
        <f>P49/P2</f>
        <v/>
      </c>
      <c r="Q50" s="1529">
        <f>Q49/Q2</f>
        <v/>
      </c>
      <c r="R50" s="1529">
        <f>R49/R2</f>
        <v/>
      </c>
      <c r="S50" s="1529">
        <f>S49/S2</f>
        <v/>
      </c>
      <c r="T50" s="1529">
        <f>T49/T2</f>
        <v/>
      </c>
      <c r="U50" s="1529">
        <f>U49/U2</f>
        <v/>
      </c>
      <c r="V50" s="1529">
        <f>V49/V2</f>
        <v/>
      </c>
      <c r="W50" s="1529">
        <f>W49/W2</f>
        <v/>
      </c>
      <c r="X50" s="1529">
        <f>X49/X2</f>
        <v/>
      </c>
      <c r="Y50" s="1529">
        <f>Y49/Y2</f>
        <v/>
      </c>
      <c r="Z50" s="1529">
        <f>Z49/Z2</f>
        <v/>
      </c>
      <c r="AA50" s="1529">
        <f>AA49/AA2</f>
        <v/>
      </c>
      <c r="AB50" s="1529">
        <f>AB49/AB2</f>
        <v/>
      </c>
      <c r="AC50" s="1529">
        <f>AC49/AC2</f>
        <v/>
      </c>
      <c r="AD50" s="1529">
        <f>AD49/AD2</f>
        <v/>
      </c>
      <c r="AE50" s="1529">
        <f>AE49/AE2</f>
        <v/>
      </c>
      <c r="AF50" s="1529">
        <f>AF49/AF2</f>
        <v/>
      </c>
      <c r="AG50" s="1529">
        <f>AG49/AG2</f>
        <v/>
      </c>
      <c r="AH50" s="1529">
        <f>AH49/AH2</f>
        <v/>
      </c>
      <c r="AI50" s="1529">
        <f>AI49/AI2</f>
        <v/>
      </c>
      <c r="AJ50" s="1529">
        <f>AJ49/AJ2</f>
        <v/>
      </c>
      <c r="AK50" s="1529">
        <f>AK49/AK2</f>
        <v/>
      </c>
      <c r="AL50" s="1529">
        <f>AL49/AL2</f>
        <v/>
      </c>
      <c r="AM50" s="1529">
        <f>AM49/AM2</f>
        <v/>
      </c>
      <c r="AN50" s="1529">
        <f>AN49/AN2</f>
        <v/>
      </c>
      <c r="AO50" s="1529">
        <f>AO49/AO2</f>
        <v/>
      </c>
      <c r="AP50" s="1529">
        <f>AP49/AP2</f>
        <v/>
      </c>
      <c r="AQ50" s="1529">
        <f>AQ49/AQ2</f>
        <v/>
      </c>
      <c r="AR50" s="1529">
        <f>AR49/AR2</f>
        <v/>
      </c>
      <c r="AS50" s="1529">
        <f>AS49/AS2</f>
        <v/>
      </c>
      <c r="AT50" s="1529">
        <f>AT49/AT2</f>
        <v/>
      </c>
      <c r="AU50" s="1529">
        <f>AU49/AU2</f>
        <v/>
      </c>
      <c r="AV50" s="1529">
        <f>AV49/AV2</f>
        <v/>
      </c>
      <c r="AW50" s="1529">
        <f>AW49/AW2</f>
        <v/>
      </c>
      <c r="AX50" s="1529">
        <f>AX49/AX2</f>
        <v/>
      </c>
      <c r="AY50" s="1529">
        <f>AY49/AY2</f>
        <v/>
      </c>
      <c r="AZ50" s="1529">
        <f>AZ49/AZ2</f>
        <v/>
      </c>
      <c r="BA50" s="1529">
        <f>BA49/BA2</f>
        <v/>
      </c>
      <c r="BB50" s="1529">
        <f>BB49/BB2</f>
        <v/>
      </c>
      <c r="BC50" s="1529">
        <f>BC49/BC2</f>
        <v/>
      </c>
      <c r="BD50" s="1529">
        <f>BD49/BD2</f>
        <v/>
      </c>
      <c r="BE50" s="1529">
        <f>BE49/BE2</f>
        <v/>
      </c>
      <c r="BF50" s="1529">
        <f>BF49/BF2</f>
        <v/>
      </c>
      <c r="BG50" s="1529">
        <f>BG49/BG2</f>
        <v/>
      </c>
      <c r="BH50" s="1529">
        <f>BH49/BH2</f>
        <v/>
      </c>
      <c r="BI50" s="1529">
        <f>BI49/BI2</f>
        <v/>
      </c>
      <c r="BJ50" s="1529">
        <f>BJ49/BJ2</f>
        <v/>
      </c>
      <c r="BK50" s="1529">
        <f>BK49/BK2</f>
        <v/>
      </c>
      <c r="BL50" s="1529">
        <f>BL49/BL2</f>
        <v/>
      </c>
      <c r="BM50" s="1529">
        <f>BM49/BM2</f>
        <v/>
      </c>
      <c r="BN50" s="1529">
        <f>BN49/BN2</f>
        <v/>
      </c>
      <c r="BO50" s="1529">
        <f>BO49/BO2</f>
        <v/>
      </c>
      <c r="BP50" s="1529">
        <f>BP49/BP2</f>
        <v/>
      </c>
      <c r="BQ50" s="1529">
        <f>BQ49/BQ2</f>
        <v/>
      </c>
      <c r="BR50" s="1529">
        <f>BR49/BR2</f>
        <v/>
      </c>
      <c r="BS50" s="1529">
        <f>BS49/BS2</f>
        <v/>
      </c>
      <c r="BT50" s="1529">
        <f>BT49/BT2</f>
        <v/>
      </c>
      <c r="BU50" s="1529">
        <f>BU49/BU2</f>
        <v/>
      </c>
      <c r="BV50" s="1529">
        <f>BV49/BV2</f>
        <v/>
      </c>
      <c r="BW50" s="1529">
        <f>BW49/BW2</f>
        <v/>
      </c>
      <c r="BX50" s="1529">
        <f>BX49/BX2</f>
        <v/>
      </c>
      <c r="BY50" s="1529">
        <f>BY49/BY2</f>
        <v/>
      </c>
      <c r="BZ50" s="1529">
        <f>BZ49/BZ2</f>
        <v/>
      </c>
      <c r="CA50" s="1529">
        <f>CA49/CA2</f>
        <v/>
      </c>
      <c r="CB50" s="1529">
        <f>CB49/CB2</f>
        <v/>
      </c>
      <c r="CC50" s="1529">
        <f>CC49/CC2</f>
        <v/>
      </c>
      <c r="CD50" s="1529">
        <f>CD49/CD2</f>
        <v/>
      </c>
      <c r="CE50" s="1529">
        <f>CE49/CE2</f>
        <v/>
      </c>
      <c r="CF50" s="1529">
        <f>CF49/CF2</f>
        <v/>
      </c>
      <c r="CG50" s="1529">
        <f>CG49/CG2</f>
        <v/>
      </c>
      <c r="CH50" s="1529">
        <f>CH49/CH2</f>
        <v/>
      </c>
      <c r="CI50" s="1529">
        <f>CI49/CI2</f>
        <v/>
      </c>
      <c r="CJ50" s="1529">
        <f>CJ49/CJ2</f>
        <v/>
      </c>
      <c r="CK50" s="1529">
        <f>CK49/CK2</f>
        <v/>
      </c>
      <c r="CL50" s="1529">
        <f>CL49/CL2</f>
        <v/>
      </c>
      <c r="CM50" s="1529">
        <f>CM49/CM2</f>
        <v/>
      </c>
      <c r="CN50" s="1529">
        <f>CN49/CN2</f>
        <v/>
      </c>
      <c r="CO50" s="1529">
        <f>CO49/CO2</f>
        <v/>
      </c>
      <c r="CP50" s="1529">
        <f>CP49/CP2</f>
        <v/>
      </c>
      <c r="CQ50" s="1529">
        <f>CQ49/CQ2</f>
        <v/>
      </c>
      <c r="CR50" s="1529">
        <f>CR49/CR2</f>
        <v/>
      </c>
      <c r="CS50" s="1529">
        <f>CS49/CS2</f>
        <v/>
      </c>
      <c r="CT50" s="1529">
        <f>CT49/CT2</f>
        <v/>
      </c>
      <c r="CU50" s="1529">
        <f>CU49/CU2</f>
        <v/>
      </c>
      <c r="CV50" s="1529">
        <f>CV49/CV2</f>
        <v/>
      </c>
      <c r="CW50" s="1529">
        <f>CW49/CW2</f>
        <v/>
      </c>
      <c r="CX50" s="1529">
        <f>CX49/CX2</f>
        <v/>
      </c>
      <c r="CY50" s="1529">
        <f>CY49/CY2</f>
        <v/>
      </c>
      <c r="CZ50" s="1529">
        <f>CZ49/CZ2</f>
        <v/>
      </c>
      <c r="DA50" s="1529">
        <f>DA49/DA2</f>
        <v/>
      </c>
      <c r="DB50" s="1529">
        <f>DB49/DB2</f>
        <v/>
      </c>
      <c r="DC50" s="1529">
        <f>DC49/DC2</f>
        <v/>
      </c>
      <c r="DD50" s="1529">
        <f>DD49/DD2</f>
        <v/>
      </c>
      <c r="DE50" s="1529">
        <f>DE49/DE2</f>
        <v/>
      </c>
      <c r="DF50" s="1529">
        <f>DF49/DF2</f>
        <v/>
      </c>
      <c r="DG50" s="1529">
        <f>DG49/DG2</f>
        <v/>
      </c>
      <c r="DH50" s="1529">
        <f>DH49/DH2</f>
        <v/>
      </c>
      <c r="DI50" s="1529">
        <f>DI49/DI2</f>
        <v/>
      </c>
      <c r="DJ50" s="1529">
        <f>DJ49/DJ2</f>
        <v/>
      </c>
      <c r="DK50" s="1529">
        <f>DK49/DK2</f>
        <v/>
      </c>
      <c r="DL50" s="1529">
        <f>DL49/DL2</f>
        <v/>
      </c>
      <c r="DM50" s="1529">
        <f>DM49/DM2</f>
        <v/>
      </c>
      <c r="DN50" s="1529">
        <f>DN49/DN2</f>
        <v/>
      </c>
      <c r="DO50" s="1529">
        <f>DO49/DO2</f>
        <v/>
      </c>
      <c r="DP50" s="1529">
        <f>DP49/DP2</f>
        <v/>
      </c>
      <c r="DQ50" s="1529">
        <f>DQ49/DQ2</f>
        <v/>
      </c>
      <c r="DR50" s="1529">
        <f>DR49/DR2</f>
        <v/>
      </c>
      <c r="DS50" s="1529">
        <f>DS49/DS2</f>
        <v/>
      </c>
      <c r="DT50" s="1529">
        <f>DT49/DT2</f>
        <v/>
      </c>
      <c r="DU50" s="1529">
        <f>DU49/DU2</f>
        <v/>
      </c>
      <c r="DV50" s="1529">
        <f>DV49/DV2</f>
        <v/>
      </c>
      <c r="DW50" s="1529">
        <f>DW49/DW2</f>
        <v/>
      </c>
      <c r="DX50" s="1529">
        <f>DX49/DX2</f>
        <v/>
      </c>
      <c r="DY50" s="1529">
        <f>DY49/DY2</f>
        <v/>
      </c>
      <c r="DZ50" s="1529">
        <f>DZ49/DZ2</f>
        <v/>
      </c>
      <c r="EA50" s="1529">
        <f>EA49/EA2</f>
        <v/>
      </c>
      <c r="EB50" s="1529">
        <f>EB49/EB2</f>
        <v/>
      </c>
      <c r="EC50" s="1529">
        <f>EC49/EC2</f>
        <v/>
      </c>
      <c r="ED50" s="1529">
        <f>ED49/ED2</f>
        <v/>
      </c>
      <c r="EE50" s="1529">
        <f>EE49/EE2</f>
        <v/>
      </c>
      <c r="EF50" s="1529">
        <f>EF49/EF2</f>
        <v/>
      </c>
      <c r="EG50" s="1529">
        <f>EG49/EG2</f>
        <v/>
      </c>
      <c r="EH50" s="1529">
        <f>EH49/EH2</f>
        <v/>
      </c>
      <c r="EI50" s="1529">
        <f>EI49/EI2</f>
        <v/>
      </c>
      <c r="EJ50" s="1529">
        <f>EJ49/EJ2</f>
        <v/>
      </c>
      <c r="EK50" s="1529">
        <f>EK49/EK2</f>
        <v/>
      </c>
      <c r="EL50" s="1529">
        <f>EL49/EL2</f>
        <v/>
      </c>
      <c r="EM50" s="1529">
        <f>EM49/EM2</f>
        <v/>
      </c>
      <c r="EN50" s="1529">
        <f>EN49/EN2</f>
        <v/>
      </c>
      <c r="EO50" s="1529">
        <f>EO49/EO2</f>
        <v/>
      </c>
      <c r="EP50" s="1529">
        <f>EP49/EP2</f>
        <v/>
      </c>
      <c r="EQ50" s="1529">
        <f>EQ49/EQ2</f>
        <v/>
      </c>
      <c r="ER50" s="1529">
        <f>ER49/ER2</f>
        <v/>
      </c>
      <c r="ES50" s="1529">
        <f>ES49/ES2</f>
        <v/>
      </c>
      <c r="ET50" s="1529">
        <f>ET49/ET2</f>
        <v/>
      </c>
      <c r="EU50" s="1529">
        <f>EU49/EU2</f>
        <v/>
      </c>
      <c r="EV50" s="1529">
        <f>EV49/EV2</f>
        <v/>
      </c>
      <c r="EW50" s="1529">
        <f>EW49/EW2</f>
        <v/>
      </c>
      <c r="EX50" s="1529">
        <f>EX49/EX2</f>
        <v/>
      </c>
      <c r="EY50" s="1529">
        <f>EY49/EY2</f>
        <v/>
      </c>
      <c r="EZ50" s="1529">
        <f>EZ49/EZ2</f>
        <v/>
      </c>
      <c r="FA50" s="1529">
        <f>FA49/FA2</f>
        <v/>
      </c>
      <c r="FB50" s="1529">
        <f>FB49/FB2</f>
        <v/>
      </c>
      <c r="FC50" s="1529">
        <f>FC49/FC2</f>
        <v/>
      </c>
      <c r="FD50" s="1529">
        <f>FD49/FD2</f>
        <v/>
      </c>
      <c r="FE50" s="1529">
        <f>FE49/FE2</f>
        <v/>
      </c>
      <c r="FF50" s="1529">
        <f>FF49/FF2</f>
        <v/>
      </c>
      <c r="FG50" s="1529">
        <f>FG49/FG2</f>
        <v/>
      </c>
      <c r="FH50" s="1529">
        <f>FH49/FH2</f>
        <v/>
      </c>
      <c r="FI50" s="1529">
        <f>FI49/FI2</f>
        <v/>
      </c>
      <c r="FJ50" s="1529">
        <f>FJ49/FJ2</f>
        <v/>
      </c>
      <c r="FK50" s="1529">
        <f>FK49/FK2</f>
        <v/>
      </c>
      <c r="FL50" s="1529">
        <f>FL49/FL2</f>
        <v/>
      </c>
      <c r="FM50" s="1529">
        <f>FM49/FM2</f>
        <v/>
      </c>
      <c r="FN50" s="1529">
        <f>FN49/FN2</f>
        <v/>
      </c>
      <c r="FO50" s="1529">
        <f>FO49/FO2</f>
        <v/>
      </c>
      <c r="FP50" s="1529">
        <f>FP49/FP2</f>
        <v/>
      </c>
      <c r="FQ50" s="1529">
        <f>FQ49/FQ2</f>
        <v/>
      </c>
      <c r="FR50" s="1529">
        <f>FR49/FR2</f>
        <v/>
      </c>
      <c r="FS50" s="1529">
        <f>FS49/FS2</f>
        <v/>
      </c>
      <c r="FT50" s="1529">
        <f>FT49/FT2</f>
        <v/>
      </c>
      <c r="FU50" s="1529">
        <f>FU49/FU2</f>
        <v/>
      </c>
      <c r="FV50" s="1529">
        <f>FV49/FV2</f>
        <v/>
      </c>
      <c r="FW50" s="1529">
        <f>FW49/FW2</f>
        <v/>
      </c>
      <c r="FX50" s="1529">
        <f>FX49/FX2</f>
        <v/>
      </c>
      <c r="FY50" s="1529">
        <f>FY49/FY2</f>
        <v/>
      </c>
      <c r="FZ50" s="1529">
        <f>FZ49/FZ2</f>
        <v/>
      </c>
      <c r="GA50" s="1529">
        <f>GA49/GA2</f>
        <v/>
      </c>
      <c r="GB50" s="1529">
        <f>GB49/GB2</f>
        <v/>
      </c>
      <c r="GC50" s="1529">
        <f>GC49/GC2</f>
        <v/>
      </c>
      <c r="GD50" s="1529">
        <f>GD49/GD2</f>
        <v/>
      </c>
      <c r="GE50" s="1529">
        <f>GE49/GE2</f>
        <v/>
      </c>
      <c r="GF50" s="1529">
        <f>GF49/GF2</f>
        <v/>
      </c>
      <c r="GG50" s="1529">
        <f>GG49/GG2</f>
        <v/>
      </c>
      <c r="GH50" s="1529">
        <f>GH49/GH2</f>
        <v/>
      </c>
      <c r="GI50" s="1529">
        <f>GI49/GI2</f>
        <v/>
      </c>
      <c r="GJ50" s="1529">
        <f>GJ49/GJ2</f>
        <v/>
      </c>
      <c r="GK50" s="1529">
        <f>GK49/GK2</f>
        <v/>
      </c>
      <c r="GL50" s="1529">
        <f>GL49/GL2</f>
        <v/>
      </c>
      <c r="GM50" s="1529">
        <f>GM49/GM2</f>
        <v/>
      </c>
      <c r="GN50" s="1529">
        <f>GN49/GN2</f>
        <v/>
      </c>
      <c r="GO50" s="1529">
        <f>GO49/GO2</f>
        <v/>
      </c>
      <c r="GP50" s="1529">
        <f>GP49/GP2</f>
        <v/>
      </c>
      <c r="GQ50" s="1529">
        <f>GQ49/GQ2</f>
        <v/>
      </c>
      <c r="GR50" s="1529">
        <f>GR49/GR2</f>
        <v/>
      </c>
      <c r="GS50" s="1529">
        <f>GS49/GS2</f>
        <v/>
      </c>
      <c r="GT50" s="1529">
        <f>GT49/GT2</f>
        <v/>
      </c>
      <c r="GU50" s="1529">
        <f>GU49/GU2</f>
        <v/>
      </c>
      <c r="GV50" s="1529">
        <f>GV49/GV2</f>
        <v/>
      </c>
      <c r="GW50" s="1529">
        <f>GW49/GW2</f>
        <v/>
      </c>
      <c r="GX50" s="1529">
        <f>GX49/GX2</f>
        <v/>
      </c>
      <c r="GY50" s="1529">
        <f>GY49/GY2</f>
        <v/>
      </c>
      <c r="GZ50" s="1529">
        <f>GZ49/GZ2</f>
        <v/>
      </c>
      <c r="HA50" s="1529">
        <f>HA49/HA2</f>
        <v/>
      </c>
      <c r="HB50" s="1529">
        <f>HB49/HB2</f>
        <v/>
      </c>
      <c r="HC50" s="1529">
        <f>HC49/HC2</f>
        <v/>
      </c>
      <c r="HD50" s="1529">
        <f>HD49/HD2</f>
        <v/>
      </c>
      <c r="HE50" s="1529">
        <f>HE49/HE2</f>
        <v/>
      </c>
      <c r="HF50" s="1529">
        <f>HF49/HF2</f>
        <v/>
      </c>
      <c r="HG50" s="1529">
        <f>HG49/HG2</f>
        <v/>
      </c>
      <c r="HH50" s="1529">
        <f>HH49/HH2</f>
        <v/>
      </c>
      <c r="HI50" s="1529">
        <f>HI49/HI2</f>
        <v/>
      </c>
      <c r="HJ50" s="1529">
        <f>HJ49/HJ2</f>
        <v/>
      </c>
      <c r="HK50" s="1529">
        <f>HK49/HK2</f>
        <v/>
      </c>
      <c r="HL50" s="1529">
        <f>HL49/HL2</f>
        <v/>
      </c>
      <c r="HM50" s="1529">
        <f>HM49/HM2</f>
        <v/>
      </c>
      <c r="HN50" s="1529">
        <f>HN49/HN2</f>
        <v/>
      </c>
      <c r="HO50" s="1529" t="n">
        <v>3.785102083576077</v>
      </c>
      <c r="HP50" s="1529" t="n">
        <v>4.981530617161197</v>
      </c>
      <c r="HQ50" s="1529" t="n">
        <v>1.68902052768284</v>
      </c>
      <c r="HR50" s="1529">
        <f>HR49/HR2</f>
        <v/>
      </c>
      <c r="HS50" s="1529">
        <f>HS49/HS2</f>
        <v/>
      </c>
      <c r="HT50" s="1529">
        <f>HT49/HT2</f>
        <v/>
      </c>
      <c r="HU50" s="1529">
        <f>HU49/HU2</f>
        <v/>
      </c>
      <c r="HV50" s="1529" t="n">
        <v>4.661432616300649</v>
      </c>
      <c r="HW50" s="1529" t="n">
        <v>3.880626350143039</v>
      </c>
      <c r="HX50" s="1529" t="n">
        <v>3.923578772573822</v>
      </c>
      <c r="HY50" s="1529" t="n">
        <v>1.026738481510414</v>
      </c>
      <c r="HZ50" s="1529" t="n">
        <v>0.8745405577944078</v>
      </c>
      <c r="IA50" s="1529" t="n">
        <v>1.638925183133735</v>
      </c>
      <c r="IB50" s="1529" t="n">
        <v>0.6546359844930704</v>
      </c>
      <c r="IC50" s="1529" t="n">
        <v>0.6187841321740839</v>
      </c>
      <c r="ID50" s="1529" t="n">
        <v>0.6867759433766905</v>
      </c>
      <c r="IE50" s="1529" t="n">
        <v>2.348587525313496</v>
      </c>
      <c r="IF50" s="1529" t="n">
        <v>0.8982560962891619</v>
      </c>
      <c r="IG50" s="1529" t="n">
        <v>0.7009666057806216</v>
      </c>
      <c r="IH50" s="1529" t="n">
        <v>0.4785557480870754</v>
      </c>
      <c r="II50" s="1529" t="n">
        <v>0.4500068213910004</v>
      </c>
      <c r="IJ50" s="1529" t="n">
        <v>1.048322237033625</v>
      </c>
      <c r="IK50" s="1529" t="n">
        <v>8.072909581119772</v>
      </c>
      <c r="IL50" s="1529" t="n">
        <v>0.3942380574472927</v>
      </c>
      <c r="IM50" s="1529" t="n">
        <v>2.445529522415111</v>
      </c>
      <c r="IN50" s="1529" t="n">
        <v>2.113088619752681</v>
      </c>
      <c r="IO50" s="1529" t="n">
        <v>2.030419592423256</v>
      </c>
      <c r="IP50" s="1529" t="n">
        <v>5.257418087102981</v>
      </c>
      <c r="IQ50" s="1529" t="n">
        <v>2.7903965563169</v>
      </c>
      <c r="IR50" s="1529" t="n">
        <v>2.228007151944781</v>
      </c>
      <c r="IS50" s="1529" t="n">
        <v>2.721312923032695</v>
      </c>
      <c r="IT50" s="1529" t="n">
        <v>1.899153053799302</v>
      </c>
      <c r="IU50" s="1529" t="n">
        <v>2.78236770287732</v>
      </c>
      <c r="IV50" s="1529" t="n">
        <v>2.812004649164653</v>
      </c>
      <c r="IW50" s="1529" t="n">
        <v>2.222770202618773</v>
      </c>
      <c r="IX50" s="1529" t="n">
        <v>1.910626305303134</v>
      </c>
      <c r="IY50" s="1529">
        <f>IY49/IY2</f>
        <v/>
      </c>
      <c r="IZ50" s="1529" t="n">
        <v>0.5414591824240409</v>
      </c>
      <c r="JA50" s="1529" t="n">
        <v>6.199435810349985</v>
      </c>
      <c r="JB50" s="1529" t="n">
        <v>4.946593680844756</v>
      </c>
      <c r="JC50" s="1529" t="n">
        <v>19.41315682984788</v>
      </c>
      <c r="JD50" s="1529" t="n">
        <v>5.05816421544414</v>
      </c>
      <c r="JE50" s="1529" t="n">
        <v>2.7752175994979</v>
      </c>
      <c r="JF50" s="1529" t="n">
        <v>4.89339637624161</v>
      </c>
      <c r="JG50" s="1529" t="n">
        <v>5.02680263067497</v>
      </c>
      <c r="JH50" s="1529" t="n">
        <v>4.700389975113772</v>
      </c>
      <c r="JI50" s="1529" t="n">
        <v>2.429830876778831</v>
      </c>
      <c r="JJ50" s="1529" t="n">
        <v>2.877946673714919</v>
      </c>
      <c r="JK50" s="1529" t="n">
        <v>3.969763748275128</v>
      </c>
      <c r="JL50" s="1529" t="n">
        <v>3.947613347694683</v>
      </c>
      <c r="JM50" s="1529" t="n">
        <v>5.696650580552417</v>
      </c>
      <c r="JN50" s="1529" t="n">
        <v>19.02557829117055</v>
      </c>
      <c r="JO50" s="1529" t="n">
        <v>18.94976728831934</v>
      </c>
      <c r="JP50" s="1529" t="n">
        <v>21.59116817538845</v>
      </c>
      <c r="JQ50" s="1529" t="n">
        <v>10.14591354666698</v>
      </c>
      <c r="JR50" s="1529" t="n">
        <v>9.552353226034064</v>
      </c>
      <c r="JS50" s="1529">
        <f>JS49/JS2</f>
        <v/>
      </c>
      <c r="JT50" s="1529" t="n">
        <v>4.384610363682878</v>
      </c>
      <c r="JU50" s="1529" t="n">
        <v>3.446509847999562</v>
      </c>
      <c r="JV50" s="1529" t="n">
        <v>6.134104003628007</v>
      </c>
      <c r="JW50" s="1529" t="n">
        <v>20.39021340895252</v>
      </c>
      <c r="JX50" s="1529" t="n">
        <v>4.975760318726625</v>
      </c>
      <c r="JY50" s="1529" t="n">
        <v>2.476780158731102</v>
      </c>
      <c r="JZ50" s="1529" t="n">
        <v>6.18311338294354</v>
      </c>
      <c r="KA50" s="1529" t="n">
        <v>3.031887128102866</v>
      </c>
      <c r="KB50" s="1529" t="n">
        <v>6.799758582187172</v>
      </c>
      <c r="KC50" s="1529" t="n">
        <v>5.985418485398252</v>
      </c>
      <c r="KD50" s="1529" t="n">
        <v>5.341586942944683</v>
      </c>
      <c r="KE50" s="1529" t="n">
        <v>5.889636706763465</v>
      </c>
      <c r="KF50" s="1529" t="n">
        <v>6.608608673292759</v>
      </c>
      <c r="KG50" s="1529" t="n">
        <v>2.030954002191769</v>
      </c>
      <c r="KH50" s="1529" t="n">
        <v>3.607716483290933</v>
      </c>
      <c r="KI50" s="1529" t="n">
        <v>2.332826556175897</v>
      </c>
      <c r="KJ50" s="1529">
        <f>KJ49/KJ2</f>
        <v/>
      </c>
      <c r="KK50" s="1529" t="n">
        <v>3.042438295996332</v>
      </c>
      <c r="KL50" s="1529" t="n">
        <v>4.089907804553475</v>
      </c>
      <c r="KM50" s="1529" t="n">
        <v>2.743296287137222</v>
      </c>
      <c r="KN50" s="1529" t="n">
        <v>2.917679124269022</v>
      </c>
      <c r="KO50" s="1529" t="n">
        <v>2.248603753302581</v>
      </c>
      <c r="KP50" s="1529" t="n">
        <v>11.08986920110794</v>
      </c>
      <c r="KQ50" s="1529" t="n">
        <v>4.478741103299615</v>
      </c>
      <c r="KR50" s="1529" t="n">
        <v>5.134047522026977</v>
      </c>
      <c r="KS50" s="1529">
        <f>KS49/KS2</f>
        <v/>
      </c>
      <c r="KT50" s="1529" t="n">
        <v>1.686365065367061</v>
      </c>
      <c r="KU50" s="1529">
        <f>KU49/KU2</f>
        <v/>
      </c>
      <c r="KV50" s="1529">
        <f>KV49/KV2</f>
        <v/>
      </c>
      <c r="KW50" s="1529">
        <f>KW49/KW2</f>
        <v/>
      </c>
      <c r="KX50" s="1529" t="n">
        <v>1.686596807501024</v>
      </c>
      <c r="KY50" s="1529" t="n">
        <v>10.83645185744603</v>
      </c>
      <c r="KZ50" s="1529" t="n">
        <v>11.05117055955049</v>
      </c>
      <c r="LA50" s="1529" t="n">
        <v>3.852852827828114</v>
      </c>
      <c r="LB50" s="1529" t="n">
        <v>7.843481668153665</v>
      </c>
      <c r="LC50" s="1529" t="n">
        <v>8.815461116433696</v>
      </c>
      <c r="LD50" s="1529" t="n">
        <v>19.6024512985889</v>
      </c>
      <c r="LE50" s="1529">
        <f>LE49/LE2</f>
        <v/>
      </c>
      <c r="LF50" s="1530" t="n">
        <v>9.259582577803506</v>
      </c>
      <c r="LG50" s="1530" t="n">
        <v>3.503362749613514</v>
      </c>
      <c r="LH50" s="1530" t="n">
        <v>6.950835225182941</v>
      </c>
      <c r="LI50" s="1530" t="n">
        <v>8.744751559825147</v>
      </c>
      <c r="LJ50" s="1530" t="n">
        <v>3.457048641419807</v>
      </c>
      <c r="LK50" s="1530" t="n">
        <v>12.93170291727981</v>
      </c>
      <c r="LL50" s="1530" t="n">
        <v>3.798490550930147</v>
      </c>
      <c r="LM50" s="1530" t="n">
        <v>4.362391088837266</v>
      </c>
      <c r="LN50" s="1530" t="n">
        <v>4.492224661367075</v>
      </c>
      <c r="LO50" s="1530" t="n">
        <v>2.073554147040432</v>
      </c>
      <c r="LP50" s="1530" t="n">
        <v>1.0367841585255</v>
      </c>
      <c r="LQ50" s="1530" t="n">
        <v>2.895529186486157</v>
      </c>
      <c r="LR50" s="1530" t="n">
        <v>9.417285896419138</v>
      </c>
      <c r="LS50" s="1530" t="n">
        <v>11.18512593700923</v>
      </c>
      <c r="LT50" s="1530" t="n">
        <v>14.47036594335122</v>
      </c>
      <c r="LU50" s="1530" t="n">
        <v>12.484100484015</v>
      </c>
      <c r="LV50" s="1530" t="n">
        <v>5.588276107963807</v>
      </c>
      <c r="LW50" s="1530" t="n">
        <v>0.7641514288245663</v>
      </c>
      <c r="LX50" s="1530" t="n">
        <v>0.7612485396342678</v>
      </c>
      <c r="LY50" s="1530" t="n">
        <v>6.460810178295546</v>
      </c>
      <c r="LZ50" s="1530" t="n">
        <v>2.784449164392024</v>
      </c>
      <c r="MA50" s="1530" t="n">
        <v>7.057235400929784</v>
      </c>
      <c r="MB50" s="1530" t="n">
        <v>1.552789329550784</v>
      </c>
      <c r="MC50" s="1530" t="n">
        <v>5.397476745196816</v>
      </c>
      <c r="MD50" s="1530" t="n">
        <v>1.319760906679138</v>
      </c>
      <c r="ME50" s="1530" t="n">
        <v>3.651196882053882</v>
      </c>
      <c r="MF50" s="1530" t="n">
        <v>2.801164982011485</v>
      </c>
      <c r="MG50" s="1530" t="n">
        <v>3.064713010193992</v>
      </c>
      <c r="MH50" s="1530" t="n">
        <v>5.615613292844062</v>
      </c>
      <c r="MI50" s="1530" t="n">
        <v>5.82210057776955</v>
      </c>
      <c r="MJ50" s="1530" t="n">
        <v>5.190642432703158</v>
      </c>
      <c r="MK50" s="1530" t="n">
        <v>2.212222510777202</v>
      </c>
      <c r="ML50" s="1530" t="n">
        <v>5.082823418740683</v>
      </c>
      <c r="MM50" s="1530" t="n">
        <v>5.091881468607921</v>
      </c>
      <c r="MN50" s="1530" t="n">
        <v>4.581607121960632</v>
      </c>
      <c r="MO50" s="1530" t="n">
        <v>2.223022499362834</v>
      </c>
      <c r="MP50" s="1530" t="n">
        <v>1.565306366364857</v>
      </c>
      <c r="MQ50" s="1530" t="n">
        <v>1.940744704553344</v>
      </c>
      <c r="MR50" s="1530" t="n">
        <v>1.647998388215474</v>
      </c>
      <c r="MS50" s="1530" t="n">
        <v>2.297870621094359</v>
      </c>
      <c r="MT50" s="1530" t="n">
        <v>6.20167218439204</v>
      </c>
      <c r="MU50" s="1530" t="n">
        <v>4.28475277833344</v>
      </c>
      <c r="MV50" s="1530" t="n">
        <v>4.390066772445532</v>
      </c>
      <c r="MW50" s="1530" t="n">
        <v>5.861059185365979</v>
      </c>
      <c r="MX50" s="1530" t="n">
        <v>4.545331908127026</v>
      </c>
      <c r="MY50" s="1530" t="n">
        <v>5.558801403655832</v>
      </c>
      <c r="MZ50" s="1530" t="n">
        <v>3.930494192194091</v>
      </c>
      <c r="NA50" s="1530" t="n">
        <v>3.159354574883308</v>
      </c>
      <c r="NB50" s="1530" t="n">
        <v>6.877363131756015</v>
      </c>
      <c r="NC50" s="1530" t="n">
        <v>3.607208038277614</v>
      </c>
      <c r="ND50" s="1530" t="n">
        <v>2.284626299260926</v>
      </c>
      <c r="NE50" s="1530" t="n">
        <v>6.723211630293706</v>
      </c>
      <c r="NF50" s="1530" t="n">
        <v>7.834567104559991</v>
      </c>
      <c r="NG50" s="1530" t="n">
        <v>5.319760909551221</v>
      </c>
      <c r="NH50" s="1530" t="n">
        <v>5.414613218186791</v>
      </c>
      <c r="NI50" s="1530" t="n">
        <v>6.653665866971808</v>
      </c>
      <c r="NJ50" s="1530" t="n">
        <v>8.885376208108696</v>
      </c>
      <c r="NK50" s="1530" t="n">
        <v>6.789399656874846</v>
      </c>
      <c r="NL50" s="1530" t="n">
        <v>4.724041410929853</v>
      </c>
      <c r="NM50" s="1530" t="n">
        <v>10.39518340693242</v>
      </c>
      <c r="NN50" s="1530" t="n">
        <v>6.887650838690504</v>
      </c>
      <c r="NO50" s="1530" t="n">
        <v>6.72422548826999</v>
      </c>
      <c r="NP50" s="1530" t="n">
        <v>3.227199492469054</v>
      </c>
      <c r="NQ50" s="1530" t="n">
        <v>3.219558595504703</v>
      </c>
      <c r="NR50" s="1530" t="n">
        <v>3.880485098567781</v>
      </c>
      <c r="NS50" s="1530" t="n">
        <v>5.118076983114698</v>
      </c>
      <c r="NT50" s="1530" t="n">
        <v>7.308246595597808</v>
      </c>
      <c r="NU50" s="1530">
        <f>NU49/NU2</f>
        <v/>
      </c>
      <c r="NV50" s="1530" t="n">
        <v>5.161695191388479</v>
      </c>
      <c r="NW50" s="1530" t="n">
        <v>10.11251333092827</v>
      </c>
      <c r="NX50" s="1530" t="n">
        <v>4.722686827849663</v>
      </c>
      <c r="NY50" s="1530" t="n">
        <v>5.960990016522811</v>
      </c>
      <c r="NZ50" s="1530" t="n">
        <v>6.201474347648381</v>
      </c>
      <c r="OA50" s="1530" t="n">
        <v>4.308989742121313</v>
      </c>
      <c r="OB50" s="1530" t="n">
        <v>8.703632037620951</v>
      </c>
      <c r="OC50" s="1530" t="n">
        <v>7.644737682330136</v>
      </c>
      <c r="OD50" s="1530" t="n">
        <v>10.38328033909862</v>
      </c>
      <c r="OE50" s="1530" t="n">
        <v>11.89363015566738</v>
      </c>
      <c r="OF50" s="1530" t="n">
        <v>12.17009612463716</v>
      </c>
      <c r="OG50" s="1530" t="n">
        <v>7.910380858419149</v>
      </c>
      <c r="OH50" s="1530" t="n">
        <v>1.322222947944981</v>
      </c>
      <c r="OI50" s="1530" t="n">
        <v>6.273411374228383</v>
      </c>
      <c r="OJ50" s="1530" t="n">
        <v>6.806345325413957</v>
      </c>
      <c r="OK50" s="1530" t="n">
        <v>7.837950189042981</v>
      </c>
      <c r="OL50" s="1530" t="n">
        <v>5.768132386788124</v>
      </c>
      <c r="OM50" s="1530" t="n">
        <v>7.245623191564155</v>
      </c>
      <c r="ON50" s="1530" t="n">
        <v>9.834782604787781</v>
      </c>
      <c r="OO50" s="1530" t="n">
        <v>10.17704686944655</v>
      </c>
      <c r="OP50" s="1530" t="n">
        <v>4.874234863110814</v>
      </c>
      <c r="OQ50" s="1530" t="n">
        <v>4.736895123491736</v>
      </c>
      <c r="OR50" s="1530" t="n">
        <v>9.242066081525923</v>
      </c>
      <c r="OS50" s="1530" t="n">
        <v>2.10574910802105</v>
      </c>
      <c r="OT50" s="1530" t="n">
        <v>17.39395816504221</v>
      </c>
      <c r="OU50" s="1530" t="n">
        <v>7.940475975600475</v>
      </c>
      <c r="OV50" s="1530" t="n">
        <v>13.8835175450266</v>
      </c>
      <c r="OW50" s="1530" t="n">
        <v>13.37364743629307</v>
      </c>
      <c r="OX50" s="1530" t="n">
        <v>9.243907023822837</v>
      </c>
      <c r="OY50" s="1530" t="n">
        <v>10.46879524386124</v>
      </c>
      <c r="OZ50" s="1530" t="n">
        <v>13.07112257046148</v>
      </c>
      <c r="PA50" s="1530" t="n">
        <v>9.482481695507188</v>
      </c>
      <c r="PB50" s="1530" t="n">
        <v>4.499668009209094</v>
      </c>
      <c r="PC50" s="1530" t="n">
        <v>4.981031308236243</v>
      </c>
      <c r="PD50" s="1530" t="n">
        <v>10.32079032040257</v>
      </c>
      <c r="PE50" s="1530" t="n">
        <v>10.60826849086721</v>
      </c>
      <c r="PF50" s="1530" t="n">
        <v>10.39526970538968</v>
      </c>
      <c r="PG50" s="1530" t="n">
        <v>4.820076152874432</v>
      </c>
      <c r="PH50" s="1530" t="n">
        <v>12.45347168053586</v>
      </c>
      <c r="PI50" s="1530" t="n">
        <v>13.51613668832498</v>
      </c>
      <c r="PJ50" s="1530" t="n">
        <v>18.29965692260797</v>
      </c>
      <c r="PK50" s="1530" t="n">
        <v>11.26729334389786</v>
      </c>
      <c r="PL50" s="1530" t="n">
        <v>4.661199691279347</v>
      </c>
      <c r="PM50" s="1530" t="n">
        <v>3.487255351507386</v>
      </c>
      <c r="PN50" s="1530" t="n">
        <v>8.831629046412749</v>
      </c>
      <c r="PO50" s="1530" t="n">
        <v>13.90654948420125</v>
      </c>
      <c r="PP50" s="1530" t="n">
        <v>15.02051664109078</v>
      </c>
      <c r="PQ50" s="1530" t="n">
        <v>10.12378269376337</v>
      </c>
      <c r="PR50" s="1530" t="n">
        <v>10.60539594309009</v>
      </c>
      <c r="PS50" s="1530" t="n">
        <v>11.79152590280502</v>
      </c>
      <c r="PT50" s="1530" t="n">
        <v>12.21728784771769</v>
      </c>
      <c r="PU50" s="1530" t="n">
        <v>8.303792940426588</v>
      </c>
      <c r="PV50" s="1530" t="n">
        <v>4.067196798131851</v>
      </c>
      <c r="PW50" s="1530" t="n">
        <v>4.632869050974748</v>
      </c>
      <c r="PX50" s="1530" t="n">
        <v>9.485582762050951</v>
      </c>
      <c r="PY50" s="1530" t="n">
        <v>3.370976305428279</v>
      </c>
      <c r="PZ50" s="1530" t="n">
        <v>0.8382064451458796</v>
      </c>
      <c r="QA50" s="1530" t="n">
        <v>1.057303571082411</v>
      </c>
      <c r="QB50" s="1530" t="n">
        <v>2.15075486249476</v>
      </c>
      <c r="QC50" s="1530" t="n">
        <v>3.891404180599111</v>
      </c>
      <c r="QD50" s="1530" t="n">
        <v>2.953241178139449</v>
      </c>
      <c r="QE50" s="1530" t="n">
        <v>1.707854746226418</v>
      </c>
      <c r="QF50" s="1530" t="n">
        <v>5.448556212433384</v>
      </c>
      <c r="QG50" s="1530" t="n">
        <v>4.175174784550928</v>
      </c>
      <c r="QH50" s="1530">
        <f>QH49/QH2</f>
        <v/>
      </c>
      <c r="QI50" s="1530" t="n">
        <v>9.944907207094435</v>
      </c>
      <c r="QJ50" s="1530" t="n">
        <v>6.820426269920511</v>
      </c>
      <c r="QK50" s="1530" t="n">
        <v>11.21388456044654</v>
      </c>
      <c r="QL50" s="1530" t="n">
        <v>1.748776281889891</v>
      </c>
      <c r="QM50" s="1530" t="n">
        <v>1.008729901250982</v>
      </c>
      <c r="QN50" s="1530" t="n">
        <v>1.314866674784041</v>
      </c>
      <c r="QO50" s="1530" t="n">
        <v>8.096582285703581</v>
      </c>
      <c r="QP50" s="1530" t="n">
        <v>2.591426360879755</v>
      </c>
      <c r="QQ50" s="1530" t="n">
        <v>2.89470577904487</v>
      </c>
      <c r="QR50" s="1530" t="n">
        <v>4.391850683872067</v>
      </c>
      <c r="QS50" s="1530" t="n">
        <v>4.847337281349339</v>
      </c>
      <c r="QT50" s="1530" t="n">
        <v>4.463691423750952</v>
      </c>
      <c r="QU50" s="1530" t="n">
        <v>2.705171992402936</v>
      </c>
      <c r="QV50" s="1530" t="n">
        <v>4.151968566419045</v>
      </c>
      <c r="QW50" s="1530" t="n">
        <v>3.384878909674697</v>
      </c>
      <c r="QX50" s="1530" t="n">
        <v>3.705628370123295</v>
      </c>
      <c r="QY50" s="1530" t="n">
        <v>4.001597254885445</v>
      </c>
      <c r="QZ50" s="1530" t="n">
        <v>5.057730339386976</v>
      </c>
      <c r="RA50" s="1530" t="n">
        <v>5.460069267130797</v>
      </c>
      <c r="RB50" s="1530" t="n">
        <v>4.838500669281006</v>
      </c>
      <c r="RC50" s="1530" t="n">
        <v>5.668614978301113</v>
      </c>
      <c r="RD50" s="1530" t="n">
        <v>8.057064140701124</v>
      </c>
      <c r="RE50" s="1530" t="n">
        <v>7.003563007712528</v>
      </c>
      <c r="RF50" s="1530" t="n">
        <v>5.166579885631405</v>
      </c>
      <c r="RG50" s="1530">
        <f>RG49/RG2</f>
        <v/>
      </c>
      <c r="RH50" s="1530" t="n">
        <v>3.336831220356684</v>
      </c>
      <c r="RI50" s="1530" t="n">
        <v>3.340217867132678</v>
      </c>
      <c r="RJ50" s="1530" t="n">
        <v>2.238728214320433</v>
      </c>
      <c r="RK50" s="1530" t="n">
        <v>3.058528485449015</v>
      </c>
      <c r="RL50" s="1530" t="n">
        <v>2.426223400286205</v>
      </c>
      <c r="RM50" s="1530" t="n">
        <v>2.409444956871348</v>
      </c>
      <c r="RN50" s="1530" t="n">
        <v>2.313657736625646</v>
      </c>
      <c r="RO50" s="1530" t="n">
        <v>2.512352450766168</v>
      </c>
      <c r="RP50" s="1530" t="n">
        <v>3.389550565298456</v>
      </c>
      <c r="RQ50" s="1530" t="n">
        <v>2.194506293930932</v>
      </c>
      <c r="RR50" s="1530" t="n">
        <v>3.223465852536129</v>
      </c>
      <c r="RS50" s="1530" t="n">
        <v>27.82937542350298</v>
      </c>
      <c r="RT50" s="1530" t="n">
        <v>32.78711096803389</v>
      </c>
      <c r="RU50" s="1530" t="n">
        <v>22.48368482428252</v>
      </c>
      <c r="RV50" s="1530" t="n">
        <v>23.08735264750968</v>
      </c>
      <c r="RW50" s="1530" t="n">
        <v>12.45564046362044</v>
      </c>
      <c r="RX50" s="1530" t="n">
        <v>8.716464919022663</v>
      </c>
      <c r="RY50" s="1530" t="n">
        <v>9.62509975234013</v>
      </c>
      <c r="RZ50" s="1530" t="n">
        <v>5.279120769593433</v>
      </c>
      <c r="SA50" s="1530" t="n">
        <v>12.10544723813907</v>
      </c>
      <c r="SB50" s="1530" t="n">
        <v>4.577141645055874</v>
      </c>
      <c r="SC50" s="1530" t="n">
        <v>5.864133946716035</v>
      </c>
      <c r="SD50" s="1530" t="n">
        <v>7.349835689074414</v>
      </c>
      <c r="SE50" s="1530" t="n">
        <v>5.737179768424039</v>
      </c>
      <c r="SF50" s="1530" t="n">
        <v>13.33920481615953</v>
      </c>
      <c r="SG50" s="1530" t="n">
        <v>9.289562029010282</v>
      </c>
      <c r="SH50" s="1530" t="n">
        <v>3.861213884908149</v>
      </c>
      <c r="SI50" s="1530" t="n">
        <v>4.334352099908449</v>
      </c>
      <c r="SJ50" s="1530" t="n">
        <v>5.323799371233606</v>
      </c>
      <c r="SK50" s="1530" t="n">
        <v>6.304525808278452</v>
      </c>
      <c r="SL50" s="1530" t="n">
        <v>6.122635289454222</v>
      </c>
      <c r="SM50" s="1530" t="n">
        <v>5.137645943648987</v>
      </c>
      <c r="SN50" s="1530" t="n">
        <v>4.679133510622881</v>
      </c>
      <c r="SO50" s="1530" t="n">
        <v>9.509359866809795</v>
      </c>
      <c r="SP50" s="1530" t="n">
        <v>6.644362084070671</v>
      </c>
      <c r="SQ50" s="1530" t="n">
        <v>2.713487934984635</v>
      </c>
      <c r="SR50" s="1530" t="n">
        <v>3.864597808143505</v>
      </c>
      <c r="SS50" s="1530" t="n">
        <v>3.591999463585815</v>
      </c>
      <c r="ST50" s="1530" t="n">
        <v>3.868194826993975</v>
      </c>
      <c r="SU50" s="1530" t="n">
        <v>4.949382920522683</v>
      </c>
      <c r="SV50" s="1530" t="n">
        <v>1.673780048814788</v>
      </c>
      <c r="SW50" s="1530" t="n">
        <v>1.788087308980131</v>
      </c>
      <c r="SX50" s="1530" t="n">
        <v>4.414167981964971</v>
      </c>
      <c r="SY50" s="1530" t="n">
        <v>3.03106739244267</v>
      </c>
      <c r="SZ50" s="1530" t="n">
        <v>4.468712389823459</v>
      </c>
      <c r="TA50" s="1530" t="n">
        <v>5.805639551968077</v>
      </c>
      <c r="TB50" s="1530" t="n">
        <v>5.81419116203975</v>
      </c>
      <c r="TC50" s="1530" t="n">
        <v>5.337059881257588</v>
      </c>
      <c r="TD50" s="1530" t="n">
        <v>8.380844269228383</v>
      </c>
      <c r="TE50" s="1530">
        <f>TE49/TE2</f>
        <v/>
      </c>
      <c r="TF50" s="1530">
        <f>TF49/TF2</f>
        <v/>
      </c>
      <c r="TG50" s="1530" t="n">
        <v>3.651915312289513</v>
      </c>
      <c r="TH50" s="1530" t="n">
        <v>3.02948918574371</v>
      </c>
      <c r="TI50" s="1530" t="n">
        <v>5.861822975358635</v>
      </c>
      <c r="TJ50" s="1530" t="n">
        <v>2.671459918777055</v>
      </c>
      <c r="TK50" s="1530" t="n">
        <v>2.70160271358673</v>
      </c>
      <c r="TL50" s="1530" t="n">
        <v>6.862358526210393</v>
      </c>
      <c r="TM50" s="1530" t="n">
        <v>13.82786159960264</v>
      </c>
      <c r="TN50" s="1530" t="n">
        <v>4.455771465191706</v>
      </c>
      <c r="TO50" s="1530" t="n">
        <v>5.873837185889776</v>
      </c>
      <c r="TP50" s="1530" t="n">
        <v>9.868604828787655</v>
      </c>
      <c r="TQ50" s="1530" t="n">
        <v>2.420658620862169</v>
      </c>
      <c r="TR50" s="1530" t="n">
        <v>4.086736472483417</v>
      </c>
      <c r="TS50" s="1530" t="n">
        <v>2.12126982610251</v>
      </c>
      <c r="TT50" s="1530" t="n">
        <v>5.859992172035566</v>
      </c>
      <c r="TU50" s="1530" t="n">
        <v>5.007159908689233</v>
      </c>
      <c r="TV50" s="1530" t="n">
        <v>7.872272233159563</v>
      </c>
      <c r="TW50" s="1530" t="n">
        <v>5.950794263643422</v>
      </c>
      <c r="TX50" s="1530" t="n">
        <v>4.056587158933686</v>
      </c>
      <c r="TY50" s="1530" t="n">
        <v>2.235117773769578</v>
      </c>
      <c r="TZ50" s="1530">
        <f>TZ49/TZ2</f>
        <v/>
      </c>
      <c r="UA50" s="1530">
        <f>UA49/UA2</f>
        <v/>
      </c>
      <c r="UB50" s="1530">
        <f>UB49/UB2</f>
        <v/>
      </c>
      <c r="UC50" s="1530">
        <f>UC49/UC2</f>
        <v/>
      </c>
      <c r="UD50" s="1530">
        <f>UD49/UD2</f>
        <v/>
      </c>
      <c r="UE50" s="1530">
        <f>UE49/UE2</f>
        <v/>
      </c>
      <c r="UF50" s="1530" t="n">
        <v>1.113681127202667</v>
      </c>
      <c r="UG50" s="1530" t="n">
        <v>12.1239980482696</v>
      </c>
      <c r="UH50" s="1530" t="n">
        <v>8.262796862010189</v>
      </c>
      <c r="UI50" s="1530" t="n">
        <v>1.724204878955335</v>
      </c>
      <c r="UJ50" s="1530" t="n">
        <v>4.403102276237822</v>
      </c>
      <c r="UK50" s="1530" t="n">
        <v>4.981297364903829</v>
      </c>
      <c r="UL50" s="1530" t="n">
        <v>7.295035762694051</v>
      </c>
      <c r="UM50" s="1530" t="n">
        <v>3.685980336596363</v>
      </c>
      <c r="UN50" s="1530" t="n">
        <v>4.989803411159125</v>
      </c>
      <c r="UO50" s="1530" t="n">
        <v>3.203952331849099</v>
      </c>
      <c r="UP50" s="1530" t="n">
        <v>2.533419319269549</v>
      </c>
      <c r="UQ50" s="1530" t="n">
        <v>1.513466228997155</v>
      </c>
      <c r="UR50" s="1530" t="n">
        <v>2.481925513230939</v>
      </c>
      <c r="US50" s="1530" t="n">
        <v>1.399675876383669</v>
      </c>
      <c r="UT50" s="1530" t="n">
        <v>2.863545316602068</v>
      </c>
      <c r="UU50" s="1530" t="n">
        <v>3.219638083113938</v>
      </c>
      <c r="UV50" s="1530" t="n">
        <v>2.95056353662396</v>
      </c>
      <c r="UW50" s="1530" t="n">
        <v>3.085818328962319</v>
      </c>
      <c r="UX50" s="1530" t="n">
        <v>2.571578973259988</v>
      </c>
      <c r="UY50" s="1530" t="n">
        <v>4.275071119533586</v>
      </c>
      <c r="UZ50" s="1530" t="n">
        <v>1.238291509154814</v>
      </c>
      <c r="VA50" s="1530" t="n">
        <v>1.309922889725721</v>
      </c>
      <c r="VB50" s="1530" t="n">
        <v>3.413018156907934</v>
      </c>
      <c r="VC50" s="1530" t="n">
        <v>5.139428258814253</v>
      </c>
      <c r="VD50" s="1530" t="n">
        <v>5.281627854417404</v>
      </c>
      <c r="VE50" s="1530" t="n">
        <v>5.984877851809831</v>
      </c>
      <c r="VF50" s="1530" t="n">
        <v>7.134356868829419</v>
      </c>
      <c r="VG50" s="1530" t="n">
        <v>8.16248656375913</v>
      </c>
      <c r="VH50" s="1530" t="n">
        <v>7.891205571374016</v>
      </c>
      <c r="VI50" s="1530" t="n">
        <v>11.56144759871683</v>
      </c>
      <c r="VJ50" s="1530" t="n">
        <v>13.5615639769092</v>
      </c>
      <c r="VK50" s="1530" t="n">
        <v>7.83787250365165</v>
      </c>
      <c r="VL50" s="1530" t="n">
        <v>2.770630674362729</v>
      </c>
      <c r="VM50" s="1530" t="n">
        <v>11.47381801979305</v>
      </c>
      <c r="VN50" s="1530" t="n">
        <v>12.10311709991714</v>
      </c>
      <c r="VO50" s="1530" t="n">
        <v>4.440037207964351</v>
      </c>
      <c r="VP50" s="1530" t="n">
        <v>5.325856950779046</v>
      </c>
      <c r="VQ50" s="1530" t="n">
        <v>4.914718316050925</v>
      </c>
      <c r="VR50" s="1530" t="n">
        <v>3.725522944711979</v>
      </c>
      <c r="VS50" s="1530" t="n">
        <v>1.823196773578091</v>
      </c>
      <c r="VT50" s="1530" t="n">
        <v>3.608450668028773</v>
      </c>
      <c r="VU50" s="1530" t="n">
        <v>3.799419332390169</v>
      </c>
      <c r="VV50" s="1530">
        <f>VV49/VV2</f>
        <v/>
      </c>
      <c r="VW50" s="1530" t="n">
        <v>1.534365148618059</v>
      </c>
      <c r="VX50" s="1530" t="n">
        <v>8.012091665284357</v>
      </c>
      <c r="VY50" s="1530" t="n">
        <v>5.117923451927988</v>
      </c>
      <c r="VZ50" s="1530" t="n">
        <v>3.584244974166951</v>
      </c>
      <c r="WA50" s="1530" t="n">
        <v>5.697196197696207</v>
      </c>
      <c r="WB50" s="1530" t="n">
        <v>2.156632282372062</v>
      </c>
      <c r="WC50" s="1530" t="n">
        <v>3.268389714550262</v>
      </c>
      <c r="WD50" s="1530" t="n">
        <v>5.078227334925955</v>
      </c>
      <c r="WE50" s="1530" t="n">
        <v>3.682203899546541</v>
      </c>
      <c r="WF50" s="1530" t="n">
        <v>4.256084661342845</v>
      </c>
      <c r="WG50" s="1530" t="n">
        <v>3.027777541738051</v>
      </c>
      <c r="WH50" s="1530" t="n">
        <v>2.012397010372777</v>
      </c>
      <c r="WI50" s="1530" t="n">
        <v>3.649637799748216</v>
      </c>
      <c r="WJ50" s="1530" t="n">
        <v>9.090187680163044</v>
      </c>
      <c r="WK50" s="1530" t="n">
        <v>8.496207910990224</v>
      </c>
      <c r="WL50" s="1530" t="n">
        <v>7.095458103115555</v>
      </c>
      <c r="WM50" s="1530" t="n">
        <v>4.275239747264558</v>
      </c>
      <c r="WN50" s="1530" t="n">
        <v>6.762970969503941</v>
      </c>
      <c r="WO50" s="1530" t="n">
        <v>6.419201402920327</v>
      </c>
      <c r="WP50" s="1530" t="n">
        <v>6.43416372811691</v>
      </c>
      <c r="WQ50" s="1530" t="n">
        <v>11.87947163940902</v>
      </c>
      <c r="WR50" s="1530">
        <f>WR49/WR2</f>
        <v/>
      </c>
      <c r="WS50" s="1530">
        <f>WS49/WS2</f>
        <v/>
      </c>
      <c r="WT50" s="1530">
        <f>WT49/WT2</f>
        <v/>
      </c>
      <c r="WU50" s="1530">
        <f>WU49/WU2</f>
        <v/>
      </c>
      <c r="WV50" s="1530">
        <f>WV49/WV2</f>
        <v/>
      </c>
      <c r="WW50" s="1530" t="n">
        <v>6.320386507031042</v>
      </c>
      <c r="WX50" s="1530" t="n">
        <v>6.305898159550573</v>
      </c>
      <c r="WY50" s="1530" t="n">
        <v>7.071690940973061</v>
      </c>
      <c r="WZ50" s="1530" t="n">
        <v>6.146867834928711</v>
      </c>
      <c r="XA50" s="1530" t="n">
        <v>6.009135784492938</v>
      </c>
      <c r="XB50" s="1530" t="n">
        <v>10.98082866603513</v>
      </c>
      <c r="XC50" s="1530" t="n">
        <v>3.649717009134819</v>
      </c>
      <c r="XD50" s="1530" t="n">
        <v>5.75484682232308</v>
      </c>
      <c r="XE50" s="1530" t="n">
        <v>5.19941028767486</v>
      </c>
      <c r="XF50" s="1530" t="n">
        <v>5.917324464032701</v>
      </c>
      <c r="XG50" s="1530" t="n">
        <v>6.025286528801618</v>
      </c>
      <c r="XH50" s="1530" t="n">
        <v>8.288387683093392</v>
      </c>
      <c r="XI50" s="1530" t="n">
        <v>7.634501807818926</v>
      </c>
      <c r="XJ50" s="1530" t="n">
        <v>16.69721285855413</v>
      </c>
      <c r="XK50" s="1530" t="n">
        <v>4.735328085032707</v>
      </c>
      <c r="XL50" s="1530" t="n">
        <v>6.418731924092747</v>
      </c>
      <c r="XM50" s="1530" t="n">
        <v>11.53046298131206</v>
      </c>
      <c r="XN50" s="1530" t="n">
        <v>4.786148262759739</v>
      </c>
      <c r="XO50" s="1530" t="n">
        <v>5.083996050232807</v>
      </c>
      <c r="XP50" s="1530" t="n">
        <v>15.87508653954476</v>
      </c>
      <c r="XQ50" s="1530" t="n">
        <v>24.37483752970937</v>
      </c>
      <c r="XR50" s="1530" t="n">
        <v>28.94542936911249</v>
      </c>
      <c r="XS50" s="1530" t="n">
        <v>29.75474881072209</v>
      </c>
      <c r="XT50" s="1530" t="n">
        <v>8.15455792004607</v>
      </c>
      <c r="XU50" s="1530" t="n">
        <v>9.760317884360092</v>
      </c>
      <c r="XV50" s="1530" t="n">
        <v>7.904611647575358</v>
      </c>
      <c r="XW50" s="1530" t="n">
        <v>9.901258185658163</v>
      </c>
      <c r="XX50" s="1530" t="n">
        <v>3.636146208549361</v>
      </c>
      <c r="XY50" s="1530" t="n">
        <v>6.103886543953085</v>
      </c>
      <c r="XZ50" s="1530" t="n">
        <v>6.472484188648549</v>
      </c>
      <c r="YA50" s="1530" t="n">
        <v>6.553028046464886</v>
      </c>
      <c r="YB50" s="1530" t="n">
        <v>5.510338519776355</v>
      </c>
      <c r="YC50" s="1530" t="n">
        <v>3.500206657934146</v>
      </c>
      <c r="YD50" s="1530" t="n">
        <v>27.7437654192365</v>
      </c>
      <c r="YE50" s="1530" t="n">
        <v>4.394027212035414</v>
      </c>
      <c r="YF50" s="1530" t="n">
        <v>10.19945043198541</v>
      </c>
      <c r="YG50" s="1530" t="n">
        <v>5.227729656047904</v>
      </c>
      <c r="YH50" s="1530" t="n">
        <v>8.809507138389639</v>
      </c>
      <c r="YI50" s="1530" t="n">
        <v>8.261593026513497</v>
      </c>
      <c r="YJ50" s="1531">
        <f>YJ49/YJ2</f>
        <v/>
      </c>
    </row>
    <row r="51" ht="15" customHeight="1" thickTop="1">
      <c r="C51" s="951">
        <f>C11+C25+C43+C49-C3</f>
        <v/>
      </c>
      <c r="D51" s="952">
        <f>D11+D25+D43+D49-D3</f>
        <v/>
      </c>
      <c r="E51" s="952">
        <f>E11+E25+E43+E49-E3</f>
        <v/>
      </c>
      <c r="F51" s="952">
        <f>F11+F25+F43+F49-F3</f>
        <v/>
      </c>
      <c r="G51" s="952">
        <f>G11+G25+G43+G49-G3</f>
        <v/>
      </c>
      <c r="H51" s="952">
        <f>H11+H25+H43+H49-H3</f>
        <v/>
      </c>
      <c r="I51" s="952">
        <f>I11+I25+I43+I49-I3</f>
        <v/>
      </c>
      <c r="J51" s="952">
        <f>J11+J25+J43+J49-J3</f>
        <v/>
      </c>
      <c r="K51" s="952">
        <f>K11+K25+K43+K49-K3</f>
        <v/>
      </c>
      <c r="L51" s="952">
        <f>L11+L25+L43+L49-L3</f>
        <v/>
      </c>
      <c r="M51" s="952">
        <f>M11+M25+M43+M49-M3</f>
        <v/>
      </c>
      <c r="N51" s="952">
        <f>N11+N25+N43+N49-N3</f>
        <v/>
      </c>
      <c r="O51" s="952">
        <f>O11+O25+O43+O49-O3</f>
        <v/>
      </c>
      <c r="P51" s="952">
        <f>P11+P25+P43+P49-P3</f>
        <v/>
      </c>
      <c r="Q51" s="952">
        <f>Q11+Q25+Q43+Q49-Q3</f>
        <v/>
      </c>
      <c r="R51" s="952">
        <f>R11+R25+R43+R49-R3</f>
        <v/>
      </c>
      <c r="S51" s="952">
        <f>S11+S25+S43+S49-S3</f>
        <v/>
      </c>
      <c r="T51" s="952">
        <f>T11+T25+T43+T49-T3</f>
        <v/>
      </c>
      <c r="U51" s="952">
        <f>U11+U25+U43+U49-U3</f>
        <v/>
      </c>
      <c r="V51" s="952">
        <f>V11+V25+V43+V49-V3</f>
        <v/>
      </c>
      <c r="W51" s="952">
        <f>W11+W25+W43+W49-W3</f>
        <v/>
      </c>
      <c r="X51" s="952">
        <f>X11+X25+X43+X49-X3</f>
        <v/>
      </c>
      <c r="Y51" s="952">
        <f>Y11+Y25+Y43+Y49-Y3</f>
        <v/>
      </c>
      <c r="Z51" s="952">
        <f>Z11+Z25+Z43+Z49-Z3</f>
        <v/>
      </c>
      <c r="AA51" s="952">
        <f>AA11+AA25+AA43+AA49-AA3</f>
        <v/>
      </c>
      <c r="AB51" s="952">
        <f>AB11+AB25+AB43+AB49-AB3</f>
        <v/>
      </c>
      <c r="AC51" s="952">
        <f>AC11+AC25+AC43+AC49-AC3</f>
        <v/>
      </c>
      <c r="AD51" s="952">
        <f>AD11+AD25+AD43+AD49-AD3</f>
        <v/>
      </c>
      <c r="AE51" s="952">
        <f>AE11+AE25+AE43+AE49-AE3</f>
        <v/>
      </c>
      <c r="AF51" s="952">
        <f>AF11+AF25+AF43+AF49-AF3</f>
        <v/>
      </c>
      <c r="AG51" s="952">
        <f>AG11+AG25+AG43+AG49-AG3</f>
        <v/>
      </c>
      <c r="AH51" s="952">
        <f>AH11+AH25+AH43+AH49-AH3</f>
        <v/>
      </c>
      <c r="AI51" s="952">
        <f>AI11+AI25+AI43+AI49-AI3</f>
        <v/>
      </c>
      <c r="AJ51" s="952">
        <f>AJ11+AJ25+AJ43+AJ49-AJ3</f>
        <v/>
      </c>
      <c r="AK51" s="952">
        <f>AK11+AK25+AK43+AK49-AK3</f>
        <v/>
      </c>
      <c r="AL51" s="952">
        <f>AL11+AL25+AL43+AL49-AL3</f>
        <v/>
      </c>
      <c r="AM51" s="952">
        <f>AM11+AM25+AM43+AM49-AM3</f>
        <v/>
      </c>
      <c r="AN51" s="952">
        <f>AN11+AN25+AN43+AN49-AN3</f>
        <v/>
      </c>
      <c r="AO51" s="952">
        <f>AO11+AO25+AO43+AO49-AO3</f>
        <v/>
      </c>
      <c r="KZ51" s="942" t="n"/>
      <c r="LA51" s="942" t="n"/>
      <c r="LB51" s="942" t="n"/>
      <c r="LC51" s="942" t="n"/>
      <c r="LD51" s="942" t="n"/>
      <c r="LE51" s="942" t="n"/>
    </row>
    <row r="52">
      <c r="C52" s="951">
        <f>C12+C26+C44+C50-C4</f>
        <v/>
      </c>
      <c r="D52" s="952">
        <f>D12+D26+D44+D50-D4</f>
        <v/>
      </c>
      <c r="E52" s="952">
        <f>E12+E26+E44+E50-E4</f>
        <v/>
      </c>
      <c r="F52" s="952">
        <f>F12+F26+F44+F50-F4</f>
        <v/>
      </c>
      <c r="G52" s="952">
        <f>G12+G26+G44+G50-G4</f>
        <v/>
      </c>
      <c r="H52" s="952">
        <f>H12+H26+H44+H50-H4</f>
        <v/>
      </c>
      <c r="I52" s="952">
        <f>I12+I26+I44+I50-I4</f>
        <v/>
      </c>
      <c r="J52" s="952">
        <f>J12+J26+J44+J50-J4</f>
        <v/>
      </c>
      <c r="K52" s="952">
        <f>K12+K26+K44+K50-K4</f>
        <v/>
      </c>
      <c r="L52" s="952">
        <f>L12+L26+L44+L50-L4</f>
        <v/>
      </c>
      <c r="M52" s="952">
        <f>M12+M26+M44+M50-M4</f>
        <v/>
      </c>
      <c r="N52" s="952">
        <f>N12+N26+N44+N50-N4</f>
        <v/>
      </c>
      <c r="O52" s="952">
        <f>O12+O26+O44+O50-O4</f>
        <v/>
      </c>
      <c r="P52" s="952">
        <f>P12+P26+P44+P50-P4</f>
        <v/>
      </c>
      <c r="Q52" s="952">
        <f>Q12+Q26+Q44+Q50-Q4</f>
        <v/>
      </c>
      <c r="R52" s="952">
        <f>R12+R26+R44+R50-R4</f>
        <v/>
      </c>
      <c r="S52" s="952">
        <f>S12+S26+S44+S50-S4</f>
        <v/>
      </c>
      <c r="T52" s="952">
        <f>T12+T26+T44+T50-T4</f>
        <v/>
      </c>
      <c r="U52" s="952">
        <f>U12+U26+U44+U50-U4</f>
        <v/>
      </c>
      <c r="V52" s="952">
        <f>V12+V26+V44+V50-V4</f>
        <v/>
      </c>
      <c r="W52" s="952">
        <f>W12+W26+W44+W50-W4</f>
        <v/>
      </c>
      <c r="X52" s="952">
        <f>X12+X26+X44+X50-X4</f>
        <v/>
      </c>
      <c r="Y52" s="952">
        <f>Y12+Y26+Y44+Y50-Y4</f>
        <v/>
      </c>
      <c r="Z52" s="952">
        <f>Z12+Z26+Z44+Z50-Z4</f>
        <v/>
      </c>
      <c r="AA52" s="952">
        <f>AA12+AA26+AA44+AA50-AA4</f>
        <v/>
      </c>
      <c r="AB52" s="952">
        <f>AB12+AB26+AB44+AB50-AB4</f>
        <v/>
      </c>
      <c r="AC52" s="952">
        <f>AC12+AC26+AC44+AC50-AC4</f>
        <v/>
      </c>
      <c r="AD52" s="952">
        <f>AD12+AD26+AD44+AD50-AD4</f>
        <v/>
      </c>
      <c r="AE52" s="952">
        <f>AE12+AE26+AE44+AE50-AE4</f>
        <v/>
      </c>
      <c r="AF52" s="952">
        <f>AF12+AF26+AF44+AF50-AF4</f>
        <v/>
      </c>
      <c r="AG52" s="952">
        <f>AG12+AG26+AG44+AG50-AG4</f>
        <v/>
      </c>
      <c r="AH52" s="952">
        <f>AH12+AH26+AH44+AH50-AH4</f>
        <v/>
      </c>
      <c r="AI52" s="952">
        <f>AI12+AI26+AI44+AI50-AI4</f>
        <v/>
      </c>
      <c r="AJ52" s="952">
        <f>AJ12+AJ26+AJ44+AJ50-AJ4</f>
        <v/>
      </c>
      <c r="AK52" s="952">
        <f>AK12+AK26+AK44+AK50-AK4</f>
        <v/>
      </c>
      <c r="AL52" s="952">
        <f>AL12+AL26+AL44+AL50-AL4</f>
        <v/>
      </c>
      <c r="AM52" s="952">
        <f>AM12+AM26+AM44+AM50-AM4</f>
        <v/>
      </c>
      <c r="AN52" s="952">
        <f>AN12+AN26+AN44+AN50-AN4</f>
        <v/>
      </c>
      <c r="AO52" s="952">
        <f>AO12+AO26+AO44+AO50-AO4</f>
        <v/>
      </c>
      <c r="KZ52" s="942" t="n"/>
      <c r="LA52" s="942" t="n"/>
      <c r="LB52" s="942" t="n"/>
      <c r="LC52" s="942" t="n"/>
      <c r="LD52" s="942" t="n"/>
      <c r="LE52" s="942" t="n"/>
    </row>
    <row r="53">
      <c r="KZ53" s="942" t="n"/>
      <c r="LA53" s="942" t="n"/>
      <c r="LB53" s="942" t="n"/>
      <c r="LC53" s="942" t="n"/>
      <c r="LD53" s="942" t="n"/>
      <c r="LE53" s="942" t="n"/>
    </row>
    <row r="54">
      <c r="KZ54" s="942" t="n"/>
      <c r="LA54" s="942" t="n"/>
      <c r="LB54" s="942" t="n"/>
      <c r="LC54" s="942" t="n"/>
      <c r="LD54" s="942" t="n"/>
      <c r="LE54" s="942" t="n"/>
    </row>
    <row r="55">
      <c r="KZ55" s="942" t="n"/>
      <c r="LA55" s="942" t="n"/>
      <c r="LB55" s="942" t="n"/>
      <c r="LC55" s="942" t="n"/>
      <c r="LD55" s="942" t="n"/>
      <c r="LE55" s="942" t="n"/>
    </row>
    <row r="56">
      <c r="KZ56" s="942" t="n"/>
      <c r="LA56" s="942" t="n"/>
      <c r="LB56" s="942" t="n"/>
      <c r="LC56" s="942" t="n"/>
      <c r="LD56" s="942" t="n"/>
      <c r="LE56" s="942" t="n"/>
    </row>
  </sheetData>
  <pageMargins left="0.7086614173228347" right="0.7086614173228347" top="0.7480314960629921" bottom="0.7480314960629921" header="0.3149606299212598" footer="0.3149606299212598"/>
  <pageSetup orientation="landscape" paperSize="9" scale="1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showGridLines="0" zoomScale="80" zoomScaleNormal="80" workbookViewId="0">
      <pane xSplit="2" ySplit="2" topLeftCell="H42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L55" sqref="L55"/>
    </sheetView>
  </sheetViews>
  <sheetFormatPr baseColWidth="8" defaultColWidth="14" defaultRowHeight="26.25" customHeight="1"/>
  <cols>
    <col width="9.77734375" customWidth="1" style="787" min="1" max="1"/>
    <col width="14" customWidth="1" style="1548" min="2" max="2"/>
    <col width="14" customWidth="1" style="787" min="3" max="4"/>
    <col width="18.6640625" customWidth="1" style="787" min="5" max="5"/>
    <col width="14" customWidth="1" style="787" min="6" max="7"/>
    <col width="18.6640625" customWidth="1" style="787" min="8" max="8"/>
    <col width="14" customWidth="1" style="787" min="9" max="10"/>
    <col width="18.6640625" customWidth="1" style="787" min="11" max="12"/>
    <col width="14" customWidth="1" style="787" min="13" max="16384"/>
  </cols>
  <sheetData>
    <row r="1" ht="26.25" customFormat="1" customHeight="1" s="794">
      <c r="B1" s="800" t="inlineStr">
        <is>
          <t>Daily Hard currency exchange report.</t>
        </is>
      </c>
      <c r="G1" s="790" t="inlineStr">
        <is>
          <t>* buying rate</t>
        </is>
      </c>
      <c r="L1" s="802" t="inlineStr">
        <is>
          <t>Mln</t>
        </is>
      </c>
    </row>
    <row r="2" ht="26.25" customHeight="1">
      <c r="B2" s="1549" t="inlineStr">
        <is>
          <t>Date</t>
        </is>
      </c>
      <c r="C2" s="796" t="inlineStr">
        <is>
          <t>USD</t>
        </is>
      </c>
      <c r="D2" s="797" t="inlineStr">
        <is>
          <t>Rate</t>
        </is>
      </c>
      <c r="E2" s="798" t="inlineStr">
        <is>
          <t>Amount</t>
        </is>
      </c>
      <c r="F2" s="797" t="inlineStr">
        <is>
          <t>EUR</t>
        </is>
      </c>
      <c r="G2" s="797" t="inlineStr">
        <is>
          <t>Rate*</t>
        </is>
      </c>
      <c r="H2" s="797" t="inlineStr">
        <is>
          <t>Amount</t>
        </is>
      </c>
      <c r="I2" s="796" t="inlineStr">
        <is>
          <t>CNY</t>
        </is>
      </c>
      <c r="J2" s="797" t="inlineStr">
        <is>
          <t>Rate</t>
        </is>
      </c>
      <c r="K2" s="798" t="inlineStr">
        <is>
          <t>Amount</t>
        </is>
      </c>
      <c r="L2" s="799" t="inlineStr">
        <is>
          <t>Total Amount</t>
        </is>
      </c>
    </row>
    <row r="3" ht="26.25" customHeight="1">
      <c r="A3" s="812" t="n"/>
      <c r="B3" s="1550">
        <f>+'Daily Hard currency'!B4</f>
        <v/>
      </c>
      <c r="C3" s="804" t="n"/>
      <c r="D3" s="803" t="n"/>
      <c r="E3" s="806">
        <f>+D3*C3</f>
        <v/>
      </c>
      <c r="F3" s="804" t="n">
        <v>3</v>
      </c>
      <c r="G3" s="803">
        <f>H3/F3</f>
        <v/>
      </c>
      <c r="H3" s="806" t="n">
        <v>239.69</v>
      </c>
      <c r="I3" s="804" t="n">
        <v>13.6</v>
      </c>
      <c r="J3" s="803" t="n">
        <v>10.95</v>
      </c>
      <c r="K3" s="814">
        <f>+J3*I3</f>
        <v/>
      </c>
      <c r="L3" s="807">
        <f>+E3+H3+K3</f>
        <v/>
      </c>
    </row>
    <row r="4" ht="26.25" customHeight="1">
      <c r="B4" s="1551" t="n">
        <v>45013</v>
      </c>
      <c r="C4" s="805" t="n"/>
      <c r="D4" s="801" t="n"/>
      <c r="E4" s="792">
        <f>+D4*C4</f>
        <v/>
      </c>
      <c r="F4" s="805" t="n">
        <v>0.27</v>
      </c>
      <c r="G4" s="801" t="n">
        <v>82.8563</v>
      </c>
      <c r="H4" s="792">
        <f>+G4*F4</f>
        <v/>
      </c>
      <c r="I4" s="805" t="n"/>
      <c r="J4" s="801" t="n"/>
      <c r="K4" s="792">
        <f>+J4*I4</f>
        <v/>
      </c>
      <c r="L4" s="793">
        <f>+E4+H4+K4</f>
        <v/>
      </c>
    </row>
    <row r="5" ht="26.25" customHeight="1">
      <c r="B5" s="1551" t="n">
        <v>45020</v>
      </c>
      <c r="C5" s="805">
        <f>+'Daily Hard currency'!P13</f>
        <v/>
      </c>
      <c r="D5" s="801" t="n">
        <v>77.95099999999999</v>
      </c>
      <c r="E5" s="792">
        <f>+D5*C5</f>
        <v/>
      </c>
      <c r="F5" s="805" t="n"/>
      <c r="G5" s="801" t="n"/>
      <c r="H5" s="792">
        <f>+G5*F5</f>
        <v/>
      </c>
      <c r="I5" s="805" t="n"/>
      <c r="J5" s="801" t="n"/>
      <c r="K5" s="792">
        <f>+J5*I5</f>
        <v/>
      </c>
      <c r="L5" s="793">
        <f>+E5+H5+K5</f>
        <v/>
      </c>
    </row>
    <row r="6" ht="26.25" customHeight="1">
      <c r="B6" s="1551" t="n">
        <v>45021</v>
      </c>
      <c r="C6" s="805" t="n"/>
      <c r="D6" s="801" t="n"/>
      <c r="E6" s="792">
        <f>+D6*C6</f>
        <v/>
      </c>
      <c r="F6" s="805" t="n"/>
      <c r="G6" s="801" t="n"/>
      <c r="H6" s="792">
        <f>+G6*F6</f>
        <v/>
      </c>
      <c r="I6" s="805" t="n">
        <v>9.800000000000001</v>
      </c>
      <c r="J6" s="801" t="n">
        <v>11.57</v>
      </c>
      <c r="K6" s="792">
        <f>+J6*I6</f>
        <v/>
      </c>
      <c r="L6" s="793">
        <f>+E6+H6+K6</f>
        <v/>
      </c>
    </row>
    <row r="7" ht="26.25" customHeight="1">
      <c r="B7" s="1551" t="n">
        <v>45023</v>
      </c>
      <c r="C7" s="790" t="n"/>
      <c r="D7" s="791" t="n"/>
      <c r="E7" s="792">
        <f>+D7*C7</f>
        <v/>
      </c>
      <c r="F7" s="791" t="n">
        <v>0.26</v>
      </c>
      <c r="G7" s="791" t="n">
        <v>84.84</v>
      </c>
      <c r="H7" s="792">
        <f>+G7*F7</f>
        <v/>
      </c>
      <c r="I7" s="790" t="n"/>
      <c r="J7" s="791" t="n"/>
      <c r="K7" s="792">
        <f>+J7*I7</f>
        <v/>
      </c>
      <c r="L7" s="793">
        <f>+E7+H7+K7</f>
        <v/>
      </c>
    </row>
    <row r="8" ht="26.25" customHeight="1">
      <c r="B8" s="1551" t="n">
        <v>45026</v>
      </c>
      <c r="C8" s="790" t="n">
        <v>1.8</v>
      </c>
      <c r="D8" s="791" t="n">
        <v>82.84999999999999</v>
      </c>
      <c r="E8" s="792">
        <f>+D8*C8</f>
        <v/>
      </c>
      <c r="F8" s="791" t="n"/>
      <c r="G8" s="791" t="n"/>
      <c r="H8" s="792">
        <f>+G8*F8</f>
        <v/>
      </c>
      <c r="I8" s="790" t="n"/>
      <c r="J8" s="791" t="n"/>
      <c r="K8" s="792">
        <f>+J8*I8</f>
        <v/>
      </c>
      <c r="L8" s="793">
        <f>+E8+H8+K8</f>
        <v/>
      </c>
    </row>
    <row r="9" ht="26.25" customHeight="1">
      <c r="B9" s="1551" t="n">
        <v>45030</v>
      </c>
      <c r="C9" s="790" t="n">
        <v>0.5</v>
      </c>
      <c r="D9" s="791" t="n">
        <v>81.94</v>
      </c>
      <c r="E9" s="792">
        <f>+D9*C9</f>
        <v/>
      </c>
      <c r="F9" s="791" t="n"/>
      <c r="G9" s="791" t="n"/>
      <c r="H9" s="792">
        <f>+G9*F9</f>
        <v/>
      </c>
      <c r="I9" s="790" t="n"/>
      <c r="J9" s="791" t="n"/>
      <c r="K9" s="792">
        <f>+J9*I9</f>
        <v/>
      </c>
      <c r="L9" s="793">
        <f>+E9+H9+K9</f>
        <v/>
      </c>
    </row>
    <row r="10" ht="26.25" customHeight="1">
      <c r="B10" s="1551" t="n">
        <v>45035</v>
      </c>
      <c r="C10" s="790" t="n">
        <v>0.49</v>
      </c>
      <c r="D10" s="791" t="n">
        <v>81.73220000000001</v>
      </c>
      <c r="E10" s="792">
        <f>+D10*C10</f>
        <v/>
      </c>
      <c r="F10" s="791" t="n"/>
      <c r="G10" s="791" t="n"/>
      <c r="H10" s="792">
        <f>+G10*F10</f>
        <v/>
      </c>
      <c r="I10" s="790" t="n"/>
      <c r="J10" s="791" t="n"/>
      <c r="K10" s="792">
        <f>+J10*I10</f>
        <v/>
      </c>
      <c r="L10" s="793">
        <f>+E10+H10+K10</f>
        <v/>
      </c>
    </row>
    <row r="11" ht="26.25" customHeight="1">
      <c r="B11" s="1551" t="n">
        <v>45057</v>
      </c>
      <c r="C11" s="790" t="n">
        <v>0.5</v>
      </c>
      <c r="D11" s="791" t="n">
        <v>79.45999999999999</v>
      </c>
      <c r="E11" s="792">
        <f>+D11*C11</f>
        <v/>
      </c>
      <c r="F11" s="791">
        <f>0.091584+0.01217</f>
        <v/>
      </c>
      <c r="G11" s="791" t="n">
        <v>83.45999999999999</v>
      </c>
      <c r="H11" s="792">
        <f>+G11*F11</f>
        <v/>
      </c>
      <c r="I11" s="790" t="n"/>
      <c r="J11" s="791" t="n"/>
      <c r="K11" s="792">
        <f>+J11*I11</f>
        <v/>
      </c>
      <c r="L11" s="793">
        <f>+E11+H11+K11</f>
        <v/>
      </c>
    </row>
    <row r="12" ht="26.25" customHeight="1">
      <c r="B12" s="1551" t="n">
        <v>45063</v>
      </c>
      <c r="C12" s="790" t="n">
        <v>0.75</v>
      </c>
      <c r="D12" s="791" t="n">
        <v>83.13</v>
      </c>
      <c r="E12" s="792">
        <f>+D12*C12</f>
        <v/>
      </c>
      <c r="F12" s="791" t="n"/>
      <c r="G12" s="791" t="n"/>
      <c r="H12" s="792">
        <f>+G12*F12</f>
        <v/>
      </c>
      <c r="I12" s="790" t="n"/>
      <c r="J12" s="791" t="n"/>
      <c r="K12" s="792">
        <f>+J12*I12</f>
        <v/>
      </c>
      <c r="L12" s="793">
        <f>+E12+H12+K12</f>
        <v/>
      </c>
    </row>
    <row r="13" ht="26.25" customHeight="1">
      <c r="B13" s="1551" t="n">
        <v>45075</v>
      </c>
      <c r="C13" s="790" t="n"/>
      <c r="D13" s="791" t="n"/>
      <c r="E13" s="792">
        <f>+D13*C13</f>
        <v/>
      </c>
      <c r="F13" s="791" t="n">
        <v>0.07519724999999999</v>
      </c>
      <c r="G13" s="791" t="n">
        <v>86.3</v>
      </c>
      <c r="H13" s="792">
        <f>+G13*F13</f>
        <v/>
      </c>
      <c r="I13" s="790" t="n"/>
      <c r="J13" s="791" t="n"/>
      <c r="K13" s="792">
        <f>+J13*I13</f>
        <v/>
      </c>
      <c r="L13" s="793">
        <f>+E13+H13+K13</f>
        <v/>
      </c>
    </row>
    <row r="14" ht="26.25" customHeight="1">
      <c r="B14" s="1551" t="n">
        <v>45083</v>
      </c>
      <c r="C14" s="790" t="n"/>
      <c r="D14" s="791" t="n"/>
      <c r="E14" s="792" t="n"/>
      <c r="F14" s="791" t="n">
        <v>0.33984</v>
      </c>
      <c r="G14" s="791" t="n">
        <v>87.19</v>
      </c>
      <c r="H14" s="792">
        <f>+G14*F14</f>
        <v/>
      </c>
      <c r="I14" s="790" t="n"/>
      <c r="J14" s="791" t="n"/>
      <c r="K14" s="792">
        <f>+J14*I14</f>
        <v/>
      </c>
      <c r="L14" s="793">
        <f>+E14+H14+K14</f>
        <v/>
      </c>
    </row>
    <row r="15" ht="26.25" customHeight="1">
      <c r="B15" s="1551" t="n">
        <v>45083</v>
      </c>
      <c r="C15" s="790" t="n"/>
      <c r="D15" s="791" t="n"/>
      <c r="E15" s="792">
        <f>+D15*C15</f>
        <v/>
      </c>
      <c r="F15" s="791" t="n">
        <v>0.183168</v>
      </c>
      <c r="G15" s="791" t="n">
        <v>87.5645</v>
      </c>
      <c r="H15" s="792">
        <f>+G15*F15</f>
        <v/>
      </c>
      <c r="I15" s="790" t="n"/>
      <c r="J15" s="791" t="n"/>
      <c r="K15" s="792">
        <f>+J15*I15</f>
        <v/>
      </c>
      <c r="L15" s="793">
        <f>+E15+H15+K15</f>
        <v/>
      </c>
    </row>
    <row r="16" ht="26.25" customHeight="1">
      <c r="B16" s="1551" t="n">
        <v>45085</v>
      </c>
      <c r="C16" s="790" t="n">
        <v>1</v>
      </c>
      <c r="D16" s="791" t="n">
        <v>82.7</v>
      </c>
      <c r="E16" s="792">
        <f>+D16*C16</f>
        <v/>
      </c>
      <c r="F16" s="791" t="n">
        <v>0.088992</v>
      </c>
      <c r="G16" s="791" t="n">
        <v>88.2</v>
      </c>
      <c r="H16" s="792">
        <f>+G16*F16</f>
        <v/>
      </c>
      <c r="I16" s="790" t="n"/>
      <c r="J16" s="791" t="n"/>
      <c r="K16" s="792">
        <f>+J16*I16</f>
        <v/>
      </c>
      <c r="L16" s="793">
        <f>+E16+H16+K16</f>
        <v/>
      </c>
    </row>
    <row r="17" ht="26.25" customHeight="1">
      <c r="B17" s="1551" t="n">
        <v>45104</v>
      </c>
      <c r="C17" s="790" t="n"/>
      <c r="D17" s="791" t="n"/>
      <c r="E17" s="792">
        <f>+D17*C17</f>
        <v/>
      </c>
      <c r="F17" s="791" t="n"/>
      <c r="G17" s="791" t="n"/>
      <c r="H17" s="792">
        <f>+G17*F17</f>
        <v/>
      </c>
      <c r="I17" s="790" t="n">
        <v>2.5</v>
      </c>
      <c r="J17" s="791" t="n">
        <v>11.6875</v>
      </c>
      <c r="K17" s="792">
        <f>+J17*I17</f>
        <v/>
      </c>
      <c r="L17" s="793">
        <f>+E17+H17+K17</f>
        <v/>
      </c>
    </row>
    <row r="18" ht="26.25" customHeight="1">
      <c r="B18" s="1551" t="n">
        <v>45105</v>
      </c>
      <c r="C18" s="790" t="n"/>
      <c r="D18" s="791" t="n"/>
      <c r="E18" s="792">
        <f>+D18*C18</f>
        <v/>
      </c>
      <c r="F18" s="791" t="n">
        <v>1.285791</v>
      </c>
      <c r="G18" s="791" t="n">
        <v>97.95999999999999</v>
      </c>
      <c r="H18" s="792">
        <f>+G18*F18</f>
        <v/>
      </c>
      <c r="I18" s="790" t="n"/>
      <c r="J18" s="791" t="n"/>
      <c r="K18" s="792">
        <f>+J18*I18</f>
        <v/>
      </c>
      <c r="L18" s="793">
        <f>+E18+H18+K18</f>
        <v/>
      </c>
    </row>
    <row r="19" ht="26.25" customHeight="1">
      <c r="B19" s="1551" t="n">
        <v>45121</v>
      </c>
      <c r="C19" s="790" t="n"/>
      <c r="D19" s="791" t="n"/>
      <c r="E19" s="792">
        <f>+D19*C19</f>
        <v/>
      </c>
      <c r="F19" s="791" t="n"/>
      <c r="G19" s="791" t="n"/>
      <c r="H19" s="792">
        <f>+G19*F19</f>
        <v/>
      </c>
      <c r="I19" s="790" t="n">
        <v>2</v>
      </c>
      <c r="J19" s="791" t="n">
        <v>12.65</v>
      </c>
      <c r="K19" s="792">
        <f>+J19*I19</f>
        <v/>
      </c>
      <c r="L19" s="793">
        <f>+E19+H19+K19</f>
        <v/>
      </c>
    </row>
    <row r="20" ht="26.25" customHeight="1">
      <c r="B20" s="1551" t="n">
        <v>45124</v>
      </c>
      <c r="C20" s="790" t="n"/>
      <c r="D20" s="791" t="n"/>
      <c r="E20" s="792">
        <f>+D20*C20</f>
        <v/>
      </c>
      <c r="F20" s="791" t="n"/>
      <c r="G20" s="791" t="n"/>
      <c r="H20" s="792">
        <f>+G20*F20</f>
        <v/>
      </c>
      <c r="I20" s="790" t="n">
        <v>7.7</v>
      </c>
      <c r="J20" s="791" t="n">
        <v>12.65</v>
      </c>
      <c r="K20" s="792">
        <f>+J20*I20</f>
        <v/>
      </c>
      <c r="L20" s="793">
        <f>+E20+H20+K20</f>
        <v/>
      </c>
    </row>
    <row r="21" ht="26.25" customHeight="1">
      <c r="B21" s="1551" t="n">
        <v>45132</v>
      </c>
      <c r="C21" s="790" t="n"/>
      <c r="D21" s="791" t="n"/>
      <c r="E21" s="792">
        <f>+D21*C21</f>
        <v/>
      </c>
      <c r="F21" s="791" t="n"/>
      <c r="G21" s="791" t="n"/>
      <c r="H21" s="792">
        <f>+G21*F21</f>
        <v/>
      </c>
      <c r="I21" s="790" t="n">
        <v>4.5</v>
      </c>
      <c r="J21" s="791" t="n">
        <v>12.65</v>
      </c>
      <c r="K21" s="792">
        <f>+J21*I21</f>
        <v/>
      </c>
      <c r="L21" s="793">
        <f>+E21+H21+K21</f>
        <v/>
      </c>
    </row>
    <row r="22" ht="26.25" customHeight="1">
      <c r="B22" s="1551" t="n">
        <v>45141</v>
      </c>
      <c r="C22" s="790" t="n"/>
      <c r="D22" s="791" t="n"/>
      <c r="E22" s="792">
        <f>+D22*C22</f>
        <v/>
      </c>
      <c r="F22" s="791" t="n">
        <v>0.432</v>
      </c>
      <c r="G22" s="791" t="n">
        <v>102.2238</v>
      </c>
      <c r="H22" s="792">
        <f>+G22*F22</f>
        <v/>
      </c>
      <c r="I22" s="790" t="n">
        <v>4.2</v>
      </c>
      <c r="J22" s="791" t="n">
        <v>13.05</v>
      </c>
      <c r="K22" s="792">
        <f>+J22*I22</f>
        <v/>
      </c>
      <c r="L22" s="793">
        <f>+E22+H22+K22</f>
        <v/>
      </c>
    </row>
    <row r="23" ht="26.25" customHeight="1">
      <c r="B23" s="1551" t="n">
        <v>45156</v>
      </c>
      <c r="C23" s="790" t="n"/>
      <c r="D23" s="791" t="n"/>
      <c r="E23" s="792" t="n"/>
      <c r="F23" s="791" t="n">
        <v>0.083552</v>
      </c>
      <c r="G23" s="791" t="n">
        <v>102.0663</v>
      </c>
      <c r="H23" s="792">
        <f>+G23*F23</f>
        <v/>
      </c>
      <c r="I23" s="790" t="n"/>
      <c r="J23" s="791" t="n"/>
      <c r="K23" s="792">
        <f>+J23*I23</f>
        <v/>
      </c>
      <c r="L23" s="793">
        <f>+E23+H23+K23</f>
        <v/>
      </c>
    </row>
    <row r="24" ht="26.25" customHeight="1">
      <c r="B24" s="1551" t="n">
        <v>45167</v>
      </c>
      <c r="C24" s="790" t="n"/>
      <c r="D24" s="791" t="n"/>
      <c r="E24" s="792">
        <f>+D24*C24</f>
        <v/>
      </c>
      <c r="F24" s="791" t="n">
        <v>0.366336</v>
      </c>
      <c r="G24" s="791" t="n">
        <v>103.3966</v>
      </c>
      <c r="H24" s="792">
        <f>+G24*F24</f>
        <v/>
      </c>
      <c r="I24" s="790" t="n"/>
      <c r="J24" s="791" t="n"/>
      <c r="K24" s="792">
        <f>+J24*I24</f>
        <v/>
      </c>
      <c r="L24" s="793">
        <f>+E24+H24+K24</f>
        <v/>
      </c>
    </row>
    <row r="25" ht="26.25" customHeight="1">
      <c r="B25" s="1551" t="n">
        <v>45173</v>
      </c>
      <c r="C25" s="790" t="n"/>
      <c r="D25" s="791" t="n"/>
      <c r="E25" s="792">
        <f>+D25*C25</f>
        <v/>
      </c>
      <c r="F25" s="791" t="n">
        <v>0.0864</v>
      </c>
      <c r="G25" s="791" t="n">
        <v>104.6488</v>
      </c>
      <c r="H25" s="792">
        <f>+G25*F25</f>
        <v/>
      </c>
      <c r="I25" s="790" t="n"/>
      <c r="J25" s="791" t="n"/>
      <c r="K25" s="792">
        <f>+J25*I25</f>
        <v/>
      </c>
      <c r="L25" s="793">
        <f>+E25+H25+K25</f>
        <v/>
      </c>
    </row>
    <row r="26" ht="26.25" customHeight="1">
      <c r="B26" s="1551" t="n">
        <v>45223</v>
      </c>
      <c r="C26" s="790" t="n"/>
      <c r="D26" s="791" t="n"/>
      <c r="E26" s="792">
        <f>+D26*C26</f>
        <v/>
      </c>
      <c r="F26" s="791" t="n"/>
      <c r="G26" s="791" t="n"/>
      <c r="H26" s="792">
        <f>+G26*F26</f>
        <v/>
      </c>
      <c r="I26" s="790" t="n">
        <v>4.5</v>
      </c>
      <c r="J26" s="791" t="n">
        <v>12.82</v>
      </c>
      <c r="K26" s="792">
        <f>+J26*I26</f>
        <v/>
      </c>
      <c r="L26" s="793">
        <f>+E26+H26+K26</f>
        <v/>
      </c>
    </row>
    <row r="27" ht="26.25" customHeight="1">
      <c r="B27" s="1551" t="n">
        <v>45237</v>
      </c>
      <c r="C27" s="790" t="n"/>
      <c r="D27" s="791" t="n"/>
      <c r="E27" s="792">
        <f>+D27*C27</f>
        <v/>
      </c>
      <c r="F27" s="791" t="n"/>
      <c r="G27" s="791" t="n"/>
      <c r="H27" s="792">
        <f>+G27*F27</f>
        <v/>
      </c>
      <c r="I27" s="790" t="n">
        <v>5</v>
      </c>
      <c r="J27" s="791" t="n">
        <v>12.69</v>
      </c>
      <c r="K27" s="792">
        <f>+J27*I27</f>
        <v/>
      </c>
      <c r="L27" s="793">
        <f>+E27+H27+K27</f>
        <v/>
      </c>
    </row>
    <row r="28" ht="26.25" customHeight="1">
      <c r="B28" s="1551" t="n">
        <v>45239</v>
      </c>
      <c r="C28" s="790" t="n"/>
      <c r="D28" s="791" t="n"/>
      <c r="E28" s="792">
        <f>+D28*C28</f>
        <v/>
      </c>
      <c r="F28" s="791" t="n"/>
      <c r="G28" s="791" t="n"/>
      <c r="H28" s="792">
        <f>+G28*F28</f>
        <v/>
      </c>
      <c r="I28" s="790" t="n">
        <v>7</v>
      </c>
      <c r="J28" s="791" t="n">
        <v>12.67</v>
      </c>
      <c r="K28" s="792">
        <f>+J28*I28</f>
        <v/>
      </c>
      <c r="L28" s="793">
        <f>+E28+H28+K28</f>
        <v/>
      </c>
    </row>
    <row r="29" ht="26.25" customHeight="1">
      <c r="B29" s="1551" t="n">
        <v>45307</v>
      </c>
      <c r="C29" s="790" t="n"/>
      <c r="D29" s="791" t="n"/>
      <c r="E29" s="792">
        <f>+D29*C29</f>
        <v/>
      </c>
      <c r="F29" s="791" t="n"/>
      <c r="G29" s="791" t="n"/>
      <c r="H29" s="792">
        <f>+G29*F29</f>
        <v/>
      </c>
      <c r="I29" s="790" t="n">
        <v>2</v>
      </c>
      <c r="J29" s="791" t="n">
        <v>12.19</v>
      </c>
      <c r="K29" s="792">
        <f>+J29*I29</f>
        <v/>
      </c>
      <c r="L29" s="793">
        <f>+E29+H29+K29</f>
        <v/>
      </c>
    </row>
    <row r="30" ht="26.25" customHeight="1">
      <c r="B30" s="1551" t="n">
        <v>45315</v>
      </c>
      <c r="C30" s="790" t="n"/>
      <c r="D30" s="791" t="n"/>
      <c r="E30" s="792">
        <f>+D30*C30</f>
        <v/>
      </c>
      <c r="F30" s="791" t="n"/>
      <c r="G30" s="791" t="n"/>
      <c r="H30" s="792">
        <f>+G30*F30</f>
        <v/>
      </c>
      <c r="I30" s="790" t="n">
        <v>15.5</v>
      </c>
      <c r="J30" s="791" t="n">
        <v>12.34</v>
      </c>
      <c r="K30" s="792">
        <f>+J30*I30</f>
        <v/>
      </c>
      <c r="L30" s="793">
        <f>+E30+H30+K30</f>
        <v/>
      </c>
    </row>
    <row r="31" ht="26.25" customHeight="1">
      <c r="B31" s="1551" t="n">
        <v>45320</v>
      </c>
      <c r="C31" s="790" t="n"/>
      <c r="D31" s="791" t="n"/>
      <c r="E31" s="792">
        <f>+D31*C31</f>
        <v/>
      </c>
      <c r="F31" s="791" t="n"/>
      <c r="G31" s="791" t="n"/>
      <c r="H31" s="792">
        <f>+G31*F31</f>
        <v/>
      </c>
      <c r="I31" s="790" t="n">
        <v>8.9</v>
      </c>
      <c r="J31" s="791" t="n">
        <v>12.5</v>
      </c>
      <c r="K31" s="792">
        <f>+J31*I31</f>
        <v/>
      </c>
      <c r="L31" s="793">
        <f>+E31+H31+K31</f>
        <v/>
      </c>
    </row>
    <row r="32" ht="26.25" customHeight="1">
      <c r="B32" s="1551" t="n">
        <v>45327</v>
      </c>
      <c r="C32" s="790" t="n"/>
      <c r="D32" s="791" t="n"/>
      <c r="E32" s="792" t="n"/>
      <c r="F32" s="791" t="n"/>
      <c r="G32" s="791" t="n"/>
      <c r="H32" s="792" t="n"/>
      <c r="I32" s="790">
        <f>15.3+15.7</f>
        <v/>
      </c>
      <c r="J32" s="791" t="n">
        <v>12.69</v>
      </c>
      <c r="K32" s="792">
        <f>+J32*I32</f>
        <v/>
      </c>
      <c r="L32" s="793">
        <f>+E32+H32+K32</f>
        <v/>
      </c>
    </row>
    <row r="33" ht="26.25" customHeight="1">
      <c r="B33" s="1551" t="n">
        <v>45376</v>
      </c>
      <c r="C33" s="790" t="n">
        <v>0.131</v>
      </c>
      <c r="D33" s="791" t="n">
        <v>92.9538</v>
      </c>
      <c r="E33" s="792">
        <f>C33*D33</f>
        <v/>
      </c>
      <c r="F33" s="791" t="n"/>
      <c r="G33" s="791" t="n"/>
      <c r="H33" s="792" t="n"/>
      <c r="I33" s="790" t="n"/>
      <c r="J33" s="791" t="n"/>
      <c r="K33" s="792" t="n"/>
      <c r="L33" s="793">
        <f>+E33+H33+K33</f>
        <v/>
      </c>
    </row>
    <row r="34" ht="26.25" customHeight="1">
      <c r="B34" s="1551" t="n">
        <v>45384</v>
      </c>
      <c r="C34" s="790" t="n"/>
      <c r="D34" s="791" t="n"/>
      <c r="E34" s="792" t="n"/>
      <c r="F34" s="791" t="n"/>
      <c r="G34" s="791" t="n"/>
      <c r="H34" s="792" t="n"/>
      <c r="I34" s="790" t="n">
        <v>7.7</v>
      </c>
      <c r="J34" s="791" t="n">
        <v>12.78</v>
      </c>
      <c r="K34" s="792">
        <f>+J34*I34</f>
        <v/>
      </c>
      <c r="L34" s="793">
        <f>+E34+H34+K34</f>
        <v/>
      </c>
    </row>
    <row r="35" ht="26.25" customHeight="1">
      <c r="B35" s="1551" t="n">
        <v>45385</v>
      </c>
      <c r="C35" s="790" t="n"/>
      <c r="D35" s="791" t="n"/>
      <c r="E35" s="792" t="n"/>
      <c r="F35" s="791" t="n"/>
      <c r="G35" s="791" t="n"/>
      <c r="H35" s="792" t="n"/>
      <c r="I35" s="790" t="n">
        <v>0.4750495</v>
      </c>
      <c r="J35" s="791" t="n">
        <v>12.7626</v>
      </c>
      <c r="K35" s="792">
        <f>+J35*I35</f>
        <v/>
      </c>
      <c r="L35" s="793">
        <f>+E35+H35+K35</f>
        <v/>
      </c>
    </row>
    <row r="36" ht="26.25" customHeight="1">
      <c r="B36" s="1551" t="n">
        <v>45392</v>
      </c>
      <c r="C36" s="790" t="n"/>
      <c r="D36" s="791" t="n"/>
      <c r="E36" s="792" t="n"/>
      <c r="F36" s="791" t="n"/>
      <c r="G36" s="791" t="n"/>
      <c r="H36" s="792" t="n"/>
      <c r="I36" s="790" t="n">
        <v>0.5669999999999999</v>
      </c>
      <c r="J36" s="791" t="n">
        <v>12.82</v>
      </c>
      <c r="K36" s="792">
        <f>+J36*I36</f>
        <v/>
      </c>
      <c r="L36" s="793">
        <f>+E36+H36+K36</f>
        <v/>
      </c>
    </row>
    <row r="37" ht="26.25" customHeight="1">
      <c r="B37" s="1551" t="n">
        <v>45433</v>
      </c>
      <c r="C37" s="790" t="n"/>
      <c r="D37" s="791" t="n"/>
      <c r="E37" s="792" t="n"/>
      <c r="F37" s="791" t="n"/>
      <c r="G37" s="791" t="n"/>
      <c r="H37" s="792" t="n"/>
      <c r="I37" s="790" t="n">
        <v>0.076296</v>
      </c>
      <c r="J37" s="791" t="n">
        <v>12.5408</v>
      </c>
      <c r="K37" s="792">
        <f>+J37*I37</f>
        <v/>
      </c>
      <c r="L37" s="793">
        <f>+E37+H37+K37</f>
        <v/>
      </c>
    </row>
    <row r="38" ht="26.25" customHeight="1">
      <c r="B38" s="1551" t="n">
        <v>45610</v>
      </c>
      <c r="C38" s="790" t="n"/>
      <c r="D38" s="791" t="n"/>
      <c r="E38" s="792" t="n"/>
      <c r="F38" s="791" t="n"/>
      <c r="G38" s="791" t="n"/>
      <c r="H38" s="792" t="n"/>
      <c r="I38" s="790" t="n">
        <v>0.32</v>
      </c>
      <c r="J38" s="791" t="n">
        <v>14.15</v>
      </c>
      <c r="K38" s="792">
        <f>+J38*I38</f>
        <v/>
      </c>
      <c r="L38" s="793">
        <f>+E38+H38+K38</f>
        <v/>
      </c>
    </row>
    <row r="39" ht="26.25" customHeight="1">
      <c r="B39" s="1551" t="n">
        <v>45625</v>
      </c>
      <c r="C39" s="790" t="n"/>
      <c r="D39" s="791" t="n"/>
      <c r="E39" s="792" t="n"/>
      <c r="F39" s="791" t="n"/>
      <c r="G39" s="791" t="n"/>
      <c r="H39" s="792" t="n"/>
      <c r="I39" s="790" t="n">
        <v>0.0233775</v>
      </c>
      <c r="J39" s="791" t="n">
        <v>14.6725</v>
      </c>
      <c r="K39" s="792">
        <f>+J39*I39</f>
        <v/>
      </c>
      <c r="L39" s="793">
        <f>+E39+H39+K39</f>
        <v/>
      </c>
    </row>
    <row r="40" ht="26.25" customHeight="1">
      <c r="B40" s="1551" t="n">
        <v>45626</v>
      </c>
      <c r="C40" s="790" t="n"/>
      <c r="D40" s="791" t="n"/>
      <c r="E40" s="792" t="n"/>
      <c r="F40" s="791" t="n"/>
      <c r="G40" s="791" t="n"/>
      <c r="H40" s="792" t="n"/>
      <c r="I40" s="790" t="n">
        <v>0.25007552</v>
      </c>
      <c r="J40" s="791" t="n">
        <v>13.7821</v>
      </c>
      <c r="K40" s="792">
        <f>+J40*I40</f>
        <v/>
      </c>
      <c r="L40" s="793">
        <f>+E40+H40+K40</f>
        <v/>
      </c>
    </row>
    <row r="41" ht="26.25" customHeight="1">
      <c r="B41" s="1551" t="n">
        <v>45653</v>
      </c>
      <c r="C41" s="790" t="n"/>
      <c r="D41" s="791" t="n"/>
      <c r="E41" s="792" t="n"/>
      <c r="F41" s="791" t="n"/>
      <c r="G41" s="791" t="n"/>
      <c r="H41" s="792" t="n"/>
      <c r="I41" s="790" t="n">
        <v>0.57719</v>
      </c>
      <c r="J41" s="791" t="n">
        <v>13.568</v>
      </c>
      <c r="K41" s="792">
        <f>+J41*I41</f>
        <v/>
      </c>
      <c r="L41" s="793">
        <f>+E41+H41+K41</f>
        <v/>
      </c>
    </row>
    <row r="42" ht="26.25" customHeight="1">
      <c r="B42" s="1551" t="n">
        <v>45666</v>
      </c>
      <c r="C42" s="790" t="n"/>
      <c r="D42" s="791" t="n"/>
      <c r="E42" s="792" t="n"/>
      <c r="F42" s="791" t="n"/>
      <c r="G42" s="791" t="n"/>
      <c r="H42" s="792" t="n"/>
      <c r="I42" s="790" t="n">
        <v>0.416051</v>
      </c>
      <c r="J42" s="791" t="n">
        <v>13.6462</v>
      </c>
      <c r="K42" s="792">
        <f>+J42*I42</f>
        <v/>
      </c>
      <c r="L42" s="793">
        <f>+E42+H42+K42</f>
        <v/>
      </c>
    </row>
    <row r="43" ht="26.25" customHeight="1">
      <c r="B43" s="1551" t="n">
        <v>45694</v>
      </c>
      <c r="C43" s="790" t="n"/>
      <c r="D43" s="791" t="n"/>
      <c r="E43" s="792" t="n"/>
      <c r="F43" s="791" t="n"/>
      <c r="G43" s="791" t="n"/>
      <c r="H43" s="792" t="n"/>
      <c r="I43" s="790" t="n">
        <v>0.79245077</v>
      </c>
      <c r="J43" s="791" t="n">
        <v>13.1375</v>
      </c>
      <c r="K43" s="792">
        <f>+J43*I43</f>
        <v/>
      </c>
      <c r="L43" s="793">
        <f>+E43+H43+K43</f>
        <v/>
      </c>
    </row>
    <row r="44" ht="26.25" customHeight="1">
      <c r="B44" s="1551" t="n">
        <v>45702</v>
      </c>
      <c r="C44" s="790" t="n"/>
      <c r="D44" s="791" t="n"/>
      <c r="E44" s="792" t="n"/>
      <c r="F44" s="791" t="n"/>
      <c r="G44" s="791" t="n"/>
      <c r="H44" s="792" t="n"/>
      <c r="I44" s="790" t="n">
        <v>1.17186584</v>
      </c>
      <c r="J44" s="791" t="n">
        <v>12.3356</v>
      </c>
      <c r="K44" s="792">
        <f>+J44*I44</f>
        <v/>
      </c>
      <c r="L44" s="793">
        <f>+E44+H44+K44</f>
        <v/>
      </c>
    </row>
    <row r="45" ht="26.25" customHeight="1">
      <c r="B45" s="1551" t="n">
        <v>45706</v>
      </c>
      <c r="C45" s="790" t="n"/>
      <c r="D45" s="791" t="n"/>
      <c r="E45" s="792" t="n"/>
      <c r="F45" s="791" t="n"/>
      <c r="G45" s="791" t="n"/>
      <c r="H45" s="792" t="n"/>
      <c r="I45" s="790" t="n">
        <v>0.08</v>
      </c>
      <c r="J45" s="1271" t="n">
        <v>12.4935</v>
      </c>
      <c r="K45" s="792">
        <f>+J45*I45</f>
        <v/>
      </c>
      <c r="L45" s="793">
        <f>+E45+H45+K45</f>
        <v/>
      </c>
    </row>
    <row r="46" ht="26.25" customHeight="1">
      <c r="B46" s="1551" t="n">
        <v>45727</v>
      </c>
      <c r="C46" s="790" t="n"/>
      <c r="D46" s="791" t="n"/>
      <c r="E46" s="792" t="n"/>
      <c r="F46" s="791" t="n"/>
      <c r="G46" s="791" t="n"/>
      <c r="H46" s="792" t="n"/>
      <c r="I46" s="790" t="n">
        <v>1.02684288</v>
      </c>
      <c r="J46" s="1271" t="n">
        <v>12.2892</v>
      </c>
      <c r="K46" s="792">
        <f>+J46*I46</f>
        <v/>
      </c>
      <c r="L46" s="793">
        <f>+E46+H46+K46</f>
        <v/>
      </c>
    </row>
    <row r="47" ht="26.25" customHeight="1">
      <c r="B47" s="1551" t="n">
        <v>45748</v>
      </c>
      <c r="C47" s="790" t="n"/>
      <c r="D47" s="791" t="n"/>
      <c r="E47" s="792" t="n"/>
      <c r="F47" s="791" t="n"/>
      <c r="G47" s="791" t="n"/>
      <c r="H47" s="792" t="n"/>
      <c r="I47" s="790" t="n">
        <v>1.1</v>
      </c>
      <c r="J47" s="1271" t="n">
        <v>11.4575</v>
      </c>
      <c r="K47" s="792">
        <f>+J47*I47</f>
        <v/>
      </c>
      <c r="L47" s="793">
        <f>+E47+H47+K47</f>
        <v/>
      </c>
    </row>
    <row r="48" ht="26.25" customHeight="1">
      <c r="B48" s="1551" t="n">
        <v>45761</v>
      </c>
      <c r="C48" s="790" t="n"/>
      <c r="D48" s="791" t="n"/>
      <c r="E48" s="792" t="n"/>
      <c r="F48" s="791" t="n"/>
      <c r="G48" s="791" t="n"/>
      <c r="H48" s="792" t="n"/>
      <c r="I48" s="790" t="n">
        <v>0.21222</v>
      </c>
      <c r="J48" s="1271" t="n">
        <v>11.5483</v>
      </c>
      <c r="K48" s="792">
        <f>+J48*I48</f>
        <v/>
      </c>
      <c r="L48" s="793">
        <f>+E48+H48+K48</f>
        <v/>
      </c>
    </row>
    <row r="49" ht="26.25" customHeight="1">
      <c r="B49" s="1551" t="n">
        <v>45783</v>
      </c>
      <c r="C49" s="790" t="n"/>
      <c r="D49" s="791" t="n"/>
      <c r="E49" s="792" t="n"/>
      <c r="F49" s="791" t="n"/>
      <c r="G49" s="791" t="n"/>
      <c r="H49" s="792" t="n"/>
      <c r="I49" s="790" t="n">
        <v>1.48</v>
      </c>
      <c r="J49" s="1271" t="n">
        <v>11.31</v>
      </c>
      <c r="K49" s="792">
        <f>+J49*I49</f>
        <v/>
      </c>
      <c r="L49" s="793">
        <f>+E49+H49+K49</f>
        <v/>
      </c>
    </row>
    <row r="50" ht="26.25" customHeight="1">
      <c r="B50" s="1551" t="n">
        <v>45784</v>
      </c>
      <c r="C50" s="790" t="n"/>
      <c r="D50" s="791" t="n"/>
      <c r="E50" s="792" t="n"/>
      <c r="F50" s="791" t="n"/>
      <c r="G50" s="791" t="n"/>
      <c r="H50" s="792" t="n"/>
      <c r="I50" s="790" t="n">
        <v>0.5023339999999999</v>
      </c>
      <c r="J50" s="1271" t="n">
        <v>11.1978</v>
      </c>
      <c r="K50" s="792">
        <f>+J50*I50</f>
        <v/>
      </c>
      <c r="L50" s="793">
        <f>+E50+H50+K50</f>
        <v/>
      </c>
    </row>
    <row r="51" ht="26.25" customHeight="1">
      <c r="B51" s="1551" t="n">
        <v>45840</v>
      </c>
      <c r="C51" s="790" t="n"/>
      <c r="D51" s="791" t="n"/>
      <c r="E51" s="792" t="n"/>
      <c r="F51" s="791" t="n"/>
      <c r="G51" s="791" t="n"/>
      <c r="H51" s="792" t="n"/>
      <c r="I51" s="790" t="n">
        <v>0.05292525</v>
      </c>
      <c r="J51" s="1271" t="n">
        <v>10.9407</v>
      </c>
      <c r="K51" s="792">
        <f>+J51*I51</f>
        <v/>
      </c>
      <c r="L51" s="793">
        <f>+E51+H51+K51</f>
        <v/>
      </c>
    </row>
    <row r="52" ht="26.25" customHeight="1">
      <c r="B52" s="1551" t="n">
        <v>45849</v>
      </c>
      <c r="C52" s="790" t="n"/>
      <c r="D52" s="791" t="n"/>
      <c r="E52" s="792" t="n"/>
      <c r="F52" s="791" t="n"/>
      <c r="G52" s="791" t="n"/>
      <c r="H52" s="792" t="n"/>
      <c r="I52" s="790" t="n">
        <v>0.094317</v>
      </c>
      <c r="J52" s="1271" t="n">
        <v>11.21</v>
      </c>
      <c r="K52" s="792">
        <f>+J52*I52</f>
        <v/>
      </c>
      <c r="L52" s="793">
        <f>+E52+H52+K52</f>
        <v/>
      </c>
    </row>
    <row r="53" ht="26.25" customHeight="1">
      <c r="B53" s="1551" t="n">
        <v>45863</v>
      </c>
      <c r="C53" s="790" t="n"/>
      <c r="D53" s="791" t="n"/>
      <c r="E53" s="792" t="n"/>
      <c r="F53" s="791" t="n"/>
      <c r="G53" s="791" t="n"/>
      <c r="H53" s="792" t="n"/>
      <c r="I53" s="790" t="n">
        <v>0.3805</v>
      </c>
      <c r="J53" s="1271" t="n">
        <v>10.9867</v>
      </c>
      <c r="K53" s="792">
        <f>+J53*I53</f>
        <v/>
      </c>
      <c r="L53" s="793">
        <f>+E53+H53+K53</f>
        <v/>
      </c>
    </row>
    <row r="54" ht="26.25" customHeight="1">
      <c r="B54" s="1551" t="n">
        <v>45868</v>
      </c>
      <c r="C54" s="790" t="n"/>
      <c r="D54" s="791" t="n"/>
      <c r="E54" s="792" t="n"/>
      <c r="F54" s="791" t="n"/>
      <c r="G54" s="791" t="n"/>
      <c r="H54" s="792" t="n"/>
      <c r="I54" s="790" t="n">
        <v>1.12242955</v>
      </c>
      <c r="J54" s="1271" t="n">
        <v>11.79</v>
      </c>
      <c r="K54" s="792">
        <f>+J54*I54</f>
        <v/>
      </c>
      <c r="L54" s="793">
        <f>+E54+H54+K54</f>
        <v/>
      </c>
    </row>
    <row r="55" ht="26.25" customHeight="1">
      <c r="B55" s="1551" t="n">
        <v>45869</v>
      </c>
      <c r="C55" s="790" t="n"/>
      <c r="D55" s="791" t="n"/>
      <c r="E55" s="792" t="n"/>
      <c r="F55" s="791" t="n"/>
      <c r="G55" s="791" t="n"/>
      <c r="H55" s="792" t="n"/>
      <c r="I55" s="790" t="n">
        <v>0.018134</v>
      </c>
      <c r="J55" s="1271" t="n">
        <v>11.1467</v>
      </c>
      <c r="K55" s="792">
        <f>+J55*I55</f>
        <v/>
      </c>
      <c r="L55" s="793">
        <f>+E55+H55+K55</f>
        <v/>
      </c>
    </row>
  </sheetData>
  <conditionalFormatting sqref="A1:XFD1048576">
    <cfRule type="cellIs" priority="1" operator="equal" dxfId="0">
      <formula>0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B1:P44"/>
  <sheetViews>
    <sheetView showGridLines="0" showZeros="0" zoomScale="50" zoomScaleNormal="50" workbookViewId="0">
      <selection activeCell="E23" sqref="E23"/>
    </sheetView>
  </sheetViews>
  <sheetFormatPr baseColWidth="8" defaultColWidth="9.21875" defaultRowHeight="14.4"/>
  <cols>
    <col width="4.21875" customWidth="1" style="94" min="1" max="1"/>
    <col width="15.21875" bestFit="1" customWidth="1" style="1552" min="2" max="2"/>
    <col width="9.21875" customWidth="1" style="94" min="3" max="3"/>
    <col width="13.77734375" customWidth="1" style="94" min="4" max="4"/>
    <col width="18.6640625" bestFit="1" customWidth="1" style="94" min="5" max="5"/>
    <col width="13.77734375" customWidth="1" style="94" min="6" max="6"/>
    <col width="12.21875" customWidth="1" style="94" min="7" max="7"/>
    <col width="13.77734375" customWidth="1" style="94" min="8" max="10"/>
    <col width="14.21875" customWidth="1" style="94" min="11" max="11"/>
    <col width="13.77734375" customWidth="1" style="94" min="12" max="14"/>
    <col width="14.77734375" customWidth="1" style="94" min="15" max="15"/>
    <col width="24.21875" customWidth="1" style="94" min="16" max="16"/>
    <col width="9.21875" customWidth="1" style="94" min="17" max="16384"/>
  </cols>
  <sheetData>
    <row r="1" ht="23.4" customHeight="1">
      <c r="B1" s="1553" t="inlineStr">
        <is>
          <t>CPF RUSSIA Loan report</t>
        </is>
      </c>
    </row>
    <row r="2" ht="23.4" customHeight="1">
      <c r="B2" s="651" t="inlineStr">
        <is>
          <t>as of 31-07-2025</t>
        </is>
      </c>
    </row>
    <row r="3" ht="18.6" customHeight="1" thickBot="1">
      <c r="O3" s="97" t="inlineStr">
        <is>
          <t>Unit : M.Ruble</t>
        </is>
      </c>
    </row>
    <row r="4" ht="39.75" customFormat="1" customHeight="1" s="98" thickBot="1">
      <c r="B4" s="1554" t="inlineStr">
        <is>
          <t>Description</t>
        </is>
      </c>
      <c r="C4" s="1555" t="n"/>
      <c r="D4" s="1554" t="inlineStr">
        <is>
          <t>Total Loan</t>
        </is>
      </c>
      <c r="E4" s="1556" t="n"/>
      <c r="F4" s="1556" t="n"/>
      <c r="G4" s="1557" t="n"/>
      <c r="H4" s="1554" t="inlineStr">
        <is>
          <t>Subsidy</t>
        </is>
      </c>
      <c r="I4" s="1556" t="n"/>
      <c r="J4" s="1556" t="n"/>
      <c r="K4" s="1557" t="n"/>
      <c r="L4" s="1554" t="inlineStr">
        <is>
          <t>Non Subsidy</t>
        </is>
      </c>
      <c r="M4" s="1556" t="n"/>
      <c r="N4" s="1556" t="n"/>
      <c r="O4" s="1557" t="n"/>
    </row>
    <row r="5" ht="39.75" customFormat="1" customHeight="1" s="98" thickBot="1">
      <c r="B5" s="1558" t="n"/>
      <c r="C5" s="1559" t="n"/>
      <c r="D5" s="1338" t="inlineStr">
        <is>
          <t>Credit</t>
        </is>
      </c>
      <c r="E5" s="1339" t="inlineStr">
        <is>
          <t>Loan</t>
        </is>
      </c>
      <c r="F5" s="1339" t="inlineStr">
        <is>
          <t>Available</t>
        </is>
      </c>
      <c r="G5" s="1340" t="inlineStr">
        <is>
          <t>Rate</t>
        </is>
      </c>
      <c r="H5" s="1338" t="inlineStr">
        <is>
          <t>Credit</t>
        </is>
      </c>
      <c r="I5" s="1339" t="inlineStr">
        <is>
          <t>Loan</t>
        </is>
      </c>
      <c r="J5" s="1339" t="inlineStr">
        <is>
          <t>Available</t>
        </is>
      </c>
      <c r="K5" s="1340" t="inlineStr">
        <is>
          <t>Rate</t>
        </is>
      </c>
      <c r="L5" s="1336" t="inlineStr">
        <is>
          <t>Credit</t>
        </is>
      </c>
      <c r="M5" s="981" t="inlineStr">
        <is>
          <t>Loan</t>
        </is>
      </c>
      <c r="N5" s="981" t="inlineStr">
        <is>
          <t>Available</t>
        </is>
      </c>
      <c r="O5" s="1340" t="inlineStr">
        <is>
          <t>Rate</t>
        </is>
      </c>
    </row>
    <row r="6" ht="39.75" customFormat="1" customHeight="1" s="98">
      <c r="B6" s="1560" t="inlineStr">
        <is>
          <t>CPFO</t>
        </is>
      </c>
      <c r="C6" s="105" t="inlineStr">
        <is>
          <t>STL</t>
        </is>
      </c>
      <c r="D6" s="1561">
        <f>H6+L6</f>
        <v/>
      </c>
      <c r="E6" s="1562">
        <f>I6+M6</f>
        <v/>
      </c>
      <c r="F6" s="1562">
        <f>J6+N6</f>
        <v/>
      </c>
      <c r="G6" s="106">
        <f>((I6*K6)+(M6*O6))/E6</f>
        <v/>
      </c>
      <c r="H6" s="1561">
        <f>SUMIFS('Bank loan table'!$F:$F,'Bank loan table'!$B:$B,$B$6,'Bank loan table'!$E:$E,"Yes",'Bank loan table'!$A:$A,$C$6)</f>
        <v/>
      </c>
      <c r="I6" s="1562">
        <f>SUMIFS('Bank loan table'!$G:$G,'Bank loan table'!$B:$B,$B$6,'Bank loan table'!$E:$E,"Yes",'Bank loan table'!$A:$A,$C$6)</f>
        <v/>
      </c>
      <c r="J6" s="1562">
        <f>H6-I6</f>
        <v/>
      </c>
      <c r="K6" s="106">
        <f>IF(I6=0,0,SUMIFS('Bank loan table'!$L:$L,'Bank loan table'!$B:$B,$B$6,'Bank loan table'!$E:$E,"Yes",'Bank loan table'!$A:$A,$C$6)/I6)</f>
        <v/>
      </c>
      <c r="L6" s="1561">
        <f>SUMIFS('Bank loan table'!$F:$F,'Bank loan table'!$B:$B,$B$6,'Bank loan table'!$E:$E,"No",'Bank loan table'!$A:$A,$C$6)</f>
        <v/>
      </c>
      <c r="M6" s="1562">
        <f>SUMIFS('Bank loan table'!$G:$G,'Bank loan table'!$B:$B,$B$6,'Bank loan table'!$E:$E,"No",'Bank loan table'!$A:$A,$C$6)</f>
        <v/>
      </c>
      <c r="N6" s="1562">
        <f>L6-M6</f>
        <v/>
      </c>
      <c r="O6" s="106">
        <f>IF(M6=0,0,SUMIFS('Bank loan table'!$L:$L,'Bank loan table'!$B:$B,$B$6,'Bank loan table'!$E:$E,"No",'Bank loan table'!$A:$A,$C$6)/M6)</f>
        <v/>
      </c>
    </row>
    <row r="7" ht="39.75" customFormat="1" customHeight="1" s="98">
      <c r="B7" s="1563" t="n"/>
      <c r="C7" s="105" t="inlineStr">
        <is>
          <t>LTL</t>
        </is>
      </c>
      <c r="D7" s="1561">
        <f>H7+L7</f>
        <v/>
      </c>
      <c r="E7" s="1562">
        <f>I7+M7</f>
        <v/>
      </c>
      <c r="F7" s="1562">
        <f>J7+N7</f>
        <v/>
      </c>
      <c r="G7" s="106">
        <f>((I7*K7)+(M7*O7))/E7</f>
        <v/>
      </c>
      <c r="H7" s="1561">
        <f>SUMIFS('Bank loan table'!$F:$F,'Bank loan table'!$B:$B,$B$6,'Bank loan table'!$E:$E,"Yes",'Bank loan table'!$A:$A,$C$7)</f>
        <v/>
      </c>
      <c r="I7" s="1562">
        <f>SUMIFS('Bank loan table'!$G:$G,'Bank loan table'!$B:$B,$B$6,'Bank loan table'!$E:$E,"Yes",'Bank loan table'!$A:$A,$C$7)</f>
        <v/>
      </c>
      <c r="J7" s="1562">
        <f>H7-I7</f>
        <v/>
      </c>
      <c r="K7" s="106">
        <f>IF(I7=0,0,SUMIFS('Bank loan table'!$L:$L,'Bank loan table'!$B:$B,$B$6,'Bank loan table'!$E:$E,"Yes",'Bank loan table'!$A:$A,$C$7)/I7)</f>
        <v/>
      </c>
      <c r="L7" s="1561">
        <f>SUMIFS('Bank loan table'!$F:$F,'Bank loan table'!$B:$B,$B$6,'Bank loan table'!$E:$E,"No",'Bank loan table'!$A:$A,$C$7)</f>
        <v/>
      </c>
      <c r="M7" s="1562">
        <f>SUMIFS('Bank loan table'!$G:$G,'Bank loan table'!$B:$B,$B$6,'Bank loan table'!$E:$E,"No",'Bank loan table'!$A:$A,$C$7)</f>
        <v/>
      </c>
      <c r="N7" s="1562">
        <f>L7-M7</f>
        <v/>
      </c>
      <c r="O7" s="106">
        <f>IF(M7=0,0,SUMIFS('Bank loan table'!$L:$L,'Bank loan table'!$B:$B,$B$6,'Bank loan table'!$E:$E,"No",'Bank loan table'!$A:$A,$C$7)/M7)</f>
        <v/>
      </c>
      <c r="P7" s="103" t="n"/>
    </row>
    <row r="8" ht="39.75" customFormat="1" customHeight="1" s="98">
      <c r="B8" s="1564" t="n"/>
      <c r="C8" s="100" t="inlineStr">
        <is>
          <t>SUM</t>
        </is>
      </c>
      <c r="D8" s="1565">
        <f>H8+L8</f>
        <v/>
      </c>
      <c r="E8" s="1566">
        <f>I8+M8</f>
        <v/>
      </c>
      <c r="F8" s="1566">
        <f>J8+N8</f>
        <v/>
      </c>
      <c r="G8" s="102">
        <f>((I8*K8)+(M8*O8))/E8</f>
        <v/>
      </c>
      <c r="H8" s="1565">
        <f>SUM(H6:H7)</f>
        <v/>
      </c>
      <c r="I8" s="1566">
        <f>SUM(I6:I7)</f>
        <v/>
      </c>
      <c r="J8" s="1566">
        <f>SUM(J6:J7)</f>
        <v/>
      </c>
      <c r="K8" s="102">
        <f t="array" ref="K8">IF(I8=0,0,SUM(I6:I7*K6:K7)/I8)</f>
        <v/>
      </c>
      <c r="L8" s="1565">
        <f>SUM(L6:L7)</f>
        <v/>
      </c>
      <c r="M8" s="1566">
        <f>SUM(M6:M7)</f>
        <v/>
      </c>
      <c r="N8" s="1566">
        <f>SUM(N6:N7)</f>
        <v/>
      </c>
      <c r="O8" s="102">
        <f t="array" ref="O8">IF(M8=0,0,SUM(M6:M7*O6:O7)/M8)</f>
        <v/>
      </c>
    </row>
    <row r="9" ht="39.75" customFormat="1" customHeight="1" s="98">
      <c r="B9" s="1563" t="inlineStr">
        <is>
          <t>RBPI</t>
        </is>
      </c>
      <c r="C9" s="105" t="inlineStr">
        <is>
          <t>STL</t>
        </is>
      </c>
      <c r="D9" s="1561">
        <f>H9+L9</f>
        <v/>
      </c>
      <c r="E9" s="1562">
        <f>I9+M9</f>
        <v/>
      </c>
      <c r="F9" s="1562">
        <f>J9+N9</f>
        <v/>
      </c>
      <c r="G9" s="106">
        <f>((I9*K9)+(M9*O9))/E9</f>
        <v/>
      </c>
      <c r="H9" s="1561">
        <f>SUMIFS('Bank loan table'!$F:$F,'Bank loan table'!$B:$B,$B$9,'Bank loan table'!$E:$E,"Yes",'Bank loan table'!$A:$A,$C$6)</f>
        <v/>
      </c>
      <c r="I9" s="1562">
        <f>SUMIFS('Bank loan table'!$G:$G,'Bank loan table'!$B:$B,$B$9,'Bank loan table'!$E:$E,"Yes",'Bank loan table'!$A:$A,$C$6)</f>
        <v/>
      </c>
      <c r="J9" s="1562">
        <f>H9-I9</f>
        <v/>
      </c>
      <c r="K9" s="106">
        <f>IF(I9=0,0,SUMIFS('Bank loan table'!$L:$L,'Bank loan table'!$B:$B,$B$9,'Bank loan table'!$E:$E,"Yes",'Bank loan table'!$A:$A,$C$6)/I9)</f>
        <v/>
      </c>
      <c r="L9" s="1561">
        <f>SUMIFS('Bank loan table'!$F:$F,'Bank loan table'!$B:$B,$B$9,'Bank loan table'!$E:$E,"No",'Bank loan table'!$A:$A,$C$6)</f>
        <v/>
      </c>
      <c r="M9" s="1562">
        <f>SUMIFS('Bank loan table'!$G:$G,'Bank loan table'!$B:$B,$B$9,'Bank loan table'!$E:$E,"No",'Bank loan table'!$A:$A,$C$6)</f>
        <v/>
      </c>
      <c r="N9" s="1562">
        <f>L9-M9</f>
        <v/>
      </c>
      <c r="O9" s="106">
        <f>IF(M9=0,0,SUMIFS('Bank loan table'!$L:$L,'Bank loan table'!$B:$B,$B$9,'Bank loan table'!$E:$E,"No",'Bank loan table'!$A:$A,$C$6)/M9)</f>
        <v/>
      </c>
    </row>
    <row r="10" ht="39.75" customFormat="1" customHeight="1" s="98">
      <c r="B10" s="1563" t="n"/>
      <c r="C10" s="105" t="inlineStr">
        <is>
          <t>LTL</t>
        </is>
      </c>
      <c r="D10" s="1561">
        <f>H10+L10</f>
        <v/>
      </c>
      <c r="E10" s="1562">
        <f>I10+M10</f>
        <v/>
      </c>
      <c r="F10" s="1562">
        <f>J10+N10</f>
        <v/>
      </c>
      <c r="G10" s="106">
        <f>((I10*K10)+(M10*O10))/E10</f>
        <v/>
      </c>
      <c r="H10" s="1561">
        <f>SUMIFS('Bank loan table'!$F:$F,'Bank loan table'!$B:$B,$B$9,'Bank loan table'!$E:$E,"Yes",'Bank loan table'!$A:$A,$C$7)</f>
        <v/>
      </c>
      <c r="I10" s="1562">
        <f>SUMIFS('Bank loan table'!$G:$G,'Bank loan table'!$B:$B,$B$9,'Bank loan table'!$E:$E,"Yes",'Bank loan table'!$A:$A,$C$7)</f>
        <v/>
      </c>
      <c r="J10" s="1562">
        <f>H10-I10</f>
        <v/>
      </c>
      <c r="K10" s="106">
        <f>IF(I10=0,0,SUMIFS('Bank loan table'!$L:$L,'Bank loan table'!$B:$B,$B$9,'Bank loan table'!$E:$E,"Yes",'Bank loan table'!$A:$A,$C$7)/I10)</f>
        <v/>
      </c>
      <c r="L10" s="1561">
        <f>SUMIFS('Bank loan table'!$F:$F,'Bank loan table'!$B:$B,$B$9,'Bank loan table'!$E:$E,"No",'Bank loan table'!$A:$A,$C$7)</f>
        <v/>
      </c>
      <c r="M10" s="1562">
        <f>SUMIFS('Bank loan table'!$G:$G,'Bank loan table'!$B:$B,$B$9,'Bank loan table'!$E:$E,"No",'Bank loan table'!$A:$A,$C$7)</f>
        <v/>
      </c>
      <c r="N10" s="1562">
        <f>L10-M10</f>
        <v/>
      </c>
      <c r="O10" s="106">
        <f>IF(M10=0,0,SUMIFS('Bank loan table'!$L:$L,'Bank loan table'!$B:$B,$B$9,'Bank loan table'!$E:$E,"No",'Bank loan table'!$A:$A,$C$7)/M10)</f>
        <v/>
      </c>
    </row>
    <row r="11" ht="39.75" customFormat="1" customHeight="1" s="98">
      <c r="B11" s="1564" t="n"/>
      <c r="C11" s="100" t="inlineStr">
        <is>
          <t>SUM</t>
        </is>
      </c>
      <c r="D11" s="1565">
        <f>H11+L11</f>
        <v/>
      </c>
      <c r="E11" s="1566">
        <f>I11+M11</f>
        <v/>
      </c>
      <c r="F11" s="1566">
        <f>J11+N11</f>
        <v/>
      </c>
      <c r="G11" s="102">
        <f>((I11*K11)+(M11*O11))/E11</f>
        <v/>
      </c>
      <c r="H11" s="1565">
        <f>SUM(H9:H10)</f>
        <v/>
      </c>
      <c r="I11" s="1566">
        <f>SUM(I9:I10)</f>
        <v/>
      </c>
      <c r="J11" s="1566">
        <f>SUM(J9:J10)</f>
        <v/>
      </c>
      <c r="K11" s="102">
        <f t="array" ref="K11">IF(I11=0,0,SUM(I9:I10*K9:K10)/I11)</f>
        <v/>
      </c>
      <c r="L11" s="1565">
        <f>SUM(L9:L10)</f>
        <v/>
      </c>
      <c r="M11" s="1566">
        <f>SUM(M9:M10)</f>
        <v/>
      </c>
      <c r="N11" s="1566">
        <f>SUM(N9:N10)</f>
        <v/>
      </c>
      <c r="O11" s="102">
        <f t="array" ref="O11">IF(M11=0,0,SUM(M9:M10*O9:O10)/M11)</f>
        <v/>
      </c>
    </row>
    <row r="12" ht="39.75" customFormat="1" customHeight="1" s="98">
      <c r="B12" s="1563" t="inlineStr">
        <is>
          <t>APK</t>
        </is>
      </c>
      <c r="C12" s="105" t="inlineStr">
        <is>
          <t>STL</t>
        </is>
      </c>
      <c r="D12" s="1561">
        <f>H12+L12</f>
        <v/>
      </c>
      <c r="E12" s="1562">
        <f>I12+M12</f>
        <v/>
      </c>
      <c r="F12" s="1562">
        <f>J12+N12</f>
        <v/>
      </c>
      <c r="G12" s="106">
        <f>((I12*K12)+(M12*O12))/E12</f>
        <v/>
      </c>
      <c r="H12" s="1561">
        <f>SUMIFS('Bank loan table'!$F:$F,'Bank loan table'!$B:$B,$B$12,'Bank loan table'!$E:$E,"Yes",'Bank loan table'!$A:$A,$C$6)</f>
        <v/>
      </c>
      <c r="I12" s="1562">
        <f>SUMIFS('Bank loan table'!$G:$G,'Bank loan table'!$B:$B,$B$12,'Bank loan table'!$E:$E,"Yes",'Bank loan table'!$A:$A,$C$6)</f>
        <v/>
      </c>
      <c r="J12" s="1562">
        <f>H12-I12</f>
        <v/>
      </c>
      <c r="K12" s="106">
        <f>IF(I12=0,0,SUMIFS('Bank loan table'!$L:$L,'Bank loan table'!$B:$B,$B$12,'Bank loan table'!$E:$E,"Yes",'Bank loan table'!$A:$A,$C$6)/I12)</f>
        <v/>
      </c>
      <c r="L12" s="1561">
        <f>SUMIFS('Bank loan table'!$F:$F,'Bank loan table'!$B:$B,$B$12,'Bank loan table'!$E:$E,"No",'Bank loan table'!$A:$A,$C$6)</f>
        <v/>
      </c>
      <c r="M12" s="1562">
        <f>SUMIFS('Bank loan table'!$G:$G,'Bank loan table'!$B:$B,$B$12,'Bank loan table'!$E:$E,"No",'Bank loan table'!$A:$A,$C$6)</f>
        <v/>
      </c>
      <c r="N12" s="1562">
        <f>L12-M12</f>
        <v/>
      </c>
      <c r="O12" s="106">
        <f>IF(M12=0,0,SUMIFS('Bank loan table'!$L:$L,'Bank loan table'!$B:$B,$B$12,'Bank loan table'!$E:$E,"No",'Bank loan table'!$A:$A,$C$6)/M12)</f>
        <v/>
      </c>
    </row>
    <row r="13" ht="39.75" customFormat="1" customHeight="1" s="98">
      <c r="B13" s="1563" t="n"/>
      <c r="C13" s="105" t="inlineStr">
        <is>
          <t>LTL</t>
        </is>
      </c>
      <c r="D13" s="1561">
        <f>H13+L13</f>
        <v/>
      </c>
      <c r="E13" s="1562">
        <f>I13+M13</f>
        <v/>
      </c>
      <c r="F13" s="1562">
        <f>J13+N13</f>
        <v/>
      </c>
      <c r="G13" s="106">
        <f>((I13*K13)+(M13*O13))/E13</f>
        <v/>
      </c>
      <c r="H13" s="1561">
        <f>SUMIFS('Bank loan table'!$F:$F,'Bank loan table'!$B:$B,$B$12,'Bank loan table'!$E:$E,"Yes",'Bank loan table'!$A:$A,$C$7)</f>
        <v/>
      </c>
      <c r="I13" s="1562">
        <f>SUMIFS('Bank loan table'!$G:$G,'Bank loan table'!$B:$B,$B$12,'Bank loan table'!$E:$E,"Yes",'Bank loan table'!$A:$A,$C$7)</f>
        <v/>
      </c>
      <c r="J13" s="1562">
        <f>H13-I13</f>
        <v/>
      </c>
      <c r="K13" s="106">
        <f>IF(I13=0,0,SUMIFS('Bank loan table'!$L:$L,'Bank loan table'!$B:$B,$B$12,'Bank loan table'!$E:$E,"Yes",'Bank loan table'!$A:$A,$C$7)/I13)</f>
        <v/>
      </c>
      <c r="L13" s="1561">
        <f>SUMIFS('Bank loan table'!$F:$F,'Bank loan table'!$B:$B,$B$12,'Bank loan table'!$E:$E,"No",'Bank loan table'!$A:$A,$C$7)</f>
        <v/>
      </c>
      <c r="M13" s="1562">
        <f>SUMIFS('Bank loan table'!$G:$G,'Bank loan table'!$B:$B,$B$12,'Bank loan table'!$E:$E,"No",'Bank loan table'!$A:$A,$C$7)</f>
        <v/>
      </c>
      <c r="N13" s="1562">
        <f>L13-M13</f>
        <v/>
      </c>
      <c r="O13" s="106">
        <f>IF(M13=0,0,SUMIFS('Bank loan table'!$L:$L,'Bank loan table'!$B:$B,$B$12,'Bank loan table'!$E:$E,"No",'Bank loan table'!$A:$A,$C$7)/M13)</f>
        <v/>
      </c>
      <c r="P13" s="982" t="inlineStr">
        <is>
          <t>* M&amp;A loan</t>
        </is>
      </c>
    </row>
    <row r="14" ht="39.75" customFormat="1" customHeight="1" s="98">
      <c r="B14" s="1564" t="n"/>
      <c r="C14" s="100" t="inlineStr">
        <is>
          <t>SUM</t>
        </is>
      </c>
      <c r="D14" s="1565">
        <f>H14+L14</f>
        <v/>
      </c>
      <c r="E14" s="1566">
        <f>I14+M14</f>
        <v/>
      </c>
      <c r="F14" s="1566">
        <f>J14+N14</f>
        <v/>
      </c>
      <c r="G14" s="102">
        <f>((I14*K14)+(M14*O14))/E14</f>
        <v/>
      </c>
      <c r="H14" s="1565">
        <f>SUM(H12:H13)</f>
        <v/>
      </c>
      <c r="I14" s="1566">
        <f>SUM(I12:I13)</f>
        <v/>
      </c>
      <c r="J14" s="1566">
        <f>SUM(J12:J13)</f>
        <v/>
      </c>
      <c r="K14" s="102">
        <f t="array" ref="K14">IF(I14=0,0,SUM(I12:I13*K12:K13)/I14)</f>
        <v/>
      </c>
      <c r="L14" s="1565">
        <f>SUM(L12:L13)</f>
        <v/>
      </c>
      <c r="M14" s="1566">
        <f>SUM(M12:M13)</f>
        <v/>
      </c>
      <c r="N14" s="1566">
        <f>SUM(N12:N13)</f>
        <v/>
      </c>
      <c r="O14" s="102">
        <f t="array" ref="O14">IF(M14=0,0,SUM(M12:M13*O12:O13)/M14)</f>
        <v/>
      </c>
    </row>
    <row r="15" ht="39.75" customFormat="1" customHeight="1" s="98">
      <c r="B15" s="1563" t="inlineStr">
        <is>
          <t>SW</t>
        </is>
      </c>
      <c r="C15" s="105" t="inlineStr">
        <is>
          <t>STL</t>
        </is>
      </c>
      <c r="D15" s="1561">
        <f>H15+L15</f>
        <v/>
      </c>
      <c r="E15" s="1562">
        <f>I15+M15</f>
        <v/>
      </c>
      <c r="F15" s="1562">
        <f>J15+N15</f>
        <v/>
      </c>
      <c r="G15" s="106">
        <f>((I15*K15)+(M15*O15))/E15</f>
        <v/>
      </c>
      <c r="H15" s="1561">
        <f>SUMIFS('Bank loan table'!$F:$F,'Bank loan table'!$B:$B,$B$15,'Bank loan table'!$E:$E,"Yes",'Bank loan table'!$A:$A,$C$6)</f>
        <v/>
      </c>
      <c r="I15" s="1562">
        <f>SUMIFS('Bank loan table'!$G:$G,'Bank loan table'!$B:$B,$B$15,'Bank loan table'!$E:$E,"Yes",'Bank loan table'!$A:$A,$C$6)</f>
        <v/>
      </c>
      <c r="J15" s="1562">
        <f>H15-I15</f>
        <v/>
      </c>
      <c r="K15" s="106">
        <f>IF(I15=0,0,SUMIFS('Bank loan table'!$L:$L,'Bank loan table'!$B:$B,$B$15,'Bank loan table'!$E:$E,"Yes",'Bank loan table'!$A:$A,$C$6)/I15)</f>
        <v/>
      </c>
      <c r="L15" s="1561">
        <f>SUMIFS('Bank loan table'!$F:$F,'Bank loan table'!$B:$B,$B$15,'Bank loan table'!$E:$E,"No",'Bank loan table'!$A:$A,$C$6)</f>
        <v/>
      </c>
      <c r="M15" s="1562">
        <f>SUMIFS('Bank loan table'!$G:$G,'Bank loan table'!$B:$B,$B$15,'Bank loan table'!$E:$E,"No",'Bank loan table'!$A:$A,$C$6)</f>
        <v/>
      </c>
      <c r="N15" s="1562">
        <f>L15-M15</f>
        <v/>
      </c>
      <c r="O15" s="106">
        <f>IF(M15=0,0,SUMIFS('Bank loan table'!$L:$L,'Bank loan table'!$B:$B,$B$15,'Bank loan table'!$E:$E,"No",'Bank loan table'!$A:$A,$C$6)/M15)</f>
        <v/>
      </c>
    </row>
    <row r="16" ht="39.75" customFormat="1" customHeight="1" s="98">
      <c r="B16" s="1563" t="n"/>
      <c r="C16" s="105" t="inlineStr">
        <is>
          <t>LTL</t>
        </is>
      </c>
      <c r="D16" s="1561">
        <f>H16+L16</f>
        <v/>
      </c>
      <c r="E16" s="1562">
        <f>I16+M16</f>
        <v/>
      </c>
      <c r="F16" s="1562">
        <f>J16+N16</f>
        <v/>
      </c>
      <c r="G16" s="106">
        <f>((I16*K16)+(M16*O16))/E16</f>
        <v/>
      </c>
      <c r="H16" s="1561">
        <f>SUMIFS('Bank loan table'!$F:$F,'Bank loan table'!$B:$B,$B$15,'Bank loan table'!$E:$E,"Yes",'Bank loan table'!$A:$A,$C$7)</f>
        <v/>
      </c>
      <c r="I16" s="1562">
        <f>SUMIFS('Bank loan table'!$G:$G,'Bank loan table'!$B:$B,$B$15,'Bank loan table'!$E:$E,"Yes",'Bank loan table'!$A:$A,$C$7)</f>
        <v/>
      </c>
      <c r="J16" s="1562">
        <f>H16-I16</f>
        <v/>
      </c>
      <c r="K16" s="106">
        <f>IF(I16=0,0,SUMIFS('Bank loan table'!$L:$L,'Bank loan table'!$B:$B,$B$15,'Bank loan table'!$E:$E,"Yes",'Bank loan table'!$A:$A,$C$7)/I16)</f>
        <v/>
      </c>
      <c r="L16" s="1561">
        <f>SUMIFS('Bank loan table'!$F:$F,'Bank loan table'!$B:$B,$B$15,'Bank loan table'!$E:$E,"No",'Bank loan table'!$A:$A,$C$7)</f>
        <v/>
      </c>
      <c r="M16" s="1562">
        <f>SUMIFS('Bank loan table'!$G:$G,'Bank loan table'!$B:$B,$B$15,'Bank loan table'!$E:$E,"No",'Bank loan table'!$A:$A,$C$7)</f>
        <v/>
      </c>
      <c r="N16" s="1562">
        <f>L16-M16</f>
        <v/>
      </c>
      <c r="O16" s="106">
        <f>IF(M16=0,0,SUMIFS('Bank loan table'!$L:$L,'Bank loan table'!$B:$B,$B$15,'Bank loan table'!$E:$E,"No",'Bank loan table'!$A:$A,$C$7)/M16)</f>
        <v/>
      </c>
    </row>
    <row r="17" ht="39.75" customFormat="1" customHeight="1" s="98" thickBot="1">
      <c r="B17" s="1563" t="n"/>
      <c r="C17" s="105" t="inlineStr">
        <is>
          <t>SUM</t>
        </is>
      </c>
      <c r="D17" s="1565">
        <f>H17+L17</f>
        <v/>
      </c>
      <c r="E17" s="1566">
        <f>I17+M17</f>
        <v/>
      </c>
      <c r="F17" s="1566">
        <f>J17+N17</f>
        <v/>
      </c>
      <c r="G17" s="102">
        <f>((I17*K17)+(M17*O17))/E17</f>
        <v/>
      </c>
      <c r="H17" s="1565">
        <f>SUM(H15:H16)</f>
        <v/>
      </c>
      <c r="I17" s="1566">
        <f>SUM(I15:I16)</f>
        <v/>
      </c>
      <c r="J17" s="1566">
        <f>SUM(J15:J16)</f>
        <v/>
      </c>
      <c r="K17" s="102">
        <f t="array" ref="K17">IF(I17=0,0,SUM(I15:I16*K15:K16)/I17)</f>
        <v/>
      </c>
      <c r="L17" s="1565">
        <f>SUM(L15:L16)</f>
        <v/>
      </c>
      <c r="M17" s="1566">
        <f>SUM(M15:M16)</f>
        <v/>
      </c>
      <c r="N17" s="1566">
        <f>SUM(N15:N16)</f>
        <v/>
      </c>
      <c r="O17" s="102">
        <f t="array" ref="O17">IF(M17=0,0,SUM(M15:M16*O15:O16)/M17)</f>
        <v/>
      </c>
    </row>
    <row r="18" ht="39.75" customFormat="1" customHeight="1" s="98">
      <c r="B18" s="1567" t="n"/>
      <c r="C18" s="984" t="inlineStr">
        <is>
          <t>STL</t>
        </is>
      </c>
      <c r="D18" s="985">
        <f>+D6+D9+D12+D15</f>
        <v/>
      </c>
      <c r="E18" s="986">
        <f>+E6+E9+E12+E15</f>
        <v/>
      </c>
      <c r="F18" s="986">
        <f>+F6+F9+F12+F15</f>
        <v/>
      </c>
      <c r="G18" s="987">
        <f>((I18*K18)+(M18*O18))/E18</f>
        <v/>
      </c>
      <c r="H18" s="985">
        <f>+H6+H9+H12+H15</f>
        <v/>
      </c>
      <c r="I18" s="986">
        <f>+I6+I9+I12+I15</f>
        <v/>
      </c>
      <c r="J18" s="1568">
        <f>+J6+J9+J12+J15</f>
        <v/>
      </c>
      <c r="K18" s="987">
        <f>((I6*K6)+(I9*K9)+(I15*K15)+(I12*K12))/I18</f>
        <v/>
      </c>
      <c r="L18" s="985">
        <f>+L6+L9+L12+L15</f>
        <v/>
      </c>
      <c r="M18" s="986">
        <f>+M6+M9+M12+M15</f>
        <v/>
      </c>
      <c r="N18" s="986">
        <f>+N6+N9+N12+N15</f>
        <v/>
      </c>
      <c r="O18" s="987">
        <f>((M6*O6)+(M9*O9)+(M15*O15)+(M12*O12))/M18</f>
        <v/>
      </c>
    </row>
    <row r="19" ht="39.75" customFormat="1" customHeight="1" s="98">
      <c r="B19" s="1569" t="n"/>
      <c r="C19" s="989" t="inlineStr">
        <is>
          <t>LTL</t>
        </is>
      </c>
      <c r="D19" s="990">
        <f>+D7+D10+D13+D16</f>
        <v/>
      </c>
      <c r="E19" s="991">
        <f>+E7+E10+E13+E16</f>
        <v/>
      </c>
      <c r="F19" s="991">
        <f>+F7+F10+F13+F16</f>
        <v/>
      </c>
      <c r="G19" s="992">
        <f>((I19*K19)+(M19*O19))/E19</f>
        <v/>
      </c>
      <c r="H19" s="990">
        <f>+H7+H10+H13+H16</f>
        <v/>
      </c>
      <c r="I19" s="991">
        <f>+I7+I10+I13+I16</f>
        <v/>
      </c>
      <c r="J19" s="1570">
        <f>+J7+J10+J13+J16</f>
        <v/>
      </c>
      <c r="K19" s="992">
        <f>((I7*K7)+(I10*K10)+(I16*K16)+(I13*K13))/I19</f>
        <v/>
      </c>
      <c r="L19" s="990">
        <f>+L7+L10+L13+L16</f>
        <v/>
      </c>
      <c r="M19" s="991">
        <f>+M7+M10+M13+M16</f>
        <v/>
      </c>
      <c r="N19" s="991">
        <f>+N7+N10+N13+N16</f>
        <v/>
      </c>
      <c r="O19" s="992">
        <f>((M7*O7)+(M10*O10)+(M16*O16)+(M13*O13))/M19</f>
        <v/>
      </c>
    </row>
    <row r="20" ht="39.75" customFormat="1" customHeight="1" s="98" thickBot="1">
      <c r="B20" s="1571" t="inlineStr">
        <is>
          <t>Total RUSSIA</t>
        </is>
      </c>
      <c r="C20" s="994" t="n"/>
      <c r="D20" s="995">
        <f>H20+L20</f>
        <v/>
      </c>
      <c r="E20" s="996">
        <f>I20+M20</f>
        <v/>
      </c>
      <c r="F20" s="996">
        <f>J20+N20</f>
        <v/>
      </c>
      <c r="G20" s="997">
        <f>((I20*K20)+(M20*O20))/E20</f>
        <v/>
      </c>
      <c r="H20" s="995">
        <f>H8+H11+H17+H14</f>
        <v/>
      </c>
      <c r="I20" s="996">
        <f>I8+I11+I17+I14</f>
        <v/>
      </c>
      <c r="J20" s="1572">
        <f>J8+J11+J17+J14</f>
        <v/>
      </c>
      <c r="K20" s="997">
        <f>((I8*K8)+(I11*K11)+(I17*K17)+(I14*K14))/I20</f>
        <v/>
      </c>
      <c r="L20" s="995">
        <f>L8+L11+L17+L14</f>
        <v/>
      </c>
      <c r="M20" s="996">
        <f>M8+M11+M17+M14</f>
        <v/>
      </c>
      <c r="N20" s="996">
        <f>N8+N11+N17+N14</f>
        <v/>
      </c>
      <c r="O20" s="997">
        <f>((M8*O8)+(M11*O11)+(M17*O17)+(M14*O14))/M20</f>
        <v/>
      </c>
    </row>
    <row r="21" ht="21" customHeight="1">
      <c r="B21" s="1573" t="n"/>
      <c r="D21" s="118">
        <f>D20-'Bank loan table'!F121</f>
        <v/>
      </c>
      <c r="E21" s="118">
        <f>E20-'Bank loan table'!G121</f>
        <v/>
      </c>
      <c r="H21" s="118">
        <f>+H20+L20-D20</f>
        <v/>
      </c>
      <c r="I21" s="118">
        <f>+I20+M20-E20</f>
        <v/>
      </c>
      <c r="J21" s="118">
        <f>+J20+N20-F20</f>
        <v/>
      </c>
    </row>
    <row r="22">
      <c r="B22" s="94" t="n"/>
      <c r="D22" s="118">
        <f>+D6+D7+D9+D10+D12+D13+D15+D16-D20</f>
        <v/>
      </c>
      <c r="E22" s="118">
        <f>+E6+E7+E9+E10+E12+E13+E15+E16-E20</f>
        <v/>
      </c>
      <c r="F22" s="118">
        <f>+F6+F7+F9+F10+F12+F13+F15+F16-F20</f>
        <v/>
      </c>
      <c r="H22" s="118">
        <f>+H6+H7+H9+H10+H12+H13+H15+H16-H20</f>
        <v/>
      </c>
      <c r="I22" s="118">
        <f>+I6+I7+I9+I10+I12+I13+I15+I16-I20</f>
        <v/>
      </c>
      <c r="J22" s="118">
        <f>+J6+J7+J9+J10+J12+J13+J15+J16-J20</f>
        <v/>
      </c>
      <c r="L22" s="118">
        <f>+L6+L7+L9+L10+L12+L13+L15+L16-L20</f>
        <v/>
      </c>
      <c r="M22" s="118">
        <f>+M6+M7+M9+M10+M12+M13+M15+M16-M20</f>
        <v/>
      </c>
      <c r="N22" s="118">
        <f>+N6+N7+N9+N10+N12+N13+N15+N16-N20</f>
        <v/>
      </c>
    </row>
    <row r="23" ht="21.6" customHeight="1" thickBot="1">
      <c r="C23" s="1574" t="inlineStr">
        <is>
          <t>Exchange rate</t>
        </is>
      </c>
      <c r="D23" s="93" t="n"/>
      <c r="E23" s="974">
        <f>+'Cash in bank report'!B2</f>
        <v/>
      </c>
      <c r="F23" s="1574">
        <f>+'Cash in bank report'!E2</f>
        <v/>
      </c>
      <c r="G23" s="1574" t="inlineStr">
        <is>
          <t xml:space="preserve"> Ruble / USD</t>
        </is>
      </c>
      <c r="H23" s="93" t="n"/>
      <c r="O23" s="97" t="inlineStr">
        <is>
          <t>Unit : M.USD</t>
        </is>
      </c>
    </row>
    <row r="24" ht="39.75" customFormat="1" customHeight="1" s="98" thickBot="1">
      <c r="B24" s="1554" t="inlineStr">
        <is>
          <t>Description</t>
        </is>
      </c>
      <c r="C24" s="1555" t="n"/>
      <c r="D24" s="1554">
        <f>+D4</f>
        <v/>
      </c>
      <c r="E24" s="1556" t="n"/>
      <c r="F24" s="1556" t="n"/>
      <c r="G24" s="1557" t="n"/>
      <c r="H24" s="1554">
        <f>+H4</f>
        <v/>
      </c>
      <c r="I24" s="1556" t="n"/>
      <c r="J24" s="1556" t="n"/>
      <c r="K24" s="1557" t="n"/>
      <c r="L24" s="1554">
        <f>+L4</f>
        <v/>
      </c>
      <c r="M24" s="1556" t="n"/>
      <c r="N24" s="1556" t="n"/>
      <c r="O24" s="1557" t="n"/>
    </row>
    <row r="25" ht="39.75" customFormat="1" customHeight="1" s="98" thickBot="1">
      <c r="B25" s="1558" t="n"/>
      <c r="C25" s="1559" t="n"/>
      <c r="D25" s="1338" t="inlineStr">
        <is>
          <t>Credit</t>
        </is>
      </c>
      <c r="E25" s="1339" t="inlineStr">
        <is>
          <t>Loan</t>
        </is>
      </c>
      <c r="F25" s="1339" t="inlineStr">
        <is>
          <t>Available</t>
        </is>
      </c>
      <c r="G25" s="1340" t="inlineStr">
        <is>
          <t>Rate</t>
        </is>
      </c>
      <c r="H25" s="1338" t="inlineStr">
        <is>
          <t>Credit</t>
        </is>
      </c>
      <c r="I25" s="1339" t="inlineStr">
        <is>
          <t>Loan</t>
        </is>
      </c>
      <c r="J25" s="1339" t="inlineStr">
        <is>
          <t>Available</t>
        </is>
      </c>
      <c r="K25" s="1340" t="inlineStr">
        <is>
          <t>Rate</t>
        </is>
      </c>
      <c r="L25" s="1336" t="inlineStr">
        <is>
          <t>Credit</t>
        </is>
      </c>
      <c r="M25" s="981" t="inlineStr">
        <is>
          <t>Loan</t>
        </is>
      </c>
      <c r="N25" s="981" t="inlineStr">
        <is>
          <t>Available</t>
        </is>
      </c>
      <c r="O25" s="1340" t="inlineStr">
        <is>
          <t>Rate</t>
        </is>
      </c>
    </row>
    <row r="26" ht="39.75" customFormat="1" customHeight="1" s="98">
      <c r="B26" s="1560" t="inlineStr">
        <is>
          <t>CPFO</t>
        </is>
      </c>
      <c r="C26" s="105" t="inlineStr">
        <is>
          <t>STL</t>
        </is>
      </c>
      <c r="D26" s="1575">
        <f>D6/$F$23</f>
        <v/>
      </c>
      <c r="E26" s="1576">
        <f>E6/$F$23</f>
        <v/>
      </c>
      <c r="F26" s="1576">
        <f>F6/$F$23</f>
        <v/>
      </c>
      <c r="G26" s="488">
        <f>G6</f>
        <v/>
      </c>
      <c r="H26" s="1575">
        <f>H6/$F$23</f>
        <v/>
      </c>
      <c r="I26" s="1576">
        <f>I6/$F$23</f>
        <v/>
      </c>
      <c r="J26" s="1576">
        <f>J6/$F$23</f>
        <v/>
      </c>
      <c r="K26" s="488">
        <f>K6</f>
        <v/>
      </c>
      <c r="L26" s="1577">
        <f>L6/$F$23</f>
        <v/>
      </c>
      <c r="M26" s="1578">
        <f>M6/$F$23</f>
        <v/>
      </c>
      <c r="N26" s="489">
        <f>N6/$F$23</f>
        <v/>
      </c>
      <c r="O26" s="488" t="n"/>
      <c r="P26" s="103" t="n"/>
    </row>
    <row r="27" ht="39.75" customFormat="1" customHeight="1" s="98">
      <c r="B27" s="1563" t="n"/>
      <c r="C27" s="105" t="inlineStr">
        <is>
          <t>LTL</t>
        </is>
      </c>
      <c r="D27" s="1579">
        <f>D7/$F$23</f>
        <v/>
      </c>
      <c r="E27" s="1580">
        <f>E7/$F$23</f>
        <v/>
      </c>
      <c r="F27" s="1580">
        <f>F7/$F$23</f>
        <v/>
      </c>
      <c r="G27" s="108">
        <f>G7</f>
        <v/>
      </c>
      <c r="H27" s="1579">
        <f>H7/$F$23</f>
        <v/>
      </c>
      <c r="I27" s="1580">
        <f>I7/$F$23</f>
        <v/>
      </c>
      <c r="J27" s="1580">
        <f>J7/$F$23</f>
        <v/>
      </c>
      <c r="K27" s="108">
        <f>K7</f>
        <v/>
      </c>
      <c r="L27" s="1581">
        <f>L7/$F$23</f>
        <v/>
      </c>
      <c r="M27" s="1582">
        <f>M7/$F$23</f>
        <v/>
      </c>
      <c r="N27" s="107">
        <f>N7/$F$23</f>
        <v/>
      </c>
      <c r="O27" s="108" t="n"/>
      <c r="P27" s="103" t="n"/>
    </row>
    <row r="28" ht="39.75" customFormat="1" customHeight="1" s="98">
      <c r="B28" s="1564" t="n"/>
      <c r="C28" s="100" t="inlineStr">
        <is>
          <t>SUM</t>
        </is>
      </c>
      <c r="D28" s="1583">
        <f>D8/$F$23</f>
        <v/>
      </c>
      <c r="E28" s="1584">
        <f>E8/$F$23</f>
        <v/>
      </c>
      <c r="F28" s="1584">
        <f>F8/$F$23</f>
        <v/>
      </c>
      <c r="G28" s="102">
        <f>G8</f>
        <v/>
      </c>
      <c r="H28" s="1583">
        <f>H8/$F$23</f>
        <v/>
      </c>
      <c r="I28" s="1584">
        <f>I8/$F$23</f>
        <v/>
      </c>
      <c r="J28" s="1584">
        <f>J8/$F$23</f>
        <v/>
      </c>
      <c r="K28" s="102">
        <f>K8</f>
        <v/>
      </c>
      <c r="L28" s="1583">
        <f>L8/$F$23</f>
        <v/>
      </c>
      <c r="M28" s="1584">
        <f>M8/$F$23</f>
        <v/>
      </c>
      <c r="N28" s="101">
        <f>N8/$F$23</f>
        <v/>
      </c>
      <c r="O28" s="102" t="n"/>
      <c r="P28" s="103" t="n"/>
    </row>
    <row r="29" ht="39.75" customFormat="1" customHeight="1" s="98">
      <c r="B29" s="1563" t="inlineStr">
        <is>
          <t>RBPI</t>
        </is>
      </c>
      <c r="C29" s="105" t="inlineStr">
        <is>
          <t>STL</t>
        </is>
      </c>
      <c r="D29" s="1579">
        <f>D9/$F$23</f>
        <v/>
      </c>
      <c r="E29" s="1580">
        <f>E9/$F$23</f>
        <v/>
      </c>
      <c r="F29" s="1580">
        <f>F9/$F$23</f>
        <v/>
      </c>
      <c r="G29" s="106">
        <f>G9</f>
        <v/>
      </c>
      <c r="H29" s="1579">
        <f>H9/$F$23</f>
        <v/>
      </c>
      <c r="I29" s="1580">
        <f>I9/$F$23</f>
        <v/>
      </c>
      <c r="J29" s="1580">
        <f>J9/$F$23</f>
        <v/>
      </c>
      <c r="K29" s="106">
        <f>K9</f>
        <v/>
      </c>
      <c r="L29" s="1579">
        <f>L9/$F$23</f>
        <v/>
      </c>
      <c r="M29" s="1580">
        <f>M9/$F$23</f>
        <v/>
      </c>
      <c r="N29" s="1580">
        <f>N9/$F$23</f>
        <v/>
      </c>
      <c r="O29" s="106">
        <f>O9</f>
        <v/>
      </c>
    </row>
    <row r="30" ht="39.75" customFormat="1" customHeight="1" s="98">
      <c r="B30" s="1563" t="n"/>
      <c r="C30" s="105" t="inlineStr">
        <is>
          <t>LTL</t>
        </is>
      </c>
      <c r="D30" s="1579">
        <f>D10/$F$23</f>
        <v/>
      </c>
      <c r="E30" s="1580">
        <f>E10/$F$23</f>
        <v/>
      </c>
      <c r="F30" s="1580">
        <f>F10/$F$23</f>
        <v/>
      </c>
      <c r="G30" s="106">
        <f>G10</f>
        <v/>
      </c>
      <c r="H30" s="1579">
        <f>H10/$F$23</f>
        <v/>
      </c>
      <c r="I30" s="1580">
        <f>I10/$F$23</f>
        <v/>
      </c>
      <c r="J30" s="1580">
        <f>J10/$F$23</f>
        <v/>
      </c>
      <c r="K30" s="106">
        <f>K10</f>
        <v/>
      </c>
      <c r="L30" s="1579">
        <f>L10/$F$23</f>
        <v/>
      </c>
      <c r="M30" s="1580">
        <f>M10/$F$23</f>
        <v/>
      </c>
      <c r="N30" s="1580">
        <f>N10/$F$23</f>
        <v/>
      </c>
      <c r="O30" s="106">
        <f>O10</f>
        <v/>
      </c>
    </row>
    <row r="31" ht="39.75" customFormat="1" customHeight="1" s="98">
      <c r="B31" s="1564" t="n"/>
      <c r="C31" s="100" t="inlineStr">
        <is>
          <t>SUM</t>
        </is>
      </c>
      <c r="D31" s="1583">
        <f>D11/$F$23</f>
        <v/>
      </c>
      <c r="E31" s="1584">
        <f>E11/$F$23</f>
        <v/>
      </c>
      <c r="F31" s="1584">
        <f>F11/$F$23</f>
        <v/>
      </c>
      <c r="G31" s="102">
        <f>G11</f>
        <v/>
      </c>
      <c r="H31" s="1583">
        <f>H11/$F$23</f>
        <v/>
      </c>
      <c r="I31" s="1584">
        <f>I11/$F$23</f>
        <v/>
      </c>
      <c r="J31" s="1584">
        <f>J11/$F$23</f>
        <v/>
      </c>
      <c r="K31" s="102">
        <f>K11</f>
        <v/>
      </c>
      <c r="L31" s="1583">
        <f>L11/$F$23</f>
        <v/>
      </c>
      <c r="M31" s="1584">
        <f>M11/$F$23</f>
        <v/>
      </c>
      <c r="N31" s="1584">
        <f>N11/$F$23</f>
        <v/>
      </c>
      <c r="O31" s="102">
        <f>O11</f>
        <v/>
      </c>
    </row>
    <row r="32" ht="39.75" customFormat="1" customHeight="1" s="98">
      <c r="B32" s="1563" t="inlineStr">
        <is>
          <t>APK</t>
        </is>
      </c>
      <c r="C32" s="105" t="inlineStr">
        <is>
          <t>STL</t>
        </is>
      </c>
      <c r="D32" s="1579">
        <f>D12/$F$23</f>
        <v/>
      </c>
      <c r="E32" s="1580">
        <f>E12/$F$23</f>
        <v/>
      </c>
      <c r="F32" s="1580">
        <f>F12/$F$23</f>
        <v/>
      </c>
      <c r="G32" s="106">
        <f>G12</f>
        <v/>
      </c>
      <c r="H32" s="1579">
        <f>H12/$F$23</f>
        <v/>
      </c>
      <c r="I32" s="1580">
        <f>I12/$F$23</f>
        <v/>
      </c>
      <c r="J32" s="1580">
        <f>J12/$F$23</f>
        <v/>
      </c>
      <c r="K32" s="106">
        <f>K12</f>
        <v/>
      </c>
      <c r="L32" s="1579">
        <f>L12/$F$23</f>
        <v/>
      </c>
      <c r="M32" s="1580">
        <f>M12/$F$23</f>
        <v/>
      </c>
      <c r="N32" s="1580">
        <f>N12/$F$23</f>
        <v/>
      </c>
      <c r="O32" s="106">
        <f>O12</f>
        <v/>
      </c>
    </row>
    <row r="33" ht="39.75" customFormat="1" customHeight="1" s="98">
      <c r="B33" s="1563" t="n"/>
      <c r="C33" s="105" t="inlineStr">
        <is>
          <t>LTL</t>
        </is>
      </c>
      <c r="D33" s="1579">
        <f>D13/$F$23</f>
        <v/>
      </c>
      <c r="E33" s="1580">
        <f>E13/$F$23</f>
        <v/>
      </c>
      <c r="F33" s="1580">
        <f>F13/$F$23</f>
        <v/>
      </c>
      <c r="G33" s="106">
        <f>G13</f>
        <v/>
      </c>
      <c r="H33" s="1579">
        <f>H13/$F$23</f>
        <v/>
      </c>
      <c r="I33" s="1580">
        <f>I13/$F$23</f>
        <v/>
      </c>
      <c r="J33" s="1580">
        <f>J13/$F$23</f>
        <v/>
      </c>
      <c r="K33" s="106">
        <f>K13</f>
        <v/>
      </c>
      <c r="L33" s="1579">
        <f>L13/$F$23</f>
        <v/>
      </c>
      <c r="M33" s="1580">
        <f>M13/$F$23</f>
        <v/>
      </c>
      <c r="N33" s="1580">
        <f>N13/$F$23</f>
        <v/>
      </c>
      <c r="O33" s="106">
        <f>O13</f>
        <v/>
      </c>
    </row>
    <row r="34" ht="39.75" customFormat="1" customHeight="1" s="98">
      <c r="B34" s="1564" t="n"/>
      <c r="C34" s="100" t="inlineStr">
        <is>
          <t>SUM</t>
        </is>
      </c>
      <c r="D34" s="1583">
        <f>D14/$F$23</f>
        <v/>
      </c>
      <c r="E34" s="1584">
        <f>E14/$F$23</f>
        <v/>
      </c>
      <c r="F34" s="1584">
        <f>F14/$F$23</f>
        <v/>
      </c>
      <c r="G34" s="102">
        <f>G14</f>
        <v/>
      </c>
      <c r="H34" s="1583">
        <f>H14/$F$23</f>
        <v/>
      </c>
      <c r="I34" s="1584">
        <f>I14/$F$23</f>
        <v/>
      </c>
      <c r="J34" s="1584">
        <f>J14/$F$23</f>
        <v/>
      </c>
      <c r="K34" s="102">
        <f>K14</f>
        <v/>
      </c>
      <c r="L34" s="1583">
        <f>L14/$F$23</f>
        <v/>
      </c>
      <c r="M34" s="1584">
        <f>M14/$F$23</f>
        <v/>
      </c>
      <c r="N34" s="1584">
        <f>N14/$F$23</f>
        <v/>
      </c>
      <c r="O34" s="102">
        <f>O14</f>
        <v/>
      </c>
    </row>
    <row r="35" ht="39.75" customFormat="1" customHeight="1" s="98">
      <c r="B35" s="1563" t="inlineStr">
        <is>
          <t>S&amp;W</t>
        </is>
      </c>
      <c r="C35" s="105" t="inlineStr">
        <is>
          <t>STL</t>
        </is>
      </c>
      <c r="D35" s="1579">
        <f>D15/$F$23</f>
        <v/>
      </c>
      <c r="E35" s="1580">
        <f>E15/$F$23</f>
        <v/>
      </c>
      <c r="F35" s="1585">
        <f>F15/$F$23</f>
        <v/>
      </c>
      <c r="G35" s="106">
        <f>G15</f>
        <v/>
      </c>
      <c r="H35" s="1579">
        <f>H15/$F$23</f>
        <v/>
      </c>
      <c r="I35" s="1580">
        <f>I15/$F$23</f>
        <v/>
      </c>
      <c r="J35" s="1585">
        <f>J15/$F$23</f>
        <v/>
      </c>
      <c r="K35" s="106">
        <f>K15</f>
        <v/>
      </c>
      <c r="L35" s="1579" t="n"/>
      <c r="M35" s="1580" t="n"/>
      <c r="N35" s="1580" t="n"/>
      <c r="O35" s="106" t="n"/>
    </row>
    <row r="36" ht="39.75" customFormat="1" customHeight="1" s="98">
      <c r="B36" s="1563" t="n"/>
      <c r="C36" s="105" t="inlineStr">
        <is>
          <t>LTL</t>
        </is>
      </c>
      <c r="D36" s="1579">
        <f>D16/$F$23</f>
        <v/>
      </c>
      <c r="E36" s="1580">
        <f>E16/$F$23</f>
        <v/>
      </c>
      <c r="F36" s="1580">
        <f>F16/$F$23</f>
        <v/>
      </c>
      <c r="G36" s="106">
        <f>G16</f>
        <v/>
      </c>
      <c r="H36" s="1579">
        <f>H16/$F$23</f>
        <v/>
      </c>
      <c r="I36" s="1580">
        <f>I16/$F$23</f>
        <v/>
      </c>
      <c r="J36" s="1580">
        <f>J16/$F$23</f>
        <v/>
      </c>
      <c r="K36" s="106">
        <f>K16</f>
        <v/>
      </c>
      <c r="L36" s="1579" t="n"/>
      <c r="M36" s="1580" t="n"/>
      <c r="N36" s="1580" t="n"/>
      <c r="O36" s="106" t="n"/>
    </row>
    <row r="37" ht="39.75" customFormat="1" customHeight="1" s="98" thickBot="1">
      <c r="B37" s="1563" t="n"/>
      <c r="C37" s="105" t="inlineStr">
        <is>
          <t>SUM</t>
        </is>
      </c>
      <c r="D37" s="1581">
        <f>D17/$F$23</f>
        <v/>
      </c>
      <c r="E37" s="1582">
        <f>E17/$F$23</f>
        <v/>
      </c>
      <c r="F37" s="1582">
        <f>F17/$F$23</f>
        <v/>
      </c>
      <c r="G37" s="108">
        <f>G17</f>
        <v/>
      </c>
      <c r="H37" s="1581">
        <f>H17/$F$23</f>
        <v/>
      </c>
      <c r="I37" s="1582">
        <f>I17/$F$23</f>
        <v/>
      </c>
      <c r="J37" s="1582">
        <f>J17/$F$23</f>
        <v/>
      </c>
      <c r="K37" s="108">
        <f>K17</f>
        <v/>
      </c>
      <c r="L37" s="1581" t="n"/>
      <c r="M37" s="1582" t="n"/>
      <c r="N37" s="1582" t="n"/>
      <c r="O37" s="108" t="n"/>
    </row>
    <row r="38" ht="39.75" customFormat="1" customHeight="1" s="98">
      <c r="B38" s="1567" t="n"/>
      <c r="C38" s="984" t="inlineStr">
        <is>
          <t>STL</t>
        </is>
      </c>
      <c r="D38" s="1586">
        <f>+D26+D29+D32+D35</f>
        <v/>
      </c>
      <c r="E38" s="1587">
        <f>+E26+E29+E32+E35</f>
        <v/>
      </c>
      <c r="F38" s="1587">
        <f>+F26+F29+F32+F35</f>
        <v/>
      </c>
      <c r="G38" s="987">
        <f>((I38*K38)+(M38*O38))/E38</f>
        <v/>
      </c>
      <c r="H38" s="1586">
        <f>+H26+H29+H32+H35</f>
        <v/>
      </c>
      <c r="I38" s="1587">
        <f>+I26+I29+I32+I35</f>
        <v/>
      </c>
      <c r="J38" s="1587">
        <f>+J26+J29+J32+J35</f>
        <v/>
      </c>
      <c r="K38" s="987">
        <f>((I26*K26)+(I29*K29)+(I35*K35)+(I32*K32))/I38</f>
        <v/>
      </c>
      <c r="L38" s="1586">
        <f>+L26+L29+L32+L35</f>
        <v/>
      </c>
      <c r="M38" s="1587">
        <f>+M26+M29+M32+M35</f>
        <v/>
      </c>
      <c r="N38" s="1587">
        <f>+N26+N29+N32+N35</f>
        <v/>
      </c>
      <c r="O38" s="987">
        <f>((M26*O26)+(M29*O29)+(M35*O35)+(M32*O32))/M38</f>
        <v/>
      </c>
    </row>
    <row r="39" ht="39.75" customFormat="1" customHeight="1" s="98">
      <c r="B39" s="1569" t="n"/>
      <c r="C39" s="989" t="inlineStr">
        <is>
          <t>LTL</t>
        </is>
      </c>
      <c r="D39" s="1588">
        <f>+D27+D30+D33+D36</f>
        <v/>
      </c>
      <c r="E39" s="1589">
        <f>+E27+E30+E33+E36</f>
        <v/>
      </c>
      <c r="F39" s="1589">
        <f>+F27+F30+F33+F36</f>
        <v/>
      </c>
      <c r="G39" s="992">
        <f>((I39*K39)+(M39*O39))/E39</f>
        <v/>
      </c>
      <c r="H39" s="1588">
        <f>+H27+H30+H33+H36</f>
        <v/>
      </c>
      <c r="I39" s="1589">
        <f>+I27+I30+I33+I36</f>
        <v/>
      </c>
      <c r="J39" s="1589">
        <f>+J27+J30+J33+J36</f>
        <v/>
      </c>
      <c r="K39" s="992">
        <f>((I27*K27)+(I30*K30)+(I36*K36)+(I33*K33))/I39</f>
        <v/>
      </c>
      <c r="L39" s="1588">
        <f>+L27+L30+L33+L36</f>
        <v/>
      </c>
      <c r="M39" s="1589">
        <f>+M27+M30+M33+M36</f>
        <v/>
      </c>
      <c r="N39" s="1589">
        <f>+N27+N30+N33+N36</f>
        <v/>
      </c>
      <c r="O39" s="992">
        <f>((M27*O27)+(M30*O30)+(M36*O36)+(M33*O33))/M39</f>
        <v/>
      </c>
    </row>
    <row r="40" ht="39.75" customFormat="1" customHeight="1" s="98" thickBot="1">
      <c r="B40" s="1590" t="inlineStr">
        <is>
          <t>RUSSIA</t>
        </is>
      </c>
      <c r="C40" s="999" t="n"/>
      <c r="D40" s="1591">
        <f>D20/$F$23</f>
        <v/>
      </c>
      <c r="E40" s="1592">
        <f>E20/$F$23</f>
        <v/>
      </c>
      <c r="F40" s="1592">
        <f>F20/$F$23</f>
        <v/>
      </c>
      <c r="G40" s="1000">
        <f>G20</f>
        <v/>
      </c>
      <c r="H40" s="1591">
        <f>H20/$F$23</f>
        <v/>
      </c>
      <c r="I40" s="1592">
        <f>I20/$F$23</f>
        <v/>
      </c>
      <c r="J40" s="1592">
        <f>J20/$F$23</f>
        <v/>
      </c>
      <c r="K40" s="1000">
        <f>K20</f>
        <v/>
      </c>
      <c r="L40" s="1591">
        <f>L20/$F$23</f>
        <v/>
      </c>
      <c r="M40" s="1592">
        <f>M20/$F$23</f>
        <v/>
      </c>
      <c r="N40" s="1592">
        <f>N20/$F$23</f>
        <v/>
      </c>
      <c r="O40" s="1000">
        <f>O20</f>
        <v/>
      </c>
    </row>
    <row r="41" ht="21" customHeight="1">
      <c r="B41" s="1573" t="n"/>
      <c r="D41" s="118">
        <f>+D26+D29+D32+D35-D38</f>
        <v/>
      </c>
      <c r="E41" s="118">
        <f>+E26+E29+E32+E35-E38</f>
        <v/>
      </c>
      <c r="F41" s="118">
        <f>+F26+F29+F32+F35-F38</f>
        <v/>
      </c>
      <c r="H41" s="118">
        <f>+H26+H29+H32+H35-H38</f>
        <v/>
      </c>
      <c r="I41" s="118">
        <f>+I26+I29+I32+I35-I38</f>
        <v/>
      </c>
      <c r="J41" s="118">
        <f>+J26+J29+J32+J35-J38</f>
        <v/>
      </c>
      <c r="L41" s="118">
        <f>+L26+L29+L32+L35-L38</f>
        <v/>
      </c>
      <c r="M41" s="118">
        <f>+M26+M29+M32+M35-M38</f>
        <v/>
      </c>
      <c r="N41" s="118">
        <f>+N26+N29+N32+N35-N38</f>
        <v/>
      </c>
    </row>
    <row r="42" ht="21" customHeight="1">
      <c r="B42" s="1573" t="n"/>
      <c r="D42" s="118">
        <f>+D27+D30+D33+D36-D39</f>
        <v/>
      </c>
      <c r="E42" s="118">
        <f>+E27+E30+E33+E36-E39</f>
        <v/>
      </c>
      <c r="F42" s="118">
        <f>+F27+F30+F33+F36-F39</f>
        <v/>
      </c>
      <c r="H42" s="118">
        <f>+H27+H30+H33+H36-H39</f>
        <v/>
      </c>
      <c r="I42" s="118">
        <f>+I27+I30+I33+I36-I39</f>
        <v/>
      </c>
      <c r="J42" s="118">
        <f>+J27+J30+J33+J36-J39</f>
        <v/>
      </c>
      <c r="L42" s="118">
        <f>+L27+L30+L33+L36-L39</f>
        <v/>
      </c>
      <c r="M42" s="118">
        <f>+M27+M30+M33+M36-M39</f>
        <v/>
      </c>
      <c r="N42" s="118">
        <f>+N27+N30+N33+N36-N39</f>
        <v/>
      </c>
    </row>
    <row r="43">
      <c r="D43" s="118">
        <f>+D28+D31+D34+D37-D40</f>
        <v/>
      </c>
      <c r="E43" s="118">
        <f>+E28+E31+E34+E37-E40</f>
        <v/>
      </c>
      <c r="F43" s="118">
        <f>+F28+F31+F34+F37-F40</f>
        <v/>
      </c>
      <c r="H43" s="118">
        <f>+H28+H31+H34+H37-H40</f>
        <v/>
      </c>
      <c r="I43" s="118">
        <f>+I28+I31+I34+I37-I40</f>
        <v/>
      </c>
      <c r="J43" s="118">
        <f>+J28+J31+J34+J37-J40</f>
        <v/>
      </c>
      <c r="L43" s="118">
        <f>+L28+L31+L34+L37-L40</f>
        <v/>
      </c>
      <c r="M43" s="118">
        <f>+M28+M31+M34+M37-M40</f>
        <v/>
      </c>
      <c r="N43" s="118">
        <f>+N28+N31+N34+N37-N40</f>
        <v/>
      </c>
    </row>
    <row r="44">
      <c r="D44" s="118" t="n"/>
      <c r="E44" s="118" t="n"/>
      <c r="F44" s="118" t="n"/>
    </row>
  </sheetData>
  <mergeCells count="8">
    <mergeCell ref="H4:K4"/>
    <mergeCell ref="D4:G4"/>
    <mergeCell ref="L4:O4"/>
    <mergeCell ref="D24:G24"/>
    <mergeCell ref="B24:C25"/>
    <mergeCell ref="H24:K24"/>
    <mergeCell ref="L24:O24"/>
    <mergeCell ref="B4:C5"/>
  </mergeCells>
  <pageMargins left="0.2" right="0.2" top="0.75" bottom="0.75" header="0.3" footer="0.3"/>
  <pageSetup orientation="portrait" paperSize="9" scale="4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30"/>
  <sheetViews>
    <sheetView showGridLines="0" showZeros="0" zoomScale="70" zoomScaleNormal="70" workbookViewId="0">
      <pane xSplit="14" ySplit="2" topLeftCell="Y81" activePane="bottomRight" state="frozen"/>
      <selection activeCell="B2" sqref="B2:C3"/>
      <selection pane="topRight" activeCell="B2" sqref="B2:C3"/>
      <selection pane="bottomLeft" activeCell="B2" sqref="B2:C3"/>
      <selection pane="bottomRight" activeCell="B2" sqref="B2:C3"/>
    </sheetView>
  </sheetViews>
  <sheetFormatPr baseColWidth="8" defaultColWidth="9.21875" defaultRowHeight="14.4"/>
  <cols>
    <col width="13.21875" customWidth="1" style="1077" min="1" max="1"/>
    <col width="12" customWidth="1" style="1077" min="2" max="2"/>
    <col width="32.21875" customWidth="1" style="1149" min="3" max="3"/>
    <col width="13.21875" customWidth="1" style="1077" min="4" max="4"/>
    <col width="17.21875" bestFit="1" customWidth="1" style="1077" min="5" max="5"/>
    <col width="15.21875" bestFit="1" customWidth="1" style="1593" min="6" max="6"/>
    <col width="15" bestFit="1" customWidth="1" style="1089" min="7" max="7"/>
    <col width="15" bestFit="1" customWidth="1" style="1107" min="8" max="8"/>
    <col width="12.21875" bestFit="1" customWidth="1" style="1086" min="9" max="9"/>
    <col width="15.77734375" customWidth="1" style="1086" min="10" max="10"/>
    <col width="10" bestFit="1" customWidth="1" style="1086" min="11" max="11"/>
    <col width="14.77734375" customWidth="1" style="1310" min="12" max="12"/>
    <col width="19.21875" customWidth="1" style="1081" min="13" max="14"/>
    <col width="2.21875" customWidth="1" style="1287" min="15" max="15"/>
    <col hidden="1" width="12.6640625" customWidth="1" style="1594" min="16" max="16"/>
    <col hidden="1" width="11.21875" customWidth="1" style="1077" min="17" max="21"/>
    <col hidden="1" width="11.109375" customWidth="1" style="1077" min="22" max="23"/>
    <col width="11.21875" customWidth="1" style="1077" min="24" max="28"/>
    <col width="10.21875" customWidth="1" style="1089" min="29" max="33"/>
    <col width="9.21875" customWidth="1" style="1089" min="34" max="34"/>
    <col hidden="1" width="9.21875" customWidth="1" style="1089" min="35" max="37"/>
    <col width="11.77734375" customWidth="1" style="1595" min="38" max="38"/>
    <col width="12.21875" customWidth="1" style="1089" min="39" max="40"/>
    <col width="14.21875" customWidth="1" style="1089" min="41" max="41"/>
    <col width="9.21875" customWidth="1" style="1089" min="42" max="42"/>
    <col width="15.21875" bestFit="1" customWidth="1" style="1308" min="43" max="43"/>
    <col width="11.21875" customWidth="1" style="1089" min="44" max="44"/>
    <col width="9.21875" customWidth="1" style="1089" min="45" max="47"/>
    <col width="14.6640625" customWidth="1" style="1089" min="48" max="48"/>
    <col width="9.21875" customWidth="1" style="1089" min="49" max="16384"/>
  </cols>
  <sheetData>
    <row r="1">
      <c r="E1" s="1077" t="inlineStr">
        <is>
          <t>Sub/ Non sub</t>
        </is>
      </c>
    </row>
    <row r="2" ht="29.4" customFormat="1" customHeight="1" s="1075" thickBot="1">
      <c r="A2" s="1074" t="inlineStr">
        <is>
          <t>Unit : M.Rub</t>
        </is>
      </c>
      <c r="B2" s="1067" t="inlineStr">
        <is>
          <t>Company</t>
        </is>
      </c>
      <c r="C2" s="1280" t="inlineStr">
        <is>
          <t>Description</t>
        </is>
      </c>
      <c r="D2" s="1067" t="inlineStr">
        <is>
          <t>Bank</t>
        </is>
      </c>
      <c r="E2" s="1067" t="inlineStr">
        <is>
          <t>Preferable rate</t>
        </is>
      </c>
      <c r="F2" s="1596" t="inlineStr">
        <is>
          <t>Credit</t>
        </is>
      </c>
      <c r="G2" s="1069" t="inlineStr">
        <is>
          <t>Loan</t>
        </is>
      </c>
      <c r="H2" s="1070" t="inlineStr">
        <is>
          <t>Available credit</t>
        </is>
      </c>
      <c r="I2" s="1071" t="inlineStr">
        <is>
          <t>Interest rate</t>
        </is>
      </c>
      <c r="J2" s="1274" t="inlineStr">
        <is>
          <t>Interest rate
Approved memo</t>
        </is>
      </c>
      <c r="K2" s="1071" t="inlineStr">
        <is>
          <t>Condition</t>
        </is>
      </c>
      <c r="L2" s="1275" t="inlineStr">
        <is>
          <t>Int.</t>
        </is>
      </c>
      <c r="M2" s="1072" t="inlineStr">
        <is>
          <t>Agreement 
Date</t>
        </is>
      </c>
      <c r="N2" s="1072" t="inlineStr">
        <is>
          <t>Due Date</t>
        </is>
      </c>
      <c r="O2" s="1073" t="n"/>
      <c r="P2" s="1597" t="n"/>
      <c r="Q2" s="1597" t="n">
        <v>45658</v>
      </c>
      <c r="R2" s="1597" t="n">
        <v>45689</v>
      </c>
      <c r="S2" s="1597" t="n">
        <v>45717</v>
      </c>
      <c r="T2" s="1597" t="n">
        <v>45748</v>
      </c>
      <c r="U2" s="1597" t="n">
        <v>45778</v>
      </c>
      <c r="V2" s="1597" t="n">
        <v>45809</v>
      </c>
      <c r="W2" s="1597" t="n">
        <v>45839</v>
      </c>
      <c r="X2" s="1597" t="n">
        <v>45870</v>
      </c>
      <c r="Y2" s="1597" t="n">
        <v>45901</v>
      </c>
      <c r="Z2" s="1597" t="n">
        <v>45931</v>
      </c>
      <c r="AA2" s="1597" t="n">
        <v>45962</v>
      </c>
      <c r="AB2" s="1597" t="n">
        <v>45992</v>
      </c>
      <c r="AC2" s="1598" t="n">
        <v>46023</v>
      </c>
      <c r="AD2" s="1598">
        <f>+AC2+365</f>
        <v/>
      </c>
      <c r="AE2" s="1598">
        <f>+AD2+365</f>
        <v/>
      </c>
      <c r="AF2" s="1598">
        <f>+AE2+366</f>
        <v/>
      </c>
      <c r="AG2" s="1598">
        <f>+AF2+365</f>
        <v/>
      </c>
      <c r="AH2" s="1598">
        <f>+AG2+365</f>
        <v/>
      </c>
      <c r="AI2" s="1598">
        <f>+AH2+365</f>
        <v/>
      </c>
      <c r="AJ2" s="1598">
        <f>+AI2+365</f>
        <v/>
      </c>
      <c r="AK2" s="1598">
        <f>+AJ2+365</f>
        <v/>
      </c>
      <c r="AL2" s="1599" t="inlineStr">
        <is>
          <t>Total</t>
        </is>
      </c>
      <c r="AQ2" s="1309" t="n"/>
    </row>
    <row r="3" customFormat="1" s="1077">
      <c r="A3" s="1077" t="inlineStr">
        <is>
          <t>LTL</t>
        </is>
      </c>
      <c r="B3" s="1077" t="inlineStr">
        <is>
          <t>CPFO</t>
        </is>
      </c>
      <c r="C3" s="1149" t="inlineStr">
        <is>
          <t>CPF Ryazan</t>
        </is>
      </c>
      <c r="D3" s="1077" t="inlineStr">
        <is>
          <t>GPB</t>
        </is>
      </c>
      <c r="E3" s="1077" t="inlineStr">
        <is>
          <t>yes</t>
        </is>
      </c>
      <c r="F3" s="1593">
        <f>899.60311588-128.51473082</f>
        <v/>
      </c>
      <c r="G3" s="1593">
        <f>+F3</f>
        <v/>
      </c>
      <c r="H3" s="1595">
        <f>F3-G3</f>
        <v/>
      </c>
      <c r="I3" s="1086" t="n">
        <v>0.09</v>
      </c>
      <c r="J3" s="1086" t="n"/>
      <c r="K3" s="1086" t="inlineStr">
        <is>
          <t>Float</t>
        </is>
      </c>
      <c r="L3" s="1310">
        <f>+G3*I3</f>
        <v/>
      </c>
      <c r="M3" s="1277" t="n">
        <v>43433</v>
      </c>
      <c r="N3" s="1277" t="n">
        <v>46353</v>
      </c>
      <c r="O3" s="1287" t="n"/>
      <c r="P3" s="1594" t="n"/>
      <c r="Q3" s="1600" t="n"/>
      <c r="R3" s="1600" t="n"/>
      <c r="S3" s="1600" t="n"/>
      <c r="T3" s="1600">
        <f>IF(U$2&lt;$N3,0,IF($N3&gt;T$2,$G3,0))</f>
        <v/>
      </c>
      <c r="U3" s="1600">
        <f>IF(V$2&lt;$N3,0,IF($N3&gt;U$2,$G3,0))</f>
        <v/>
      </c>
      <c r="V3" s="1600" t="n"/>
      <c r="W3" s="1600" t="n"/>
      <c r="X3" s="1600">
        <f>IF(Y$2&lt;$N3,0,IF($N3&gt;X$2,$G3,0))</f>
        <v/>
      </c>
      <c r="Y3" s="1600" t="n">
        <v>128.51473082</v>
      </c>
      <c r="Z3" s="1600">
        <f>IF(AA$2&lt;$N3,0,IF($N3&gt;Z$2,$G3,0))</f>
        <v/>
      </c>
      <c r="AA3" s="1600">
        <f>IF(AB$2&lt;$N3,0,IF($N3&gt;AA$2,$G3,0))</f>
        <v/>
      </c>
      <c r="AB3" s="1600" t="n">
        <v>128.51473082</v>
      </c>
      <c r="AC3" s="1600">
        <f>514.05892342</f>
        <v/>
      </c>
      <c r="AD3" s="1601" t="n"/>
      <c r="AL3" s="1594">
        <f>SUM(Q3:AK3)</f>
        <v/>
      </c>
      <c r="AM3" s="1310">
        <f>+AL3-G3</f>
        <v/>
      </c>
      <c r="AN3" s="1077">
        <f>CONCATENATE(B3,K3,A3)</f>
        <v/>
      </c>
      <c r="AO3" s="1077">
        <f>CONCATENATE(B3,K3,A3,E3)</f>
        <v/>
      </c>
      <c r="AQ3" s="1310" t="n"/>
    </row>
    <row r="4" customFormat="1" s="1077">
      <c r="A4" s="1077" t="inlineStr">
        <is>
          <t>STL</t>
        </is>
      </c>
      <c r="B4" s="1077" t="inlineStr">
        <is>
          <t>CPFO</t>
        </is>
      </c>
      <c r="C4" s="1149" t="inlineStr">
        <is>
          <t>CPF Ryazan</t>
        </is>
      </c>
      <c r="D4" s="1077" t="inlineStr">
        <is>
          <t>GPB</t>
        </is>
      </c>
      <c r="E4" s="1077" t="inlineStr">
        <is>
          <t>yes</t>
        </is>
      </c>
      <c r="F4" s="1593" t="n">
        <v>500</v>
      </c>
      <c r="G4" s="1593">
        <f>+F4</f>
        <v/>
      </c>
      <c r="H4" s="1595">
        <f>F4-G4</f>
        <v/>
      </c>
      <c r="I4" s="1086" t="n">
        <v>0.11</v>
      </c>
      <c r="J4" s="1086" t="n"/>
      <c r="K4" s="1086" t="inlineStr">
        <is>
          <t>Float</t>
        </is>
      </c>
      <c r="L4" s="1310">
        <f>+G4*I4</f>
        <v/>
      </c>
      <c r="M4" s="1277" t="n">
        <v>45649</v>
      </c>
      <c r="N4" s="1277" t="n">
        <v>46013</v>
      </c>
      <c r="O4" s="1287" t="n"/>
      <c r="P4" s="1594" t="n"/>
      <c r="Q4" s="1600" t="n"/>
      <c r="R4" s="1600" t="n"/>
      <c r="S4" s="1600" t="n"/>
      <c r="T4" s="1600">
        <f>IF(U$2&lt;$N4,0,IF($N4&gt;T$2,$G4,0))</f>
        <v/>
      </c>
      <c r="U4" s="1600">
        <f>IF(V$2&lt;$N4,0,IF($N4&gt;U$2,$G4,0))</f>
        <v/>
      </c>
      <c r="V4" s="1600" t="n"/>
      <c r="W4" s="1600" t="n"/>
      <c r="X4" s="1600">
        <f>IF(Y$2&lt;$N4,0,IF($N4&gt;X$2,$G4,0))</f>
        <v/>
      </c>
      <c r="Y4" s="1600">
        <f>IF(Z$2&lt;$N4,0,IF($N4&gt;Y$2,$G4,0))</f>
        <v/>
      </c>
      <c r="Z4" s="1600">
        <f>IF(AA$2&lt;$N4,0,IF($N4&gt;Z$2,$G4,0))</f>
        <v/>
      </c>
      <c r="AA4" s="1600">
        <f>IF(AB$2&lt;$N4,0,IF($N4&gt;AA$2,$G4,0))</f>
        <v/>
      </c>
      <c r="AB4" s="1600">
        <f>IF(AC$2&lt;$N4,0,IF($N4&gt;AB$2,$G4,0))</f>
        <v/>
      </c>
      <c r="AC4" s="1600" t="n"/>
      <c r="AD4" s="1600" t="n"/>
      <c r="AL4" s="1594">
        <f>SUM(Q4:AK4)</f>
        <v/>
      </c>
      <c r="AM4" s="1310">
        <f>+AL4-G4</f>
        <v/>
      </c>
      <c r="AN4" s="1077">
        <f>CONCATENATE(B4,K4,A4)</f>
        <v/>
      </c>
      <c r="AO4" s="1077">
        <f>CONCATENATE(B4,K4,A4,E4)</f>
        <v/>
      </c>
      <c r="AQ4" s="1310" t="n"/>
    </row>
    <row r="5">
      <c r="G5" s="1593" t="n"/>
      <c r="H5" s="1595" t="n"/>
      <c r="L5" s="1310">
        <f>+G5*I5</f>
        <v/>
      </c>
      <c r="M5" s="1277" t="n"/>
      <c r="N5" s="1277" t="n"/>
      <c r="Q5" s="1600" t="n"/>
      <c r="R5" s="1600" t="n"/>
      <c r="S5" s="1600" t="n"/>
      <c r="T5" s="1600" t="n"/>
      <c r="U5" s="1600" t="n"/>
      <c r="V5" s="1600" t="n"/>
      <c r="W5" s="1600" t="n"/>
      <c r="X5" s="1600" t="n"/>
      <c r="Y5" s="1600" t="n"/>
      <c r="Z5" s="1600" t="n"/>
      <c r="AA5" s="1600" t="n"/>
      <c r="AB5" s="1600" t="n"/>
      <c r="AL5" s="1595">
        <f>SUM(Q5:AK5)</f>
        <v/>
      </c>
      <c r="AM5" s="1308">
        <f>+AL5-G5</f>
        <v/>
      </c>
      <c r="AN5" s="1077" t="n"/>
      <c r="AO5" s="1077" t="n"/>
    </row>
    <row r="6">
      <c r="A6" s="1077" t="inlineStr">
        <is>
          <t>STL</t>
        </is>
      </c>
      <c r="B6" s="1077" t="inlineStr">
        <is>
          <t>SW</t>
        </is>
      </c>
      <c r="C6" s="1149" t="inlineStr">
        <is>
          <t>Severnaya</t>
        </is>
      </c>
      <c r="D6" s="1077" t="inlineStr">
        <is>
          <t>RSHB</t>
        </is>
      </c>
      <c r="E6" s="1077" t="inlineStr">
        <is>
          <t>yes</t>
        </is>
      </c>
      <c r="F6" s="1593" t="n">
        <v>300</v>
      </c>
      <c r="G6" s="1593" t="n">
        <v>300</v>
      </c>
      <c r="H6" s="1595">
        <f>F6-G6</f>
        <v/>
      </c>
      <c r="I6" s="1086" t="n">
        <v>0.11</v>
      </c>
      <c r="K6" s="1086" t="inlineStr">
        <is>
          <t>Float</t>
        </is>
      </c>
      <c r="L6" s="1310">
        <f>+G6*I6</f>
        <v/>
      </c>
      <c r="M6" s="1277" t="n">
        <v>45625</v>
      </c>
      <c r="N6" s="1277">
        <f>+M6+365</f>
        <v/>
      </c>
      <c r="Q6" s="1600" t="n"/>
      <c r="R6" s="1600" t="n"/>
      <c r="S6" s="1600" t="n"/>
      <c r="T6" s="1600" t="n">
        <v>0</v>
      </c>
      <c r="U6" s="1600" t="n">
        <v>0</v>
      </c>
      <c r="V6" s="1600" t="n"/>
      <c r="W6" s="1600" t="n"/>
      <c r="X6" s="1600" t="n">
        <v>0</v>
      </c>
      <c r="Y6" s="1600" t="n">
        <v>0</v>
      </c>
      <c r="Z6" s="1600" t="n">
        <v>0</v>
      </c>
      <c r="AA6" s="1600" t="n">
        <v>300</v>
      </c>
      <c r="AB6" s="1600" t="n">
        <v>0</v>
      </c>
      <c r="AC6" s="1602" t="n"/>
      <c r="AL6" s="1595">
        <f>SUM(Q6:AK6)</f>
        <v/>
      </c>
      <c r="AM6" s="1308">
        <f>+AL6-G6</f>
        <v/>
      </c>
      <c r="AN6" s="1077">
        <f>CONCATENATE(B6,K6,A6)</f>
        <v/>
      </c>
      <c r="AO6" s="1077">
        <f>CONCATENATE(B6,K6,A6,E6)</f>
        <v/>
      </c>
    </row>
    <row r="7">
      <c r="A7" s="1077" t="inlineStr">
        <is>
          <t>STL</t>
        </is>
      </c>
      <c r="B7" s="1077" t="inlineStr">
        <is>
          <t>SW</t>
        </is>
      </c>
      <c r="C7" s="1149" t="inlineStr">
        <is>
          <t>Severnaya</t>
        </is>
      </c>
      <c r="D7" s="1077" t="inlineStr">
        <is>
          <t>SBER</t>
        </is>
      </c>
      <c r="E7" s="1077" t="inlineStr">
        <is>
          <t>yes</t>
        </is>
      </c>
      <c r="F7" s="1593" t="n">
        <v>300</v>
      </c>
      <c r="G7" s="1593" t="n">
        <v>300</v>
      </c>
      <c r="H7" s="1595">
        <f>F7-G7</f>
        <v/>
      </c>
      <c r="I7" s="1086" t="n">
        <v>0.11</v>
      </c>
      <c r="K7" s="1086" t="inlineStr">
        <is>
          <t>Float</t>
        </is>
      </c>
      <c r="L7" s="1310">
        <f>+G7*I7</f>
        <v/>
      </c>
      <c r="M7" s="1277" t="n">
        <v>45790</v>
      </c>
      <c r="N7" s="1277">
        <f>+M7+365</f>
        <v/>
      </c>
      <c r="Q7" s="1600" t="n"/>
      <c r="R7" s="1600" t="n"/>
      <c r="S7" s="1600" t="n"/>
      <c r="T7" s="1600" t="n">
        <v>0</v>
      </c>
      <c r="U7" s="1600" t="n">
        <v>0</v>
      </c>
      <c r="V7" s="1600" t="n"/>
      <c r="W7" s="1600" t="n"/>
      <c r="X7" s="1600" t="n">
        <v>0</v>
      </c>
      <c r="Y7" s="1600" t="n">
        <v>0</v>
      </c>
      <c r="Z7" s="1600" t="n">
        <v>0</v>
      </c>
      <c r="AA7" s="1600" t="n"/>
      <c r="AB7" s="1600" t="n">
        <v>0</v>
      </c>
      <c r="AC7" s="1602">
        <f>+G7</f>
        <v/>
      </c>
      <c r="AL7" s="1595">
        <f>SUM(Q7:AK7)</f>
        <v/>
      </c>
      <c r="AM7" s="1308">
        <f>+AL7-G7</f>
        <v/>
      </c>
      <c r="AN7" s="1077">
        <f>CONCATENATE(B7,K7,A7)</f>
        <v/>
      </c>
      <c r="AO7" s="1077">
        <f>CONCATENATE(B7,K7,A7,E7)</f>
        <v/>
      </c>
    </row>
    <row r="8">
      <c r="A8" s="1077" t="inlineStr">
        <is>
          <t>LTL</t>
        </is>
      </c>
      <c r="B8" s="1077" t="inlineStr">
        <is>
          <t>SW</t>
        </is>
      </c>
      <c r="C8" s="1149" t="inlineStr">
        <is>
          <t>Severnaya</t>
        </is>
      </c>
      <c r="D8" s="1077" t="inlineStr">
        <is>
          <t>RSHB</t>
        </is>
      </c>
      <c r="E8" s="1077" t="inlineStr">
        <is>
          <t>yes</t>
        </is>
      </c>
      <c r="F8" s="1593">
        <f>729.11-104.17-104.17</f>
        <v/>
      </c>
      <c r="G8" s="1593">
        <f>+F8</f>
        <v/>
      </c>
      <c r="H8" s="1595">
        <f>F8-G8</f>
        <v/>
      </c>
      <c r="I8" s="1086" t="n">
        <v>0.1</v>
      </c>
      <c r="K8" s="1086" t="inlineStr">
        <is>
          <t>Fix</t>
        </is>
      </c>
      <c r="L8" s="1310">
        <f>+G8*I8</f>
        <v/>
      </c>
      <c r="M8" s="1277" t="n">
        <v>44190</v>
      </c>
      <c r="N8" s="1277" t="n">
        <v>46015</v>
      </c>
      <c r="Q8" s="1600" t="n"/>
      <c r="R8" s="1600" t="n"/>
      <c r="S8" s="1600" t="n"/>
      <c r="T8" s="1600" t="n"/>
      <c r="U8" s="1600" t="n"/>
      <c r="V8" s="1600" t="n"/>
      <c r="W8" s="1600" t="n"/>
      <c r="X8" s="1600" t="n">
        <v>104.17</v>
      </c>
      <c r="Y8" s="1600" t="n">
        <v>104.17</v>
      </c>
      <c r="Z8" s="1600" t="n">
        <v>104.17</v>
      </c>
      <c r="AA8" s="1600" t="n">
        <v>104.17</v>
      </c>
      <c r="AB8" s="1600" t="n">
        <v>104.0899999999996</v>
      </c>
      <c r="AC8" s="1602" t="n"/>
      <c r="AD8" s="1285" t="n"/>
      <c r="AE8" s="1285" t="n"/>
      <c r="AF8" s="1285" t="n"/>
      <c r="AG8" s="1602" t="n"/>
      <c r="AH8" s="1602" t="n"/>
      <c r="AL8" s="1595">
        <f>SUM(Q8:AK8)</f>
        <v/>
      </c>
      <c r="AM8" s="1308">
        <f>+AL8-G8</f>
        <v/>
      </c>
      <c r="AN8" s="1077">
        <f>CONCATENATE(B8,K8,A8)</f>
        <v/>
      </c>
      <c r="AO8" s="1077">
        <f>CONCATENATE(B8,K8,A8,E8)</f>
        <v/>
      </c>
    </row>
    <row r="9">
      <c r="A9" s="1077" t="inlineStr">
        <is>
          <t>STL</t>
        </is>
      </c>
      <c r="B9" s="1077" t="inlineStr">
        <is>
          <t>SW</t>
        </is>
      </c>
      <c r="C9" s="1149" t="inlineStr">
        <is>
          <t>Woyskovitsy</t>
        </is>
      </c>
      <c r="D9" s="1077" t="inlineStr">
        <is>
          <t>RSHB</t>
        </is>
      </c>
      <c r="E9" s="1077" t="inlineStr">
        <is>
          <t>yes</t>
        </is>
      </c>
      <c r="F9" s="1593" t="n">
        <v>300</v>
      </c>
      <c r="G9" s="1593" t="n">
        <v>300</v>
      </c>
      <c r="H9" s="1595">
        <f>F9-G9</f>
        <v/>
      </c>
      <c r="I9" s="1086" t="n">
        <v>0.11</v>
      </c>
      <c r="K9" s="1086" t="inlineStr">
        <is>
          <t>Float</t>
        </is>
      </c>
      <c r="L9" s="1310">
        <f>+G9*I9</f>
        <v/>
      </c>
      <c r="M9" s="1277" t="n">
        <v>45625</v>
      </c>
      <c r="N9" s="1277">
        <f>+M9+365</f>
        <v/>
      </c>
      <c r="Q9" s="1600" t="n"/>
      <c r="R9" s="1600" t="n"/>
      <c r="S9" s="1600" t="n"/>
      <c r="T9" s="1600" t="n">
        <v>0</v>
      </c>
      <c r="U9" s="1600" t="n">
        <v>0</v>
      </c>
      <c r="V9" s="1600" t="n"/>
      <c r="W9" s="1600" t="n"/>
      <c r="X9" s="1600" t="n">
        <v>0</v>
      </c>
      <c r="Y9" s="1600" t="n">
        <v>0</v>
      </c>
      <c r="Z9" s="1600" t="n">
        <v>0</v>
      </c>
      <c r="AA9" s="1600" t="n">
        <v>300</v>
      </c>
      <c r="AB9" s="1600" t="n">
        <v>0</v>
      </c>
      <c r="AC9" s="1602" t="n"/>
      <c r="AL9" s="1595">
        <f>SUM(Q9:AK9)</f>
        <v/>
      </c>
      <c r="AM9" s="1308">
        <f>+AL9-G9</f>
        <v/>
      </c>
      <c r="AN9" s="1077">
        <f>CONCATENATE(B9,K9,A9)</f>
        <v/>
      </c>
      <c r="AO9" s="1077">
        <f>CONCATENATE(B9,K9,A9,E9)</f>
        <v/>
      </c>
    </row>
    <row r="10">
      <c r="A10" s="1077" t="inlineStr">
        <is>
          <t>STL</t>
        </is>
      </c>
      <c r="B10" s="1077" t="inlineStr">
        <is>
          <t>SW</t>
        </is>
      </c>
      <c r="C10" s="1149" t="inlineStr">
        <is>
          <t>Woyskovitsy</t>
        </is>
      </c>
      <c r="D10" s="1077" t="inlineStr">
        <is>
          <t>RSHB</t>
        </is>
      </c>
      <c r="E10" s="1077" t="inlineStr">
        <is>
          <t>yes</t>
        </is>
      </c>
      <c r="F10" s="1593" t="n">
        <v>300</v>
      </c>
      <c r="G10" s="1593" t="n">
        <v>300</v>
      </c>
      <c r="H10" s="1595">
        <f>F10-G10</f>
        <v/>
      </c>
      <c r="I10" s="1086" t="n">
        <v>0.11</v>
      </c>
      <c r="K10" s="1086" t="inlineStr">
        <is>
          <t>Float</t>
        </is>
      </c>
      <c r="L10" s="1310">
        <f>+G10*I10</f>
        <v/>
      </c>
      <c r="M10" s="1277" t="n">
        <v>45784</v>
      </c>
      <c r="N10" s="1277">
        <f>+M10+365</f>
        <v/>
      </c>
      <c r="Q10" s="1600" t="n"/>
      <c r="R10" s="1600" t="n"/>
      <c r="S10" s="1600" t="n"/>
      <c r="T10" s="1600" t="n">
        <v>0</v>
      </c>
      <c r="U10" s="1600" t="n">
        <v>0</v>
      </c>
      <c r="V10" s="1600" t="n"/>
      <c r="W10" s="1600" t="n"/>
      <c r="X10" s="1600" t="n">
        <v>0</v>
      </c>
      <c r="Y10" s="1600" t="n">
        <v>0</v>
      </c>
      <c r="Z10" s="1600" t="n">
        <v>0</v>
      </c>
      <c r="AA10" s="1600" t="n"/>
      <c r="AB10" s="1600" t="n">
        <v>0</v>
      </c>
      <c r="AC10" s="1602">
        <f>+G10</f>
        <v/>
      </c>
      <c r="AL10" s="1595">
        <f>SUM(Q10:AK10)</f>
        <v/>
      </c>
      <c r="AM10" s="1308">
        <f>+AL10-G10</f>
        <v/>
      </c>
      <c r="AN10" s="1077">
        <f>CONCATENATE(B10,K10,A10)</f>
        <v/>
      </c>
      <c r="AO10" s="1077">
        <f>CONCATENATE(B10,K10,A10,E10)</f>
        <v/>
      </c>
    </row>
    <row r="11">
      <c r="A11" s="1077" t="inlineStr">
        <is>
          <t>LTL</t>
        </is>
      </c>
      <c r="B11" s="1077" t="inlineStr">
        <is>
          <t>SW</t>
        </is>
      </c>
      <c r="C11" s="1149" t="inlineStr">
        <is>
          <t>Woyskovitsy</t>
        </is>
      </c>
      <c r="D11" s="1077" t="inlineStr">
        <is>
          <t>SBER</t>
        </is>
      </c>
      <c r="E11" s="1077" t="inlineStr">
        <is>
          <t>yes</t>
        </is>
      </c>
      <c r="F11" s="1593" t="n">
        <v>1997.03</v>
      </c>
      <c r="G11" s="1593">
        <f>+F11</f>
        <v/>
      </c>
      <c r="H11" s="1595">
        <f>F11-G11</f>
        <v/>
      </c>
      <c r="I11" s="1086" t="n">
        <v>0.0442</v>
      </c>
      <c r="K11" s="1086" t="inlineStr">
        <is>
          <t>Fix</t>
        </is>
      </c>
      <c r="L11" s="1310">
        <f>+G11*I11</f>
        <v/>
      </c>
      <c r="M11" s="1277" t="n">
        <v>44775</v>
      </c>
      <c r="N11" s="1277" t="n">
        <v>47331</v>
      </c>
      <c r="Q11" s="1600" t="n"/>
      <c r="R11" s="1600" t="n"/>
      <c r="S11" s="1600" t="n"/>
      <c r="T11" s="1600" t="n"/>
      <c r="U11" s="1600" t="n"/>
      <c r="V11" s="1600" t="n"/>
      <c r="W11" s="1600" t="n"/>
      <c r="X11" s="1600" t="n">
        <v>41.78797061</v>
      </c>
      <c r="Y11" s="1600" t="n">
        <v>41.78797061</v>
      </c>
      <c r="Z11" s="1600" t="n">
        <v>41.78797061</v>
      </c>
      <c r="AA11" s="1600" t="n">
        <v>41.78797061</v>
      </c>
      <c r="AB11" s="1600" t="n">
        <v>41.78797061</v>
      </c>
      <c r="AC11" s="1595" t="n">
        <v>501.46</v>
      </c>
      <c r="AD11" s="1595" t="n">
        <v>501.46</v>
      </c>
      <c r="AE11" s="1595" t="n">
        <v>501.46</v>
      </c>
      <c r="AF11" s="1595" t="n">
        <v>283.7101469499999</v>
      </c>
      <c r="AG11" s="1595" t="n"/>
      <c r="AL11" s="1595">
        <f>SUM(Q11:AK11)</f>
        <v/>
      </c>
      <c r="AM11" s="1308">
        <f>+AL11-G11</f>
        <v/>
      </c>
      <c r="AN11" s="1077">
        <f>CONCATENATE(B11,K11,A11)</f>
        <v/>
      </c>
      <c r="AO11" s="1077">
        <f>CONCATENATE(B11,K11,A11,E11)</f>
        <v/>
      </c>
    </row>
    <row r="12">
      <c r="G12" s="1593" t="n"/>
      <c r="H12" s="1595" t="n"/>
      <c r="L12" s="1310">
        <f>+G12*I12</f>
        <v/>
      </c>
      <c r="M12" s="1277" t="n"/>
      <c r="N12" s="1277" t="n"/>
      <c r="Q12" s="1600" t="n"/>
      <c r="R12" s="1600" t="n"/>
      <c r="S12" s="1600" t="n"/>
      <c r="T12" s="1600" t="n"/>
      <c r="U12" s="1600" t="n"/>
      <c r="V12" s="1600" t="n"/>
      <c r="W12" s="1600" t="n"/>
      <c r="X12" s="1600" t="n"/>
      <c r="Y12" s="1600" t="n"/>
      <c r="Z12" s="1600" t="n"/>
      <c r="AA12" s="1600" t="n"/>
      <c r="AB12" s="1600" t="n"/>
      <c r="AC12" s="1595" t="n"/>
      <c r="AD12" s="1595" t="n"/>
      <c r="AE12" s="1595" t="n"/>
      <c r="AF12" s="1595" t="n"/>
      <c r="AG12" s="1595" t="n"/>
      <c r="AL12" s="1595">
        <f>SUM(Q12:AK12)</f>
        <v/>
      </c>
      <c r="AM12" s="1308">
        <f>+AL12-G12</f>
        <v/>
      </c>
      <c r="AN12" s="1077" t="n"/>
      <c r="AO12" s="1077" t="n"/>
    </row>
    <row r="13">
      <c r="A13" s="1077" t="inlineStr">
        <is>
          <t>STL</t>
        </is>
      </c>
      <c r="B13" s="1077" t="inlineStr">
        <is>
          <t>APK</t>
        </is>
      </c>
      <c r="C13" s="1149" t="inlineStr">
        <is>
          <t>Sberbank  130B016F12LZMF ( AB  )</t>
        </is>
      </c>
      <c r="D13" s="1077" t="inlineStr">
        <is>
          <t>SBER</t>
        </is>
      </c>
      <c r="E13" s="1077" t="inlineStr">
        <is>
          <t>yes</t>
        </is>
      </c>
      <c r="F13" s="1593" t="n">
        <v>100</v>
      </c>
      <c r="G13" s="1603" t="n">
        <v>100</v>
      </c>
      <c r="H13" s="1595">
        <f>F13-G13</f>
        <v/>
      </c>
      <c r="I13" s="1086" t="n">
        <v>0.11</v>
      </c>
      <c r="K13" s="1170" t="inlineStr">
        <is>
          <t>Float</t>
        </is>
      </c>
      <c r="L13" s="1310">
        <f>+G13*I13</f>
        <v/>
      </c>
      <c r="M13" s="1277" t="n">
        <v>45726</v>
      </c>
      <c r="N13" s="1277" t="n">
        <v>46090</v>
      </c>
      <c r="Q13" s="1600" t="n"/>
      <c r="R13" s="1600" t="n"/>
      <c r="S13" s="1600" t="n"/>
      <c r="T13" s="1600">
        <f>IF(U$2&lt;$N13,0,IF($N13&gt;T$2,$G13,0))</f>
        <v/>
      </c>
      <c r="U13" s="1600">
        <f>IF(V$2&lt;$N13,0,IF($N13&gt;U$2,$G13,0))</f>
        <v/>
      </c>
      <c r="V13" s="1600" t="n"/>
      <c r="W13" s="1600" t="n"/>
      <c r="X13" s="1600">
        <f>IF(Y$2&lt;$N13,0,IF($N13&gt;X$2,$G13,0))</f>
        <v/>
      </c>
      <c r="Y13" s="1600">
        <f>IF(Z$2&lt;$N13,0,IF($N13&gt;Y$2,$G13,0))</f>
        <v/>
      </c>
      <c r="Z13" s="1600">
        <f>IF(AA$2&lt;$N13,0,IF($N13&gt;Z$2,$G13,0))</f>
        <v/>
      </c>
      <c r="AA13" s="1600">
        <f>IF(AB$2&lt;$N13,0,IF($N13&gt;AA$2,$G13,0))</f>
        <v/>
      </c>
      <c r="AB13" s="1600">
        <f>IF(AC$2&lt;$N13,0,IF($N13&gt;AB$2,$G13,0))</f>
        <v/>
      </c>
      <c r="AC13" s="1600">
        <f>IF(AD$2&lt;$N13,0,IF($N13&gt;AC$2,$G13,0))</f>
        <v/>
      </c>
      <c r="AD13" s="1600" t="n"/>
      <c r="AE13" s="1602" t="n"/>
      <c r="AL13" s="1595">
        <f>SUM(Q13:AK13)</f>
        <v/>
      </c>
      <c r="AM13" s="1308">
        <f>+AL13-G13</f>
        <v/>
      </c>
      <c r="AN13" s="1077">
        <f>CONCATENATE(B13,K13,A13)</f>
        <v/>
      </c>
      <c r="AO13" s="1077">
        <f>CONCATENATE(B13,K13,A13,E13)</f>
        <v/>
      </c>
    </row>
    <row r="14">
      <c r="A14" s="1077" t="inlineStr">
        <is>
          <t>STL</t>
        </is>
      </c>
      <c r="B14" s="1077" t="inlineStr">
        <is>
          <t>APK</t>
        </is>
      </c>
      <c r="C14" s="1149" t="inlineStr">
        <is>
          <t>Sberbank  130B016FM2LZMF ( AB  )</t>
        </is>
      </c>
      <c r="D14" s="1077" t="inlineStr">
        <is>
          <t>SBER</t>
        </is>
      </c>
      <c r="E14" s="1077" t="inlineStr">
        <is>
          <t>no</t>
        </is>
      </c>
      <c r="F14" s="1593" t="n">
        <v>100</v>
      </c>
      <c r="G14" s="1603" t="n">
        <v>100</v>
      </c>
      <c r="H14" s="1595">
        <f>F14-G14</f>
        <v/>
      </c>
      <c r="I14" s="1086" t="n">
        <v>0.11</v>
      </c>
      <c r="K14" s="1170" t="inlineStr">
        <is>
          <t>Float</t>
        </is>
      </c>
      <c r="L14" s="1310">
        <f>+G14*I14</f>
        <v/>
      </c>
      <c r="M14" s="1277" t="n">
        <v>45726</v>
      </c>
      <c r="N14" s="1277" t="n">
        <v>46090</v>
      </c>
      <c r="Q14" s="1600" t="n"/>
      <c r="R14" s="1600" t="n"/>
      <c r="S14" s="1600" t="n"/>
      <c r="T14" s="1600">
        <f>IF(U$2&lt;$N14,0,IF($N14&gt;T$2,$G14,0))</f>
        <v/>
      </c>
      <c r="U14" s="1600">
        <f>IF(V$2&lt;$N14,0,IF($N14&gt;U$2,$G14,0))</f>
        <v/>
      </c>
      <c r="V14" s="1600" t="n"/>
      <c r="W14" s="1600" t="n"/>
      <c r="X14" s="1600">
        <f>IF(Y$2&lt;$N14,0,IF($N14&gt;X$2,$G14,0))</f>
        <v/>
      </c>
      <c r="Y14" s="1600">
        <f>IF(Z$2&lt;$N14,0,IF($N14&gt;Y$2,$G14,0))</f>
        <v/>
      </c>
      <c r="Z14" s="1600">
        <f>IF(AA$2&lt;$N14,0,IF($N14&gt;Z$2,$G14,0))</f>
        <v/>
      </c>
      <c r="AA14" s="1600">
        <f>IF(AB$2&lt;$N14,0,IF($N14&gt;AA$2,$G14,0))</f>
        <v/>
      </c>
      <c r="AB14" s="1600">
        <f>IF(AC$2&lt;$N14,0,IF($N14&gt;AB$2,$G14,0))</f>
        <v/>
      </c>
      <c r="AC14" s="1600">
        <f>IF(AD$2&lt;$N14,0,IF($N14&gt;AC$2,$G14,0))</f>
        <v/>
      </c>
      <c r="AD14" s="1600" t="n"/>
      <c r="AE14" s="1602" t="n"/>
      <c r="AL14" s="1595">
        <f>SUM(Q14:AK14)</f>
        <v/>
      </c>
      <c r="AM14" s="1308">
        <f>+AL14-G14</f>
        <v/>
      </c>
      <c r="AN14" s="1077">
        <f>CONCATENATE(B14,K14,A14)</f>
        <v/>
      </c>
      <c r="AO14" s="1077">
        <f>CONCATENATE(B14,K14,A14,E14)</f>
        <v/>
      </c>
    </row>
    <row r="15">
      <c r="A15" s="1077" t="inlineStr">
        <is>
          <t>STL</t>
        </is>
      </c>
      <c r="B15" s="1077" t="inlineStr">
        <is>
          <t>APK</t>
        </is>
      </c>
      <c r="C15" s="1149" t="inlineStr">
        <is>
          <t>Sberbank  130B018152LZMF ( DB  )</t>
        </is>
      </c>
      <c r="D15" s="1077" t="inlineStr">
        <is>
          <t>SBER</t>
        </is>
      </c>
      <c r="E15" s="1077" t="inlineStr">
        <is>
          <t>yes</t>
        </is>
      </c>
      <c r="F15" s="1593" t="n">
        <v>225</v>
      </c>
      <c r="G15" s="1603" t="n">
        <v>225</v>
      </c>
      <c r="H15" s="1595">
        <f>F15-G15</f>
        <v/>
      </c>
      <c r="I15" s="1086" t="n">
        <v>0.11</v>
      </c>
      <c r="K15" s="1170" t="inlineStr">
        <is>
          <t>Float</t>
        </is>
      </c>
      <c r="L15" s="1310">
        <f>+G15*I15</f>
        <v/>
      </c>
      <c r="M15" s="1277" t="n">
        <v>45744</v>
      </c>
      <c r="N15" s="1277" t="n">
        <v>46108</v>
      </c>
      <c r="Q15" s="1600" t="n"/>
      <c r="R15" s="1600" t="n"/>
      <c r="S15" s="1600" t="n"/>
      <c r="T15" s="1600">
        <f>IF(U$2&lt;$N15,0,IF($N15&gt;T$2,$G15,0))</f>
        <v/>
      </c>
      <c r="U15" s="1600">
        <f>IF(V$2&lt;$N15,0,IF($N15&gt;U$2,$G15,0))</f>
        <v/>
      </c>
      <c r="V15" s="1600" t="n"/>
      <c r="W15" s="1600" t="n"/>
      <c r="X15" s="1600">
        <f>IF(Y$2&lt;$N15,0,IF($N15&gt;X$2,$G15,0))</f>
        <v/>
      </c>
      <c r="Y15" s="1600">
        <f>IF(Z$2&lt;$N15,0,IF($N15&gt;Y$2,$G15,0))</f>
        <v/>
      </c>
      <c r="Z15" s="1600">
        <f>IF(AA$2&lt;$N15,0,IF($N15&gt;Z$2,$G15,0))</f>
        <v/>
      </c>
      <c r="AA15" s="1600">
        <f>IF(AB$2&lt;$N15,0,IF($N15&gt;AA$2,$G15,0))</f>
        <v/>
      </c>
      <c r="AB15" s="1600">
        <f>IF(AC$2&lt;$N15,0,IF($N15&gt;AB$2,$G15,0))</f>
        <v/>
      </c>
      <c r="AC15" s="1600">
        <f>IF(AD$2&lt;$N15,0,IF($N15&gt;AC$2,$G15,0))</f>
        <v/>
      </c>
      <c r="AD15" s="1600" t="n"/>
      <c r="AE15" s="1602" t="n"/>
      <c r="AL15" s="1595">
        <f>SUM(Q15:AK15)</f>
        <v/>
      </c>
      <c r="AM15" s="1308">
        <f>+AL15-G15</f>
        <v/>
      </c>
      <c r="AN15" s="1077">
        <f>CONCATENATE(B15,K15,A15)</f>
        <v/>
      </c>
      <c r="AO15" s="1077">
        <f>CONCATENATE(B15,K15,A15,E15)</f>
        <v/>
      </c>
    </row>
    <row r="16">
      <c r="A16" s="1077" t="inlineStr">
        <is>
          <t>STL</t>
        </is>
      </c>
      <c r="B16" s="1077" t="inlineStr">
        <is>
          <t>APK</t>
        </is>
      </c>
      <c r="C16" s="1149" t="inlineStr">
        <is>
          <t>Sberbank  130B017JKMF ( AO  )</t>
        </is>
      </c>
      <c r="D16" s="1077" t="inlineStr">
        <is>
          <t>SBER</t>
        </is>
      </c>
      <c r="E16" s="1077" t="inlineStr">
        <is>
          <t>yes</t>
        </is>
      </c>
      <c r="F16" s="1593" t="n">
        <v>50</v>
      </c>
      <c r="G16" s="1603" t="n">
        <v>50</v>
      </c>
      <c r="H16" s="1595">
        <f>F16-G16</f>
        <v/>
      </c>
      <c r="I16" s="1086" t="n">
        <v>0.07399999999999998</v>
      </c>
      <c r="K16" s="1170" t="inlineStr">
        <is>
          <t>Float</t>
        </is>
      </c>
      <c r="L16" s="1310">
        <f>+G16*I16</f>
        <v/>
      </c>
      <c r="M16" s="1277" t="n">
        <v>45719</v>
      </c>
      <c r="N16" s="1277" t="n">
        <v>46083</v>
      </c>
      <c r="Q16" s="1600" t="n"/>
      <c r="R16" s="1600" t="n"/>
      <c r="S16" s="1600" t="n"/>
      <c r="T16" s="1600">
        <f>IF(U$2&lt;$N16,0,IF($N16&gt;T$2,$G16,0))</f>
        <v/>
      </c>
      <c r="U16" s="1600">
        <f>IF(V$2&lt;$N16,0,IF($N16&gt;U$2,$G16,0))</f>
        <v/>
      </c>
      <c r="V16" s="1600" t="n"/>
      <c r="W16" s="1600" t="n"/>
      <c r="X16" s="1600">
        <f>IF(Y$2&lt;$N16,0,IF($N16&gt;X$2,$G16,0))</f>
        <v/>
      </c>
      <c r="Y16" s="1600">
        <f>IF(Z$2&lt;$N16,0,IF($N16&gt;Y$2,$G16,0))</f>
        <v/>
      </c>
      <c r="Z16" s="1600">
        <f>IF(AA$2&lt;$N16,0,IF($N16&gt;Z$2,$G16,0))</f>
        <v/>
      </c>
      <c r="AA16" s="1600">
        <f>IF(AB$2&lt;$N16,0,IF($N16&gt;AA$2,$G16,0))</f>
        <v/>
      </c>
      <c r="AB16" s="1600">
        <f>IF(AC$2&lt;$N16,0,IF($N16&gt;AB$2,$G16,0))</f>
        <v/>
      </c>
      <c r="AC16" s="1600">
        <f>IF(AD$2&lt;$N16,0,IF($N16&gt;AC$2,$G16,0))</f>
        <v/>
      </c>
      <c r="AD16" s="1600" t="n"/>
      <c r="AE16" s="1602" t="n"/>
      <c r="AL16" s="1595">
        <f>SUM(Q16:AK16)</f>
        <v/>
      </c>
      <c r="AM16" s="1308">
        <f>+AL16-G16</f>
        <v/>
      </c>
      <c r="AN16" s="1077">
        <f>CONCATENATE(B16,K16,A16)</f>
        <v/>
      </c>
      <c r="AO16" s="1077">
        <f>CONCATENATE(B16,K16,A16,E16)</f>
        <v/>
      </c>
    </row>
    <row r="17">
      <c r="A17" s="1077" t="inlineStr">
        <is>
          <t>STL</t>
        </is>
      </c>
      <c r="B17" s="1077" t="inlineStr">
        <is>
          <t>APK</t>
        </is>
      </c>
      <c r="C17" s="1149" t="inlineStr">
        <is>
          <t>Sberbank  130B017IBMF ( AO  )</t>
        </is>
      </c>
      <c r="D17" s="1077" t="inlineStr">
        <is>
          <t>SBER</t>
        </is>
      </c>
      <c r="E17" s="1077" t="inlineStr">
        <is>
          <t>yes</t>
        </is>
      </c>
      <c r="F17" s="1593" t="n">
        <v>100</v>
      </c>
      <c r="G17" s="1603" t="n">
        <v>100</v>
      </c>
      <c r="H17" s="1595">
        <f>F17-G17</f>
        <v/>
      </c>
      <c r="I17" s="1086" t="n">
        <v>0.07399999999999998</v>
      </c>
      <c r="K17" s="1170" t="inlineStr">
        <is>
          <t>Float</t>
        </is>
      </c>
      <c r="L17" s="1310">
        <f>+G17*I17</f>
        <v/>
      </c>
      <c r="M17" s="1277" t="n">
        <v>45719</v>
      </c>
      <c r="N17" s="1277" t="n">
        <v>46083</v>
      </c>
      <c r="Q17" s="1600" t="n"/>
      <c r="R17" s="1600" t="n"/>
      <c r="S17" s="1600" t="n"/>
      <c r="T17" s="1600">
        <f>IF(U$2&lt;$N17,0,IF($N17&gt;T$2,$G17,0))</f>
        <v/>
      </c>
      <c r="U17" s="1600">
        <f>IF(V$2&lt;$N17,0,IF($N17&gt;U$2,$G17,0))</f>
        <v/>
      </c>
      <c r="V17" s="1600" t="n"/>
      <c r="W17" s="1600" t="n"/>
      <c r="X17" s="1600">
        <f>IF(Y$2&lt;$N17,0,IF($N17&gt;X$2,$G17,0))</f>
        <v/>
      </c>
      <c r="Y17" s="1600">
        <f>IF(Z$2&lt;$N17,0,IF($N17&gt;Y$2,$G17,0))</f>
        <v/>
      </c>
      <c r="Z17" s="1600">
        <f>IF(AA$2&lt;$N17,0,IF($N17&gt;Z$2,$G17,0))</f>
        <v/>
      </c>
      <c r="AA17" s="1600">
        <f>IF(AB$2&lt;$N17,0,IF($N17&gt;AA$2,$G17,0))</f>
        <v/>
      </c>
      <c r="AB17" s="1600">
        <f>IF(AC$2&lt;$N17,0,IF($N17&gt;AB$2,$G17,0))</f>
        <v/>
      </c>
      <c r="AC17" s="1600">
        <f>IF(AD$2&lt;$N17,0,IF($N17&gt;AC$2,$G17,0))</f>
        <v/>
      </c>
      <c r="AD17" s="1600" t="n"/>
      <c r="AE17" s="1602" t="n"/>
      <c r="AL17" s="1595">
        <f>SUM(Q17:AK17)</f>
        <v/>
      </c>
      <c r="AM17" s="1308">
        <f>+AL17-G17</f>
        <v/>
      </c>
      <c r="AN17" s="1077">
        <f>CONCATENATE(B17,K17,A17)</f>
        <v/>
      </c>
      <c r="AO17" s="1077">
        <f>CONCATENATE(B17,K17,A17,E17)</f>
        <v/>
      </c>
    </row>
    <row r="18">
      <c r="A18" s="1077" t="inlineStr">
        <is>
          <t>STL</t>
        </is>
      </c>
      <c r="B18" s="1077" t="inlineStr">
        <is>
          <t>APK</t>
        </is>
      </c>
      <c r="C18" s="1149" t="inlineStr">
        <is>
          <t>Sberbank  130B017AYАСРМMF ( Oskol  )</t>
        </is>
      </c>
      <c r="D18" s="1077" t="inlineStr">
        <is>
          <t>SBER</t>
        </is>
      </c>
      <c r="E18" s="1077" t="inlineStr">
        <is>
          <t>yes</t>
        </is>
      </c>
      <c r="F18" s="1593" t="n">
        <v>200</v>
      </c>
      <c r="G18" s="1603" t="n">
        <v>200</v>
      </c>
      <c r="H18" s="1595">
        <f>F18-G18</f>
        <v/>
      </c>
      <c r="I18" s="1086" t="n">
        <v>0.07399999999999998</v>
      </c>
      <c r="K18" s="1170" t="inlineStr">
        <is>
          <t>Float</t>
        </is>
      </c>
      <c r="L18" s="1310">
        <f>+G18*I18</f>
        <v/>
      </c>
      <c r="M18" s="1277" t="n">
        <v>45719</v>
      </c>
      <c r="N18" s="1277" t="n">
        <v>46083</v>
      </c>
      <c r="Q18" s="1600" t="n"/>
      <c r="R18" s="1600" t="n"/>
      <c r="S18" s="1600" t="n"/>
      <c r="T18" s="1600">
        <f>IF(U$2&lt;$N18,0,IF($N18&gt;T$2,$G18,0))</f>
        <v/>
      </c>
      <c r="U18" s="1600">
        <f>IF(V$2&lt;$N18,0,IF($N18&gt;U$2,$G18,0))</f>
        <v/>
      </c>
      <c r="V18" s="1600" t="n"/>
      <c r="W18" s="1600" t="n"/>
      <c r="X18" s="1600">
        <f>IF(Y$2&lt;$N18,0,IF($N18&gt;X$2,$G18,0))</f>
        <v/>
      </c>
      <c r="Y18" s="1600">
        <f>IF(Z$2&lt;$N18,0,IF($N18&gt;Y$2,$G18,0))</f>
        <v/>
      </c>
      <c r="Z18" s="1600">
        <f>IF(AA$2&lt;$N18,0,IF($N18&gt;Z$2,$G18,0))</f>
        <v/>
      </c>
      <c r="AA18" s="1600">
        <f>IF(AB$2&lt;$N18,0,IF($N18&gt;AA$2,$G18,0))</f>
        <v/>
      </c>
      <c r="AB18" s="1600">
        <f>IF(AC$2&lt;$N18,0,IF($N18&gt;AB$2,$G18,0))</f>
        <v/>
      </c>
      <c r="AC18" s="1600">
        <f>IF(AD$2&lt;$N18,0,IF($N18&gt;AC$2,$G18,0))</f>
        <v/>
      </c>
      <c r="AD18" s="1600" t="n"/>
      <c r="AE18" s="1602" t="n"/>
      <c r="AL18" s="1595">
        <f>SUM(Q18:AK18)</f>
        <v/>
      </c>
      <c r="AM18" s="1308">
        <f>+AL18-G18</f>
        <v/>
      </c>
      <c r="AN18" s="1077">
        <f>CONCATENATE(B18,K18,A18)</f>
        <v/>
      </c>
      <c r="AO18" s="1077">
        <f>CONCATENATE(B18,K18,A18,E18)</f>
        <v/>
      </c>
    </row>
    <row r="19">
      <c r="A19" s="1077" t="inlineStr">
        <is>
          <t>STL</t>
        </is>
      </c>
      <c r="B19" s="1077" t="inlineStr">
        <is>
          <t>APK</t>
        </is>
      </c>
      <c r="C19" s="1149" t="inlineStr">
        <is>
          <t>Sberbank  130B01763АСРМMF ( Oskol  )</t>
        </is>
      </c>
      <c r="D19" s="1077" t="inlineStr">
        <is>
          <t>SBER</t>
        </is>
      </c>
      <c r="E19" s="1077" t="inlineStr">
        <is>
          <t>yes</t>
        </is>
      </c>
      <c r="F19" s="1593" t="n">
        <v>100</v>
      </c>
      <c r="G19" s="1603" t="n">
        <v>100</v>
      </c>
      <c r="H19" s="1595">
        <f>F19-G19</f>
        <v/>
      </c>
      <c r="I19" s="1086" t="n">
        <v>0.07399999999999998</v>
      </c>
      <c r="K19" s="1170" t="inlineStr">
        <is>
          <t>Float</t>
        </is>
      </c>
      <c r="L19" s="1310">
        <f>+G19*I19</f>
        <v/>
      </c>
      <c r="M19" s="1277" t="n">
        <v>45722</v>
      </c>
      <c r="N19" s="1277" t="n">
        <v>46086</v>
      </c>
      <c r="Q19" s="1600" t="n"/>
      <c r="R19" s="1600" t="n"/>
      <c r="S19" s="1600" t="n"/>
      <c r="T19" s="1600">
        <f>IF(U$2&lt;$N19,0,IF($N19&gt;T$2,$G19,0))</f>
        <v/>
      </c>
      <c r="U19" s="1600">
        <f>IF(V$2&lt;$N19,0,IF($N19&gt;U$2,$G19,0))</f>
        <v/>
      </c>
      <c r="V19" s="1600" t="n"/>
      <c r="W19" s="1600" t="n"/>
      <c r="X19" s="1600">
        <f>IF(Y$2&lt;$N19,0,IF($N19&gt;X$2,$G19,0))</f>
        <v/>
      </c>
      <c r="Y19" s="1600">
        <f>IF(Z$2&lt;$N19,0,IF($N19&gt;Y$2,$G19,0))</f>
        <v/>
      </c>
      <c r="Z19" s="1600">
        <f>IF(AA$2&lt;$N19,0,IF($N19&gt;Z$2,$G19,0))</f>
        <v/>
      </c>
      <c r="AA19" s="1600">
        <f>IF(AB$2&lt;$N19,0,IF($N19&gt;AA$2,$G19,0))</f>
        <v/>
      </c>
      <c r="AB19" s="1600">
        <f>IF(AC$2&lt;$N19,0,IF($N19&gt;AB$2,$G19,0))</f>
        <v/>
      </c>
      <c r="AC19" s="1600">
        <f>IF(AD$2&lt;$N19,0,IF($N19&gt;AC$2,$G19,0))</f>
        <v/>
      </c>
      <c r="AD19" s="1600" t="n"/>
      <c r="AE19" s="1602" t="n"/>
      <c r="AL19" s="1595">
        <f>SUM(Q19:AK19)</f>
        <v/>
      </c>
      <c r="AM19" s="1308">
        <f>+AL19-G19</f>
        <v/>
      </c>
      <c r="AN19" s="1077">
        <f>CONCATENATE(B19,K19,A19)</f>
        <v/>
      </c>
      <c r="AO19" s="1077">
        <f>CONCATENATE(B19,K19,A19,E19)</f>
        <v/>
      </c>
    </row>
    <row r="20">
      <c r="A20" s="1077" t="inlineStr">
        <is>
          <t>STL</t>
        </is>
      </c>
      <c r="B20" s="1077" t="inlineStr">
        <is>
          <t>RBPI</t>
        </is>
      </c>
      <c r="C20" s="1149" t="inlineStr">
        <is>
          <t>Sberbank  550B017PHАСРМMF ( NNPP  )</t>
        </is>
      </c>
      <c r="D20" s="1077" t="inlineStr">
        <is>
          <t>SBER</t>
        </is>
      </c>
      <c r="E20" s="1077" t="inlineStr">
        <is>
          <t>no</t>
        </is>
      </c>
      <c r="F20" s="1593" t="n">
        <v>200</v>
      </c>
      <c r="G20" s="1603" t="n">
        <v>200</v>
      </c>
      <c r="H20" s="1595">
        <f>F20-G20</f>
        <v/>
      </c>
      <c r="I20" s="1086" t="n">
        <v>0.2277</v>
      </c>
      <c r="K20" s="1086" t="inlineStr">
        <is>
          <t>Float</t>
        </is>
      </c>
      <c r="L20" s="1310">
        <f>+G20*I20</f>
        <v/>
      </c>
      <c r="M20" s="1277" t="n">
        <v>45722</v>
      </c>
      <c r="N20" s="1277" t="n">
        <v>46086</v>
      </c>
      <c r="Q20" s="1600" t="n"/>
      <c r="R20" s="1600" t="n"/>
      <c r="S20" s="1600" t="n"/>
      <c r="T20" s="1600">
        <f>IF(U$2&lt;$N20,0,IF($N20&gt;T$2,$G20,0))</f>
        <v/>
      </c>
      <c r="U20" s="1600">
        <f>IF(V$2&lt;$N20,0,IF($N20&gt;U$2,$G20,0))</f>
        <v/>
      </c>
      <c r="V20" s="1600" t="n"/>
      <c r="W20" s="1600" t="n"/>
      <c r="X20" s="1600">
        <f>IF(Y$2&lt;$N20,0,IF($N20&gt;X$2,$G20,0))</f>
        <v/>
      </c>
      <c r="Y20" s="1600">
        <f>IF(Z$2&lt;$N20,0,IF($N20&gt;Y$2,$G20,0))</f>
        <v/>
      </c>
      <c r="Z20" s="1600">
        <f>IF(AA$2&lt;$N20,0,IF($N20&gt;Z$2,$G20,0))</f>
        <v/>
      </c>
      <c r="AA20" s="1600">
        <f>IF(AB$2&lt;$N20,0,IF($N20&gt;AA$2,$G20,0))</f>
        <v/>
      </c>
      <c r="AB20" s="1600">
        <f>IF(AC$2&lt;$N20,0,IF($N20&gt;AB$2,$G20,0))</f>
        <v/>
      </c>
      <c r="AC20" s="1600">
        <f>IF(AD$2&lt;$N20,0,IF($N20&gt;AC$2,$G20,0))</f>
        <v/>
      </c>
      <c r="AD20" s="1600" t="n"/>
      <c r="AE20" s="1602" t="n"/>
      <c r="AL20" s="1595">
        <f>SUM(Q20:AK20)</f>
        <v/>
      </c>
      <c r="AM20" s="1308">
        <f>+AL20-G20</f>
        <v/>
      </c>
      <c r="AN20" s="1077">
        <f>CONCATENATE(B20,K20,A20)</f>
        <v/>
      </c>
      <c r="AO20" s="1077">
        <f>CONCATENATE(B20,K20,A20,E20)</f>
        <v/>
      </c>
    </row>
    <row r="21">
      <c r="A21" s="1077" t="inlineStr">
        <is>
          <t>STL</t>
        </is>
      </c>
      <c r="B21" s="1077" t="inlineStr">
        <is>
          <t>APK</t>
        </is>
      </c>
      <c r="C21" s="1149" t="inlineStr">
        <is>
          <t>Sberbank  130B014TY2LZMF ( DB  )</t>
        </is>
      </c>
      <c r="D21" s="1077" t="inlineStr">
        <is>
          <t>SBER</t>
        </is>
      </c>
      <c r="E21" s="1077" t="inlineStr">
        <is>
          <t>yes</t>
        </is>
      </c>
      <c r="F21" s="1593" t="n">
        <v>250</v>
      </c>
      <c r="G21" s="1603" t="n">
        <v>250</v>
      </c>
      <c r="H21" s="1595">
        <f>F21-G21</f>
        <v/>
      </c>
      <c r="I21" s="1086" t="n">
        <v>0.11</v>
      </c>
      <c r="K21" s="1170" t="inlineStr">
        <is>
          <t>Float</t>
        </is>
      </c>
      <c r="L21" s="1310">
        <f>+G21*I21</f>
        <v/>
      </c>
      <c r="M21" s="1277" t="n">
        <v>45651</v>
      </c>
      <c r="N21" s="1277" t="n">
        <v>46015</v>
      </c>
      <c r="Q21" s="1600" t="n"/>
      <c r="R21" s="1600" t="n"/>
      <c r="S21" s="1600" t="n"/>
      <c r="T21" s="1600">
        <f>IF(U$2&lt;$N21,0,IF($N21&gt;T$2,$G21,0))</f>
        <v/>
      </c>
      <c r="U21" s="1600">
        <f>IF(V$2&lt;$N21,0,IF($N21&gt;U$2,$G21,0))</f>
        <v/>
      </c>
      <c r="V21" s="1600" t="n"/>
      <c r="W21" s="1600" t="n"/>
      <c r="X21" s="1600">
        <f>IF(Y$2&lt;$N21,0,IF($N21&gt;X$2,$G21,0))</f>
        <v/>
      </c>
      <c r="Y21" s="1600">
        <f>IF(Z$2&lt;$N21,0,IF($N21&gt;Y$2,$G21,0))</f>
        <v/>
      </c>
      <c r="Z21" s="1600">
        <f>IF(AA$2&lt;$N21,0,IF($N21&gt;Z$2,$G21,0))</f>
        <v/>
      </c>
      <c r="AA21" s="1600">
        <f>IF(AB$2&lt;$N21,0,IF($N21&gt;AA$2,$G21,0))</f>
        <v/>
      </c>
      <c r="AB21" s="1600">
        <f>IF(AC$2&lt;$N21,0,IF($N21&gt;AB$2,$G21,0))</f>
        <v/>
      </c>
      <c r="AC21" s="1600">
        <f>IF(AD$2&lt;$N21,0,IF($N21&gt;AC$2,$G21,0))</f>
        <v/>
      </c>
      <c r="AD21" s="1600" t="n"/>
      <c r="AE21" s="1602" t="n"/>
      <c r="AL21" s="1595">
        <f>SUM(Q21:AK21)</f>
        <v/>
      </c>
      <c r="AM21" s="1308">
        <f>+AL21-G21</f>
        <v/>
      </c>
      <c r="AN21" s="1077">
        <f>CONCATENATE(B21,K21,A21)</f>
        <v/>
      </c>
      <c r="AO21" s="1077">
        <f>CONCATENATE(B21,K21,A21,E21)</f>
        <v/>
      </c>
    </row>
    <row r="22">
      <c r="A22" s="1077" t="inlineStr">
        <is>
          <t>STL</t>
        </is>
      </c>
      <c r="B22" s="1077" t="inlineStr">
        <is>
          <t>RBPI</t>
        </is>
      </c>
      <c r="C22" s="1149" t="inlineStr">
        <is>
          <t>Sberbank  550COOOZK12LZMF  ( Kornevo  )</t>
        </is>
      </c>
      <c r="D22" s="1077" t="inlineStr">
        <is>
          <t>SBER</t>
        </is>
      </c>
      <c r="E22" s="1077" t="inlineStr">
        <is>
          <t>yes</t>
        </is>
      </c>
      <c r="F22" s="1593" t="n">
        <v>75</v>
      </c>
      <c r="G22" s="1603" t="n">
        <v>0</v>
      </c>
      <c r="H22" s="1595">
        <f>F22-G22</f>
        <v/>
      </c>
      <c r="I22" s="1086" t="n">
        <v>0.11</v>
      </c>
      <c r="K22" s="1170" t="inlineStr">
        <is>
          <t>Float</t>
        </is>
      </c>
      <c r="L22" s="1310">
        <f>+G22*I22</f>
        <v/>
      </c>
      <c r="M22" s="1277" t="n">
        <v>45497</v>
      </c>
      <c r="N22" s="1277" t="n">
        <v>45861</v>
      </c>
      <c r="Q22" s="1600" t="n"/>
      <c r="R22" s="1600" t="n"/>
      <c r="S22" s="1600" t="n"/>
      <c r="T22" s="1600">
        <f>IF(U$2&lt;$N22,0,IF($N22&gt;T$2,$G22,0))</f>
        <v/>
      </c>
      <c r="U22" s="1600">
        <f>IF(V$2&lt;$N22,0,IF($N22&gt;U$2,$G22,0))</f>
        <v/>
      </c>
      <c r="V22" s="1600" t="n"/>
      <c r="W22" s="1600" t="n"/>
      <c r="X22" s="1600">
        <f>IF(Y$2&lt;$N22,0,IF($N22&gt;X$2,$G22,0))</f>
        <v/>
      </c>
      <c r="Y22" s="1600">
        <f>IF(Z$2&lt;$N22,0,IF($N22&gt;Y$2,$G22,0))</f>
        <v/>
      </c>
      <c r="Z22" s="1600">
        <f>IF(AA$2&lt;$N22,0,IF($N22&gt;Z$2,$G22,0))</f>
        <v/>
      </c>
      <c r="AA22" s="1600">
        <f>IF(AB$2&lt;$N22,0,IF($N22&gt;AA$2,$G22,0))</f>
        <v/>
      </c>
      <c r="AB22" s="1600">
        <f>IF(AC$2&lt;$N22,0,IF($N22&gt;AB$2,$G22,0))</f>
        <v/>
      </c>
      <c r="AC22" s="1600">
        <f>IF(AD$2&lt;$N22,0,IF($N22&gt;AC$2,$G22,0))</f>
        <v/>
      </c>
      <c r="AD22" s="1600" t="n"/>
      <c r="AE22" s="1602" t="n"/>
      <c r="AL22" s="1595">
        <f>SUM(Q22:AK22)</f>
        <v/>
      </c>
      <c r="AM22" s="1308">
        <f>+AL22-G22</f>
        <v/>
      </c>
      <c r="AN22" s="1077">
        <f>CONCATENATE(B22,K22,A22)</f>
        <v/>
      </c>
      <c r="AO22" s="1077">
        <f>CONCATENATE(B22,K22,A22,E22)</f>
        <v/>
      </c>
    </row>
    <row r="23">
      <c r="A23" s="1077" t="inlineStr">
        <is>
          <t>STL</t>
        </is>
      </c>
      <c r="B23" s="1077" t="inlineStr">
        <is>
          <t>RBPI</t>
        </is>
      </c>
      <c r="C23" s="1149" t="inlineStr">
        <is>
          <t>Bank SPb  7500-22-020286/25 ( PPP  )</t>
        </is>
      </c>
      <c r="D23" s="1077" t="inlineStr">
        <is>
          <t>SPB</t>
        </is>
      </c>
      <c r="E23" s="1077" t="inlineStr">
        <is>
          <t>no</t>
        </is>
      </c>
      <c r="F23" s="1593" t="n">
        <v>95</v>
      </c>
      <c r="G23" s="1603" t="n">
        <v>76</v>
      </c>
      <c r="H23" s="1595">
        <f>F23-G23</f>
        <v/>
      </c>
      <c r="I23" s="1086" t="n">
        <v>0.11</v>
      </c>
      <c r="K23" s="1170" t="inlineStr">
        <is>
          <t>Float</t>
        </is>
      </c>
      <c r="L23" s="1310">
        <f>+G23*I23</f>
        <v/>
      </c>
      <c r="M23" s="1277" t="n">
        <v>45618</v>
      </c>
      <c r="N23" s="1277" t="n">
        <v>45983</v>
      </c>
      <c r="Q23" s="1600" t="n"/>
      <c r="R23" s="1600" t="n"/>
      <c r="S23" s="1600" t="n"/>
      <c r="T23" s="1600">
        <f>IF(U$2&lt;$N23,0,IF($N23&gt;T$2,$G23,0))</f>
        <v/>
      </c>
      <c r="U23" s="1600">
        <f>IF(V$2&lt;$N23,0,IF($N23&gt;U$2,$G23,0))</f>
        <v/>
      </c>
      <c r="V23" s="1600" t="n"/>
      <c r="W23" s="1600" t="n"/>
      <c r="X23" s="1600">
        <f>IF(Y$2&lt;$N23,0,IF($N23&gt;X$2,$G23,0))</f>
        <v/>
      </c>
      <c r="Y23" s="1600">
        <f>IF(Z$2&lt;$N23,0,IF($N23&gt;Y$2,$G23,0))</f>
        <v/>
      </c>
      <c r="Z23" s="1600">
        <f>IF(AA$2&lt;$N23,0,IF($N23&gt;Z$2,$G23,0))</f>
        <v/>
      </c>
      <c r="AA23" s="1600">
        <f>IF(AB$2&lt;$N23,0,IF($N23&gt;AA$2,$G23,0))</f>
        <v/>
      </c>
      <c r="AB23" s="1600">
        <f>IF(AC$2&lt;$N23,0,IF($N23&gt;AB$2,$G23,0))</f>
        <v/>
      </c>
      <c r="AC23" s="1600">
        <f>IF(AD$2&lt;$N23,0,IF($N23&gt;AC$2,$G23,0))</f>
        <v/>
      </c>
      <c r="AD23" s="1600" t="n"/>
      <c r="AE23" s="1602" t="n"/>
      <c r="AL23" s="1595">
        <f>SUM(Q23:AK23)</f>
        <v/>
      </c>
      <c r="AM23" s="1308">
        <f>+AL23-G23</f>
        <v/>
      </c>
      <c r="AN23" s="1077">
        <f>CONCATENATE(B23,K23,A23)</f>
        <v/>
      </c>
      <c r="AO23" s="1077">
        <f>CONCATENATE(B23,K23,A23,E23)</f>
        <v/>
      </c>
    </row>
    <row r="24">
      <c r="A24" s="1077" t="inlineStr">
        <is>
          <t>STL</t>
        </is>
      </c>
      <c r="B24" s="1077" t="inlineStr">
        <is>
          <t>RBPI</t>
        </is>
      </c>
      <c r="C24" s="1149" t="inlineStr">
        <is>
          <t>Bank SPb  7500-24-018253/4  ( NNPP  )</t>
        </is>
      </c>
      <c r="D24" s="1077" t="inlineStr">
        <is>
          <t>SPB</t>
        </is>
      </c>
      <c r="E24" s="1077" t="inlineStr">
        <is>
          <t>no</t>
        </is>
      </c>
      <c r="F24" s="1593" t="n">
        <v>100</v>
      </c>
      <c r="G24" s="1603" t="n">
        <v>48.90414473</v>
      </c>
      <c r="H24" s="1595">
        <f>F24-G24</f>
        <v/>
      </c>
      <c r="I24" s="1086" t="n">
        <v>0.225</v>
      </c>
      <c r="K24" s="1086" t="inlineStr">
        <is>
          <t>Float</t>
        </is>
      </c>
      <c r="L24" s="1310">
        <f>+G24*I24</f>
        <v/>
      </c>
      <c r="M24" s="1277" t="n">
        <v>45642</v>
      </c>
      <c r="N24" s="1277" t="n">
        <v>46006</v>
      </c>
      <c r="Q24" s="1600" t="n"/>
      <c r="R24" s="1600" t="n"/>
      <c r="S24" s="1600" t="n"/>
      <c r="T24" s="1600">
        <f>IF(U$2&lt;$N24,0,IF($N24&gt;T$2,$G24,0))</f>
        <v/>
      </c>
      <c r="U24" s="1600">
        <f>IF(V$2&lt;$N24,0,IF($N24&gt;U$2,$G24,0))</f>
        <v/>
      </c>
      <c r="V24" s="1600" t="n"/>
      <c r="W24" s="1600" t="n"/>
      <c r="X24" s="1600">
        <f>IF(Y$2&lt;$N24,0,IF($N24&gt;X$2,$G24,0))</f>
        <v/>
      </c>
      <c r="Y24" s="1600">
        <f>IF(Z$2&lt;$N24,0,IF($N24&gt;Y$2,$G24,0))</f>
        <v/>
      </c>
      <c r="Z24" s="1600">
        <f>IF(AA$2&lt;$N24,0,IF($N24&gt;Z$2,$G24,0))</f>
        <v/>
      </c>
      <c r="AA24" s="1600">
        <f>IF(AB$2&lt;$N24,0,IF($N24&gt;AA$2,$G24,0))</f>
        <v/>
      </c>
      <c r="AB24" s="1600">
        <f>IF(AC$2&lt;$N24,0,IF($N24&gt;AB$2,$G24,0))</f>
        <v/>
      </c>
      <c r="AC24" s="1600">
        <f>IF(AD$2&lt;$N24,0,IF($N24&gt;AC$2,$G24,0))</f>
        <v/>
      </c>
      <c r="AD24" s="1600" t="n"/>
      <c r="AE24" s="1602" t="n"/>
      <c r="AL24" s="1595">
        <f>SUM(Q24:AK24)</f>
        <v/>
      </c>
      <c r="AM24" s="1308">
        <f>+AL24-G24</f>
        <v/>
      </c>
      <c r="AN24" s="1077">
        <f>CONCATENATE(B24,K24,A24)</f>
        <v/>
      </c>
      <c r="AO24" s="1077">
        <f>CONCATENATE(B24,K24,A24,E24)</f>
        <v/>
      </c>
    </row>
    <row r="25">
      <c r="A25" s="1077" t="inlineStr">
        <is>
          <t>STL</t>
        </is>
      </c>
      <c r="B25" s="1077" t="inlineStr">
        <is>
          <t>APK</t>
        </is>
      </c>
      <c r="C25" s="1149" t="inlineStr">
        <is>
          <t>Sberbank  130B018CKАСРМMF ( AB  )</t>
        </is>
      </c>
      <c r="D25" s="1077" t="inlineStr">
        <is>
          <t>SBER</t>
        </is>
      </c>
      <c r="E25" s="1077" t="inlineStr">
        <is>
          <t>no</t>
        </is>
      </c>
      <c r="F25" s="1593" t="n">
        <v>300</v>
      </c>
      <c r="G25" s="1603" t="n">
        <v>300</v>
      </c>
      <c r="H25" s="1595">
        <f>F25-G25</f>
        <v/>
      </c>
      <c r="I25" s="1086" t="n">
        <v>0.218</v>
      </c>
      <c r="K25" s="1086" t="inlineStr">
        <is>
          <t>Float</t>
        </is>
      </c>
      <c r="L25" s="1310">
        <f>+G25*I25</f>
        <v/>
      </c>
      <c r="M25" s="1277" t="n">
        <v>45744</v>
      </c>
      <c r="N25" s="1277" t="n">
        <v>46108</v>
      </c>
      <c r="Q25" s="1600" t="n"/>
      <c r="R25" s="1600" t="n"/>
      <c r="S25" s="1600" t="n"/>
      <c r="T25" s="1600">
        <f>IF(U$2&lt;$N25,0,IF($N25&gt;T$2,$G25,0))</f>
        <v/>
      </c>
      <c r="U25" s="1600">
        <f>IF(V$2&lt;$N25,0,IF($N25&gt;U$2,$G25,0))</f>
        <v/>
      </c>
      <c r="V25" s="1600" t="n"/>
      <c r="W25" s="1600" t="n"/>
      <c r="X25" s="1600">
        <f>IF(Y$2&lt;$N25,0,IF($N25&gt;X$2,$G25,0))</f>
        <v/>
      </c>
      <c r="Y25" s="1600">
        <f>IF(Z$2&lt;$N25,0,IF($N25&gt;Y$2,$G25,0))</f>
        <v/>
      </c>
      <c r="Z25" s="1600">
        <f>IF(AA$2&lt;$N25,0,IF($N25&gt;Z$2,$G25,0))</f>
        <v/>
      </c>
      <c r="AA25" s="1600">
        <f>IF(AB$2&lt;$N25,0,IF($N25&gt;AA$2,$G25,0))</f>
        <v/>
      </c>
      <c r="AB25" s="1600">
        <f>IF(AC$2&lt;$N25,0,IF($N25&gt;AB$2,$G25,0))</f>
        <v/>
      </c>
      <c r="AC25" s="1600">
        <f>IF(AD$2&lt;$N25,0,IF($N25&gt;AC$2,$G25,0))</f>
        <v/>
      </c>
      <c r="AD25" s="1600" t="n"/>
      <c r="AE25" s="1602" t="n"/>
      <c r="AL25" s="1595">
        <f>SUM(Q25:AK25)</f>
        <v/>
      </c>
      <c r="AM25" s="1308">
        <f>+AL25-G25</f>
        <v/>
      </c>
      <c r="AN25" s="1077">
        <f>CONCATENATE(B25,K25,A25)</f>
        <v/>
      </c>
      <c r="AO25" s="1077">
        <f>CONCATENATE(B25,K25,A25,E25)</f>
        <v/>
      </c>
    </row>
    <row r="26">
      <c r="A26" s="1077" t="inlineStr">
        <is>
          <t>STL</t>
        </is>
      </c>
      <c r="B26" s="1077" t="inlineStr">
        <is>
          <t>RBPI</t>
        </is>
      </c>
      <c r="C26" s="1149" t="inlineStr">
        <is>
          <t>Bank SPb  7500-22-020286/22 ( PPP  )</t>
        </is>
      </c>
      <c r="D26" s="1077" t="inlineStr">
        <is>
          <t>SPB</t>
        </is>
      </c>
      <c r="E26" s="1077" t="inlineStr">
        <is>
          <t>no</t>
        </is>
      </c>
      <c r="F26" s="1593" t="n">
        <v>300</v>
      </c>
      <c r="G26" s="1603" t="n">
        <v>0</v>
      </c>
      <c r="H26" s="1595">
        <f>F26-G26</f>
        <v/>
      </c>
      <c r="I26" s="1086" t="n">
        <v>0.215</v>
      </c>
      <c r="K26" s="1170" t="inlineStr">
        <is>
          <t>Float</t>
        </is>
      </c>
      <c r="L26" s="1310">
        <f>+G26*I26</f>
        <v/>
      </c>
      <c r="M26" s="1277" t="n">
        <v>45496</v>
      </c>
      <c r="N26" s="1277" t="n">
        <v>45860</v>
      </c>
      <c r="Q26" s="1600" t="n"/>
      <c r="R26" s="1600" t="n"/>
      <c r="S26" s="1600" t="n"/>
      <c r="T26" s="1600">
        <f>IF(U$2&lt;$N26,0,IF($N26&gt;T$2,$G26,0))</f>
        <v/>
      </c>
      <c r="U26" s="1600">
        <f>IF(V$2&lt;$N26,0,IF($N26&gt;U$2,$G26,0))</f>
        <v/>
      </c>
      <c r="V26" s="1600" t="n"/>
      <c r="W26" s="1600" t="n"/>
      <c r="X26" s="1600">
        <f>IF(Y$2&lt;$N26,0,IF($N26&gt;X$2,$G26,0))</f>
        <v/>
      </c>
      <c r="Y26" s="1600">
        <f>IF(Z$2&lt;$N26,0,IF($N26&gt;Y$2,$G26,0))</f>
        <v/>
      </c>
      <c r="Z26" s="1600">
        <f>IF(AA$2&lt;$N26,0,IF($N26&gt;Z$2,$G26,0))</f>
        <v/>
      </c>
      <c r="AA26" s="1600">
        <f>IF(AB$2&lt;$N26,0,IF($N26&gt;AA$2,$G26,0))</f>
        <v/>
      </c>
      <c r="AB26" s="1600">
        <f>IF(AC$2&lt;$N26,0,IF($N26&gt;AB$2,$G26,0))</f>
        <v/>
      </c>
      <c r="AC26" s="1600">
        <f>IF(AD$2&lt;$N26,0,IF($N26&gt;AC$2,$G26,0))</f>
        <v/>
      </c>
      <c r="AD26" s="1600" t="n"/>
      <c r="AE26" s="1602" t="n"/>
      <c r="AL26" s="1595">
        <f>SUM(Q26:AK26)</f>
        <v/>
      </c>
      <c r="AM26" s="1308">
        <f>+AL26-G26</f>
        <v/>
      </c>
      <c r="AN26" s="1077">
        <f>CONCATENATE(B26,K26,A26)</f>
        <v/>
      </c>
      <c r="AO26" s="1077">
        <f>CONCATENATE(B26,K26,A26,E26)</f>
        <v/>
      </c>
    </row>
    <row r="27">
      <c r="A27" s="1077" t="inlineStr">
        <is>
          <t>STL</t>
        </is>
      </c>
      <c r="B27" s="1077" t="inlineStr">
        <is>
          <t>APK</t>
        </is>
      </c>
      <c r="C27" s="1149" t="inlineStr">
        <is>
          <t>Sberbank  130B013BZMF ( AKZ  )</t>
        </is>
      </c>
      <c r="D27" s="1077" t="inlineStr">
        <is>
          <t>SBER</t>
        </is>
      </c>
      <c r="E27" s="1077" t="inlineStr">
        <is>
          <t>no</t>
        </is>
      </c>
      <c r="F27" s="1593" t="n">
        <v>100</v>
      </c>
      <c r="G27" s="1603" t="n">
        <v>100</v>
      </c>
      <c r="H27" s="1595">
        <f>F27-G27</f>
        <v/>
      </c>
      <c r="I27" s="1086" t="n">
        <v>0.2265</v>
      </c>
      <c r="K27" s="1170" t="inlineStr">
        <is>
          <t>Float</t>
        </is>
      </c>
      <c r="L27" s="1310">
        <f>+G27*I27</f>
        <v/>
      </c>
      <c r="M27" s="1277" t="n">
        <v>45594</v>
      </c>
      <c r="N27" s="1277" t="n">
        <v>45959</v>
      </c>
      <c r="Q27" s="1600" t="n"/>
      <c r="R27" s="1600" t="n"/>
      <c r="S27" s="1600" t="n"/>
      <c r="T27" s="1600">
        <f>IF(U$2&lt;$N27,0,IF($N27&gt;T$2,$G27,0))</f>
        <v/>
      </c>
      <c r="U27" s="1600">
        <f>IF(V$2&lt;$N27,0,IF($N27&gt;U$2,$G27,0))</f>
        <v/>
      </c>
      <c r="V27" s="1600" t="n"/>
      <c r="W27" s="1600" t="n"/>
      <c r="X27" s="1600">
        <f>IF(Y$2&lt;$N27,0,IF($N27&gt;X$2,$G27,0))</f>
        <v/>
      </c>
      <c r="Y27" s="1600">
        <f>IF(Z$2&lt;$N27,0,IF($N27&gt;Y$2,$G27,0))</f>
        <v/>
      </c>
      <c r="Z27" s="1600">
        <f>IF(AA$2&lt;$N27,0,IF($N27&gt;Z$2,$G27,0))</f>
        <v/>
      </c>
      <c r="AA27" s="1600">
        <f>IF(AB$2&lt;$N27,0,IF($N27&gt;AA$2,$G27,0))</f>
        <v/>
      </c>
      <c r="AB27" s="1600">
        <f>IF(AC$2&lt;$N27,0,IF($N27&gt;AB$2,$G27,0))</f>
        <v/>
      </c>
      <c r="AC27" s="1600">
        <f>IF(AD$2&lt;$N27,0,IF($N27&gt;AC$2,$G27,0))</f>
        <v/>
      </c>
      <c r="AD27" s="1600" t="n"/>
      <c r="AE27" s="1602" t="n"/>
      <c r="AL27" s="1595">
        <f>SUM(Q27:AK27)</f>
        <v/>
      </c>
      <c r="AM27" s="1308">
        <f>+AL27-G27</f>
        <v/>
      </c>
      <c r="AN27" s="1077">
        <f>CONCATENATE(B27,K27,A27)</f>
        <v/>
      </c>
      <c r="AO27" s="1077">
        <f>CONCATENATE(B27,K27,A27,E27)</f>
        <v/>
      </c>
    </row>
    <row r="28">
      <c r="A28" s="1077" t="inlineStr">
        <is>
          <t>STL</t>
        </is>
      </c>
      <c r="B28" s="1077" t="inlineStr">
        <is>
          <t>RBPI</t>
        </is>
      </c>
      <c r="C28" s="1149" t="inlineStr">
        <is>
          <t>Bank SPb  7500-22-020286/26  ( PPP  )</t>
        </is>
      </c>
      <c r="D28" s="1077" t="inlineStr">
        <is>
          <t>SPB</t>
        </is>
      </c>
      <c r="E28" s="1077" t="inlineStr">
        <is>
          <t>no</t>
        </is>
      </c>
      <c r="F28" s="1593" t="n">
        <v>85</v>
      </c>
      <c r="G28" s="1603" t="n">
        <v>85</v>
      </c>
      <c r="H28" s="1595">
        <f>F28-G28</f>
        <v/>
      </c>
      <c r="I28" s="1086" t="n">
        <v>0.215</v>
      </c>
      <c r="K28" s="1170" t="inlineStr">
        <is>
          <t>Float</t>
        </is>
      </c>
      <c r="L28" s="1310">
        <f>+G28*I28</f>
        <v/>
      </c>
      <c r="M28" s="1277" t="n">
        <v>45629</v>
      </c>
      <c r="N28" s="1277" t="n">
        <v>45993</v>
      </c>
      <c r="Q28" s="1600" t="n"/>
      <c r="R28" s="1600" t="n"/>
      <c r="S28" s="1600" t="n"/>
      <c r="T28" s="1600">
        <f>IF(U$2&lt;$N28,0,IF($N28&gt;T$2,$G28,0))</f>
        <v/>
      </c>
      <c r="U28" s="1600">
        <f>IF(V$2&lt;$N28,0,IF($N28&gt;U$2,$G28,0))</f>
        <v/>
      </c>
      <c r="V28" s="1600" t="n"/>
      <c r="W28" s="1600" t="n"/>
      <c r="X28" s="1600">
        <f>IF(Y$2&lt;$N28,0,IF($N28&gt;X$2,$G28,0))</f>
        <v/>
      </c>
      <c r="Y28" s="1600">
        <f>IF(Z$2&lt;$N28,0,IF($N28&gt;Y$2,$G28,0))</f>
        <v/>
      </c>
      <c r="Z28" s="1600">
        <f>IF(AA$2&lt;$N28,0,IF($N28&gt;Z$2,$G28,0))</f>
        <v/>
      </c>
      <c r="AA28" s="1600">
        <f>IF(AB$2&lt;$N28,0,IF($N28&gt;AA$2,$G28,0))</f>
        <v/>
      </c>
      <c r="AB28" s="1600">
        <f>IF(AC$2&lt;$N28,0,IF($N28&gt;AB$2,$G28,0))</f>
        <v/>
      </c>
      <c r="AC28" s="1600">
        <f>IF(AD$2&lt;$N28,0,IF($N28&gt;AC$2,$G28,0))</f>
        <v/>
      </c>
      <c r="AD28" s="1600" t="n"/>
      <c r="AE28" s="1602" t="n"/>
      <c r="AL28" s="1595">
        <f>SUM(Q28:AK28)</f>
        <v/>
      </c>
      <c r="AM28" s="1308">
        <f>+AL28-G28</f>
        <v/>
      </c>
      <c r="AN28" s="1077">
        <f>CONCATENATE(B28,K28,A28)</f>
        <v/>
      </c>
      <c r="AO28" s="1077">
        <f>CONCATENATE(B28,K28,A28,E28)</f>
        <v/>
      </c>
    </row>
    <row r="29">
      <c r="A29" s="1077" t="inlineStr">
        <is>
          <t>STL</t>
        </is>
      </c>
      <c r="B29" s="1077" t="inlineStr">
        <is>
          <t>RBPI</t>
        </is>
      </c>
      <c r="C29" s="1149" t="inlineStr">
        <is>
          <t>Gasprombank  0124-031 ( PPP-2  )</t>
        </is>
      </c>
      <c r="D29" s="1077" t="inlineStr">
        <is>
          <t>GPB</t>
        </is>
      </c>
      <c r="E29" s="1077" t="inlineStr">
        <is>
          <t>no</t>
        </is>
      </c>
      <c r="F29" s="1593" t="n">
        <v>250</v>
      </c>
      <c r="G29" s="1603" t="n">
        <v>250</v>
      </c>
      <c r="H29" s="1595">
        <f>F29-G29</f>
        <v/>
      </c>
      <c r="I29" s="1086" t="n">
        <v>0.2325</v>
      </c>
      <c r="K29" s="1170" t="inlineStr">
        <is>
          <t>Float</t>
        </is>
      </c>
      <c r="L29" s="1310">
        <f>+G29*I29</f>
        <v/>
      </c>
      <c r="M29" s="1277" t="n">
        <v>45603</v>
      </c>
      <c r="N29" s="1277" t="n">
        <v>45967</v>
      </c>
      <c r="Q29" s="1600" t="n"/>
      <c r="R29" s="1600" t="n"/>
      <c r="S29" s="1600" t="n"/>
      <c r="T29" s="1600">
        <f>IF(U$2&lt;$N29,0,IF($N29&gt;T$2,$G29,0))</f>
        <v/>
      </c>
      <c r="U29" s="1600">
        <f>IF(V$2&lt;$N29,0,IF($N29&gt;U$2,$G29,0))</f>
        <v/>
      </c>
      <c r="V29" s="1600" t="n"/>
      <c r="W29" s="1600" t="n"/>
      <c r="X29" s="1600">
        <f>IF(Y$2&lt;$N29,0,IF($N29&gt;X$2,$G29,0))</f>
        <v/>
      </c>
      <c r="Y29" s="1600">
        <f>IF(Z$2&lt;$N29,0,IF($N29&gt;Y$2,$G29,0))</f>
        <v/>
      </c>
      <c r="Z29" s="1600">
        <f>IF(AA$2&lt;$N29,0,IF($N29&gt;Z$2,$G29,0))</f>
        <v/>
      </c>
      <c r="AA29" s="1600">
        <f>IF(AB$2&lt;$N29,0,IF($N29&gt;AA$2,$G29,0))</f>
        <v/>
      </c>
      <c r="AB29" s="1600">
        <f>IF(AC$2&lt;$N29,0,IF($N29&gt;AB$2,$G29,0))</f>
        <v/>
      </c>
      <c r="AC29" s="1600">
        <f>IF(AD$2&lt;$N29,0,IF($N29&gt;AC$2,$G29,0))</f>
        <v/>
      </c>
      <c r="AD29" s="1600" t="n"/>
      <c r="AE29" s="1602" t="n"/>
      <c r="AL29" s="1595">
        <f>SUM(Q29:AK29)</f>
        <v/>
      </c>
      <c r="AM29" s="1308">
        <f>+AL29-G29</f>
        <v/>
      </c>
      <c r="AN29" s="1077">
        <f>CONCATENATE(B29,K29,A29)</f>
        <v/>
      </c>
      <c r="AO29" s="1077">
        <f>CONCATENATE(B29,K29,A29,E29)</f>
        <v/>
      </c>
    </row>
    <row r="30">
      <c r="A30" s="1077" t="inlineStr">
        <is>
          <t>STL</t>
        </is>
      </c>
      <c r="B30" s="1077" t="inlineStr">
        <is>
          <t>RBPI</t>
        </is>
      </c>
      <c r="C30" s="1149" t="inlineStr">
        <is>
          <t>Bank SPb  7500-22-020286/24  ( PPP  )</t>
        </is>
      </c>
      <c r="D30" s="1077" t="inlineStr">
        <is>
          <t>SPB</t>
        </is>
      </c>
      <c r="E30" s="1077" t="inlineStr">
        <is>
          <t>no</t>
        </is>
      </c>
      <c r="F30" s="1593" t="n">
        <v>196</v>
      </c>
      <c r="G30" s="1603" t="n">
        <v>78.40000000000001</v>
      </c>
      <c r="H30" s="1595">
        <f>F30-G30</f>
        <v/>
      </c>
      <c r="I30" s="1086" t="n">
        <v>0.215</v>
      </c>
      <c r="K30" s="1170" t="inlineStr">
        <is>
          <t>Float</t>
        </is>
      </c>
      <c r="L30" s="1310">
        <f>+G30*I30</f>
        <v/>
      </c>
      <c r="M30" s="1277" t="n">
        <v>45561</v>
      </c>
      <c r="N30" s="1277" t="n">
        <v>45925</v>
      </c>
      <c r="Q30" s="1600" t="n"/>
      <c r="R30" s="1600" t="n"/>
      <c r="S30" s="1600" t="n"/>
      <c r="T30" s="1600">
        <f>IF(U$2&lt;$N30,0,IF($N30&gt;T$2,$G30,0))</f>
        <v/>
      </c>
      <c r="U30" s="1600">
        <f>IF(V$2&lt;$N30,0,IF($N30&gt;U$2,$G30,0))</f>
        <v/>
      </c>
      <c r="V30" s="1600" t="n"/>
      <c r="W30" s="1600" t="n"/>
      <c r="X30" s="1600">
        <f>IF(Y$2&lt;$N30,0,IF($N30&gt;X$2,$G30,0))</f>
        <v/>
      </c>
      <c r="Y30" s="1600">
        <f>IF(Z$2&lt;$N30,0,IF($N30&gt;Y$2,$G30,0))</f>
        <v/>
      </c>
      <c r="Z30" s="1600">
        <f>IF(AA$2&lt;$N30,0,IF($N30&gt;Z$2,$G30,0))</f>
        <v/>
      </c>
      <c r="AA30" s="1600">
        <f>IF(AB$2&lt;$N30,0,IF($N30&gt;AA$2,$G30,0))</f>
        <v/>
      </c>
      <c r="AB30" s="1600">
        <f>IF(AC$2&lt;$N30,0,IF($N30&gt;AB$2,$G30,0))</f>
        <v/>
      </c>
      <c r="AC30" s="1600">
        <f>IF(AD$2&lt;$N30,0,IF($N30&gt;AC$2,$G30,0))</f>
        <v/>
      </c>
      <c r="AD30" s="1600" t="n"/>
      <c r="AE30" s="1602" t="n"/>
      <c r="AL30" s="1595">
        <f>SUM(Q30:AK30)</f>
        <v/>
      </c>
      <c r="AM30" s="1308">
        <f>+AL30-G30</f>
        <v/>
      </c>
      <c r="AN30" s="1077">
        <f>CONCATENATE(B30,K30,A30)</f>
        <v/>
      </c>
      <c r="AO30" s="1077">
        <f>CONCATENATE(B30,K30,A30,E30)</f>
        <v/>
      </c>
    </row>
    <row r="31">
      <c r="A31" s="1077" t="inlineStr">
        <is>
          <t>STL</t>
        </is>
      </c>
      <c r="B31" s="1077" t="inlineStr">
        <is>
          <t>RBPI</t>
        </is>
      </c>
      <c r="C31" s="1149" t="inlineStr">
        <is>
          <t>Bank SPb  7500-22-020286/27 ( PPP )</t>
        </is>
      </c>
      <c r="D31" s="1077" t="inlineStr">
        <is>
          <t>SPB</t>
        </is>
      </c>
      <c r="E31" s="1077" t="inlineStr">
        <is>
          <t>no</t>
        </is>
      </c>
      <c r="F31" s="1593" t="n">
        <v>130</v>
      </c>
      <c r="G31" s="1603" t="n">
        <v>130</v>
      </c>
      <c r="H31" s="1595">
        <f>F31-G31</f>
        <v/>
      </c>
      <c r="I31" s="1086" t="n">
        <v>0.215</v>
      </c>
      <c r="K31" s="1170" t="inlineStr">
        <is>
          <t>Float</t>
        </is>
      </c>
      <c r="L31" s="1310">
        <f>+G31*I31</f>
        <v/>
      </c>
      <c r="M31" s="1277" t="n">
        <v>45635</v>
      </c>
      <c r="N31" s="1277" t="n">
        <v>45999</v>
      </c>
      <c r="Q31" s="1600" t="n"/>
      <c r="R31" s="1600" t="n"/>
      <c r="S31" s="1600" t="n"/>
      <c r="T31" s="1600">
        <f>IF(U$2&lt;$N31,0,IF($N31&gt;T$2,$G31,0))</f>
        <v/>
      </c>
      <c r="U31" s="1600">
        <f>IF(V$2&lt;$N31,0,IF($N31&gt;U$2,$G31,0))</f>
        <v/>
      </c>
      <c r="V31" s="1600" t="n"/>
      <c r="W31" s="1600" t="n"/>
      <c r="X31" s="1600">
        <f>IF(Y$2&lt;$N31,0,IF($N31&gt;X$2,$G31,0))</f>
        <v/>
      </c>
      <c r="Y31" s="1600">
        <f>IF(Z$2&lt;$N31,0,IF($N31&gt;Y$2,$G31,0))</f>
        <v/>
      </c>
      <c r="Z31" s="1600">
        <f>IF(AA$2&lt;$N31,0,IF($N31&gt;Z$2,$G31,0))</f>
        <v/>
      </c>
      <c r="AA31" s="1600">
        <f>IF(AB$2&lt;$N31,0,IF($N31&gt;AA$2,$G31,0))</f>
        <v/>
      </c>
      <c r="AB31" s="1600">
        <f>IF(AC$2&lt;$N31,0,IF($N31&gt;AB$2,$G31,0))</f>
        <v/>
      </c>
      <c r="AC31" s="1600">
        <f>IF(AD$2&lt;$N31,0,IF($N31&gt;AC$2,$G31,0))</f>
        <v/>
      </c>
      <c r="AD31" s="1600" t="n"/>
      <c r="AE31" s="1602" t="n"/>
      <c r="AL31" s="1595">
        <f>SUM(Q31:AK31)</f>
        <v/>
      </c>
      <c r="AM31" s="1308">
        <f>+AL31-G31</f>
        <v/>
      </c>
      <c r="AN31" s="1077" t="n"/>
      <c r="AO31" s="1077" t="n"/>
    </row>
    <row r="32">
      <c r="A32" s="1077" t="inlineStr">
        <is>
          <t>STL</t>
        </is>
      </c>
      <c r="B32" s="1077" t="inlineStr">
        <is>
          <t>RBPI</t>
        </is>
      </c>
      <c r="C32" s="1149" t="inlineStr">
        <is>
          <t>Sberbank  550B017B82LZMF ( NNPP  )</t>
        </is>
      </c>
      <c r="D32" s="1077" t="inlineStr">
        <is>
          <t>SBER</t>
        </is>
      </c>
      <c r="E32" s="1077" t="inlineStr">
        <is>
          <t>yes</t>
        </is>
      </c>
      <c r="F32" s="1593" t="n">
        <v>100</v>
      </c>
      <c r="G32" s="1603" t="n">
        <v>100</v>
      </c>
      <c r="H32" s="1595">
        <f>F32-G32</f>
        <v/>
      </c>
      <c r="I32" s="1086" t="n">
        <v>0.074</v>
      </c>
      <c r="K32" s="1170" t="inlineStr">
        <is>
          <t>Float</t>
        </is>
      </c>
      <c r="L32" s="1310">
        <f>+G32*I32</f>
        <v/>
      </c>
      <c r="M32" s="1277" t="n">
        <v>45719</v>
      </c>
      <c r="N32" s="1277" t="n">
        <v>46083</v>
      </c>
      <c r="Q32" s="1600" t="n"/>
      <c r="R32" s="1600" t="n"/>
      <c r="S32" s="1600" t="n"/>
      <c r="T32" s="1600">
        <f>IF(U$2&lt;$N32,0,IF($N32&gt;T$2,$G32,0))</f>
        <v/>
      </c>
      <c r="U32" s="1600">
        <f>IF(V$2&lt;$N32,0,IF($N32&gt;U$2,$G32,0))</f>
        <v/>
      </c>
      <c r="V32" s="1600" t="n"/>
      <c r="W32" s="1600" t="n"/>
      <c r="X32" s="1600">
        <f>IF(Y$2&lt;$N32,0,IF($N32&gt;X$2,$G32,0))</f>
        <v/>
      </c>
      <c r="Y32" s="1600">
        <f>IF(Z$2&lt;$N32,0,IF($N32&gt;Y$2,$G32,0))</f>
        <v/>
      </c>
      <c r="Z32" s="1600">
        <f>IF(AA$2&lt;$N32,0,IF($N32&gt;Z$2,$G32,0))</f>
        <v/>
      </c>
      <c r="AA32" s="1600">
        <f>IF(AB$2&lt;$N32,0,IF($N32&gt;AA$2,$G32,0))</f>
        <v/>
      </c>
      <c r="AB32" s="1600">
        <f>IF(AC$2&lt;$N32,0,IF($N32&gt;AB$2,$G32,0))</f>
        <v/>
      </c>
      <c r="AC32" s="1600">
        <f>IF(AD$2&lt;$N32,0,IF($N32&gt;AC$2,$G32,0))</f>
        <v/>
      </c>
      <c r="AD32" s="1600" t="n"/>
      <c r="AE32" s="1602" t="n"/>
      <c r="AL32" s="1595">
        <f>SUM(Q32:AK32)</f>
        <v/>
      </c>
      <c r="AM32" s="1308">
        <f>+AL32-G32</f>
        <v/>
      </c>
      <c r="AN32" s="1077">
        <f>CONCATENATE(B32,K32,A32)</f>
        <v/>
      </c>
      <c r="AO32" s="1077">
        <f>CONCATENATE(B32,K32,A32,E32)</f>
        <v/>
      </c>
    </row>
    <row r="33">
      <c r="A33" s="1077" t="inlineStr">
        <is>
          <t>STL</t>
        </is>
      </c>
      <c r="B33" s="1077" t="inlineStr">
        <is>
          <t>APK</t>
        </is>
      </c>
      <c r="C33" s="1149" t="inlineStr">
        <is>
          <t>Sberbank  130B015SN2LZMF ( AB  )</t>
        </is>
      </c>
      <c r="D33" s="1077" t="inlineStr">
        <is>
          <t>SBER</t>
        </is>
      </c>
      <c r="E33" s="1077" t="inlineStr">
        <is>
          <t>no</t>
        </is>
      </c>
      <c r="F33" s="1593" t="n">
        <v>100</v>
      </c>
      <c r="G33" s="1603" t="n">
        <v>100</v>
      </c>
      <c r="H33" s="1595">
        <f>F33-G33</f>
        <v/>
      </c>
      <c r="I33" s="1086" t="n">
        <v>0.11</v>
      </c>
      <c r="K33" s="1170" t="inlineStr">
        <is>
          <t>Float</t>
        </is>
      </c>
      <c r="L33" s="1310">
        <f>+G33*I33</f>
        <v/>
      </c>
      <c r="M33" s="1277" t="n">
        <v>45671</v>
      </c>
      <c r="N33" s="1277" t="n">
        <v>46035</v>
      </c>
      <c r="Q33" s="1600" t="n"/>
      <c r="R33" s="1600" t="n"/>
      <c r="S33" s="1600" t="n"/>
      <c r="T33" s="1600">
        <f>IF(U$2&lt;$N33,0,IF($N33&gt;T$2,$G33,0))</f>
        <v/>
      </c>
      <c r="U33" s="1600">
        <f>IF(V$2&lt;$N33,0,IF($N33&gt;U$2,$G33,0))</f>
        <v/>
      </c>
      <c r="V33" s="1600" t="n"/>
      <c r="W33" s="1600" t="n"/>
      <c r="X33" s="1600">
        <f>IF(Y$2&lt;$N33,0,IF($N33&gt;X$2,$G33,0))</f>
        <v/>
      </c>
      <c r="Y33" s="1600">
        <f>IF(Z$2&lt;$N33,0,IF($N33&gt;Y$2,$G33,0))</f>
        <v/>
      </c>
      <c r="Z33" s="1600">
        <f>IF(AA$2&lt;$N33,0,IF($N33&gt;Z$2,$G33,0))</f>
        <v/>
      </c>
      <c r="AA33" s="1600">
        <f>IF(AB$2&lt;$N33,0,IF($N33&gt;AA$2,$G33,0))</f>
        <v/>
      </c>
      <c r="AB33" s="1600">
        <f>IF(AC$2&lt;$N33,0,IF($N33&gt;AB$2,$G33,0))</f>
        <v/>
      </c>
      <c r="AC33" s="1600">
        <f>IF(AD$2&lt;$N33,0,IF($N33&gt;AC$2,$G33,0))</f>
        <v/>
      </c>
      <c r="AD33" s="1600" t="n"/>
      <c r="AE33" s="1602" t="n"/>
      <c r="AL33" s="1595">
        <f>SUM(Q33:AK33)</f>
        <v/>
      </c>
      <c r="AM33" s="1308">
        <f>+AL33-G33</f>
        <v/>
      </c>
      <c r="AN33" s="1077">
        <f>CONCATENATE(B33,K33,A33)</f>
        <v/>
      </c>
      <c r="AO33" s="1077">
        <f>CONCATENATE(B33,K33,A33,E33)</f>
        <v/>
      </c>
    </row>
    <row r="34">
      <c r="A34" s="1077" t="inlineStr">
        <is>
          <t>STL</t>
        </is>
      </c>
      <c r="B34" s="1077" t="inlineStr">
        <is>
          <t>RBPI</t>
        </is>
      </c>
      <c r="C34" s="1149" t="inlineStr">
        <is>
          <t>Bank SPb  7500-24-018253/3 ( NNPP  )</t>
        </is>
      </c>
      <c r="D34" s="1077" t="inlineStr">
        <is>
          <t>SPB</t>
        </is>
      </c>
      <c r="E34" s="1077" t="inlineStr">
        <is>
          <t>no</t>
        </is>
      </c>
      <c r="F34" s="1593" t="n">
        <v>100</v>
      </c>
      <c r="G34" s="1603" t="n">
        <v>100</v>
      </c>
      <c r="H34" s="1595">
        <f>F34-G34</f>
        <v/>
      </c>
      <c r="I34" s="1086" t="n">
        <v>0.215</v>
      </c>
      <c r="K34" s="1170" t="inlineStr">
        <is>
          <t>Float</t>
        </is>
      </c>
      <c r="L34" s="1310">
        <f>+G34*I34</f>
        <v/>
      </c>
      <c r="M34" s="1277" t="n">
        <v>45635</v>
      </c>
      <c r="N34" s="1277" t="n">
        <v>46004</v>
      </c>
      <c r="Q34" s="1600" t="n"/>
      <c r="R34" s="1600" t="n"/>
      <c r="S34" s="1600" t="n"/>
      <c r="T34" s="1600">
        <f>IF(U$2&lt;$N34,0,IF($N34&gt;T$2,$G34,0))</f>
        <v/>
      </c>
      <c r="U34" s="1600">
        <f>IF(V$2&lt;$N34,0,IF($N34&gt;U$2,$G34,0))</f>
        <v/>
      </c>
      <c r="V34" s="1600" t="n"/>
      <c r="W34" s="1600" t="n"/>
      <c r="X34" s="1600">
        <f>IF(Y$2&lt;$N34,0,IF($N34&gt;X$2,$G34,0))</f>
        <v/>
      </c>
      <c r="Y34" s="1600">
        <f>IF(Z$2&lt;$N34,0,IF($N34&gt;Y$2,$G34,0))</f>
        <v/>
      </c>
      <c r="Z34" s="1600">
        <f>IF(AA$2&lt;$N34,0,IF($N34&gt;Z$2,$G34,0))</f>
        <v/>
      </c>
      <c r="AA34" s="1600">
        <f>IF(AB$2&lt;$N34,0,IF($N34&gt;AA$2,$G34,0))</f>
        <v/>
      </c>
      <c r="AB34" s="1600">
        <f>IF(AC$2&lt;$N34,0,IF($N34&gt;AB$2,$G34,0))</f>
        <v/>
      </c>
      <c r="AC34" s="1600">
        <f>IF(AD$2&lt;$N34,0,IF($N34&gt;AC$2,$G34,0))</f>
        <v/>
      </c>
      <c r="AD34" s="1600" t="n"/>
      <c r="AE34" s="1602" t="n"/>
      <c r="AL34" s="1595">
        <f>SUM(Q34:AK34)</f>
        <v/>
      </c>
      <c r="AM34" s="1308">
        <f>+AL34-G34</f>
        <v/>
      </c>
      <c r="AN34" s="1077">
        <f>CONCATENATE(B34,K34,A34)</f>
        <v/>
      </c>
      <c r="AO34" s="1077">
        <f>CONCATENATE(B34,K34,A34,E34)</f>
        <v/>
      </c>
    </row>
    <row r="35">
      <c r="A35" s="1077" t="inlineStr">
        <is>
          <t>STL</t>
        </is>
      </c>
      <c r="B35" s="1077" t="inlineStr">
        <is>
          <t>APK</t>
        </is>
      </c>
      <c r="C35" s="1149" t="inlineStr">
        <is>
          <t>Sberbank  130B018FGMF ( AKZ  )</t>
        </is>
      </c>
      <c r="D35" s="1077" t="inlineStr">
        <is>
          <t>SBER</t>
        </is>
      </c>
      <c r="E35" s="1077" t="inlineStr">
        <is>
          <t>yes</t>
        </is>
      </c>
      <c r="F35" s="1593" t="n">
        <v>300</v>
      </c>
      <c r="G35" s="1603" t="n">
        <v>300</v>
      </c>
      <c r="H35" s="1595">
        <f>F35-G35</f>
        <v/>
      </c>
      <c r="I35" s="1086" t="n">
        <v>0.11</v>
      </c>
      <c r="K35" s="1170" t="inlineStr">
        <is>
          <t>Float</t>
        </is>
      </c>
      <c r="L35" s="1310">
        <f>+G35*I35</f>
        <v/>
      </c>
      <c r="M35" s="1277" t="n">
        <v>45806</v>
      </c>
      <c r="N35" s="1277" t="n">
        <v>46170</v>
      </c>
      <c r="Q35" s="1600" t="n"/>
      <c r="R35" s="1600" t="n"/>
      <c r="S35" s="1600" t="n"/>
      <c r="T35" s="1600">
        <f>IF(U$2&lt;$N35,0,IF($N35&gt;T$2,$G35,0))</f>
        <v/>
      </c>
      <c r="U35" s="1600">
        <f>IF(V$2&lt;$N35,0,IF($N35&gt;U$2,$G35,0))</f>
        <v/>
      </c>
      <c r="V35" s="1600" t="n"/>
      <c r="W35" s="1600" t="n"/>
      <c r="X35" s="1600">
        <f>IF(Y$2&lt;$N35,0,IF($N35&gt;X$2,$G35,0))</f>
        <v/>
      </c>
      <c r="Y35" s="1600">
        <f>IF(Z$2&lt;$N35,0,IF($N35&gt;Y$2,$G35,0))</f>
        <v/>
      </c>
      <c r="Z35" s="1600">
        <f>IF(AA$2&lt;$N35,0,IF($N35&gt;Z$2,$G35,0))</f>
        <v/>
      </c>
      <c r="AA35" s="1600">
        <f>IF(AB$2&lt;$N35,0,IF($N35&gt;AA$2,$G35,0))</f>
        <v/>
      </c>
      <c r="AB35" s="1600">
        <f>IF(AC$2&lt;$N35,0,IF($N35&gt;AB$2,$G35,0))</f>
        <v/>
      </c>
      <c r="AC35" s="1600">
        <f>IF(AD$2&lt;$N35,0,IF($N35&gt;AC$2,$G35,0))</f>
        <v/>
      </c>
      <c r="AD35" s="1600" t="n"/>
      <c r="AE35" s="1602" t="n"/>
      <c r="AL35" s="1595">
        <f>SUM(Q35:AK35)</f>
        <v/>
      </c>
      <c r="AM35" s="1308">
        <f>+AL35-G35</f>
        <v/>
      </c>
      <c r="AN35" s="1077">
        <f>CONCATENATE(B35,K35,A35)</f>
        <v/>
      </c>
      <c r="AO35" s="1077">
        <f>CONCATENATE(B35,K35,A35,E35)</f>
        <v/>
      </c>
    </row>
    <row r="36">
      <c r="A36" s="1077" t="inlineStr">
        <is>
          <t>STL</t>
        </is>
      </c>
      <c r="B36" s="1077" t="inlineStr">
        <is>
          <t>APK</t>
        </is>
      </c>
      <c r="C36" s="1149" t="inlineStr">
        <is>
          <t>Sberbank  130B015II2LZMF ( AO  )</t>
        </is>
      </c>
      <c r="D36" s="1077" t="inlineStr">
        <is>
          <t>SBER</t>
        </is>
      </c>
      <c r="E36" s="1077" t="inlineStr">
        <is>
          <t>yes</t>
        </is>
      </c>
      <c r="F36" s="1593" t="n">
        <v>50</v>
      </c>
      <c r="G36" s="1603" t="n">
        <v>50</v>
      </c>
      <c r="H36" s="1595">
        <f>F36-G36</f>
        <v/>
      </c>
      <c r="I36" s="1086" t="n">
        <v>0.11</v>
      </c>
      <c r="K36" s="1170" t="inlineStr">
        <is>
          <t>Float</t>
        </is>
      </c>
      <c r="L36" s="1310">
        <f>+G36*I36</f>
        <v/>
      </c>
      <c r="M36" s="1277" t="n">
        <v>45672</v>
      </c>
      <c r="N36" s="1277" t="n">
        <v>46036</v>
      </c>
      <c r="Q36" s="1600" t="n"/>
      <c r="R36" s="1600" t="n"/>
      <c r="S36" s="1600" t="n"/>
      <c r="T36" s="1600">
        <f>IF(U$2&lt;$N36,0,IF($N36&gt;T$2,$G36,0))</f>
        <v/>
      </c>
      <c r="U36" s="1600">
        <f>IF(V$2&lt;$N36,0,IF($N36&gt;U$2,$G36,0))</f>
        <v/>
      </c>
      <c r="V36" s="1600" t="n"/>
      <c r="W36" s="1600" t="n"/>
      <c r="X36" s="1600">
        <f>IF(Y$2&lt;$N36,0,IF($N36&gt;X$2,$G36,0))</f>
        <v/>
      </c>
      <c r="Y36" s="1600">
        <f>IF(Z$2&lt;$N36,0,IF($N36&gt;Y$2,$G36,0))</f>
        <v/>
      </c>
      <c r="Z36" s="1600">
        <f>IF(AA$2&lt;$N36,0,IF($N36&gt;Z$2,$G36,0))</f>
        <v/>
      </c>
      <c r="AA36" s="1600">
        <f>IF(AB$2&lt;$N36,0,IF($N36&gt;AA$2,$G36,0))</f>
        <v/>
      </c>
      <c r="AB36" s="1600">
        <f>IF(AC$2&lt;$N36,0,IF($N36&gt;AB$2,$G36,0))</f>
        <v/>
      </c>
      <c r="AC36" s="1600">
        <f>IF(AD$2&lt;$N36,0,IF($N36&gt;AC$2,$G36,0))</f>
        <v/>
      </c>
      <c r="AD36" s="1600" t="n"/>
      <c r="AE36" s="1602" t="n"/>
      <c r="AL36" s="1595">
        <f>SUM(Q36:AK36)</f>
        <v/>
      </c>
      <c r="AM36" s="1308">
        <f>+AL36-G36</f>
        <v/>
      </c>
      <c r="AN36" s="1077">
        <f>CONCATENATE(B36,K36,A36)</f>
        <v/>
      </c>
      <c r="AO36" s="1077">
        <f>CONCATENATE(B36,K36,A36,E36)</f>
        <v/>
      </c>
    </row>
    <row r="37">
      <c r="A37" s="1077" t="inlineStr">
        <is>
          <t>STL</t>
        </is>
      </c>
      <c r="B37" s="1077" t="inlineStr">
        <is>
          <t>RBPI</t>
        </is>
      </c>
      <c r="C37" s="1149" t="inlineStr">
        <is>
          <t>Sberbank  550С010922LZMF  ( Kornevo  )</t>
        </is>
      </c>
      <c r="D37" s="1077" t="inlineStr">
        <is>
          <t>SBER</t>
        </is>
      </c>
      <c r="E37" s="1077" t="inlineStr">
        <is>
          <t>yes</t>
        </is>
      </c>
      <c r="F37" s="1593" t="n">
        <v>60</v>
      </c>
      <c r="G37" s="1603" t="n">
        <v>60</v>
      </c>
      <c r="H37" s="1595">
        <f>F37-G37</f>
        <v/>
      </c>
      <c r="I37" s="1086" t="n">
        <v>0.11</v>
      </c>
      <c r="K37" s="1170" t="inlineStr">
        <is>
          <t>Float</t>
        </is>
      </c>
      <c r="L37" s="1310">
        <f>+G37*I37</f>
        <v/>
      </c>
      <c r="M37" s="1277" t="n">
        <v>45516</v>
      </c>
      <c r="N37" s="1277" t="n">
        <v>45880</v>
      </c>
      <c r="Q37" s="1600" t="n"/>
      <c r="R37" s="1600" t="n"/>
      <c r="S37" s="1600" t="n"/>
      <c r="T37" s="1600">
        <f>IF(U$2&lt;$N37,0,IF($N37&gt;T$2,$G37,0))</f>
        <v/>
      </c>
      <c r="U37" s="1600">
        <f>IF(V$2&lt;$N37,0,IF($N37&gt;U$2,$G37,0))</f>
        <v/>
      </c>
      <c r="V37" s="1600" t="n"/>
      <c r="W37" s="1600" t="n"/>
      <c r="X37" s="1600">
        <f>IF(Y$2&lt;$N37,0,IF($N37&gt;X$2,$G37,0))</f>
        <v/>
      </c>
      <c r="Y37" s="1600">
        <f>IF(Z$2&lt;$N37,0,IF($N37&gt;Y$2,$G37,0))</f>
        <v/>
      </c>
      <c r="Z37" s="1600">
        <f>IF(AA$2&lt;$N37,0,IF($N37&gt;Z$2,$G37,0))</f>
        <v/>
      </c>
      <c r="AA37" s="1600">
        <f>IF(AB$2&lt;$N37,0,IF($N37&gt;AA$2,$G37,0))</f>
        <v/>
      </c>
      <c r="AB37" s="1600">
        <f>IF(AC$2&lt;$N37,0,IF($N37&gt;AB$2,$G37,0))</f>
        <v/>
      </c>
      <c r="AC37" s="1600">
        <f>IF(AD$2&lt;$N37,0,IF($N37&gt;AC$2,$G37,0))</f>
        <v/>
      </c>
      <c r="AD37" s="1600" t="n"/>
      <c r="AE37" s="1602" t="n"/>
      <c r="AL37" s="1595">
        <f>SUM(Q37:AK37)</f>
        <v/>
      </c>
      <c r="AM37" s="1308">
        <f>+AL37-G37</f>
        <v/>
      </c>
      <c r="AN37" s="1077">
        <f>CONCATENATE(B37,K37,A37)</f>
        <v/>
      </c>
      <c r="AO37" s="1077">
        <f>CONCATENATE(B37,K37,A37,E37)</f>
        <v/>
      </c>
    </row>
    <row r="38">
      <c r="A38" s="1077" t="inlineStr">
        <is>
          <t>STL</t>
        </is>
      </c>
      <c r="B38" s="1077" t="inlineStr">
        <is>
          <t>RBPI</t>
        </is>
      </c>
      <c r="C38" s="1149" t="inlineStr">
        <is>
          <t>Bank SPb  7500-22-020286/28 ( PPP  )</t>
        </is>
      </c>
      <c r="D38" s="1077" t="inlineStr">
        <is>
          <t>SPB</t>
        </is>
      </c>
      <c r="E38" s="1077" t="inlineStr">
        <is>
          <t>no</t>
        </is>
      </c>
      <c r="F38" s="1593" t="n">
        <v>90</v>
      </c>
      <c r="G38" s="1603" t="n">
        <v>90</v>
      </c>
      <c r="H38" s="1595">
        <f>F38-G38</f>
        <v/>
      </c>
      <c r="I38" s="1086" t="n">
        <v>0.225</v>
      </c>
      <c r="K38" s="1170" t="inlineStr">
        <is>
          <t>Float</t>
        </is>
      </c>
      <c r="L38" s="1310">
        <f>+G38*I38</f>
        <v/>
      </c>
      <c r="M38" s="1277" t="n">
        <v>45652</v>
      </c>
      <c r="N38" s="1277" t="n">
        <v>46016</v>
      </c>
      <c r="Q38" s="1600" t="n"/>
      <c r="R38" s="1600" t="n"/>
      <c r="S38" s="1600" t="n"/>
      <c r="T38" s="1600">
        <f>IF(U$2&lt;$N38,0,IF($N38&gt;T$2,$G38,0))</f>
        <v/>
      </c>
      <c r="U38" s="1600">
        <f>IF(V$2&lt;$N38,0,IF($N38&gt;U$2,$G38,0))</f>
        <v/>
      </c>
      <c r="V38" s="1600" t="n"/>
      <c r="W38" s="1600" t="n"/>
      <c r="X38" s="1600">
        <f>IF(Y$2&lt;$N38,0,IF($N38&gt;X$2,$G38,0))</f>
        <v/>
      </c>
      <c r="Y38" s="1600">
        <f>IF(Z$2&lt;$N38,0,IF($N38&gt;Y$2,$G38,0))</f>
        <v/>
      </c>
      <c r="Z38" s="1600">
        <f>IF(AA$2&lt;$N38,0,IF($N38&gt;Z$2,$G38,0))</f>
        <v/>
      </c>
      <c r="AA38" s="1600">
        <f>IF(AB$2&lt;$N38,0,IF($N38&gt;AA$2,$G38,0))</f>
        <v/>
      </c>
      <c r="AB38" s="1600">
        <f>IF(AC$2&lt;$N38,0,IF($N38&gt;AB$2,$G38,0))</f>
        <v/>
      </c>
      <c r="AC38" s="1600">
        <f>IF(AD$2&lt;$N38,0,IF($N38&gt;AC$2,$G38,0))</f>
        <v/>
      </c>
      <c r="AD38" s="1600" t="n"/>
      <c r="AE38" s="1602" t="n"/>
      <c r="AL38" s="1595">
        <f>SUM(Q38:AK38)</f>
        <v/>
      </c>
      <c r="AM38" s="1308">
        <f>+AL38-G38</f>
        <v/>
      </c>
      <c r="AN38" s="1077">
        <f>CONCATENATE(B38,K38,A38)</f>
        <v/>
      </c>
      <c r="AO38" s="1077">
        <f>CONCATENATE(B38,K38,A38,E38)</f>
        <v/>
      </c>
    </row>
    <row r="39">
      <c r="A39" s="1077" t="inlineStr">
        <is>
          <t>STL</t>
        </is>
      </c>
      <c r="B39" s="1077" t="inlineStr">
        <is>
          <t>APK</t>
        </is>
      </c>
      <c r="C39" s="1149" t="inlineStr">
        <is>
          <t>Sberbank  130B018LHMF ( AKZ  )</t>
        </is>
      </c>
      <c r="D39" s="1077" t="inlineStr">
        <is>
          <t>SBER</t>
        </is>
      </c>
      <c r="E39" s="1077" t="inlineStr">
        <is>
          <t>yes</t>
        </is>
      </c>
      <c r="F39" s="1593" t="n">
        <v>100</v>
      </c>
      <c r="G39" s="1603" t="n">
        <v>100</v>
      </c>
      <c r="H39" s="1595">
        <f>F39-G39</f>
        <v/>
      </c>
      <c r="I39" s="1086" t="n">
        <v>0.11</v>
      </c>
      <c r="K39" s="1170" t="inlineStr">
        <is>
          <t>Float</t>
        </is>
      </c>
      <c r="L39" s="1310">
        <f>+G39*I39</f>
        <v/>
      </c>
      <c r="M39" s="1277" t="n">
        <v>45804</v>
      </c>
      <c r="N39" s="1277" t="n">
        <v>46168</v>
      </c>
      <c r="Q39" s="1600" t="n"/>
      <c r="R39" s="1600" t="n"/>
      <c r="S39" s="1600" t="n"/>
      <c r="T39" s="1600">
        <f>IF(U$2&lt;$N39,0,IF($N39&gt;T$2,$G39,0))</f>
        <v/>
      </c>
      <c r="U39" s="1600">
        <f>IF(V$2&lt;$N39,0,IF($N39&gt;U$2,$G39,0))</f>
        <v/>
      </c>
      <c r="V39" s="1600" t="n"/>
      <c r="W39" s="1600" t="n"/>
      <c r="X39" s="1600">
        <f>IF(Y$2&lt;$N39,0,IF($N39&gt;X$2,$G39,0))</f>
        <v/>
      </c>
      <c r="Y39" s="1600">
        <f>IF(Z$2&lt;$N39,0,IF($N39&gt;Y$2,$G39,0))</f>
        <v/>
      </c>
      <c r="Z39" s="1600">
        <f>IF(AA$2&lt;$N39,0,IF($N39&gt;Z$2,$G39,0))</f>
        <v/>
      </c>
      <c r="AA39" s="1600">
        <f>IF(AB$2&lt;$N39,0,IF($N39&gt;AA$2,$G39,0))</f>
        <v/>
      </c>
      <c r="AB39" s="1600">
        <f>IF(AC$2&lt;$N39,0,IF($N39&gt;AB$2,$G39,0))</f>
        <v/>
      </c>
      <c r="AC39" s="1600">
        <f>IF(AD$2&lt;$N39,0,IF($N39&gt;AC$2,$G39,0))</f>
        <v/>
      </c>
      <c r="AD39" s="1600" t="n"/>
      <c r="AE39" s="1602" t="n"/>
      <c r="AL39" s="1595">
        <f>SUM(Q39:AK39)</f>
        <v/>
      </c>
      <c r="AM39" s="1308">
        <f>+AL39-G39</f>
        <v/>
      </c>
      <c r="AN39" s="1077">
        <f>CONCATENATE(B39,K39,A39)</f>
        <v/>
      </c>
      <c r="AO39" s="1077">
        <f>CONCATENATE(B39,K39,A39,E39)</f>
        <v/>
      </c>
    </row>
    <row r="40" ht="14.25" customHeight="1">
      <c r="A40" s="1077" t="inlineStr">
        <is>
          <t>STL</t>
        </is>
      </c>
      <c r="B40" s="1077" t="inlineStr">
        <is>
          <t>RBPI</t>
        </is>
      </c>
      <c r="C40" s="1149" t="inlineStr">
        <is>
          <t>Gasprombank  0124-034 ( PPP-2  )</t>
        </is>
      </c>
      <c r="D40" s="1077" t="inlineStr">
        <is>
          <t>GPB</t>
        </is>
      </c>
      <c r="E40" s="1077" t="inlineStr">
        <is>
          <t>yes</t>
        </is>
      </c>
      <c r="F40" s="1593" t="n">
        <v>169</v>
      </c>
      <c r="G40" s="1603" t="n">
        <v>169</v>
      </c>
      <c r="H40" s="1595">
        <f>F40-G40</f>
        <v/>
      </c>
      <c r="I40" s="1086" t="n">
        <v>0.11</v>
      </c>
      <c r="K40" s="1170" t="inlineStr">
        <is>
          <t>Float</t>
        </is>
      </c>
      <c r="L40" s="1310">
        <f>+G40*I40</f>
        <v/>
      </c>
      <c r="M40" s="1277" t="n">
        <v>45652</v>
      </c>
      <c r="N40" s="1277" t="n">
        <v>46016</v>
      </c>
      <c r="Q40" s="1600" t="n"/>
      <c r="R40" s="1600" t="n"/>
      <c r="S40" s="1600" t="n"/>
      <c r="T40" s="1600">
        <f>IF(U$2&lt;$N40,0,IF($N40&gt;T$2,$G40,0))</f>
        <v/>
      </c>
      <c r="U40" s="1600">
        <f>IF(V$2&lt;$N40,0,IF($N40&gt;U$2,$G40,0))</f>
        <v/>
      </c>
      <c r="V40" s="1600" t="n"/>
      <c r="W40" s="1600" t="n"/>
      <c r="X40" s="1600">
        <f>IF(Y$2&lt;$N40,0,IF($N40&gt;X$2,$G40,0))</f>
        <v/>
      </c>
      <c r="Y40" s="1600">
        <f>IF(Z$2&lt;$N40,0,IF($N40&gt;Y$2,$G40,0))</f>
        <v/>
      </c>
      <c r="Z40" s="1600">
        <f>IF(AA$2&lt;$N40,0,IF($N40&gt;Z$2,$G40,0))</f>
        <v/>
      </c>
      <c r="AA40" s="1600">
        <f>IF(AB$2&lt;$N40,0,IF($N40&gt;AA$2,$G40,0))</f>
        <v/>
      </c>
      <c r="AB40" s="1600">
        <f>IF(AC$2&lt;$N40,0,IF($N40&gt;AB$2,$G40,0))</f>
        <v/>
      </c>
      <c r="AC40" s="1600">
        <f>IF(AD$2&lt;$N40,0,IF($N40&gt;AC$2,$G40,0))</f>
        <v/>
      </c>
      <c r="AD40" s="1600" t="n"/>
      <c r="AE40" s="1602" t="n"/>
      <c r="AL40" s="1595">
        <f>SUM(Q40:AK40)</f>
        <v/>
      </c>
      <c r="AM40" s="1308">
        <f>+AL40-G40</f>
        <v/>
      </c>
      <c r="AN40" s="1077">
        <f>CONCATENATE(B40,K40,A40)</f>
        <v/>
      </c>
      <c r="AO40" s="1077">
        <f>CONCATENATE(B40,K40,A40,E40)</f>
        <v/>
      </c>
    </row>
    <row r="41">
      <c r="A41" s="1077" t="inlineStr">
        <is>
          <t>STL</t>
        </is>
      </c>
      <c r="B41" s="1077" t="inlineStr">
        <is>
          <t>APK</t>
        </is>
      </c>
      <c r="C41" s="1149" t="inlineStr">
        <is>
          <t>Sberbank  130C00Z832LZMF ( AB  )</t>
        </is>
      </c>
      <c r="D41" s="1077" t="inlineStr">
        <is>
          <t>SBER</t>
        </is>
      </c>
      <c r="E41" s="1077" t="inlineStr">
        <is>
          <t>yes</t>
        </is>
      </c>
      <c r="F41" s="1593" t="n">
        <v>150</v>
      </c>
      <c r="G41" s="1603" t="n">
        <v>0</v>
      </c>
      <c r="H41" s="1595">
        <f>F41-G41</f>
        <v/>
      </c>
      <c r="I41" s="1086" t="n">
        <v>0.11</v>
      </c>
      <c r="K41" s="1170" t="inlineStr">
        <is>
          <t>Float</t>
        </is>
      </c>
      <c r="L41" s="1310">
        <f>+G41*I41</f>
        <v/>
      </c>
      <c r="M41" s="1277" t="n">
        <v>45485</v>
      </c>
      <c r="N41" s="1277" t="n">
        <v>45849</v>
      </c>
      <c r="Q41" s="1600" t="n"/>
      <c r="R41" s="1600" t="n"/>
      <c r="S41" s="1600" t="n"/>
      <c r="T41" s="1600">
        <f>IF(U$2&lt;$N41,0,IF($N41&gt;T$2,$G41,0))</f>
        <v/>
      </c>
      <c r="U41" s="1600">
        <f>IF(V$2&lt;$N41,0,IF($N41&gt;U$2,$G41,0))</f>
        <v/>
      </c>
      <c r="V41" s="1600" t="n"/>
      <c r="W41" s="1600" t="n"/>
      <c r="X41" s="1600">
        <f>IF(Y$2&lt;$N41,0,IF($N41&gt;X$2,$G41,0))</f>
        <v/>
      </c>
      <c r="Y41" s="1600">
        <f>IF(Z$2&lt;$N41,0,IF($N41&gt;Y$2,$G41,0))</f>
        <v/>
      </c>
      <c r="Z41" s="1600">
        <f>IF(AA$2&lt;$N41,0,IF($N41&gt;Z$2,$G41,0))</f>
        <v/>
      </c>
      <c r="AA41" s="1600">
        <f>IF(AB$2&lt;$N41,0,IF($N41&gt;AA$2,$G41,0))</f>
        <v/>
      </c>
      <c r="AB41" s="1600">
        <f>IF(AC$2&lt;$N41,0,IF($N41&gt;AB$2,$G41,0))</f>
        <v/>
      </c>
      <c r="AC41" s="1600">
        <f>IF(AD$2&lt;$N41,0,IF($N41&gt;AC$2,$G41,0))</f>
        <v/>
      </c>
      <c r="AD41" s="1600" t="n"/>
      <c r="AE41" s="1602" t="n"/>
      <c r="AL41" s="1595">
        <f>SUM(Q41:AK41)</f>
        <v/>
      </c>
      <c r="AM41" s="1308">
        <f>+AL41-G41</f>
        <v/>
      </c>
      <c r="AN41" s="1077">
        <f>CONCATENATE(B41,K41,A41)</f>
        <v/>
      </c>
      <c r="AO41" s="1077">
        <f>CONCATENATE(B41,K41,A41,E41)</f>
        <v/>
      </c>
    </row>
    <row r="42">
      <c r="A42" s="1077" t="inlineStr">
        <is>
          <t>STL</t>
        </is>
      </c>
      <c r="B42" s="1077" t="inlineStr">
        <is>
          <t>APK</t>
        </is>
      </c>
      <c r="C42" s="1149" t="inlineStr">
        <is>
          <t>Sberbank  130B016EZ2LZMF ( AB  )</t>
        </is>
      </c>
      <c r="D42" s="1077" t="inlineStr">
        <is>
          <t>SBER</t>
        </is>
      </c>
      <c r="E42" s="1077" t="inlineStr">
        <is>
          <t>no</t>
        </is>
      </c>
      <c r="F42" s="1593" t="n">
        <v>200</v>
      </c>
      <c r="G42" s="1603" t="n">
        <v>200</v>
      </c>
      <c r="H42" s="1595">
        <f>F42-G42</f>
        <v/>
      </c>
      <c r="I42" s="1086" t="n">
        <v>0.11</v>
      </c>
      <c r="K42" s="1170" t="inlineStr">
        <is>
          <t>Float</t>
        </is>
      </c>
      <c r="L42" s="1310">
        <f>+G42*I42</f>
        <v/>
      </c>
      <c r="M42" s="1277" t="n">
        <v>45708</v>
      </c>
      <c r="N42" s="1277" t="n">
        <v>46072</v>
      </c>
      <c r="O42" s="1077" t="n"/>
      <c r="Q42" s="1600" t="n"/>
      <c r="R42" s="1600" t="n"/>
      <c r="S42" s="1600" t="n"/>
      <c r="T42" s="1600">
        <f>IF(U$2&lt;$N42,0,IF($N42&gt;T$2,$G42,0))</f>
        <v/>
      </c>
      <c r="U42" s="1600">
        <f>IF(V$2&lt;$N42,0,IF($N42&gt;U$2,$G42,0))</f>
        <v/>
      </c>
      <c r="V42" s="1600" t="n"/>
      <c r="W42" s="1600" t="n"/>
      <c r="X42" s="1600">
        <f>IF(Y$2&lt;$N42,0,IF($N42&gt;X$2,$G42,0))</f>
        <v/>
      </c>
      <c r="Y42" s="1600">
        <f>IF(Z$2&lt;$N42,0,IF($N42&gt;Y$2,$G42,0))</f>
        <v/>
      </c>
      <c r="Z42" s="1600">
        <f>IF(AA$2&lt;$N42,0,IF($N42&gt;Z$2,$G42,0))</f>
        <v/>
      </c>
      <c r="AA42" s="1600">
        <f>IF(AB$2&lt;$N42,0,IF($N42&gt;AA$2,$G42,0))</f>
        <v/>
      </c>
      <c r="AB42" s="1600">
        <f>IF(AC$2&lt;$N42,0,IF($N42&gt;AB$2,$G42,0))</f>
        <v/>
      </c>
      <c r="AC42" s="1600">
        <f>IF(AD$2&lt;$N42,0,IF($N42&gt;AC$2,$G42,0))</f>
        <v/>
      </c>
      <c r="AD42" s="1600" t="n"/>
      <c r="AE42" s="1602" t="n"/>
      <c r="AL42" s="1595">
        <f>SUM(Q42:AK42)</f>
        <v/>
      </c>
      <c r="AM42" s="1308">
        <f>+AL42-G42</f>
        <v/>
      </c>
      <c r="AN42" s="1077">
        <f>CONCATENATE(B42,K42,A42)</f>
        <v/>
      </c>
      <c r="AO42" s="1077">
        <f>CONCATENATE(B42,K42,A42,E42)</f>
        <v/>
      </c>
    </row>
    <row r="43">
      <c r="A43" s="1077" t="inlineStr">
        <is>
          <t>STL</t>
        </is>
      </c>
      <c r="B43" s="1077" t="inlineStr">
        <is>
          <t>APK</t>
        </is>
      </c>
      <c r="C43" s="1149" t="inlineStr">
        <is>
          <t>Sberbank  130B015WWMF ( Oskol  )</t>
        </is>
      </c>
      <c r="D43" s="1077" t="inlineStr">
        <is>
          <t>SBER</t>
        </is>
      </c>
      <c r="E43" s="1077" t="inlineStr">
        <is>
          <t>no</t>
        </is>
      </c>
      <c r="F43" s="1593" t="n">
        <v>100</v>
      </c>
      <c r="G43" s="1603" t="n">
        <v>100</v>
      </c>
      <c r="H43" s="1595">
        <f>F43-G43</f>
        <v/>
      </c>
      <c r="I43" s="1086" t="n">
        <v>0.236</v>
      </c>
      <c r="K43" s="1170" t="inlineStr">
        <is>
          <t>Float</t>
        </is>
      </c>
      <c r="L43" s="1310">
        <f>+G43*I43</f>
        <v/>
      </c>
      <c r="M43" s="1277" t="n">
        <v>45673</v>
      </c>
      <c r="N43" s="1277" t="n">
        <v>46038</v>
      </c>
      <c r="O43" s="1077" t="n"/>
      <c r="Q43" s="1600" t="n"/>
      <c r="R43" s="1600" t="n"/>
      <c r="S43" s="1600" t="n"/>
      <c r="T43" s="1600">
        <f>IF(U$2&lt;$N43,0,IF($N43&gt;T$2,$G43,0))</f>
        <v/>
      </c>
      <c r="U43" s="1600">
        <f>IF(V$2&lt;$N43,0,IF($N43&gt;U$2,$G43,0))</f>
        <v/>
      </c>
      <c r="V43" s="1600" t="n"/>
      <c r="W43" s="1600" t="n"/>
      <c r="X43" s="1600">
        <f>IF(Y$2&lt;$N43,0,IF($N43&gt;X$2,$G43,0))</f>
        <v/>
      </c>
      <c r="Y43" s="1600">
        <f>IF(Z$2&lt;$N43,0,IF($N43&gt;Y$2,$G43,0))</f>
        <v/>
      </c>
      <c r="Z43" s="1600">
        <f>IF(AA$2&lt;$N43,0,IF($N43&gt;Z$2,$G43,0))</f>
        <v/>
      </c>
      <c r="AA43" s="1600">
        <f>IF(AB$2&lt;$N43,0,IF($N43&gt;AA$2,$G43,0))</f>
        <v/>
      </c>
      <c r="AB43" s="1600">
        <f>IF(AC$2&lt;$N43,0,IF($N43&gt;AB$2,$G43,0))</f>
        <v/>
      </c>
      <c r="AC43" s="1600">
        <f>IF(AD$2&lt;$N43,0,IF($N43&gt;AC$2,$G43,0))</f>
        <v/>
      </c>
      <c r="AD43" s="1600" t="n"/>
      <c r="AE43" s="1602" t="n"/>
      <c r="AL43" s="1595">
        <f>SUM(Q43:AK43)</f>
        <v/>
      </c>
      <c r="AM43" s="1308">
        <f>+AL43-G43</f>
        <v/>
      </c>
      <c r="AN43" s="1077">
        <f>CONCATENATE(B43,K43,A43)</f>
        <v/>
      </c>
      <c r="AO43" s="1077">
        <f>CONCATENATE(B43,K43,A43,E43)</f>
        <v/>
      </c>
    </row>
    <row r="44">
      <c r="A44" s="1077" t="inlineStr">
        <is>
          <t>STL</t>
        </is>
      </c>
      <c r="B44" s="1077" t="inlineStr">
        <is>
          <t>APK</t>
        </is>
      </c>
      <c r="C44" s="1149" t="inlineStr">
        <is>
          <t>Sberbank  130B015Q02LZMF ( AB  )</t>
        </is>
      </c>
      <c r="D44" s="1077" t="inlineStr">
        <is>
          <t>SBER</t>
        </is>
      </c>
      <c r="E44" s="1077" t="inlineStr">
        <is>
          <t>yes</t>
        </is>
      </c>
      <c r="F44" s="1593" t="n">
        <v>100</v>
      </c>
      <c r="G44" s="1603" t="n">
        <v>100</v>
      </c>
      <c r="H44" s="1595">
        <f>F44-G44</f>
        <v/>
      </c>
      <c r="I44" s="1086" t="n">
        <v>0.11</v>
      </c>
      <c r="K44" s="1170" t="inlineStr">
        <is>
          <t>Float</t>
        </is>
      </c>
      <c r="L44" s="1310">
        <f>+G44*I44</f>
        <v/>
      </c>
      <c r="M44" s="1277" t="n">
        <v>45671</v>
      </c>
      <c r="N44" s="1277" t="n">
        <v>46035</v>
      </c>
      <c r="O44" s="1077" t="n"/>
      <c r="Q44" s="1600" t="n"/>
      <c r="R44" s="1600" t="n"/>
      <c r="S44" s="1600" t="n"/>
      <c r="T44" s="1600">
        <f>IF(U$2&lt;$N44,0,IF($N44&gt;T$2,$G44,0))</f>
        <v/>
      </c>
      <c r="U44" s="1600">
        <f>IF(V$2&lt;$N44,0,IF($N44&gt;U$2,$G44,0))</f>
        <v/>
      </c>
      <c r="V44" s="1600" t="n"/>
      <c r="W44" s="1600" t="n"/>
      <c r="X44" s="1600">
        <f>IF(Y$2&lt;$N44,0,IF($N44&gt;X$2,$G44,0))</f>
        <v/>
      </c>
      <c r="Y44" s="1600">
        <f>IF(Z$2&lt;$N44,0,IF($N44&gt;Y$2,$G44,0))</f>
        <v/>
      </c>
      <c r="Z44" s="1600">
        <f>IF(AA$2&lt;$N44,0,IF($N44&gt;Z$2,$G44,0))</f>
        <v/>
      </c>
      <c r="AA44" s="1600">
        <f>IF(AB$2&lt;$N44,0,IF($N44&gt;AA$2,$G44,0))</f>
        <v/>
      </c>
      <c r="AB44" s="1600">
        <f>IF(AC$2&lt;$N44,0,IF($N44&gt;AB$2,$G44,0))</f>
        <v/>
      </c>
      <c r="AC44" s="1600">
        <f>IF(AD$2&lt;$N44,0,IF($N44&gt;AC$2,$G44,0))</f>
        <v/>
      </c>
      <c r="AD44" s="1600" t="n"/>
      <c r="AE44" s="1602" t="n"/>
      <c r="AL44" s="1595">
        <f>SUM(Q44:AK44)</f>
        <v/>
      </c>
      <c r="AM44" s="1308">
        <f>+AL44-G44</f>
        <v/>
      </c>
      <c r="AN44" s="1077">
        <f>CONCATENATE(B44,K44,A44)</f>
        <v/>
      </c>
      <c r="AO44" s="1077">
        <f>CONCATENATE(B44,K44,A44,E44)</f>
        <v/>
      </c>
    </row>
    <row r="45">
      <c r="A45" s="1077" t="inlineStr">
        <is>
          <t>STL</t>
        </is>
      </c>
      <c r="B45" s="1077" t="inlineStr">
        <is>
          <t>APK</t>
        </is>
      </c>
      <c r="C45" s="1149" t="inlineStr">
        <is>
          <t>Sberbank  130C00ZY92LZMF ( AO  )</t>
        </is>
      </c>
      <c r="D45" s="1077" t="inlineStr">
        <is>
          <t>SBER</t>
        </is>
      </c>
      <c r="E45" s="1077" t="inlineStr">
        <is>
          <t>yes</t>
        </is>
      </c>
      <c r="F45" s="1593" t="n">
        <v>50</v>
      </c>
      <c r="G45" s="1603" t="n">
        <v>0</v>
      </c>
      <c r="H45" s="1595">
        <f>F45-G45</f>
        <v/>
      </c>
      <c r="I45" s="1086" t="n">
        <v>0.11</v>
      </c>
      <c r="K45" s="1170" t="inlineStr">
        <is>
          <t>Float</t>
        </is>
      </c>
      <c r="L45" s="1310">
        <f>+G45*I45</f>
        <v/>
      </c>
      <c r="M45" s="1277" t="n">
        <v>45504</v>
      </c>
      <c r="N45" s="1277" t="n">
        <v>45868</v>
      </c>
      <c r="O45" s="1077" t="n"/>
      <c r="Q45" s="1600" t="n"/>
      <c r="R45" s="1600" t="n"/>
      <c r="S45" s="1600" t="n"/>
      <c r="T45" s="1600">
        <f>IF(U$2&lt;$N45,0,IF($N45&gt;T$2,$G45,0))</f>
        <v/>
      </c>
      <c r="U45" s="1600">
        <f>IF(V$2&lt;$N45,0,IF($N45&gt;U$2,$G45,0))</f>
        <v/>
      </c>
      <c r="V45" s="1600" t="n"/>
      <c r="W45" s="1600" t="n"/>
      <c r="X45" s="1600">
        <f>IF(Y$2&lt;$N45,0,IF($N45&gt;X$2,$G45,0))</f>
        <v/>
      </c>
      <c r="Y45" s="1600">
        <f>IF(Z$2&lt;$N45,0,IF($N45&gt;Y$2,$G45,0))</f>
        <v/>
      </c>
      <c r="Z45" s="1600">
        <f>IF(AA$2&lt;$N45,0,IF($N45&gt;Z$2,$G45,0))</f>
        <v/>
      </c>
      <c r="AA45" s="1600">
        <f>IF(AB$2&lt;$N45,0,IF($N45&gt;AA$2,$G45,0))</f>
        <v/>
      </c>
      <c r="AB45" s="1600">
        <f>IF(AC$2&lt;$N45,0,IF($N45&gt;AB$2,$G45,0))</f>
        <v/>
      </c>
      <c r="AC45" s="1600">
        <f>IF(AD$2&lt;$N45,0,IF($N45&gt;AC$2,$G45,0))</f>
        <v/>
      </c>
      <c r="AD45" s="1600" t="n"/>
      <c r="AE45" s="1602" t="n"/>
      <c r="AL45" s="1595">
        <f>SUM(Q45:AK45)</f>
        <v/>
      </c>
      <c r="AM45" s="1308">
        <f>+AL45-G45</f>
        <v/>
      </c>
      <c r="AN45" s="1077">
        <f>CONCATENATE(B45,K45,A45)</f>
        <v/>
      </c>
      <c r="AO45" s="1077">
        <f>CONCATENATE(B45,K45,A45,E45)</f>
        <v/>
      </c>
    </row>
    <row r="46">
      <c r="A46" s="1077" t="inlineStr">
        <is>
          <t>STL</t>
        </is>
      </c>
      <c r="B46" s="1077" t="inlineStr">
        <is>
          <t>RBPI</t>
        </is>
      </c>
      <c r="C46" s="1149" t="inlineStr">
        <is>
          <t>Bank SPb  7500-24-018253/7 ( NNPP )</t>
        </is>
      </c>
      <c r="D46" s="1077" t="inlineStr">
        <is>
          <t>SPB</t>
        </is>
      </c>
      <c r="E46" s="1077" t="inlineStr">
        <is>
          <t>no</t>
        </is>
      </c>
      <c r="F46" s="1593" t="n">
        <v>100</v>
      </c>
      <c r="G46" s="1603" t="n">
        <v>100</v>
      </c>
      <c r="H46" s="1595">
        <f>F46-G46</f>
        <v/>
      </c>
      <c r="I46" s="1086" t="n">
        <v>0.225</v>
      </c>
      <c r="K46" s="1170" t="inlineStr">
        <is>
          <t>Float</t>
        </is>
      </c>
      <c r="L46" s="1310">
        <f>+G46*I46</f>
        <v/>
      </c>
      <c r="M46" s="1277" t="n">
        <v>45758</v>
      </c>
      <c r="N46" s="1277" t="n">
        <v>46122</v>
      </c>
      <c r="O46" s="1077" t="n"/>
      <c r="Q46" s="1600" t="n"/>
      <c r="R46" s="1600" t="n"/>
      <c r="S46" s="1600" t="n"/>
      <c r="T46" s="1600">
        <f>IF(U$2&lt;$N46,0,IF($N46&gt;T$2,$G46,0))</f>
        <v/>
      </c>
      <c r="U46" s="1600">
        <f>IF(V$2&lt;$N46,0,IF($N46&gt;U$2,$G46,0))</f>
        <v/>
      </c>
      <c r="V46" s="1600" t="n"/>
      <c r="W46" s="1600" t="n"/>
      <c r="X46" s="1600">
        <f>IF(Y$2&lt;$N46,0,IF($N46&gt;X$2,$G46,0))</f>
        <v/>
      </c>
      <c r="Y46" s="1600">
        <f>IF(Z$2&lt;$N46,0,IF($N46&gt;Y$2,$G46,0))</f>
        <v/>
      </c>
      <c r="Z46" s="1600">
        <f>IF(AA$2&lt;$N46,0,IF($N46&gt;Z$2,$G46,0))</f>
        <v/>
      </c>
      <c r="AA46" s="1600">
        <f>IF(AB$2&lt;$N46,0,IF($N46&gt;AA$2,$G46,0))</f>
        <v/>
      </c>
      <c r="AB46" s="1600">
        <f>IF(AC$2&lt;$N46,0,IF($N46&gt;AB$2,$G46,0))</f>
        <v/>
      </c>
      <c r="AC46" s="1600">
        <f>IF(AD$2&lt;$N46,0,IF($N46&gt;AC$2,$G46,0))</f>
        <v/>
      </c>
      <c r="AD46" s="1600" t="n"/>
      <c r="AE46" s="1602" t="n"/>
      <c r="AL46" s="1595">
        <f>SUM(Q46:AK46)</f>
        <v/>
      </c>
      <c r="AM46" s="1308">
        <f>+AL46-G46</f>
        <v/>
      </c>
      <c r="AN46" s="1077">
        <f>CONCATENATE(B46,K46,A46)</f>
        <v/>
      </c>
      <c r="AO46" s="1077">
        <f>CONCATENATE(B46,K46,A46,E46)</f>
        <v/>
      </c>
    </row>
    <row r="47">
      <c r="A47" s="1077" t="inlineStr">
        <is>
          <t>STL</t>
        </is>
      </c>
      <c r="B47" s="1077" t="inlineStr">
        <is>
          <t>RBPI</t>
        </is>
      </c>
      <c r="C47" s="1149" t="inlineStr">
        <is>
          <t>Sberbank 550B018WIАСРМMF ( NNPP )</t>
        </is>
      </c>
      <c r="D47" s="1077" t="inlineStr">
        <is>
          <t>SBER</t>
        </is>
      </c>
      <c r="E47" s="1077" t="inlineStr">
        <is>
          <t>no</t>
        </is>
      </c>
      <c r="F47" s="1593" t="n">
        <v>200</v>
      </c>
      <c r="G47" s="1603" t="n">
        <v>200</v>
      </c>
      <c r="H47" s="1595">
        <f>F47-G47</f>
        <v/>
      </c>
      <c r="I47" s="1086" t="n">
        <v>0.222</v>
      </c>
      <c r="K47" s="1170" t="inlineStr">
        <is>
          <t>Float</t>
        </is>
      </c>
      <c r="L47" s="1310">
        <f>+G47*I47</f>
        <v/>
      </c>
      <c r="M47" s="1277" t="n">
        <v>45755</v>
      </c>
      <c r="N47" s="1277" t="n">
        <v>46119</v>
      </c>
      <c r="O47" s="1077" t="n"/>
      <c r="Q47" s="1600" t="n"/>
      <c r="R47" s="1600" t="n"/>
      <c r="S47" s="1600" t="n"/>
      <c r="T47" s="1600">
        <f>IF(U$2&lt;$N47,0,IF($N47&gt;T$2,$G47,0))</f>
        <v/>
      </c>
      <c r="U47" s="1600">
        <f>IF(V$2&lt;$N47,0,IF($N47&gt;U$2,$G47,0))</f>
        <v/>
      </c>
      <c r="V47" s="1600" t="n"/>
      <c r="W47" s="1600" t="n"/>
      <c r="X47" s="1600">
        <f>IF(Y$2&lt;$N47,0,IF($N47&gt;X$2,$G47,0))</f>
        <v/>
      </c>
      <c r="Y47" s="1600">
        <f>IF(Z$2&lt;$N47,0,IF($N47&gt;Y$2,$G47,0))</f>
        <v/>
      </c>
      <c r="Z47" s="1600">
        <f>IF(AA$2&lt;$N47,0,IF($N47&gt;Z$2,$G47,0))</f>
        <v/>
      </c>
      <c r="AA47" s="1600">
        <f>IF(AB$2&lt;$N47,0,IF($N47&gt;AA$2,$G47,0))</f>
        <v/>
      </c>
      <c r="AB47" s="1600">
        <f>IF(AC$2&lt;$N47,0,IF($N47&gt;AB$2,$G47,0))</f>
        <v/>
      </c>
      <c r="AC47" s="1600">
        <f>IF(AD$2&lt;$N47,0,IF($N47&gt;AC$2,$G47,0))</f>
        <v/>
      </c>
      <c r="AD47" s="1600" t="n"/>
      <c r="AE47" s="1602" t="n"/>
      <c r="AL47" s="1595">
        <f>SUM(Q47:AK47)</f>
        <v/>
      </c>
      <c r="AM47" s="1308">
        <f>+AL47-G47</f>
        <v/>
      </c>
      <c r="AN47" s="1077">
        <f>CONCATENATE(B47,K47,A47)</f>
        <v/>
      </c>
      <c r="AO47" s="1077">
        <f>CONCATENATE(B47,K47,A47,E47)</f>
        <v/>
      </c>
    </row>
    <row r="48">
      <c r="A48" s="1077" t="inlineStr">
        <is>
          <t>STL</t>
        </is>
      </c>
      <c r="B48" s="1077" t="inlineStr">
        <is>
          <t>APK</t>
        </is>
      </c>
      <c r="C48" s="1149" t="inlineStr">
        <is>
          <t>Sberbank  130C011H02LZMF ( AB  )</t>
        </is>
      </c>
      <c r="D48" s="1077" t="inlineStr">
        <is>
          <t>SBER</t>
        </is>
      </c>
      <c r="E48" s="1077" t="inlineStr">
        <is>
          <t>no</t>
        </is>
      </c>
      <c r="F48" s="1593" t="n">
        <v>50</v>
      </c>
      <c r="G48" s="1603" t="n">
        <v>50</v>
      </c>
      <c r="H48" s="1595">
        <f>F48-G48</f>
        <v/>
      </c>
      <c r="I48" s="1086" t="n">
        <v>0.216</v>
      </c>
      <c r="K48" s="1170" t="inlineStr">
        <is>
          <t>Float</t>
        </is>
      </c>
      <c r="L48" s="1310">
        <f>+G48*I48</f>
        <v/>
      </c>
      <c r="M48" s="1277" t="n">
        <v>45551</v>
      </c>
      <c r="N48" s="1277" t="n">
        <v>45915</v>
      </c>
      <c r="O48" s="1077" t="n"/>
      <c r="Q48" s="1600" t="n"/>
      <c r="R48" s="1600" t="n"/>
      <c r="S48" s="1600" t="n"/>
      <c r="T48" s="1600">
        <f>IF(U$2&lt;$N48,0,IF($N48&gt;T$2,$G48,0))</f>
        <v/>
      </c>
      <c r="U48" s="1600">
        <f>IF(V$2&lt;$N48,0,IF($N48&gt;U$2,$G48,0))</f>
        <v/>
      </c>
      <c r="V48" s="1600" t="n"/>
      <c r="W48" s="1600" t="n"/>
      <c r="X48" s="1600">
        <f>IF(Y$2&lt;$N48,0,IF($N48&gt;X$2,$G48,0))</f>
        <v/>
      </c>
      <c r="Y48" s="1600">
        <f>IF(Z$2&lt;$N48,0,IF($N48&gt;Y$2,$G48,0))</f>
        <v/>
      </c>
      <c r="Z48" s="1600">
        <f>IF(AA$2&lt;$N48,0,IF($N48&gt;Z$2,$G48,0))</f>
        <v/>
      </c>
      <c r="AA48" s="1600">
        <f>IF(AB$2&lt;$N48,0,IF($N48&gt;AA$2,$G48,0))</f>
        <v/>
      </c>
      <c r="AB48" s="1600">
        <f>IF(AC$2&lt;$N48,0,IF($N48&gt;AB$2,$G48,0))</f>
        <v/>
      </c>
      <c r="AC48" s="1600">
        <f>IF(AD$2&lt;$N48,0,IF($N48&gt;AC$2,$G48,0))</f>
        <v/>
      </c>
      <c r="AD48" s="1600" t="n"/>
      <c r="AE48" s="1602" t="n"/>
      <c r="AL48" s="1595">
        <f>SUM(Q48:AK48)</f>
        <v/>
      </c>
      <c r="AM48" s="1308">
        <f>+AL48-G48</f>
        <v/>
      </c>
      <c r="AN48" s="1077">
        <f>CONCATENATE(B48,K48,A48)</f>
        <v/>
      </c>
      <c r="AO48" s="1077">
        <f>CONCATENATE(B48,K48,A48,E48)</f>
        <v/>
      </c>
    </row>
    <row r="49">
      <c r="A49" s="1077" t="inlineStr">
        <is>
          <t>STL</t>
        </is>
      </c>
      <c r="B49" s="1077" t="inlineStr">
        <is>
          <t>APK</t>
        </is>
      </c>
      <c r="C49" s="1149" t="inlineStr">
        <is>
          <t>Sberbank  130C00ZOB2LZMF ( AB  )</t>
        </is>
      </c>
      <c r="D49" s="1077" t="inlineStr">
        <is>
          <t>SBER</t>
        </is>
      </c>
      <c r="E49" s="1077" t="inlineStr">
        <is>
          <t>yes</t>
        </is>
      </c>
      <c r="F49" s="1593" t="n">
        <v>100</v>
      </c>
      <c r="G49" s="1603" t="n">
        <v>100</v>
      </c>
      <c r="H49" s="1595">
        <f>F49-G49</f>
        <v/>
      </c>
      <c r="I49" s="1086" t="n">
        <v>0.11</v>
      </c>
      <c r="K49" s="1170" t="inlineStr">
        <is>
          <t>Float</t>
        </is>
      </c>
      <c r="L49" s="1310">
        <f>+G49*I49</f>
        <v/>
      </c>
      <c r="M49" s="1277" t="n">
        <v>45531</v>
      </c>
      <c r="N49" s="1277" t="n">
        <v>45895</v>
      </c>
      <c r="O49" s="1077" t="n"/>
      <c r="Q49" s="1600" t="n"/>
      <c r="R49" s="1600" t="n"/>
      <c r="S49" s="1600" t="n"/>
      <c r="T49" s="1600">
        <f>IF(U$2&lt;$N49,0,IF($N49&gt;T$2,$G49,0))</f>
        <v/>
      </c>
      <c r="U49" s="1600">
        <f>IF(V$2&lt;$N49,0,IF($N49&gt;U$2,$G49,0))</f>
        <v/>
      </c>
      <c r="V49" s="1600" t="n"/>
      <c r="W49" s="1600" t="n"/>
      <c r="X49" s="1600">
        <f>IF(Y$2&lt;$N49,0,IF($N49&gt;X$2,$G49,0))</f>
        <v/>
      </c>
      <c r="Y49" s="1600">
        <f>IF(Z$2&lt;$N49,0,IF($N49&gt;Y$2,$G49,0))</f>
        <v/>
      </c>
      <c r="Z49" s="1600">
        <f>IF(AA$2&lt;$N49,0,IF($N49&gt;Z$2,$G49,0))</f>
        <v/>
      </c>
      <c r="AA49" s="1600">
        <f>IF(AB$2&lt;$N49,0,IF($N49&gt;AA$2,$G49,0))</f>
        <v/>
      </c>
      <c r="AB49" s="1600">
        <f>IF(AC$2&lt;$N49,0,IF($N49&gt;AB$2,$G49,0))</f>
        <v/>
      </c>
      <c r="AC49" s="1600">
        <f>IF(AD$2&lt;$N49,0,IF($N49&gt;AC$2,$G49,0))</f>
        <v/>
      </c>
      <c r="AD49" s="1600" t="n"/>
      <c r="AE49" s="1602" t="n"/>
      <c r="AL49" s="1595">
        <f>SUM(Q49:AK49)</f>
        <v/>
      </c>
      <c r="AM49" s="1308">
        <f>+AL49-G49</f>
        <v/>
      </c>
      <c r="AN49" s="1077">
        <f>CONCATENATE(B49,K49,A49)</f>
        <v/>
      </c>
      <c r="AO49" s="1077">
        <f>CONCATENATE(B49,K49,A49,E49)</f>
        <v/>
      </c>
    </row>
    <row r="50">
      <c r="A50" s="1077" t="inlineStr">
        <is>
          <t>STL</t>
        </is>
      </c>
      <c r="B50" s="1077" t="inlineStr">
        <is>
          <t>RBPI</t>
        </is>
      </c>
      <c r="C50" s="1149" t="inlineStr">
        <is>
          <t>VTB BANK   СВЛ/061225-271696 ( NNPP )</t>
        </is>
      </c>
      <c r="D50" s="1077" t="inlineStr">
        <is>
          <t>VTB</t>
        </is>
      </c>
      <c r="E50" s="1077" t="inlineStr">
        <is>
          <t>no</t>
        </is>
      </c>
      <c r="F50" s="1593" t="n">
        <v>200</v>
      </c>
      <c r="G50" s="1603" t="n">
        <v>150</v>
      </c>
      <c r="H50" s="1595">
        <f>F50-G50</f>
        <v/>
      </c>
      <c r="I50" s="1086" t="n">
        <v>0.219</v>
      </c>
      <c r="K50" s="1170" t="inlineStr">
        <is>
          <t>Float</t>
        </is>
      </c>
      <c r="L50" s="1310">
        <f>+G50*I50</f>
        <v/>
      </c>
      <c r="M50" s="1277" t="n">
        <v>45803</v>
      </c>
      <c r="N50" s="1277" t="n">
        <v>46167</v>
      </c>
      <c r="O50" s="1077" t="n"/>
      <c r="Q50" s="1600" t="n"/>
      <c r="R50" s="1600" t="n"/>
      <c r="S50" s="1600" t="n"/>
      <c r="T50" s="1600">
        <f>IF(U$2&lt;$N50,0,IF($N50&gt;T$2,$G50,0))</f>
        <v/>
      </c>
      <c r="U50" s="1600">
        <f>IF(V$2&lt;$N50,0,IF($N50&gt;U$2,$G50,0))</f>
        <v/>
      </c>
      <c r="V50" s="1600" t="n"/>
      <c r="W50" s="1600" t="n"/>
      <c r="X50" s="1600">
        <f>IF(Y$2&lt;$N50,0,IF($N50&gt;X$2,$G50,0))</f>
        <v/>
      </c>
      <c r="Y50" s="1600">
        <f>IF(Z$2&lt;$N50,0,IF($N50&gt;Y$2,$G50,0))</f>
        <v/>
      </c>
      <c r="Z50" s="1600">
        <f>IF(AA$2&lt;$N50,0,IF($N50&gt;Z$2,$G50,0))</f>
        <v/>
      </c>
      <c r="AA50" s="1600">
        <f>IF(AB$2&lt;$N50,0,IF($N50&gt;AA$2,$G50,0))</f>
        <v/>
      </c>
      <c r="AB50" s="1600">
        <f>IF(AC$2&lt;$N50,0,IF($N50&gt;AB$2,$G50,0))</f>
        <v/>
      </c>
      <c r="AC50" s="1600">
        <f>IF(AD$2&lt;$N50,0,IF($N50&gt;AC$2,$G50,0))</f>
        <v/>
      </c>
      <c r="AD50" s="1600" t="n"/>
      <c r="AE50" s="1602" t="n"/>
      <c r="AL50" s="1595">
        <f>SUM(Q50:AK50)</f>
        <v/>
      </c>
      <c r="AM50" s="1308">
        <f>+AL50-G50</f>
        <v/>
      </c>
      <c r="AN50" s="1077">
        <f>CONCATENATE(B50,K50,A50)</f>
        <v/>
      </c>
      <c r="AO50" s="1077">
        <f>CONCATENATE(B50,K50,A50,E50)</f>
        <v/>
      </c>
    </row>
    <row r="51">
      <c r="A51" s="1077" t="inlineStr">
        <is>
          <t>STL</t>
        </is>
      </c>
      <c r="B51" s="1077" t="inlineStr">
        <is>
          <t>RBPI</t>
        </is>
      </c>
      <c r="C51" s="1149" t="inlineStr">
        <is>
          <t>Gasprombank  0124-023  ( PPP-2  )</t>
        </is>
      </c>
      <c r="D51" s="1077" t="inlineStr">
        <is>
          <t>GPB</t>
        </is>
      </c>
      <c r="E51" s="1077" t="inlineStr">
        <is>
          <t>yes</t>
        </is>
      </c>
      <c r="F51" s="1593" t="n">
        <v>235</v>
      </c>
      <c r="G51" s="1603" t="n">
        <v>58.74999997</v>
      </c>
      <c r="H51" s="1595">
        <f>F51-G51</f>
        <v/>
      </c>
      <c r="I51" s="1086" t="n">
        <v>0.11</v>
      </c>
      <c r="K51" s="1086" t="inlineStr">
        <is>
          <t>Float</t>
        </is>
      </c>
      <c r="L51" s="1310">
        <f>+G51*I51</f>
        <v/>
      </c>
      <c r="M51" s="1277" t="n">
        <v>45510</v>
      </c>
      <c r="N51" s="1277" t="n">
        <v>45874</v>
      </c>
      <c r="O51" s="1077" t="n"/>
      <c r="Q51" s="1600" t="n"/>
      <c r="R51" s="1600" t="n"/>
      <c r="S51" s="1600" t="n"/>
      <c r="T51" s="1600">
        <f>IF(U$2&lt;$N51,0,IF($N51&gt;T$2,$G51,0))</f>
        <v/>
      </c>
      <c r="U51" s="1600">
        <f>IF(V$2&lt;$N51,0,IF($N51&gt;U$2,$G51,0))</f>
        <v/>
      </c>
      <c r="V51" s="1600" t="n"/>
      <c r="W51" s="1600" t="n"/>
      <c r="X51" s="1600">
        <f>IF(Y$2&lt;$N51,0,IF($N51&gt;X$2,$G51,0))</f>
        <v/>
      </c>
      <c r="Y51" s="1600">
        <f>IF(Z$2&lt;$N51,0,IF($N51&gt;Y$2,$G51,0))</f>
        <v/>
      </c>
      <c r="Z51" s="1600">
        <f>IF(AA$2&lt;$N51,0,IF($N51&gt;Z$2,$G51,0))</f>
        <v/>
      </c>
      <c r="AA51" s="1600">
        <f>IF(AB$2&lt;$N51,0,IF($N51&gt;AA$2,$G51,0))</f>
        <v/>
      </c>
      <c r="AB51" s="1600">
        <f>IF(AC$2&lt;$N51,0,IF($N51&gt;AB$2,$G51,0))</f>
        <v/>
      </c>
      <c r="AC51" s="1600">
        <f>IF(AD$2&lt;$N51,0,IF($N51&gt;AC$2,$G51,0))</f>
        <v/>
      </c>
      <c r="AD51" s="1600" t="n"/>
      <c r="AL51" s="1595">
        <f>SUM(Q51:AK51)</f>
        <v/>
      </c>
      <c r="AM51" s="1308">
        <f>+AL51-G51</f>
        <v/>
      </c>
      <c r="AN51" s="1077">
        <f>CONCATENATE(B51,K51,A51)</f>
        <v/>
      </c>
      <c r="AO51" s="1077">
        <f>CONCATENATE(B51,K51,A51,E51)</f>
        <v/>
      </c>
    </row>
    <row r="52">
      <c r="A52" s="1077" t="inlineStr">
        <is>
          <t>STL</t>
        </is>
      </c>
      <c r="B52" s="1077" t="inlineStr">
        <is>
          <t>RBPI</t>
        </is>
      </c>
      <c r="C52" s="1149" t="inlineStr">
        <is>
          <t>VTB BANK   СВЛ/061225-163942 ( NNPP-2  )</t>
        </is>
      </c>
      <c r="D52" s="1077" t="inlineStr">
        <is>
          <t>VTB</t>
        </is>
      </c>
      <c r="E52" s="1077" t="inlineStr">
        <is>
          <t>no</t>
        </is>
      </c>
      <c r="F52" s="1593" t="n">
        <v>200</v>
      </c>
      <c r="G52" s="1603" t="n">
        <v>200</v>
      </c>
      <c r="H52" s="1595">
        <f>F52-G52</f>
        <v/>
      </c>
      <c r="I52" s="1086" t="n">
        <v>0.225</v>
      </c>
      <c r="K52" s="1086" t="inlineStr">
        <is>
          <t>Float</t>
        </is>
      </c>
      <c r="L52" s="1310">
        <f>+G52*I52</f>
        <v/>
      </c>
      <c r="M52" s="1277" t="n">
        <v>45747</v>
      </c>
      <c r="N52" s="1277" t="n">
        <v>46112</v>
      </c>
      <c r="O52" s="1077" t="n"/>
      <c r="Q52" s="1600" t="n"/>
      <c r="R52" s="1600" t="n"/>
      <c r="S52" s="1600" t="n"/>
      <c r="T52" s="1600">
        <f>IF(U$2&lt;$N52,0,IF($N52&gt;T$2,$G52,0))</f>
        <v/>
      </c>
      <c r="U52" s="1600">
        <f>IF(V$2&lt;$N52,0,IF($N52&gt;U$2,$G52,0))</f>
        <v/>
      </c>
      <c r="V52" s="1600" t="n"/>
      <c r="W52" s="1600" t="n"/>
      <c r="X52" s="1600">
        <f>IF(Y$2&lt;$N52,0,IF($N52&gt;X$2,$G52,0))</f>
        <v/>
      </c>
      <c r="Y52" s="1600">
        <f>IF(Z$2&lt;$N52,0,IF($N52&gt;Y$2,$G52,0))</f>
        <v/>
      </c>
      <c r="Z52" s="1600">
        <f>IF(AA$2&lt;$N52,0,IF($N52&gt;Z$2,$G52,0))</f>
        <v/>
      </c>
      <c r="AA52" s="1600">
        <f>IF(AB$2&lt;$N52,0,IF($N52&gt;AA$2,$G52,0))</f>
        <v/>
      </c>
      <c r="AB52" s="1600">
        <f>IF(AC$2&lt;$N52,0,IF($N52&gt;AB$2,$G52,0))</f>
        <v/>
      </c>
      <c r="AC52" s="1600">
        <f>IF(AD$2&lt;$N52,0,IF($N52&gt;AC$2,$G52,0))</f>
        <v/>
      </c>
      <c r="AD52" s="1600" t="n"/>
      <c r="AL52" s="1595">
        <f>SUM(Q52:AK52)</f>
        <v/>
      </c>
      <c r="AM52" s="1308">
        <f>+AL52-G52</f>
        <v/>
      </c>
      <c r="AN52" s="1077">
        <f>CONCATENATE(B52,K52,A52)</f>
        <v/>
      </c>
      <c r="AO52" s="1077">
        <f>CONCATENATE(B52,K52,A52,E52)</f>
        <v/>
      </c>
    </row>
    <row r="53">
      <c r="A53" s="1077" t="inlineStr">
        <is>
          <t>STL</t>
        </is>
      </c>
      <c r="B53" s="1077" t="inlineStr">
        <is>
          <t>APK</t>
        </is>
      </c>
      <c r="C53" s="1149" t="inlineStr">
        <is>
          <t>Sberbank  130C00ZGI2LZMF ( Oskol  )</t>
        </is>
      </c>
      <c r="D53" s="1077" t="inlineStr">
        <is>
          <t>SBER</t>
        </is>
      </c>
      <c r="E53" s="1077" t="inlineStr">
        <is>
          <t>no</t>
        </is>
      </c>
      <c r="F53" s="1593" t="n">
        <v>150</v>
      </c>
      <c r="G53" s="1603" t="n">
        <v>0</v>
      </c>
      <c r="H53" s="1595">
        <f>F53-G53</f>
        <v/>
      </c>
      <c r="I53" s="1086" t="n">
        <v>0.1989</v>
      </c>
      <c r="K53" s="1086" t="inlineStr">
        <is>
          <t>Fix</t>
        </is>
      </c>
      <c r="L53" s="1310">
        <f>+G53*I53</f>
        <v/>
      </c>
      <c r="M53" s="1277" t="n">
        <v>45491</v>
      </c>
      <c r="N53" s="1277" t="n">
        <v>45855</v>
      </c>
      <c r="O53" s="1077" t="n"/>
      <c r="Q53" s="1600" t="n"/>
      <c r="R53" s="1600" t="n"/>
      <c r="S53" s="1600" t="n"/>
      <c r="T53" s="1600">
        <f>IF(U$2&lt;$N53,0,IF($N53&gt;T$2,$G53,0))</f>
        <v/>
      </c>
      <c r="U53" s="1600">
        <f>IF(V$2&lt;$N53,0,IF($N53&gt;U$2,$G53,0))</f>
        <v/>
      </c>
      <c r="V53" s="1600" t="n"/>
      <c r="W53" s="1600" t="n"/>
      <c r="X53" s="1600">
        <f>IF(Y$2&lt;$N53,0,IF($N53&gt;X$2,$G53,0))</f>
        <v/>
      </c>
      <c r="Y53" s="1600">
        <f>IF(Z$2&lt;$N53,0,IF($N53&gt;Y$2,$G53,0))</f>
        <v/>
      </c>
      <c r="Z53" s="1600">
        <f>IF(AA$2&lt;$N53,0,IF($N53&gt;Z$2,$G53,0))</f>
        <v/>
      </c>
      <c r="AA53" s="1600">
        <f>IF(AB$2&lt;$N53,0,IF($N53&gt;AA$2,$G53,0))</f>
        <v/>
      </c>
      <c r="AB53" s="1600">
        <f>IF(AC$2&lt;$N53,0,IF($N53&gt;AB$2,$G53,0))</f>
        <v/>
      </c>
      <c r="AC53" s="1600">
        <f>IF(AD$2&lt;$N53,0,IF($N53&gt;AC$2,$G53,0))</f>
        <v/>
      </c>
      <c r="AD53" s="1600" t="n"/>
      <c r="AL53" s="1595">
        <f>SUM(Q53:AK53)</f>
        <v/>
      </c>
      <c r="AM53" s="1308">
        <f>+AL53-G53</f>
        <v/>
      </c>
      <c r="AN53" s="1077">
        <f>CONCATENATE(B53,K53,A53)</f>
        <v/>
      </c>
      <c r="AO53" s="1077">
        <f>CONCATENATE(B53,K53,A53,E53)</f>
        <v/>
      </c>
    </row>
    <row r="54">
      <c r="A54" s="1077" t="inlineStr">
        <is>
          <t>STL</t>
        </is>
      </c>
      <c r="B54" s="1077" t="inlineStr">
        <is>
          <t>RBPI</t>
        </is>
      </c>
      <c r="C54" s="1149" t="inlineStr">
        <is>
          <t>Gasprombank  0124-025  ( PPP-2  )</t>
        </is>
      </c>
      <c r="D54" s="1077" t="inlineStr">
        <is>
          <t>GPB</t>
        </is>
      </c>
      <c r="E54" s="1077" t="inlineStr">
        <is>
          <t>no</t>
        </is>
      </c>
      <c r="F54" s="1593" t="n">
        <v>250</v>
      </c>
      <c r="G54" s="1603" t="n">
        <v>124.99999998</v>
      </c>
      <c r="H54" s="1595">
        <f>F54-G54</f>
        <v/>
      </c>
      <c r="I54" s="1086" t="n">
        <v>0.2075</v>
      </c>
      <c r="K54" s="1086" t="inlineStr">
        <is>
          <t>Float</t>
        </is>
      </c>
      <c r="L54" s="1310">
        <f>+G54*I54</f>
        <v/>
      </c>
      <c r="M54" s="1277" t="n">
        <v>45545</v>
      </c>
      <c r="N54" s="1277" t="n">
        <v>45909</v>
      </c>
      <c r="O54" s="1077" t="n"/>
      <c r="Q54" s="1600" t="n"/>
      <c r="R54" s="1600" t="n"/>
      <c r="S54" s="1600" t="n"/>
      <c r="T54" s="1600">
        <f>IF(U$2&lt;$N54,0,IF($N54&gt;T$2,$G54,0))</f>
        <v/>
      </c>
      <c r="U54" s="1600">
        <f>IF(V$2&lt;$N54,0,IF($N54&gt;U$2,$G54,0))</f>
        <v/>
      </c>
      <c r="V54" s="1600" t="n"/>
      <c r="W54" s="1600" t="n"/>
      <c r="X54" s="1600">
        <f>IF(Y$2&lt;$N54,0,IF($N54&gt;X$2,$G54,0))</f>
        <v/>
      </c>
      <c r="Y54" s="1600">
        <f>IF(Z$2&lt;$N54,0,IF($N54&gt;Y$2,$G54,0))</f>
        <v/>
      </c>
      <c r="Z54" s="1600">
        <f>IF(AA$2&lt;$N54,0,IF($N54&gt;Z$2,$G54,0))</f>
        <v/>
      </c>
      <c r="AA54" s="1600">
        <f>IF(AB$2&lt;$N54,0,IF($N54&gt;AA$2,$G54,0))</f>
        <v/>
      </c>
      <c r="AB54" s="1600">
        <f>IF(AC$2&lt;$N54,0,IF($N54&gt;AB$2,$G54,0))</f>
        <v/>
      </c>
      <c r="AC54" s="1600">
        <f>IF(AD$2&lt;$N54,0,IF($N54&gt;AC$2,$G54,0))</f>
        <v/>
      </c>
      <c r="AD54" s="1600" t="n"/>
      <c r="AL54" s="1595">
        <f>SUM(Q54:AK54)</f>
        <v/>
      </c>
      <c r="AM54" s="1308">
        <f>+AL54-G54</f>
        <v/>
      </c>
      <c r="AN54" s="1077">
        <f>CONCATENATE(B54,K54,A54)</f>
        <v/>
      </c>
      <c r="AO54" s="1077">
        <f>CONCATENATE(B54,K54,A54,E54)</f>
        <v/>
      </c>
    </row>
    <row r="55">
      <c r="A55" s="1077" t="inlineStr">
        <is>
          <t>STL</t>
        </is>
      </c>
      <c r="B55" s="1077" t="inlineStr">
        <is>
          <t>APK</t>
        </is>
      </c>
      <c r="C55" s="1149" t="inlineStr">
        <is>
          <t>Sberbank  130B013FZMF ( AKZ  )</t>
        </is>
      </c>
      <c r="D55" s="1077" t="inlineStr">
        <is>
          <t>SBER</t>
        </is>
      </c>
      <c r="E55" s="1077" t="inlineStr">
        <is>
          <t>no</t>
        </is>
      </c>
      <c r="F55" s="1593" t="n">
        <v>50</v>
      </c>
      <c r="G55" s="1603" t="n">
        <v>50</v>
      </c>
      <c r="H55" s="1595">
        <f>F55-G55</f>
        <v/>
      </c>
      <c r="I55" s="1086" t="n">
        <v>0.2265</v>
      </c>
      <c r="K55" s="1086" t="inlineStr">
        <is>
          <t>Float</t>
        </is>
      </c>
      <c r="L55" s="1310">
        <f>+G55*I55</f>
        <v/>
      </c>
      <c r="M55" s="1277" t="n">
        <v>45595</v>
      </c>
      <c r="N55" s="1277" t="n">
        <v>45959</v>
      </c>
      <c r="O55" s="1077" t="n"/>
      <c r="Q55" s="1600" t="n"/>
      <c r="R55" s="1600" t="n"/>
      <c r="S55" s="1600" t="n"/>
      <c r="T55" s="1600">
        <f>IF(U$2&lt;$N55,0,IF($N55&gt;T$2,$G55,0))</f>
        <v/>
      </c>
      <c r="U55" s="1600">
        <f>IF(V$2&lt;$N55,0,IF($N55&gt;U$2,$G55,0))</f>
        <v/>
      </c>
      <c r="V55" s="1600" t="n"/>
      <c r="W55" s="1600" t="n"/>
      <c r="X55" s="1600">
        <f>IF(Y$2&lt;$N55,0,IF($N55&gt;X$2,$G55,0))</f>
        <v/>
      </c>
      <c r="Y55" s="1600">
        <f>IF(Z$2&lt;$N55,0,IF($N55&gt;Y$2,$G55,0))</f>
        <v/>
      </c>
      <c r="Z55" s="1600">
        <f>IF(AA$2&lt;$N55,0,IF($N55&gt;Z$2,$G55,0))</f>
        <v/>
      </c>
      <c r="AA55" s="1600">
        <f>IF(AB$2&lt;$N55,0,IF($N55&gt;AA$2,$G55,0))</f>
        <v/>
      </c>
      <c r="AB55" s="1600">
        <f>IF(AC$2&lt;$N55,0,IF($N55&gt;AB$2,$G55,0))</f>
        <v/>
      </c>
      <c r="AC55" s="1600">
        <f>IF(AD$2&lt;$N55,0,IF($N55&gt;AC$2,$G55,0))</f>
        <v/>
      </c>
      <c r="AD55" s="1600" t="n"/>
      <c r="AL55" s="1595">
        <f>SUM(Q55:AK55)</f>
        <v/>
      </c>
      <c r="AM55" s="1308">
        <f>+AL55-G55</f>
        <v/>
      </c>
      <c r="AN55" s="1077">
        <f>CONCATENATE(B55,K55,A55)</f>
        <v/>
      </c>
      <c r="AO55" s="1077">
        <f>CONCATENATE(B55,K55,A55,E55)</f>
        <v/>
      </c>
    </row>
    <row r="56">
      <c r="A56" s="1077" t="inlineStr">
        <is>
          <t>STL</t>
        </is>
      </c>
      <c r="B56" s="1077" t="inlineStr">
        <is>
          <t>APK</t>
        </is>
      </c>
      <c r="C56" s="1149" t="inlineStr">
        <is>
          <t>Sberbank  130B01A532LZMF ( DB  )</t>
        </is>
      </c>
      <c r="D56" s="1077" t="inlineStr">
        <is>
          <t>SBER</t>
        </is>
      </c>
      <c r="E56" s="1077" t="inlineStr">
        <is>
          <t>yes</t>
        </is>
      </c>
      <c r="F56" s="1593" t="n">
        <v>75</v>
      </c>
      <c r="G56" s="1603" t="n">
        <v>75</v>
      </c>
      <c r="H56" s="1595">
        <f>F56-G56</f>
        <v/>
      </c>
      <c r="I56" s="1086" t="n">
        <v>0.11</v>
      </c>
      <c r="K56" s="1086" t="inlineStr">
        <is>
          <t>Float</t>
        </is>
      </c>
      <c r="L56" s="1310">
        <f>+G56*I56</f>
        <v/>
      </c>
      <c r="M56" s="1277" t="n">
        <v>45807</v>
      </c>
      <c r="N56" s="1277" t="n">
        <v>46167</v>
      </c>
      <c r="O56" s="1077" t="n"/>
      <c r="Q56" s="1600" t="n"/>
      <c r="R56" s="1600" t="n"/>
      <c r="S56" s="1600" t="n"/>
      <c r="T56" s="1600">
        <f>IF(U$2&lt;$N56,0,IF($N56&gt;T$2,$G56,0))</f>
        <v/>
      </c>
      <c r="U56" s="1600">
        <f>IF(V$2&lt;$N56,0,IF($N56&gt;U$2,$G56,0))</f>
        <v/>
      </c>
      <c r="V56" s="1600" t="n"/>
      <c r="W56" s="1600" t="n"/>
      <c r="X56" s="1600">
        <f>IF(Y$2&lt;$N56,0,IF($N56&gt;X$2,$G56,0))</f>
        <v/>
      </c>
      <c r="Y56" s="1600">
        <f>IF(Z$2&lt;$N56,0,IF($N56&gt;Y$2,$G56,0))</f>
        <v/>
      </c>
      <c r="Z56" s="1600">
        <f>IF(AA$2&lt;$N56,0,IF($N56&gt;Z$2,$G56,0))</f>
        <v/>
      </c>
      <c r="AA56" s="1600">
        <f>IF(AB$2&lt;$N56,0,IF($N56&gt;AA$2,$G56,0))</f>
        <v/>
      </c>
      <c r="AB56" s="1600">
        <f>IF(AC$2&lt;$N56,0,IF($N56&gt;AB$2,$G56,0))</f>
        <v/>
      </c>
      <c r="AC56" s="1600">
        <f>IF(AD$2&lt;$N56,0,IF($N56&gt;AC$2,$G56,0))</f>
        <v/>
      </c>
      <c r="AD56" s="1600" t="n"/>
      <c r="AL56" s="1595">
        <f>SUM(Q56:AK56)</f>
        <v/>
      </c>
      <c r="AM56" s="1308">
        <f>+AL56-G56</f>
        <v/>
      </c>
      <c r="AN56" s="1077">
        <f>CONCATENATE(B56,K56,A56)</f>
        <v/>
      </c>
      <c r="AO56" s="1077">
        <f>CONCATENATE(B56,K56,A56,E56)</f>
        <v/>
      </c>
    </row>
    <row r="57">
      <c r="A57" s="1077" t="inlineStr">
        <is>
          <t>STL</t>
        </is>
      </c>
      <c r="B57" s="1077" t="inlineStr">
        <is>
          <t>APK</t>
        </is>
      </c>
      <c r="C57" s="1149" t="inlineStr">
        <is>
          <t>Sberbank  130C010142LZMF ( Oskol  )</t>
        </is>
      </c>
      <c r="D57" s="1077" t="inlineStr">
        <is>
          <t>SBER</t>
        </is>
      </c>
      <c r="E57" s="1077" t="inlineStr">
        <is>
          <t>yes</t>
        </is>
      </c>
      <c r="F57" s="1593" t="n">
        <v>100</v>
      </c>
      <c r="G57" s="1603" t="n">
        <v>100</v>
      </c>
      <c r="H57" s="1595">
        <f>F57-G57</f>
        <v/>
      </c>
      <c r="I57" s="1086" t="n">
        <v>0.11</v>
      </c>
      <c r="K57" s="1086" t="inlineStr">
        <is>
          <t>Float</t>
        </is>
      </c>
      <c r="L57" s="1310">
        <f>+G57*I57</f>
        <v/>
      </c>
      <c r="M57" s="1277" t="n">
        <v>45509</v>
      </c>
      <c r="N57" s="1277" t="n">
        <v>45873</v>
      </c>
      <c r="O57" s="1077" t="n"/>
      <c r="Q57" s="1600" t="n"/>
      <c r="R57" s="1600" t="n"/>
      <c r="S57" s="1600" t="n"/>
      <c r="T57" s="1600">
        <f>IF(U$2&lt;$N57,0,IF($N57&gt;T$2,$G57,0))</f>
        <v/>
      </c>
      <c r="U57" s="1600">
        <f>IF(V$2&lt;$N57,0,IF($N57&gt;U$2,$G57,0))</f>
        <v/>
      </c>
      <c r="V57" s="1600" t="n"/>
      <c r="W57" s="1600" t="n"/>
      <c r="X57" s="1600">
        <f>IF(Y$2&lt;$N57,0,IF($N57&gt;X$2,$G57,0))</f>
        <v/>
      </c>
      <c r="Y57" s="1600">
        <f>IF(Z$2&lt;$N57,0,IF($N57&gt;Y$2,$G57,0))</f>
        <v/>
      </c>
      <c r="Z57" s="1600">
        <f>IF(AA$2&lt;$N57,0,IF($N57&gt;Z$2,$G57,0))</f>
        <v/>
      </c>
      <c r="AA57" s="1600">
        <f>IF(AB$2&lt;$N57,0,IF($N57&gt;AA$2,$G57,0))</f>
        <v/>
      </c>
      <c r="AB57" s="1600">
        <f>IF(AC$2&lt;$N57,0,IF($N57&gt;AB$2,$G57,0))</f>
        <v/>
      </c>
      <c r="AC57" s="1600">
        <f>IF(AD$2&lt;$N57,0,IF($N57&gt;AC$2,$G57,0))</f>
        <v/>
      </c>
      <c r="AD57" s="1600" t="n"/>
      <c r="AL57" s="1595">
        <f>SUM(Q57:AK57)</f>
        <v/>
      </c>
      <c r="AM57" s="1308">
        <f>+AL57-G57</f>
        <v/>
      </c>
      <c r="AN57" s="1077">
        <f>CONCATENATE(B57,K57,A57)</f>
        <v/>
      </c>
      <c r="AO57" s="1077">
        <f>CONCATENATE(B57,K57,A57,E57)</f>
        <v/>
      </c>
    </row>
    <row r="58">
      <c r="A58" s="1077" t="inlineStr">
        <is>
          <t>STL</t>
        </is>
      </c>
      <c r="B58" s="1077" t="inlineStr">
        <is>
          <t>APK</t>
        </is>
      </c>
      <c r="C58" s="1149" t="inlineStr">
        <is>
          <t>Sberbank  130B0132S2LZMF ( Oskol  )</t>
        </is>
      </c>
      <c r="D58" s="1077" t="inlineStr">
        <is>
          <t>SBER</t>
        </is>
      </c>
      <c r="E58" s="1077" t="inlineStr">
        <is>
          <t>no</t>
        </is>
      </c>
      <c r="F58" s="1593" t="n">
        <v>50</v>
      </c>
      <c r="G58" s="1603" t="n">
        <v>50</v>
      </c>
      <c r="H58" s="1595">
        <f>F58-G58</f>
        <v/>
      </c>
      <c r="I58" s="1086" t="n">
        <v>0.2215</v>
      </c>
      <c r="K58" s="1086" t="inlineStr">
        <is>
          <t>Float</t>
        </is>
      </c>
      <c r="L58" s="1310">
        <f>+G58*I58</f>
        <v/>
      </c>
      <c r="M58" s="1277" t="n">
        <v>45586</v>
      </c>
      <c r="N58" s="1277" t="n">
        <v>45950</v>
      </c>
      <c r="O58" s="1077" t="n"/>
      <c r="Q58" s="1600" t="n"/>
      <c r="R58" s="1600" t="n"/>
      <c r="S58" s="1600" t="n"/>
      <c r="T58" s="1600">
        <f>IF(U$2&lt;$N58,0,IF($N58&gt;T$2,$G58,0))</f>
        <v/>
      </c>
      <c r="U58" s="1600">
        <f>IF(V$2&lt;$N58,0,IF($N58&gt;U$2,$G58,0))</f>
        <v/>
      </c>
      <c r="V58" s="1600" t="n"/>
      <c r="W58" s="1600" t="n"/>
      <c r="X58" s="1600">
        <f>IF(Y$2&lt;$N58,0,IF($N58&gt;X$2,$G58,0))</f>
        <v/>
      </c>
      <c r="Y58" s="1600">
        <f>IF(Z$2&lt;$N58,0,IF($N58&gt;Y$2,$G58,0))</f>
        <v/>
      </c>
      <c r="Z58" s="1600">
        <f>IF(AA$2&lt;$N58,0,IF($N58&gt;Z$2,$G58,0))</f>
        <v/>
      </c>
      <c r="AA58" s="1600">
        <f>IF(AB$2&lt;$N58,0,IF($N58&gt;AA$2,$G58,0))</f>
        <v/>
      </c>
      <c r="AB58" s="1600">
        <f>IF(AC$2&lt;$N58,0,IF($N58&gt;AB$2,$G58,0))</f>
        <v/>
      </c>
      <c r="AC58" s="1600">
        <f>IF(AD$2&lt;$N58,0,IF($N58&gt;AC$2,$G58,0))</f>
        <v/>
      </c>
      <c r="AD58" s="1600" t="n"/>
      <c r="AL58" s="1595">
        <f>SUM(Q58:AK58)</f>
        <v/>
      </c>
      <c r="AM58" s="1308">
        <f>+AL58-G58</f>
        <v/>
      </c>
      <c r="AN58" s="1077">
        <f>CONCATENATE(B58,K58,A58)</f>
        <v/>
      </c>
      <c r="AO58" s="1077">
        <f>CONCATENATE(B58,K58,A58,E58)</f>
        <v/>
      </c>
    </row>
    <row r="59">
      <c r="A59" s="1077" t="inlineStr">
        <is>
          <t>STL</t>
        </is>
      </c>
      <c r="B59" s="1077" t="inlineStr">
        <is>
          <t>RBPI</t>
        </is>
      </c>
      <c r="C59" s="1149" t="inlineStr">
        <is>
          <t>Bank SPb  7500-25-000001-1  ( Kornevo  )</t>
        </is>
      </c>
      <c r="D59" s="1077" t="inlineStr">
        <is>
          <t>SPB</t>
        </is>
      </c>
      <c r="E59" s="1077" t="inlineStr">
        <is>
          <t>no</t>
        </is>
      </c>
      <c r="F59" s="1593" t="n">
        <v>100</v>
      </c>
      <c r="G59" s="1603" t="n">
        <v>30</v>
      </c>
      <c r="H59" s="1595">
        <f>F59-G59</f>
        <v/>
      </c>
      <c r="I59" s="1086" t="n">
        <v>0.225</v>
      </c>
      <c r="K59" s="1086" t="inlineStr">
        <is>
          <t>Fix</t>
        </is>
      </c>
      <c r="L59" s="1310">
        <f>+G59*I59</f>
        <v/>
      </c>
      <c r="M59" s="1277" t="n">
        <v>45685</v>
      </c>
      <c r="N59" s="1277" t="n">
        <v>46049</v>
      </c>
      <c r="O59" s="1077" t="n"/>
      <c r="Q59" s="1600" t="n"/>
      <c r="R59" s="1600" t="n"/>
      <c r="S59" s="1600" t="n"/>
      <c r="T59" s="1600">
        <f>IF(U$2&lt;$N59,0,IF($N59&gt;T$2,$G59,0))</f>
        <v/>
      </c>
      <c r="U59" s="1600">
        <f>IF(V$2&lt;$N59,0,IF($N59&gt;U$2,$G59,0))</f>
        <v/>
      </c>
      <c r="V59" s="1600" t="n"/>
      <c r="W59" s="1600" t="n"/>
      <c r="X59" s="1600">
        <f>IF(Y$2&lt;$N59,0,IF($N59&gt;X$2,$G59,0))</f>
        <v/>
      </c>
      <c r="Y59" s="1600">
        <f>IF(Z$2&lt;$N59,0,IF($N59&gt;Y$2,$G59,0))</f>
        <v/>
      </c>
      <c r="Z59" s="1600">
        <f>IF(AA$2&lt;$N59,0,IF($N59&gt;Z$2,$G59,0))</f>
        <v/>
      </c>
      <c r="AA59" s="1600">
        <f>IF(AB$2&lt;$N59,0,IF($N59&gt;AA$2,$G59,0))</f>
        <v/>
      </c>
      <c r="AB59" s="1600">
        <f>IF(AC$2&lt;$N59,0,IF($N59&gt;AB$2,$G59,0))</f>
        <v/>
      </c>
      <c r="AC59" s="1600">
        <f>IF(AD$2&lt;$N59,0,IF($N59&gt;AC$2,$G59,0))</f>
        <v/>
      </c>
      <c r="AD59" s="1600" t="n"/>
      <c r="AL59" s="1595">
        <f>SUM(Q59:AK59)</f>
        <v/>
      </c>
      <c r="AM59" s="1308">
        <f>+AL59-G59</f>
        <v/>
      </c>
      <c r="AN59" s="1077">
        <f>CONCATENATE(B59,K59,A59)</f>
        <v/>
      </c>
      <c r="AO59" s="1077">
        <f>CONCATENATE(B59,K59,A59,E59)</f>
        <v/>
      </c>
    </row>
    <row r="60">
      <c r="A60" s="1077" t="inlineStr">
        <is>
          <t>STL</t>
        </is>
      </c>
      <c r="B60" s="1077" t="inlineStr">
        <is>
          <t>RBPI</t>
        </is>
      </c>
      <c r="C60" s="1149" t="inlineStr">
        <is>
          <t>Bank SPb  7500-24-018253/2 ( NNPP  )</t>
        </is>
      </c>
      <c r="D60" s="1077" t="inlineStr">
        <is>
          <t>SPB</t>
        </is>
      </c>
      <c r="E60" s="1077" t="inlineStr">
        <is>
          <t>no</t>
        </is>
      </c>
      <c r="F60" s="1593" t="n">
        <v>200</v>
      </c>
      <c r="G60" s="1603" t="n">
        <v>160</v>
      </c>
      <c r="H60" s="1595">
        <f>F60-G60</f>
        <v/>
      </c>
      <c r="I60" s="1086" t="n">
        <v>0.215</v>
      </c>
      <c r="K60" s="1086" t="inlineStr">
        <is>
          <t>Float</t>
        </is>
      </c>
      <c r="L60" s="1310">
        <f>+G60*I60</f>
        <v/>
      </c>
      <c r="M60" s="1277" t="n">
        <v>45615</v>
      </c>
      <c r="N60" s="1277" t="n">
        <v>45979</v>
      </c>
      <c r="O60" s="1077" t="n"/>
      <c r="Q60" s="1600" t="n"/>
      <c r="R60" s="1600" t="n"/>
      <c r="S60" s="1600" t="n"/>
      <c r="T60" s="1600">
        <f>IF(U$2&lt;$N60,0,IF($N60&gt;T$2,$G60,0))</f>
        <v/>
      </c>
      <c r="U60" s="1600">
        <f>IF(V$2&lt;$N60,0,IF($N60&gt;U$2,$G60,0))</f>
        <v/>
      </c>
      <c r="V60" s="1600" t="n"/>
      <c r="W60" s="1600" t="n"/>
      <c r="X60" s="1600">
        <f>IF(Y$2&lt;$N60,0,IF($N60&gt;X$2,$G60,0))</f>
        <v/>
      </c>
      <c r="Y60" s="1600">
        <f>IF(Z$2&lt;$N60,0,IF($N60&gt;Y$2,$G60,0))</f>
        <v/>
      </c>
      <c r="Z60" s="1600">
        <f>IF(AA$2&lt;$N60,0,IF($N60&gt;Z$2,$G60,0))</f>
        <v/>
      </c>
      <c r="AA60" s="1600">
        <f>IF(AB$2&lt;$N60,0,IF($N60&gt;AA$2,$G60,0))</f>
        <v/>
      </c>
      <c r="AB60" s="1600">
        <f>IF(AC$2&lt;$N60,0,IF($N60&gt;AB$2,$G60,0))</f>
        <v/>
      </c>
      <c r="AC60" s="1600">
        <f>IF(AD$2&lt;$N60,0,IF($N60&gt;AC$2,$G60,0))</f>
        <v/>
      </c>
      <c r="AD60" s="1600" t="n"/>
      <c r="AL60" s="1595">
        <f>SUM(Q60:AK60)</f>
        <v/>
      </c>
      <c r="AM60" s="1308">
        <f>+AL60-G60</f>
        <v/>
      </c>
      <c r="AN60" s="1077">
        <f>CONCATENATE(B60,K60,A60)</f>
        <v/>
      </c>
      <c r="AO60" s="1077">
        <f>CONCATENATE(B60,K60,A60,E60)</f>
        <v/>
      </c>
    </row>
    <row r="61">
      <c r="A61" s="1077" t="inlineStr">
        <is>
          <t>STL</t>
        </is>
      </c>
      <c r="B61" s="1077" t="inlineStr">
        <is>
          <t>APK</t>
        </is>
      </c>
      <c r="C61" s="1149" t="inlineStr">
        <is>
          <t>Sberbank 130B016BF2LZMF ( DB  )</t>
        </is>
      </c>
      <c r="D61" s="1077" t="inlineStr">
        <is>
          <t>SBER</t>
        </is>
      </c>
      <c r="E61" s="1077" t="inlineStr">
        <is>
          <t>yes</t>
        </is>
      </c>
      <c r="F61" s="1593" t="n">
        <v>200</v>
      </c>
      <c r="G61" s="1603" t="n">
        <v>200</v>
      </c>
      <c r="H61" s="1595">
        <f>F61-G61</f>
        <v/>
      </c>
      <c r="I61" s="1086" t="n">
        <v>0.11</v>
      </c>
      <c r="K61" s="1086" t="inlineStr">
        <is>
          <t>Float</t>
        </is>
      </c>
      <c r="L61" s="1310">
        <f>+G61*I61</f>
        <v/>
      </c>
      <c r="M61" s="1277" t="n">
        <v>45699</v>
      </c>
      <c r="N61" s="1277" t="n">
        <v>46063</v>
      </c>
      <c r="O61" s="1077" t="n"/>
      <c r="Q61" s="1600" t="n"/>
      <c r="R61" s="1600" t="n"/>
      <c r="S61" s="1600" t="n"/>
      <c r="T61" s="1600">
        <f>IF(U$2&lt;$N61,0,IF($N61&gt;T$2,$G61,0))</f>
        <v/>
      </c>
      <c r="U61" s="1600">
        <f>IF(V$2&lt;$N61,0,IF($N61&gt;U$2,$G61,0))</f>
        <v/>
      </c>
      <c r="V61" s="1600" t="n"/>
      <c r="W61" s="1600" t="n"/>
      <c r="X61" s="1600">
        <f>IF(Y$2&lt;$N61,0,IF($N61&gt;X$2,$G61,0))</f>
        <v/>
      </c>
      <c r="Y61" s="1600">
        <f>IF(Z$2&lt;$N61,0,IF($N61&gt;Y$2,$G61,0))</f>
        <v/>
      </c>
      <c r="Z61" s="1600">
        <f>IF(AA$2&lt;$N61,0,IF($N61&gt;Z$2,$G61,0))</f>
        <v/>
      </c>
      <c r="AA61" s="1600">
        <f>IF(AB$2&lt;$N61,0,IF($N61&gt;AA$2,$G61,0))</f>
        <v/>
      </c>
      <c r="AB61" s="1600">
        <f>IF(AC$2&lt;$N61,0,IF($N61&gt;AB$2,$G61,0))</f>
        <v/>
      </c>
      <c r="AC61" s="1600">
        <f>IF(AD$2&lt;$N61,0,IF($N61&gt;AC$2,$G61,0))</f>
        <v/>
      </c>
      <c r="AD61" s="1600" t="n"/>
      <c r="AL61" s="1595">
        <f>SUM(Q61:AK61)</f>
        <v/>
      </c>
      <c r="AM61" s="1308">
        <f>+AL61-G61</f>
        <v/>
      </c>
      <c r="AN61" s="1077">
        <f>CONCATENATE(B61,K61,A61)</f>
        <v/>
      </c>
      <c r="AO61" s="1077">
        <f>CONCATENATE(B61,K61,A61,E61)</f>
        <v/>
      </c>
    </row>
    <row r="62">
      <c r="A62" s="1077" t="inlineStr">
        <is>
          <t>STL</t>
        </is>
      </c>
      <c r="B62" s="1077" t="inlineStr">
        <is>
          <t>APK</t>
        </is>
      </c>
      <c r="C62" s="1149" t="inlineStr">
        <is>
          <t>Sberbank 130B017BN2LZMF ( AKZ  )</t>
        </is>
      </c>
      <c r="D62" s="1077" t="inlineStr">
        <is>
          <t>SBER</t>
        </is>
      </c>
      <c r="E62" s="1077" t="inlineStr">
        <is>
          <t>no</t>
        </is>
      </c>
      <c r="F62" s="1593" t="n">
        <v>100</v>
      </c>
      <c r="G62" s="1603" t="n">
        <v>100</v>
      </c>
      <c r="H62" s="1595">
        <f>F62-G62</f>
        <v/>
      </c>
      <c r="I62" s="1086" t="n">
        <v>0.2205</v>
      </c>
      <c r="K62" s="1086" t="inlineStr">
        <is>
          <t>Float</t>
        </is>
      </c>
      <c r="L62" s="1310">
        <f>+G62*I62</f>
        <v/>
      </c>
      <c r="M62" s="1277" t="n">
        <v>45714</v>
      </c>
      <c r="N62" s="1277" t="n">
        <v>46078</v>
      </c>
      <c r="O62" s="1077" t="n"/>
      <c r="Q62" s="1600" t="n"/>
      <c r="R62" s="1600" t="n"/>
      <c r="S62" s="1600" t="n"/>
      <c r="T62" s="1600">
        <f>IF(U$2&lt;$N62,0,IF($N62&gt;T$2,$G62,0))</f>
        <v/>
      </c>
      <c r="U62" s="1600">
        <f>IF(V$2&lt;$N62,0,IF($N62&gt;U$2,$G62,0))</f>
        <v/>
      </c>
      <c r="V62" s="1600" t="n"/>
      <c r="W62" s="1600" t="n"/>
      <c r="X62" s="1600">
        <f>IF(Y$2&lt;$N62,0,IF($N62&gt;X$2,$G62,0))</f>
        <v/>
      </c>
      <c r="Y62" s="1600">
        <f>IF(Z$2&lt;$N62,0,IF($N62&gt;Y$2,$G62,0))</f>
        <v/>
      </c>
      <c r="Z62" s="1600">
        <f>IF(AA$2&lt;$N62,0,IF($N62&gt;Z$2,$G62,0))</f>
        <v/>
      </c>
      <c r="AA62" s="1600">
        <f>IF(AB$2&lt;$N62,0,IF($N62&gt;AA$2,$G62,0))</f>
        <v/>
      </c>
      <c r="AB62" s="1600">
        <f>IF(AC$2&lt;$N62,0,IF($N62&gt;AB$2,$G62,0))</f>
        <v/>
      </c>
      <c r="AC62" s="1600">
        <f>IF(AD$2&lt;$N62,0,IF($N62&gt;AC$2,$G62,0))</f>
        <v/>
      </c>
      <c r="AD62" s="1600" t="n"/>
      <c r="AL62" s="1595">
        <f>SUM(Q62:AK62)</f>
        <v/>
      </c>
      <c r="AM62" s="1308">
        <f>+AL62-G62</f>
        <v/>
      </c>
      <c r="AN62" s="1077">
        <f>CONCATENATE(B62,K62,A62)</f>
        <v/>
      </c>
      <c r="AO62" s="1077">
        <f>CONCATENATE(B62,K62,A62,E62)</f>
        <v/>
      </c>
    </row>
    <row r="63">
      <c r="A63" s="1077" t="inlineStr">
        <is>
          <t>STL</t>
        </is>
      </c>
      <c r="B63" s="1077" t="inlineStr">
        <is>
          <t>APK</t>
        </is>
      </c>
      <c r="C63" s="1149" t="inlineStr">
        <is>
          <t>Sberbank  130B01882MF ( AKZ  )</t>
        </is>
      </c>
      <c r="D63" s="1077" t="inlineStr">
        <is>
          <t>SBER</t>
        </is>
      </c>
      <c r="E63" s="1077" t="inlineStr">
        <is>
          <t>no</t>
        </is>
      </c>
      <c r="F63" s="1593" t="n">
        <v>300</v>
      </c>
      <c r="G63" s="1603" t="n">
        <v>300</v>
      </c>
      <c r="H63" s="1595">
        <f>F63-G63</f>
        <v/>
      </c>
      <c r="I63" s="1086" t="n">
        <v>0.215</v>
      </c>
      <c r="K63" s="1086" t="inlineStr">
        <is>
          <t>Float</t>
        </is>
      </c>
      <c r="L63" s="1310">
        <f>+G63*I63</f>
        <v/>
      </c>
      <c r="M63" s="1277" t="n">
        <v>45751</v>
      </c>
      <c r="N63" s="1277" t="n">
        <v>46115</v>
      </c>
      <c r="O63" s="1077" t="n"/>
      <c r="Q63" s="1600" t="n"/>
      <c r="R63" s="1600" t="n"/>
      <c r="S63" s="1600" t="n"/>
      <c r="T63" s="1600">
        <f>IF(U$2&lt;$N63,0,IF($N63&gt;T$2,$G63,0))</f>
        <v/>
      </c>
      <c r="U63" s="1600">
        <f>IF(V$2&lt;$N63,0,IF($N63&gt;U$2,$G63,0))</f>
        <v/>
      </c>
      <c r="V63" s="1600" t="n"/>
      <c r="W63" s="1600" t="n"/>
      <c r="X63" s="1600">
        <f>IF(Y$2&lt;$N63,0,IF($N63&gt;X$2,$G63,0))</f>
        <v/>
      </c>
      <c r="Y63" s="1600">
        <f>IF(Z$2&lt;$N63,0,IF($N63&gt;Y$2,$G63,0))</f>
        <v/>
      </c>
      <c r="Z63" s="1600">
        <f>IF(AA$2&lt;$N63,0,IF($N63&gt;Z$2,$G63,0))</f>
        <v/>
      </c>
      <c r="AA63" s="1600">
        <f>IF(AB$2&lt;$N63,0,IF($N63&gt;AA$2,$G63,0))</f>
        <v/>
      </c>
      <c r="AB63" s="1600">
        <f>IF(AC$2&lt;$N63,0,IF($N63&gt;AB$2,$G63,0))</f>
        <v/>
      </c>
      <c r="AC63" s="1600">
        <f>IF(AD$2&lt;$N63,0,IF($N63&gt;AC$2,$G63,0))</f>
        <v/>
      </c>
      <c r="AD63" s="1600" t="n"/>
      <c r="AL63" s="1595">
        <f>SUM(Q63:AK63)</f>
        <v/>
      </c>
      <c r="AM63" s="1308">
        <f>+AL63-G63</f>
        <v/>
      </c>
      <c r="AN63" s="1077">
        <f>CONCATENATE(B63,K63,A63)</f>
        <v/>
      </c>
      <c r="AO63" s="1077">
        <f>CONCATENATE(B63,K63,A63,E63)</f>
        <v/>
      </c>
    </row>
    <row r="64">
      <c r="A64" s="1077" t="inlineStr">
        <is>
          <t>STL</t>
        </is>
      </c>
      <c r="B64" s="1077" t="inlineStr">
        <is>
          <t>RBPI</t>
        </is>
      </c>
      <c r="C64" s="1149" t="inlineStr">
        <is>
          <t>Bank SPb  7500-22-020286/34 ( PPP  )</t>
        </is>
      </c>
      <c r="D64" s="1077" t="inlineStr">
        <is>
          <t>SPB</t>
        </is>
      </c>
      <c r="E64" s="1077" t="inlineStr">
        <is>
          <t>no</t>
        </is>
      </c>
      <c r="F64" s="1593" t="n">
        <v>80</v>
      </c>
      <c r="G64" s="1603" t="n">
        <v>80</v>
      </c>
      <c r="H64" s="1595">
        <f>F64-G64</f>
        <v/>
      </c>
      <c r="I64" s="1086" t="n">
        <v>0.23</v>
      </c>
      <c r="K64" s="1086" t="inlineStr">
        <is>
          <t>Float</t>
        </is>
      </c>
      <c r="L64" s="1310">
        <f>+G64*I64</f>
        <v/>
      </c>
      <c r="M64" s="1277" t="n">
        <v>45722</v>
      </c>
      <c r="N64" s="1277" t="n">
        <v>46060</v>
      </c>
      <c r="O64" s="1077" t="n"/>
      <c r="Q64" s="1600" t="n"/>
      <c r="R64" s="1600" t="n"/>
      <c r="S64" s="1600" t="n"/>
      <c r="T64" s="1600">
        <f>IF(U$2&lt;$N64,0,IF($N64&gt;T$2,$G64,0))</f>
        <v/>
      </c>
      <c r="U64" s="1600">
        <f>IF(V$2&lt;$N64,0,IF($N64&gt;U$2,$G64,0))</f>
        <v/>
      </c>
      <c r="V64" s="1600" t="n"/>
      <c r="W64" s="1600" t="n"/>
      <c r="X64" s="1600">
        <f>IF(Y$2&lt;$N64,0,IF($N64&gt;X$2,$G64,0))</f>
        <v/>
      </c>
      <c r="Y64" s="1600">
        <f>IF(Z$2&lt;$N64,0,IF($N64&gt;Y$2,$G64,0))</f>
        <v/>
      </c>
      <c r="Z64" s="1600">
        <f>IF(AA$2&lt;$N64,0,IF($N64&gt;Z$2,$G64,0))</f>
        <v/>
      </c>
      <c r="AA64" s="1600">
        <f>IF(AB$2&lt;$N64,0,IF($N64&gt;AA$2,$G64,0))</f>
        <v/>
      </c>
      <c r="AB64" s="1600">
        <f>IF(AC$2&lt;$N64,0,IF($N64&gt;AB$2,$G64,0))</f>
        <v/>
      </c>
      <c r="AC64" s="1600">
        <f>IF(AD$2&lt;$N64,0,IF($N64&gt;AC$2,$G64,0))</f>
        <v/>
      </c>
      <c r="AD64" s="1600" t="n"/>
      <c r="AL64" s="1595">
        <f>SUM(Q64:AK64)</f>
        <v/>
      </c>
      <c r="AM64" s="1308">
        <f>+AL64-G64</f>
        <v/>
      </c>
      <c r="AN64" s="1077">
        <f>CONCATENATE(B64,K64,A64)</f>
        <v/>
      </c>
      <c r="AO64" s="1077">
        <f>CONCATENATE(B64,K64,A64,E64)</f>
        <v/>
      </c>
    </row>
    <row r="65">
      <c r="A65" s="1077" t="inlineStr">
        <is>
          <t>STL</t>
        </is>
      </c>
      <c r="B65" s="1077" t="inlineStr">
        <is>
          <t>APK</t>
        </is>
      </c>
      <c r="C65" s="1149" t="inlineStr">
        <is>
          <t>Sberbank  130C011JG2LZMF ( AB  )</t>
        </is>
      </c>
      <c r="D65" s="1077" t="inlineStr">
        <is>
          <t>SBER</t>
        </is>
      </c>
      <c r="E65" s="1077" t="inlineStr">
        <is>
          <t>yes</t>
        </is>
      </c>
      <c r="F65" s="1593" t="n">
        <v>50</v>
      </c>
      <c r="G65" s="1603" t="n">
        <v>50</v>
      </c>
      <c r="H65" s="1595">
        <f>F65-G65</f>
        <v/>
      </c>
      <c r="I65" s="1086" t="n">
        <v>0.11</v>
      </c>
      <c r="K65" s="1086" t="inlineStr">
        <is>
          <t>Float</t>
        </is>
      </c>
      <c r="L65" s="1310">
        <f>+G65*I65</f>
        <v/>
      </c>
      <c r="M65" s="1277" t="n">
        <v>45552</v>
      </c>
      <c r="N65" s="1277" t="n">
        <v>45916</v>
      </c>
      <c r="O65" s="1077" t="n"/>
      <c r="Q65" s="1600" t="n"/>
      <c r="R65" s="1600" t="n"/>
      <c r="S65" s="1600" t="n"/>
      <c r="T65" s="1600">
        <f>IF(U$2&lt;$N65,0,IF($N65&gt;T$2,$G65,0))</f>
        <v/>
      </c>
      <c r="U65" s="1600">
        <f>IF(V$2&lt;$N65,0,IF($N65&gt;U$2,$G65,0))</f>
        <v/>
      </c>
      <c r="V65" s="1600" t="n"/>
      <c r="W65" s="1600" t="n"/>
      <c r="X65" s="1600">
        <f>IF(Y$2&lt;$N65,0,IF($N65&gt;X$2,$G65,0))</f>
        <v/>
      </c>
      <c r="Y65" s="1600">
        <f>IF(Z$2&lt;$N65,0,IF($N65&gt;Y$2,$G65,0))</f>
        <v/>
      </c>
      <c r="Z65" s="1600">
        <f>IF(AA$2&lt;$N65,0,IF($N65&gt;Z$2,$G65,0))</f>
        <v/>
      </c>
      <c r="AA65" s="1600">
        <f>IF(AB$2&lt;$N65,0,IF($N65&gt;AA$2,$G65,0))</f>
        <v/>
      </c>
      <c r="AB65" s="1600">
        <f>IF(AC$2&lt;$N65,0,IF($N65&gt;AB$2,$G65,0))</f>
        <v/>
      </c>
      <c r="AC65" s="1600">
        <f>IF(AD$2&lt;$N65,0,IF($N65&gt;AC$2,$G65,0))</f>
        <v/>
      </c>
      <c r="AD65" s="1600" t="n"/>
      <c r="AL65" s="1595">
        <f>SUM(Q65:AK65)</f>
        <v/>
      </c>
      <c r="AM65" s="1308">
        <f>+AL65-G65</f>
        <v/>
      </c>
      <c r="AN65" s="1077">
        <f>CONCATENATE(B65,K65,A65)</f>
        <v/>
      </c>
      <c r="AO65" s="1077">
        <f>CONCATENATE(B65,K65,A65,E65)</f>
        <v/>
      </c>
    </row>
    <row r="66">
      <c r="A66" s="1077" t="inlineStr">
        <is>
          <t>STL</t>
        </is>
      </c>
      <c r="B66" s="1077" t="inlineStr">
        <is>
          <t>RBPI</t>
        </is>
      </c>
      <c r="C66" s="1149" t="inlineStr">
        <is>
          <t>Gasprombank  0125-007 ( PPP-2  )</t>
        </is>
      </c>
      <c r="D66" s="1077" t="inlineStr">
        <is>
          <t>GPB</t>
        </is>
      </c>
      <c r="E66" s="1077" t="inlineStr">
        <is>
          <t>no</t>
        </is>
      </c>
      <c r="F66" s="1593" t="n">
        <v>300</v>
      </c>
      <c r="G66" s="1603" t="n">
        <v>300</v>
      </c>
      <c r="H66" s="1595">
        <f>F66-G66</f>
        <v/>
      </c>
      <c r="I66" s="1086" t="n">
        <v>0.225</v>
      </c>
      <c r="K66" s="1086" t="inlineStr">
        <is>
          <t>Float</t>
        </is>
      </c>
      <c r="L66" s="1310">
        <f>+G66*I66</f>
        <v/>
      </c>
      <c r="M66" s="1277" t="n">
        <v>45805</v>
      </c>
      <c r="N66" s="1277" t="n">
        <v>46169</v>
      </c>
      <c r="O66" s="1077" t="n"/>
      <c r="Q66" s="1600" t="n"/>
      <c r="R66" s="1600" t="n"/>
      <c r="S66" s="1600" t="n"/>
      <c r="T66" s="1600">
        <f>IF(U$2&lt;$N66,0,IF($N66&gt;T$2,$G66,0))</f>
        <v/>
      </c>
      <c r="U66" s="1600">
        <f>IF(V$2&lt;$N66,0,IF($N66&gt;U$2,$G66,0))</f>
        <v/>
      </c>
      <c r="V66" s="1600" t="n"/>
      <c r="W66" s="1600" t="n"/>
      <c r="X66" s="1600">
        <f>IF(Y$2&lt;$N66,0,IF($N66&gt;X$2,$G66,0))</f>
        <v/>
      </c>
      <c r="Y66" s="1600">
        <f>IF(Z$2&lt;$N66,0,IF($N66&gt;Y$2,$G66,0))</f>
        <v/>
      </c>
      <c r="Z66" s="1600">
        <f>IF(AA$2&lt;$N66,0,IF($N66&gt;Z$2,$G66,0))</f>
        <v/>
      </c>
      <c r="AA66" s="1600">
        <f>IF(AB$2&lt;$N66,0,IF($N66&gt;AA$2,$G66,0))</f>
        <v/>
      </c>
      <c r="AB66" s="1600">
        <f>IF(AC$2&lt;$N66,0,IF($N66&gt;AB$2,$G66,0))</f>
        <v/>
      </c>
      <c r="AC66" s="1600">
        <f>IF(AD$2&lt;$N66,0,IF($N66&gt;AC$2,$G66,0))</f>
        <v/>
      </c>
      <c r="AD66" s="1600" t="n"/>
      <c r="AL66" s="1595">
        <f>SUM(Q66:AK66)</f>
        <v/>
      </c>
      <c r="AM66" s="1308">
        <f>+AL66-G66</f>
        <v/>
      </c>
      <c r="AN66" s="1077">
        <f>CONCATENATE(B66,K66,A66)</f>
        <v/>
      </c>
      <c r="AO66" s="1077">
        <f>CONCATENATE(B66,K66,A66,E66)</f>
        <v/>
      </c>
    </row>
    <row r="67">
      <c r="A67" s="1077" t="inlineStr">
        <is>
          <t>STL</t>
        </is>
      </c>
      <c r="B67" s="1077" t="inlineStr">
        <is>
          <t>APK</t>
        </is>
      </c>
      <c r="C67" s="1149" t="inlineStr">
        <is>
          <t>Sberbank 130B016UA2LZMF ( AKZ  )</t>
        </is>
      </c>
      <c r="D67" s="1077" t="inlineStr">
        <is>
          <t>SBER</t>
        </is>
      </c>
      <c r="E67" s="1077" t="inlineStr">
        <is>
          <t>yes</t>
        </is>
      </c>
      <c r="F67" s="1593" t="n">
        <v>200</v>
      </c>
      <c r="G67" s="1603" t="n">
        <v>200</v>
      </c>
      <c r="H67" s="1595">
        <f>F67-G67</f>
        <v/>
      </c>
      <c r="I67" s="1086" t="n">
        <v>0.11</v>
      </c>
      <c r="K67" s="1086" t="inlineStr">
        <is>
          <t>Float</t>
        </is>
      </c>
      <c r="L67" s="1310">
        <f>+G67*I67</f>
        <v/>
      </c>
      <c r="M67" s="1277" t="n">
        <v>45705</v>
      </c>
      <c r="N67" s="1277" t="n">
        <v>46069</v>
      </c>
      <c r="O67" s="1077" t="n"/>
      <c r="Q67" s="1600" t="n"/>
      <c r="R67" s="1600" t="n"/>
      <c r="S67" s="1600" t="n"/>
      <c r="T67" s="1600">
        <f>IF(U$2&lt;$N67,0,IF($N67&gt;T$2,$G67,0))</f>
        <v/>
      </c>
      <c r="U67" s="1600">
        <f>IF(V$2&lt;$N67,0,IF($N67&gt;U$2,$G67,0))</f>
        <v/>
      </c>
      <c r="V67" s="1600" t="n"/>
      <c r="W67" s="1600" t="n"/>
      <c r="X67" s="1600">
        <f>IF(Y$2&lt;$N67,0,IF($N67&gt;X$2,$G67,0))</f>
        <v/>
      </c>
      <c r="Y67" s="1600">
        <f>IF(Z$2&lt;$N67,0,IF($N67&gt;Y$2,$G67,0))</f>
        <v/>
      </c>
      <c r="Z67" s="1600">
        <f>IF(AA$2&lt;$N67,0,IF($N67&gt;Z$2,$G67,0))</f>
        <v/>
      </c>
      <c r="AA67" s="1600">
        <f>IF(AB$2&lt;$N67,0,IF($N67&gt;AA$2,$G67,0))</f>
        <v/>
      </c>
      <c r="AB67" s="1600">
        <f>IF(AC$2&lt;$N67,0,IF($N67&gt;AB$2,$G67,0))</f>
        <v/>
      </c>
      <c r="AC67" s="1600">
        <f>IF(AD$2&lt;$N67,0,IF($N67&gt;AC$2,$G67,0))</f>
        <v/>
      </c>
      <c r="AD67" s="1600" t="n"/>
      <c r="AL67" s="1595">
        <f>SUM(Q67:AK67)</f>
        <v/>
      </c>
      <c r="AM67" s="1308">
        <f>+AL67-G67</f>
        <v/>
      </c>
      <c r="AN67" s="1077">
        <f>CONCATENATE(B67,K67,A67)</f>
        <v/>
      </c>
      <c r="AO67" s="1077">
        <f>CONCATENATE(B67,K67,A67,E67)</f>
        <v/>
      </c>
    </row>
    <row r="68">
      <c r="A68" s="1077" t="inlineStr">
        <is>
          <t>STL</t>
        </is>
      </c>
      <c r="B68" s="1077" t="inlineStr">
        <is>
          <t>RBPI</t>
        </is>
      </c>
      <c r="C68" s="1149" t="inlineStr">
        <is>
          <t>Gasprombank  0124-033 ( PPP-2  )</t>
        </is>
      </c>
      <c r="D68" s="1077" t="inlineStr">
        <is>
          <t>GPB</t>
        </is>
      </c>
      <c r="E68" s="1077" t="inlineStr">
        <is>
          <t>no</t>
        </is>
      </c>
      <c r="F68" s="1593" t="n">
        <v>170</v>
      </c>
      <c r="G68" s="1603" t="n">
        <v>170</v>
      </c>
      <c r="H68" s="1595">
        <f>F68-G68</f>
        <v/>
      </c>
      <c r="I68" s="1086" t="n">
        <v>0.11</v>
      </c>
      <c r="K68" s="1086" t="inlineStr">
        <is>
          <t>Float</t>
        </is>
      </c>
      <c r="L68" s="1310">
        <f>+G68*I68</f>
        <v/>
      </c>
      <c r="M68" s="1277" t="n">
        <v>45652</v>
      </c>
      <c r="N68" s="1277" t="n">
        <v>46016</v>
      </c>
      <c r="O68" s="1077" t="n"/>
      <c r="Q68" s="1600" t="n"/>
      <c r="R68" s="1600" t="n"/>
      <c r="S68" s="1600" t="n"/>
      <c r="T68" s="1600">
        <f>IF(U$2&lt;$N68,0,IF($N68&gt;T$2,$G68,0))</f>
        <v/>
      </c>
      <c r="U68" s="1600">
        <f>IF(V$2&lt;$N68,0,IF($N68&gt;U$2,$G68,0))</f>
        <v/>
      </c>
      <c r="V68" s="1600" t="n"/>
      <c r="W68" s="1600" t="n"/>
      <c r="X68" s="1600">
        <f>IF(Y$2&lt;$N68,0,IF($N68&gt;X$2,$G68,0))</f>
        <v/>
      </c>
      <c r="Y68" s="1600">
        <f>IF(Z$2&lt;$N68,0,IF($N68&gt;Y$2,$G68,0))</f>
        <v/>
      </c>
      <c r="Z68" s="1600">
        <f>IF(AA$2&lt;$N68,0,IF($N68&gt;Z$2,$G68,0))</f>
        <v/>
      </c>
      <c r="AA68" s="1600">
        <f>IF(AB$2&lt;$N68,0,IF($N68&gt;AA$2,$G68,0))</f>
        <v/>
      </c>
      <c r="AB68" s="1600">
        <f>IF(AC$2&lt;$N68,0,IF($N68&gt;AB$2,$G68,0))</f>
        <v/>
      </c>
      <c r="AC68" s="1600">
        <f>IF(AD$2&lt;$N68,0,IF($N68&gt;AC$2,$G68,0))</f>
        <v/>
      </c>
      <c r="AD68" s="1600" t="n"/>
      <c r="AL68" s="1595">
        <f>SUM(Q68:AK68)</f>
        <v/>
      </c>
      <c r="AM68" s="1308">
        <f>+AL68-G68</f>
        <v/>
      </c>
      <c r="AN68" s="1077">
        <f>CONCATENATE(B68,K68,A68)</f>
        <v/>
      </c>
      <c r="AO68" s="1077">
        <f>CONCATENATE(B68,K68,A68,E68)</f>
        <v/>
      </c>
    </row>
    <row r="69">
      <c r="A69" s="1077" t="inlineStr">
        <is>
          <t>STL</t>
        </is>
      </c>
      <c r="B69" s="1077" t="inlineStr">
        <is>
          <t>APK</t>
        </is>
      </c>
      <c r="C69" s="1149" t="inlineStr">
        <is>
          <t>Sberbank  130B013H0MF ( AKZ  )</t>
        </is>
      </c>
      <c r="D69" s="1077" t="inlineStr">
        <is>
          <t>SBER</t>
        </is>
      </c>
      <c r="E69" s="1077" t="inlineStr">
        <is>
          <t>no</t>
        </is>
      </c>
      <c r="F69" s="1593" t="n">
        <v>50</v>
      </c>
      <c r="G69" s="1603" t="n">
        <v>50</v>
      </c>
      <c r="H69" s="1595">
        <f>F69-G69</f>
        <v/>
      </c>
      <c r="I69" s="1086" t="n">
        <v>0.2265</v>
      </c>
      <c r="K69" s="1086" t="inlineStr">
        <is>
          <t>Float</t>
        </is>
      </c>
      <c r="L69" s="1310">
        <f>+G69*I69</f>
        <v/>
      </c>
      <c r="M69" s="1277" t="n">
        <v>45595</v>
      </c>
      <c r="N69" s="1277" t="n">
        <v>45959</v>
      </c>
      <c r="O69" s="1077" t="n"/>
      <c r="Q69" s="1600" t="n"/>
      <c r="R69" s="1600" t="n"/>
      <c r="S69" s="1600" t="n"/>
      <c r="T69" s="1600">
        <f>IF(U$2&lt;$N69,0,IF($N69&gt;T$2,$G69,0))</f>
        <v/>
      </c>
      <c r="U69" s="1600">
        <f>IF(V$2&lt;$N69,0,IF($N69&gt;U$2,$G69,0))</f>
        <v/>
      </c>
      <c r="V69" s="1600" t="n"/>
      <c r="W69" s="1600" t="n"/>
      <c r="X69" s="1600">
        <f>IF(Y$2&lt;$N69,0,IF($N69&gt;X$2,$G69,0))</f>
        <v/>
      </c>
      <c r="Y69" s="1600">
        <f>IF(Z$2&lt;$N69,0,IF($N69&gt;Y$2,$G69,0))</f>
        <v/>
      </c>
      <c r="Z69" s="1600">
        <f>IF(AA$2&lt;$N69,0,IF($N69&gt;Z$2,$G69,0))</f>
        <v/>
      </c>
      <c r="AA69" s="1600">
        <f>IF(AB$2&lt;$N69,0,IF($N69&gt;AA$2,$G69,0))</f>
        <v/>
      </c>
      <c r="AB69" s="1600">
        <f>IF(AC$2&lt;$N69,0,IF($N69&gt;AB$2,$G69,0))</f>
        <v/>
      </c>
      <c r="AC69" s="1600">
        <f>IF(AD$2&lt;$N69,0,IF($N69&gt;AC$2,$G69,0))</f>
        <v/>
      </c>
      <c r="AD69" s="1600" t="n"/>
      <c r="AL69" s="1595">
        <f>SUM(Q69:AK69)</f>
        <v/>
      </c>
      <c r="AM69" s="1308">
        <f>+AL69-G69</f>
        <v/>
      </c>
      <c r="AN69" s="1077">
        <f>CONCATENATE(B69,K69,A69)</f>
        <v/>
      </c>
      <c r="AO69" s="1077">
        <f>CONCATENATE(B69,K69,A69,E69)</f>
        <v/>
      </c>
    </row>
    <row r="70">
      <c r="A70" s="1077" t="inlineStr">
        <is>
          <t>STL</t>
        </is>
      </c>
      <c r="B70" s="1077" t="inlineStr">
        <is>
          <t>APK</t>
        </is>
      </c>
      <c r="C70" s="1149" t="inlineStr">
        <is>
          <t>Sberbank  130B016AT2LZMF ( DB  )</t>
        </is>
      </c>
      <c r="D70" s="1077" t="inlineStr">
        <is>
          <t>SBER</t>
        </is>
      </c>
      <c r="E70" s="1077" t="inlineStr">
        <is>
          <t>yes</t>
        </is>
      </c>
      <c r="F70" s="1593" t="n">
        <v>100</v>
      </c>
      <c r="G70" s="1603" t="n">
        <v>100</v>
      </c>
      <c r="H70" s="1595">
        <f>F70-G70</f>
        <v/>
      </c>
      <c r="I70" s="1086" t="n">
        <v>0.11</v>
      </c>
      <c r="K70" s="1086" t="inlineStr">
        <is>
          <t>Float</t>
        </is>
      </c>
      <c r="L70" s="1310">
        <f>+G70*I70</f>
        <v/>
      </c>
      <c r="M70" s="1277" t="n">
        <v>45699</v>
      </c>
      <c r="N70" s="1277" t="n">
        <v>46063</v>
      </c>
      <c r="O70" s="1077" t="n"/>
      <c r="Q70" s="1600" t="n"/>
      <c r="R70" s="1600" t="n"/>
      <c r="S70" s="1600" t="n"/>
      <c r="T70" s="1600">
        <f>IF(U$2&lt;$N70,0,IF($N70&gt;T$2,$G70,0))</f>
        <v/>
      </c>
      <c r="U70" s="1600">
        <f>IF(V$2&lt;$N70,0,IF($N70&gt;U$2,$G70,0))</f>
        <v/>
      </c>
      <c r="V70" s="1600" t="n"/>
      <c r="W70" s="1600" t="n"/>
      <c r="X70" s="1600">
        <f>IF(Y$2&lt;$N70,0,IF($N70&gt;X$2,$G70,0))</f>
        <v/>
      </c>
      <c r="Y70" s="1600">
        <f>IF(Z$2&lt;$N70,0,IF($N70&gt;Y$2,$G70,0))</f>
        <v/>
      </c>
      <c r="Z70" s="1600">
        <f>IF(AA$2&lt;$N70,0,IF($N70&gt;Z$2,$G70,0))</f>
        <v/>
      </c>
      <c r="AA70" s="1600">
        <f>IF(AB$2&lt;$N70,0,IF($N70&gt;AA$2,$G70,0))</f>
        <v/>
      </c>
      <c r="AB70" s="1600">
        <f>IF(AC$2&lt;$N70,0,IF($N70&gt;AB$2,$G70,0))</f>
        <v/>
      </c>
      <c r="AC70" s="1600">
        <f>IF(AD$2&lt;$N70,0,IF($N70&gt;AC$2,$G70,0))</f>
        <v/>
      </c>
      <c r="AD70" s="1600" t="n"/>
      <c r="AL70" s="1595">
        <f>SUM(Q70:AK70)</f>
        <v/>
      </c>
      <c r="AM70" s="1308">
        <f>+AL70-G70</f>
        <v/>
      </c>
      <c r="AN70" s="1077">
        <f>CONCATENATE(B70,K70,A70)</f>
        <v/>
      </c>
      <c r="AO70" s="1077">
        <f>CONCATENATE(B70,K70,A70,E70)</f>
        <v/>
      </c>
    </row>
    <row r="71">
      <c r="A71" s="1077" t="inlineStr">
        <is>
          <t>STL</t>
        </is>
      </c>
      <c r="B71" s="1077" t="inlineStr">
        <is>
          <t>RBPI</t>
        </is>
      </c>
      <c r="C71" s="1149" t="inlineStr">
        <is>
          <t>Gasprombank  0125-002 ( PPP-2  )</t>
        </is>
      </c>
      <c r="D71" s="1077" t="inlineStr">
        <is>
          <t>GPB</t>
        </is>
      </c>
      <c r="E71" s="1077" t="inlineStr">
        <is>
          <t>no</t>
        </is>
      </c>
      <c r="F71" s="1593" t="n">
        <v>300</v>
      </c>
      <c r="G71" s="1603" t="n">
        <v>300</v>
      </c>
      <c r="H71" s="1595">
        <f>F71-G71</f>
        <v/>
      </c>
      <c r="I71" s="1086" t="n">
        <v>0.225</v>
      </c>
      <c r="K71" s="1086" t="inlineStr">
        <is>
          <t>Float</t>
        </is>
      </c>
      <c r="L71" s="1310">
        <f>+G71*I71</f>
        <v/>
      </c>
      <c r="M71" s="1277" t="n">
        <v>45701</v>
      </c>
      <c r="N71" s="1277" t="n">
        <v>46065</v>
      </c>
      <c r="O71" s="1077" t="n"/>
      <c r="Q71" s="1600" t="n"/>
      <c r="R71" s="1600" t="n"/>
      <c r="S71" s="1600" t="n"/>
      <c r="T71" s="1600">
        <f>IF(U$2&lt;$N71,0,IF($N71&gt;T$2,$G71,0))</f>
        <v/>
      </c>
      <c r="U71" s="1600">
        <f>IF(V$2&lt;$N71,0,IF($N71&gt;U$2,$G71,0))</f>
        <v/>
      </c>
      <c r="V71" s="1600" t="n"/>
      <c r="W71" s="1600" t="n"/>
      <c r="X71" s="1600">
        <f>IF(Y$2&lt;$N71,0,IF($N71&gt;X$2,$G71,0))</f>
        <v/>
      </c>
      <c r="Y71" s="1600">
        <f>IF(Z$2&lt;$N71,0,IF($N71&gt;Y$2,$G71,0))</f>
        <v/>
      </c>
      <c r="Z71" s="1600">
        <f>IF(AA$2&lt;$N71,0,IF($N71&gt;Z$2,$G71,0))</f>
        <v/>
      </c>
      <c r="AA71" s="1600">
        <f>IF(AB$2&lt;$N71,0,IF($N71&gt;AA$2,$G71,0))</f>
        <v/>
      </c>
      <c r="AB71" s="1600">
        <f>IF(AC$2&lt;$N71,0,IF($N71&gt;AB$2,$G71,0))</f>
        <v/>
      </c>
      <c r="AC71" s="1600">
        <f>IF(AD$2&lt;$N71,0,IF($N71&gt;AC$2,$G71,0))</f>
        <v/>
      </c>
      <c r="AD71" s="1600" t="n"/>
      <c r="AL71" s="1595">
        <f>SUM(Q71:AK71)</f>
        <v/>
      </c>
      <c r="AM71" s="1308">
        <f>+AL71-G71</f>
        <v/>
      </c>
      <c r="AN71" s="1077">
        <f>CONCATENATE(B71,K71,A71)</f>
        <v/>
      </c>
      <c r="AO71" s="1077">
        <f>CONCATENATE(B71,K71,A71,E71)</f>
        <v/>
      </c>
    </row>
    <row r="72">
      <c r="A72" s="1077" t="inlineStr">
        <is>
          <t>STL</t>
        </is>
      </c>
      <c r="B72" s="1077" t="inlineStr">
        <is>
          <t>RBPI</t>
        </is>
      </c>
      <c r="C72" s="1149" t="inlineStr">
        <is>
          <t>Gasprombank  0125-004 ( PPP-2  )</t>
        </is>
      </c>
      <c r="D72" s="1077" t="inlineStr">
        <is>
          <t>GPB</t>
        </is>
      </c>
      <c r="E72" s="1077" t="inlineStr">
        <is>
          <t>no</t>
        </is>
      </c>
      <c r="F72" s="1593" t="n">
        <v>300</v>
      </c>
      <c r="G72" s="1603" t="n">
        <v>300</v>
      </c>
      <c r="H72" s="1595">
        <f>F72-G72</f>
        <v/>
      </c>
      <c r="I72" s="1086" t="n">
        <v>0.225</v>
      </c>
      <c r="K72" s="1086" t="inlineStr">
        <is>
          <t>Float</t>
        </is>
      </c>
      <c r="L72" s="1310">
        <f>+G72*I72</f>
        <v/>
      </c>
      <c r="M72" s="1277" t="n">
        <v>45734</v>
      </c>
      <c r="N72" s="1277" t="n">
        <v>46098</v>
      </c>
      <c r="O72" s="1077" t="n"/>
      <c r="Q72" s="1600" t="n"/>
      <c r="R72" s="1600" t="n"/>
      <c r="S72" s="1600" t="n"/>
      <c r="T72" s="1600">
        <f>IF(U$2&lt;$N72,0,IF($N72&gt;T$2,$G72,0))</f>
        <v/>
      </c>
      <c r="U72" s="1600">
        <f>IF(V$2&lt;$N72,0,IF($N72&gt;U$2,$G72,0))</f>
        <v/>
      </c>
      <c r="V72" s="1600" t="n"/>
      <c r="W72" s="1600" t="n"/>
      <c r="X72" s="1600">
        <f>IF(Y$2&lt;$N72,0,IF($N72&gt;X$2,$G72,0))</f>
        <v/>
      </c>
      <c r="Y72" s="1600">
        <f>IF(Z$2&lt;$N72,0,IF($N72&gt;Y$2,$G72,0))</f>
        <v/>
      </c>
      <c r="Z72" s="1600">
        <f>IF(AA$2&lt;$N72,0,IF($N72&gt;Z$2,$G72,0))</f>
        <v/>
      </c>
      <c r="AA72" s="1600">
        <f>IF(AB$2&lt;$N72,0,IF($N72&gt;AA$2,$G72,0))</f>
        <v/>
      </c>
      <c r="AB72" s="1600">
        <f>IF(AC$2&lt;$N72,0,IF($N72&gt;AB$2,$G72,0))</f>
        <v/>
      </c>
      <c r="AC72" s="1600">
        <f>IF(AD$2&lt;$N72,0,IF($N72&gt;AC$2,$G72,0))</f>
        <v/>
      </c>
      <c r="AD72" s="1600" t="n"/>
      <c r="AL72" s="1595">
        <f>SUM(Q72:AK72)</f>
        <v/>
      </c>
      <c r="AM72" s="1308">
        <f>+AL72-G72</f>
        <v/>
      </c>
      <c r="AN72" s="1077">
        <f>CONCATENATE(B72,K72,A72)</f>
        <v/>
      </c>
      <c r="AO72" s="1077">
        <f>CONCATENATE(B72,K72,A72,E72)</f>
        <v/>
      </c>
    </row>
    <row r="73">
      <c r="A73" s="1077" t="inlineStr">
        <is>
          <t>STL</t>
        </is>
      </c>
      <c r="B73" s="1077" t="inlineStr">
        <is>
          <t>RBPI</t>
        </is>
      </c>
      <c r="C73" s="1149" t="inlineStr">
        <is>
          <t>VTB BANK   СВЛ/061225-069229 ( NNPP-2  )</t>
        </is>
      </c>
      <c r="D73" s="1077" t="inlineStr">
        <is>
          <t>VTB</t>
        </is>
      </c>
      <c r="E73" s="1077" t="inlineStr">
        <is>
          <t>no</t>
        </is>
      </c>
      <c r="F73" s="1593" t="n">
        <v>200</v>
      </c>
      <c r="G73" s="1603" t="n">
        <v>200</v>
      </c>
      <c r="H73" s="1595">
        <f>F73-G73</f>
        <v/>
      </c>
      <c r="I73" s="1086" t="n">
        <v>0.2327</v>
      </c>
      <c r="K73" s="1086" t="inlineStr">
        <is>
          <t>Float</t>
        </is>
      </c>
      <c r="L73" s="1310">
        <f>+G73*I73</f>
        <v/>
      </c>
      <c r="M73" s="1277" t="n">
        <v>45706</v>
      </c>
      <c r="N73" s="1277" t="n">
        <v>46071</v>
      </c>
      <c r="O73" s="1077" t="n"/>
      <c r="Q73" s="1600" t="n"/>
      <c r="R73" s="1600" t="n"/>
      <c r="S73" s="1600" t="n"/>
      <c r="T73" s="1600">
        <f>IF(U$2&lt;$N73,0,IF($N73&gt;T$2,$G73,0))</f>
        <v/>
      </c>
      <c r="U73" s="1600">
        <f>IF(V$2&lt;$N73,0,IF($N73&gt;U$2,$G73,0))</f>
        <v/>
      </c>
      <c r="V73" s="1600" t="n"/>
      <c r="W73" s="1600" t="n"/>
      <c r="X73" s="1600">
        <f>IF(Y$2&lt;$N73,0,IF($N73&gt;X$2,$G73,0))</f>
        <v/>
      </c>
      <c r="Y73" s="1600">
        <f>IF(Z$2&lt;$N73,0,IF($N73&gt;Y$2,$G73,0))</f>
        <v/>
      </c>
      <c r="Z73" s="1600">
        <f>IF(AA$2&lt;$N73,0,IF($N73&gt;Z$2,$G73,0))</f>
        <v/>
      </c>
      <c r="AA73" s="1600">
        <f>IF(AB$2&lt;$N73,0,IF($N73&gt;AA$2,$G73,0))</f>
        <v/>
      </c>
      <c r="AB73" s="1600">
        <f>IF(AC$2&lt;$N73,0,IF($N73&gt;AB$2,$G73,0))</f>
        <v/>
      </c>
      <c r="AC73" s="1600">
        <f>IF(AD$2&lt;$N73,0,IF($N73&gt;AC$2,$G73,0))</f>
        <v/>
      </c>
      <c r="AD73" s="1600" t="n"/>
      <c r="AL73" s="1595">
        <f>SUM(Q73:AK73)</f>
        <v/>
      </c>
      <c r="AM73" s="1308">
        <f>+AL73-G73</f>
        <v/>
      </c>
      <c r="AN73" s="1077">
        <f>CONCATENATE(B73,K73,A73)</f>
        <v/>
      </c>
      <c r="AO73" s="1077">
        <f>CONCATENATE(B73,K73,A73,E73)</f>
        <v/>
      </c>
    </row>
    <row r="74">
      <c r="A74" s="1077" t="inlineStr">
        <is>
          <t>STL</t>
        </is>
      </c>
      <c r="B74" s="1077" t="inlineStr">
        <is>
          <t>RBPI</t>
        </is>
      </c>
      <c r="C74" s="1149" t="inlineStr">
        <is>
          <t>Bank SPb  7500-22-020286/33 ( PPP  )</t>
        </is>
      </c>
      <c r="D74" s="1077" t="inlineStr">
        <is>
          <t>SPB</t>
        </is>
      </c>
      <c r="E74" s="1077" t="inlineStr">
        <is>
          <t>no</t>
        </is>
      </c>
      <c r="F74" s="1593" t="n">
        <v>100</v>
      </c>
      <c r="G74" s="1603" t="n">
        <v>100</v>
      </c>
      <c r="H74" s="1595">
        <f>F74-G74</f>
        <v/>
      </c>
      <c r="I74" s="1086" t="n">
        <v>0.23</v>
      </c>
      <c r="K74" s="1086" t="inlineStr">
        <is>
          <t>Float</t>
        </is>
      </c>
      <c r="L74" s="1310">
        <f>+G74*I74</f>
        <v/>
      </c>
      <c r="M74" s="1277" t="n">
        <v>45722</v>
      </c>
      <c r="N74" s="1277" t="n">
        <v>46086</v>
      </c>
      <c r="O74" s="1077" t="n"/>
      <c r="Q74" s="1600" t="n"/>
      <c r="R74" s="1600" t="n"/>
      <c r="S74" s="1600" t="n"/>
      <c r="T74" s="1600" t="n"/>
      <c r="U74" s="1600" t="n"/>
      <c r="V74" s="1600" t="n"/>
      <c r="W74" s="1600" t="n"/>
      <c r="X74" s="1600">
        <f>IF(Y$2&lt;$N74,0,IF($N74&gt;X$2,$G74,0))</f>
        <v/>
      </c>
      <c r="Y74" s="1600">
        <f>IF(Z$2&lt;$N74,0,IF($N74&gt;Y$2,$G74,0))</f>
        <v/>
      </c>
      <c r="Z74" s="1600">
        <f>IF(AA$2&lt;$N74,0,IF($N74&gt;Z$2,$G74,0))</f>
        <v/>
      </c>
      <c r="AA74" s="1600">
        <f>IF(AB$2&lt;$N74,0,IF($N74&gt;AA$2,$G74,0))</f>
        <v/>
      </c>
      <c r="AB74" s="1600">
        <f>IF(AC$2&lt;$N74,0,IF($N74&gt;AB$2,$G74,0))</f>
        <v/>
      </c>
      <c r="AC74" s="1600">
        <f>IF(AD$2&lt;$N74,0,IF($N74&gt;AC$2,$G74,0))</f>
        <v/>
      </c>
      <c r="AD74" s="1600" t="n"/>
      <c r="AL74" s="1595">
        <f>SUM(Q74:AK74)</f>
        <v/>
      </c>
      <c r="AM74" s="1308">
        <f>+AL74-G74</f>
        <v/>
      </c>
      <c r="AN74" s="1077">
        <f>CONCATENATE(B74,K74,A74)</f>
        <v/>
      </c>
      <c r="AO74" s="1077">
        <f>CONCATENATE(B74,K74,A74,E74)</f>
        <v/>
      </c>
    </row>
    <row r="75">
      <c r="A75" s="1077" t="inlineStr">
        <is>
          <t>STL</t>
        </is>
      </c>
      <c r="B75" s="1077" t="inlineStr">
        <is>
          <t>RBPI</t>
        </is>
      </c>
      <c r="C75" s="1149" t="inlineStr">
        <is>
          <t>VTB BANK   СНЛ/061225-294400 ( NNPP-2  )</t>
        </is>
      </c>
      <c r="D75" s="1077" t="inlineStr">
        <is>
          <t>VTB</t>
        </is>
      </c>
      <c r="E75" s="1077" t="inlineStr">
        <is>
          <t>yes</t>
        </is>
      </c>
      <c r="F75" s="1593" t="n">
        <v>400</v>
      </c>
      <c r="G75" s="1603" t="n">
        <v>200</v>
      </c>
      <c r="H75" s="1595">
        <f>F75-G75</f>
        <v/>
      </c>
      <c r="I75" s="1086" t="n">
        <v>0.11</v>
      </c>
      <c r="K75" s="1086" t="inlineStr">
        <is>
          <t>Float</t>
        </is>
      </c>
      <c r="L75" s="1310">
        <f>+G75*I75</f>
        <v/>
      </c>
      <c r="M75" s="1277" t="n">
        <v>45803</v>
      </c>
      <c r="N75" s="1277" t="n">
        <v>46168</v>
      </c>
      <c r="O75" s="1077" t="n"/>
      <c r="Q75" s="1600" t="n"/>
      <c r="R75" s="1600" t="n"/>
      <c r="S75" s="1600" t="n"/>
      <c r="T75" s="1600" t="n"/>
      <c r="U75" s="1600" t="n"/>
      <c r="V75" s="1600" t="n"/>
      <c r="W75" s="1600" t="n"/>
      <c r="X75" s="1600">
        <f>IF(Y$2&lt;$N75,0,IF($N75&gt;X$2,$G75,0))</f>
        <v/>
      </c>
      <c r="Y75" s="1600">
        <f>IF(Z$2&lt;$N75,0,IF($N75&gt;Y$2,$G75,0))</f>
        <v/>
      </c>
      <c r="Z75" s="1600">
        <f>IF(AA$2&lt;$N75,0,IF($N75&gt;Z$2,$G75,0))</f>
        <v/>
      </c>
      <c r="AA75" s="1600">
        <f>IF(AB$2&lt;$N75,0,IF($N75&gt;AA$2,$G75,0))</f>
        <v/>
      </c>
      <c r="AB75" s="1600">
        <f>IF(AC$2&lt;$N75,0,IF($N75&gt;AB$2,$G75,0))</f>
        <v/>
      </c>
      <c r="AC75" s="1600">
        <f>IF(AD$2&lt;$N75,0,IF($N75&gt;AC$2,$G75,0))</f>
        <v/>
      </c>
      <c r="AD75" s="1600" t="n"/>
      <c r="AL75" s="1595">
        <f>SUM(Q75:AK75)</f>
        <v/>
      </c>
      <c r="AM75" s="1308">
        <f>+AL75-G75</f>
        <v/>
      </c>
      <c r="AN75" s="1077">
        <f>CONCATENATE(B75,K75,A75)</f>
        <v/>
      </c>
      <c r="AO75" s="1077">
        <f>CONCATENATE(B75,K75,A75,E75)</f>
        <v/>
      </c>
    </row>
    <row r="76">
      <c r="A76" s="1077" t="inlineStr">
        <is>
          <t>STL</t>
        </is>
      </c>
      <c r="B76" s="1077" t="inlineStr">
        <is>
          <t>RBPI</t>
        </is>
      </c>
      <c r="C76" s="1149" t="inlineStr">
        <is>
          <t>Bank SPb  7500-22-020286/44 ( PPP )</t>
        </is>
      </c>
      <c r="D76" s="1077" t="inlineStr">
        <is>
          <t>SPB</t>
        </is>
      </c>
      <c r="E76" s="1077" t="inlineStr">
        <is>
          <t>yes</t>
        </is>
      </c>
      <c r="F76" s="1593" t="n">
        <v>59</v>
      </c>
      <c r="G76" s="1603" t="n">
        <v>59</v>
      </c>
      <c r="H76" s="1595">
        <f>F76-G76</f>
        <v/>
      </c>
      <c r="I76" s="1086" t="n">
        <v>0.074</v>
      </c>
      <c r="K76" s="1086" t="inlineStr">
        <is>
          <t>Float</t>
        </is>
      </c>
      <c r="L76" s="1310">
        <f>+G76*I76</f>
        <v/>
      </c>
      <c r="M76" s="1277" t="n">
        <v>45835</v>
      </c>
      <c r="N76" s="1277" t="n">
        <v>46199</v>
      </c>
      <c r="O76" s="1077" t="n"/>
      <c r="Q76" s="1600" t="n"/>
      <c r="R76" s="1600" t="n"/>
      <c r="S76" s="1600" t="n"/>
      <c r="T76" s="1600" t="n"/>
      <c r="U76" s="1600" t="n"/>
      <c r="V76" s="1600" t="n"/>
      <c r="W76" s="1600" t="n"/>
      <c r="X76" s="1600">
        <f>IF(Y$2&lt;$N76,0,IF($N76&gt;X$2,$G76,0))</f>
        <v/>
      </c>
      <c r="Y76" s="1600">
        <f>IF(Z$2&lt;$N76,0,IF($N76&gt;Y$2,$G76,0))</f>
        <v/>
      </c>
      <c r="Z76" s="1600">
        <f>IF(AA$2&lt;$N76,0,IF($N76&gt;Z$2,$G76,0))</f>
        <v/>
      </c>
      <c r="AA76" s="1600">
        <f>IF(AB$2&lt;$N76,0,IF($N76&gt;AA$2,$G76,0))</f>
        <v/>
      </c>
      <c r="AB76" s="1600">
        <f>IF(AC$2&lt;$N76,0,IF($N76&gt;AB$2,$G76,0))</f>
        <v/>
      </c>
      <c r="AC76" s="1600">
        <f>IF(AD$2&lt;$N76,0,IF($N76&gt;AC$2,$G76,0))</f>
        <v/>
      </c>
      <c r="AD76" s="1600" t="n"/>
      <c r="AL76" s="1595">
        <f>SUM(Q76:AK76)</f>
        <v/>
      </c>
      <c r="AM76" s="1308">
        <f>+AL76-G76</f>
        <v/>
      </c>
      <c r="AN76" s="1077">
        <f>CONCATENATE(B76,K76,A76)</f>
        <v/>
      </c>
      <c r="AO76" s="1077">
        <f>CONCATENATE(B76,K76,A76,E76)</f>
        <v/>
      </c>
    </row>
    <row r="77">
      <c r="A77" s="1077" t="inlineStr">
        <is>
          <t>STL</t>
        </is>
      </c>
      <c r="B77" s="1077" t="inlineStr">
        <is>
          <t>RBPI</t>
        </is>
      </c>
      <c r="C77" s="1149" t="inlineStr">
        <is>
          <t>Bank SPb  7500-22-020286/29 ( PPP )</t>
        </is>
      </c>
      <c r="D77" s="1077" t="inlineStr">
        <is>
          <t>SPB</t>
        </is>
      </c>
      <c r="E77" s="1077" t="inlineStr">
        <is>
          <t>no</t>
        </is>
      </c>
      <c r="F77" s="1593" t="n">
        <v>145</v>
      </c>
      <c r="G77" s="1603" t="n">
        <v>145</v>
      </c>
      <c r="H77" s="1595">
        <f>F77-G77</f>
        <v/>
      </c>
      <c r="I77" s="1086" t="n">
        <v>0.225</v>
      </c>
      <c r="K77" s="1086" t="inlineStr">
        <is>
          <t>Float</t>
        </is>
      </c>
      <c r="L77" s="1310">
        <f>+G77*I77</f>
        <v/>
      </c>
      <c r="M77" s="1277" t="n">
        <v>45673</v>
      </c>
      <c r="N77" s="1277" t="n">
        <v>46037</v>
      </c>
      <c r="O77" s="1077" t="n"/>
      <c r="Q77" s="1600" t="n"/>
      <c r="R77" s="1600" t="n"/>
      <c r="S77" s="1600" t="n"/>
      <c r="T77" s="1600" t="n"/>
      <c r="U77" s="1600" t="n"/>
      <c r="V77" s="1600" t="n"/>
      <c r="W77" s="1600" t="n"/>
      <c r="X77" s="1600">
        <f>IF(Y$2&lt;$N77,0,IF($N77&gt;X$2,$G77,0))</f>
        <v/>
      </c>
      <c r="Y77" s="1600">
        <f>IF(Z$2&lt;$N77,0,IF($N77&gt;Y$2,$G77,0))</f>
        <v/>
      </c>
      <c r="Z77" s="1600">
        <f>IF(AA$2&lt;$N77,0,IF($N77&gt;Z$2,$G77,0))</f>
        <v/>
      </c>
      <c r="AA77" s="1600">
        <f>IF(AB$2&lt;$N77,0,IF($N77&gt;AA$2,$G77,0))</f>
        <v/>
      </c>
      <c r="AB77" s="1600">
        <f>IF(AC$2&lt;$N77,0,IF($N77&gt;AB$2,$G77,0))</f>
        <v/>
      </c>
      <c r="AC77" s="1600">
        <f>IF(AD$2&lt;$N77,0,IF($N77&gt;AC$2,$G77,0))</f>
        <v/>
      </c>
      <c r="AD77" s="1600" t="n"/>
      <c r="AL77" s="1595">
        <f>SUM(Q77:AK77)</f>
        <v/>
      </c>
      <c r="AM77" s="1308">
        <f>+AL77-G77</f>
        <v/>
      </c>
      <c r="AN77" s="1077">
        <f>CONCATENATE(B77,K77,A77)</f>
        <v/>
      </c>
      <c r="AO77" s="1077">
        <f>CONCATENATE(B77,K77,A77,E77)</f>
        <v/>
      </c>
    </row>
    <row r="78">
      <c r="A78" s="1077" t="inlineStr">
        <is>
          <t>STL</t>
        </is>
      </c>
      <c r="B78" s="1077" t="inlineStr">
        <is>
          <t>APK</t>
        </is>
      </c>
      <c r="C78" s="1149" t="inlineStr">
        <is>
          <t>Sberbank 130B017BA2LZMF ( AKZ  )</t>
        </is>
      </c>
      <c r="D78" s="1077" t="inlineStr">
        <is>
          <t>SBER</t>
        </is>
      </c>
      <c r="E78" s="1077" t="inlineStr">
        <is>
          <t>no</t>
        </is>
      </c>
      <c r="F78" s="1593" t="n">
        <v>100</v>
      </c>
      <c r="G78" s="1603" t="n">
        <v>100</v>
      </c>
      <c r="H78" s="1595">
        <f>F78-G78</f>
        <v/>
      </c>
      <c r="I78" s="1086" t="n">
        <v>0.2205</v>
      </c>
      <c r="K78" s="1086" t="inlineStr">
        <is>
          <t>Float</t>
        </is>
      </c>
      <c r="L78" s="1310">
        <f>+G78*I78</f>
        <v/>
      </c>
      <c r="M78" s="1277" t="n">
        <v>45714</v>
      </c>
      <c r="N78" s="1277" t="n">
        <v>46078</v>
      </c>
      <c r="O78" s="1077" t="n"/>
      <c r="Q78" s="1600" t="n"/>
      <c r="R78" s="1600" t="n"/>
      <c r="S78" s="1600" t="n"/>
      <c r="T78" s="1600" t="n"/>
      <c r="U78" s="1600" t="n"/>
      <c r="V78" s="1600" t="n"/>
      <c r="W78" s="1600" t="n"/>
      <c r="X78" s="1600">
        <f>IF(Y$2&lt;$N78,0,IF($N78&gt;X$2,$G78,0))</f>
        <v/>
      </c>
      <c r="Y78" s="1600">
        <f>IF(Z$2&lt;$N78,0,IF($N78&gt;Y$2,$G78,0))</f>
        <v/>
      </c>
      <c r="Z78" s="1600">
        <f>IF(AA$2&lt;$N78,0,IF($N78&gt;Z$2,$G78,0))</f>
        <v/>
      </c>
      <c r="AA78" s="1600">
        <f>IF(AB$2&lt;$N78,0,IF($N78&gt;AA$2,$G78,0))</f>
        <v/>
      </c>
      <c r="AB78" s="1600">
        <f>IF(AC$2&lt;$N78,0,IF($N78&gt;AB$2,$G78,0))</f>
        <v/>
      </c>
      <c r="AC78" s="1600">
        <f>IF(AD$2&lt;$N78,0,IF($N78&gt;AC$2,$G78,0))</f>
        <v/>
      </c>
      <c r="AD78" s="1600" t="n"/>
      <c r="AL78" s="1595">
        <f>SUM(Q78:AK78)</f>
        <v/>
      </c>
      <c r="AM78" s="1308">
        <f>+AL78-G78</f>
        <v/>
      </c>
      <c r="AN78" s="1077">
        <f>CONCATENATE(B78,K78,A78)</f>
        <v/>
      </c>
      <c r="AO78" s="1077">
        <f>CONCATENATE(B78,K78,A78,E78)</f>
        <v/>
      </c>
    </row>
    <row r="79">
      <c r="A79" s="1077" t="inlineStr">
        <is>
          <t>STL</t>
        </is>
      </c>
      <c r="B79" s="1077" t="inlineStr">
        <is>
          <t>RBPI</t>
        </is>
      </c>
      <c r="C79" s="1149" t="inlineStr">
        <is>
          <t>Bank SPb  7500-22-020286/41 ( PPP  )</t>
        </is>
      </c>
      <c r="D79" s="1077" t="inlineStr">
        <is>
          <t>SPB</t>
        </is>
      </c>
      <c r="E79" s="1077" t="inlineStr">
        <is>
          <t>no</t>
        </is>
      </c>
      <c r="F79" s="1593" t="n">
        <v>50</v>
      </c>
      <c r="G79" s="1603" t="n">
        <v>50</v>
      </c>
      <c r="H79" s="1595">
        <f>F79-G79</f>
        <v/>
      </c>
      <c r="I79" s="1086" t="n">
        <v>0.22</v>
      </c>
      <c r="K79" s="1086" t="inlineStr">
        <is>
          <t>Float</t>
        </is>
      </c>
      <c r="L79" s="1310">
        <f>+G79*I79</f>
        <v/>
      </c>
      <c r="M79" s="1277" t="n">
        <v>45783</v>
      </c>
      <c r="N79" s="1277" t="n">
        <v>46147</v>
      </c>
      <c r="O79" s="1077" t="n"/>
      <c r="Q79" s="1600" t="n"/>
      <c r="R79" s="1600" t="n"/>
      <c r="S79" s="1600" t="n"/>
      <c r="T79" s="1600" t="n"/>
      <c r="U79" s="1600" t="n"/>
      <c r="V79" s="1600" t="n"/>
      <c r="W79" s="1600" t="n"/>
      <c r="X79" s="1600">
        <f>IF(Y$2&lt;$N79,0,IF($N79&gt;X$2,$G79,0))</f>
        <v/>
      </c>
      <c r="Y79" s="1600">
        <f>IF(Z$2&lt;$N79,0,IF($N79&gt;Y$2,$G79,0))</f>
        <v/>
      </c>
      <c r="Z79" s="1600">
        <f>IF(AA$2&lt;$N79,0,IF($N79&gt;Z$2,$G79,0))</f>
        <v/>
      </c>
      <c r="AA79" s="1600">
        <f>IF(AB$2&lt;$N79,0,IF($N79&gt;AA$2,$G79,0))</f>
        <v/>
      </c>
      <c r="AB79" s="1600">
        <f>IF(AC$2&lt;$N79,0,IF($N79&gt;AB$2,$G79,0))</f>
        <v/>
      </c>
      <c r="AC79" s="1600">
        <f>IF(AD$2&lt;$N79,0,IF($N79&gt;AC$2,$G79,0))</f>
        <v/>
      </c>
      <c r="AD79" s="1600" t="n"/>
      <c r="AL79" s="1595">
        <f>SUM(Q79:AK79)</f>
        <v/>
      </c>
      <c r="AM79" s="1308">
        <f>+AL79-G79</f>
        <v/>
      </c>
      <c r="AN79" s="1077">
        <f>CONCATENATE(B79,K79,A79)</f>
        <v/>
      </c>
      <c r="AO79" s="1077">
        <f>CONCATENATE(B79,K79,A79,E79)</f>
        <v/>
      </c>
    </row>
    <row r="80">
      <c r="A80" s="1077" t="inlineStr">
        <is>
          <t>STL</t>
        </is>
      </c>
      <c r="B80" s="1077" t="inlineStr">
        <is>
          <t>RBPI</t>
        </is>
      </c>
      <c r="C80" s="1149" t="inlineStr">
        <is>
          <t>Bank SPb  7500-22-020286/42 ( PPP  )</t>
        </is>
      </c>
      <c r="D80" s="1077" t="inlineStr">
        <is>
          <t>SPB</t>
        </is>
      </c>
      <c r="E80" s="1077" t="inlineStr">
        <is>
          <t>no</t>
        </is>
      </c>
      <c r="F80" s="1593" t="n">
        <v>110</v>
      </c>
      <c r="G80" s="1603" t="n">
        <v>110</v>
      </c>
      <c r="H80" s="1595">
        <f>F80-G80</f>
        <v/>
      </c>
      <c r="I80" s="1086" t="n">
        <v>0.22</v>
      </c>
      <c r="K80" s="1086" t="inlineStr">
        <is>
          <t>Float</t>
        </is>
      </c>
      <c r="L80" s="1310">
        <f>+G80*I80</f>
        <v/>
      </c>
      <c r="M80" s="1277" t="n">
        <v>45803</v>
      </c>
      <c r="N80" s="1277" t="n">
        <v>46167</v>
      </c>
      <c r="O80" s="1077" t="n"/>
      <c r="Q80" s="1600" t="n"/>
      <c r="R80" s="1600" t="n"/>
      <c r="S80" s="1600" t="n"/>
      <c r="T80" s="1600" t="n"/>
      <c r="U80" s="1600" t="n"/>
      <c r="V80" s="1600" t="n"/>
      <c r="W80" s="1600" t="n"/>
      <c r="X80" s="1600">
        <f>IF(Y$2&lt;$N80,0,IF($N80&gt;X$2,$G80,0))</f>
        <v/>
      </c>
      <c r="Y80" s="1600">
        <f>IF(Z$2&lt;$N80,0,IF($N80&gt;Y$2,$G80,0))</f>
        <v/>
      </c>
      <c r="Z80" s="1600">
        <f>IF(AA$2&lt;$N80,0,IF($N80&gt;Z$2,$G80,0))</f>
        <v/>
      </c>
      <c r="AA80" s="1600">
        <f>IF(AB$2&lt;$N80,0,IF($N80&gt;AA$2,$G80,0))</f>
        <v/>
      </c>
      <c r="AB80" s="1600">
        <f>IF(AC$2&lt;$N80,0,IF($N80&gt;AB$2,$G80,0))</f>
        <v/>
      </c>
      <c r="AC80" s="1600">
        <f>IF(AD$2&lt;$N80,0,IF($N80&gt;AC$2,$G80,0))</f>
        <v/>
      </c>
      <c r="AD80" s="1600" t="n"/>
      <c r="AL80" s="1595">
        <f>SUM(Q80:AK80)</f>
        <v/>
      </c>
      <c r="AM80" s="1308">
        <f>+AL80-G80</f>
        <v/>
      </c>
      <c r="AN80" s="1077">
        <f>CONCATENATE(B80,K80,A80)</f>
        <v/>
      </c>
      <c r="AO80" s="1077">
        <f>CONCATENATE(B80,K80,A80,E80)</f>
        <v/>
      </c>
    </row>
    <row r="81">
      <c r="A81" s="1077" t="inlineStr">
        <is>
          <t>STL</t>
        </is>
      </c>
      <c r="B81" s="1077" t="inlineStr">
        <is>
          <t>RBPI</t>
        </is>
      </c>
      <c r="C81" s="1149" t="inlineStr">
        <is>
          <t>Bank SPb  7500-22-020286/43 ( PPP  )</t>
        </is>
      </c>
      <c r="D81" s="1077" t="inlineStr">
        <is>
          <t>SPB</t>
        </is>
      </c>
      <c r="E81" s="1077" t="inlineStr">
        <is>
          <t>no</t>
        </is>
      </c>
      <c r="F81" s="1593" t="n">
        <v>89</v>
      </c>
      <c r="G81" s="1603" t="n">
        <v>89</v>
      </c>
      <c r="H81" s="1595">
        <f>F81-G81</f>
        <v/>
      </c>
      <c r="I81" s="1086" t="n">
        <v>0.215</v>
      </c>
      <c r="K81" s="1086" t="inlineStr">
        <is>
          <t>Float</t>
        </is>
      </c>
      <c r="L81" s="1310">
        <f>+G81*I81</f>
        <v/>
      </c>
      <c r="M81" s="1277" t="n">
        <v>45813</v>
      </c>
      <c r="N81" s="1277" t="n">
        <v>46177</v>
      </c>
      <c r="O81" s="1077" t="n"/>
      <c r="Q81" s="1600" t="n"/>
      <c r="R81" s="1600" t="n"/>
      <c r="S81" s="1600" t="n"/>
      <c r="T81" s="1600" t="n"/>
      <c r="U81" s="1600" t="n"/>
      <c r="V81" s="1600" t="n"/>
      <c r="W81" s="1600" t="n"/>
      <c r="X81" s="1600">
        <f>IF(Y$2&lt;$N81,0,IF($N81&gt;X$2,$G81,0))</f>
        <v/>
      </c>
      <c r="Y81" s="1600">
        <f>IF(Z$2&lt;$N81,0,IF($N81&gt;Y$2,$G81,0))</f>
        <v/>
      </c>
      <c r="Z81" s="1600">
        <f>IF(AA$2&lt;$N81,0,IF($N81&gt;Z$2,$G81,0))</f>
        <v/>
      </c>
      <c r="AA81" s="1600">
        <f>IF(AB$2&lt;$N81,0,IF($N81&gt;AA$2,$G81,0))</f>
        <v/>
      </c>
      <c r="AB81" s="1600">
        <f>IF(AC$2&lt;$N81,0,IF($N81&gt;AB$2,$G81,0))</f>
        <v/>
      </c>
      <c r="AC81" s="1600">
        <f>IF(AD$2&lt;$N81,0,IF($N81&gt;AC$2,$G81,0))</f>
        <v/>
      </c>
      <c r="AD81" s="1600" t="n"/>
      <c r="AL81" s="1595">
        <f>SUM(Q81:AK81)</f>
        <v/>
      </c>
      <c r="AM81" s="1308">
        <f>+AL81-G81</f>
        <v/>
      </c>
      <c r="AN81" s="1077">
        <f>CONCATENATE(B81,K81,A81)</f>
        <v/>
      </c>
      <c r="AO81" s="1077">
        <f>CONCATENATE(B81,K81,A81,E81)</f>
        <v/>
      </c>
    </row>
    <row r="82">
      <c r="A82" s="1077" t="inlineStr">
        <is>
          <t>STL</t>
        </is>
      </c>
      <c r="B82" s="1077" t="inlineStr">
        <is>
          <t>APK</t>
        </is>
      </c>
      <c r="C82" s="1149" t="inlineStr">
        <is>
          <t>Sberbank  130B019CBАСРМMF ( AB  )</t>
        </is>
      </c>
      <c r="D82" s="1077" t="inlineStr">
        <is>
          <t>SBER</t>
        </is>
      </c>
      <c r="E82" s="1077" t="inlineStr">
        <is>
          <t>no</t>
        </is>
      </c>
      <c r="F82" s="1593" t="n">
        <v>50</v>
      </c>
      <c r="G82" s="1603" t="n">
        <v>50</v>
      </c>
      <c r="H82" s="1595">
        <f>F82-G82</f>
        <v/>
      </c>
      <c r="I82" s="1086" t="n">
        <v>0.214</v>
      </c>
      <c r="K82" s="1086" t="inlineStr">
        <is>
          <t>Float</t>
        </is>
      </c>
      <c r="L82" s="1310">
        <f>+G82*I82</f>
        <v/>
      </c>
      <c r="M82" s="1277" t="n">
        <v>45799</v>
      </c>
      <c r="N82" s="1277" t="n">
        <v>46163</v>
      </c>
      <c r="O82" s="1077" t="n"/>
      <c r="Q82" s="1600" t="n"/>
      <c r="R82" s="1600" t="n"/>
      <c r="S82" s="1600" t="n"/>
      <c r="T82" s="1600" t="n"/>
      <c r="U82" s="1600" t="n"/>
      <c r="V82" s="1600" t="n"/>
      <c r="W82" s="1600" t="n"/>
      <c r="X82" s="1600">
        <f>IF(Y$2&lt;$N82,0,IF($N82&gt;X$2,$G82,0))</f>
        <v/>
      </c>
      <c r="Y82" s="1600">
        <f>IF(Z$2&lt;$N82,0,IF($N82&gt;Y$2,$G82,0))</f>
        <v/>
      </c>
      <c r="Z82" s="1600">
        <f>IF(AA$2&lt;$N82,0,IF($N82&gt;Z$2,$G82,0))</f>
        <v/>
      </c>
      <c r="AA82" s="1600">
        <f>IF(AB$2&lt;$N82,0,IF($N82&gt;AA$2,$G82,0))</f>
        <v/>
      </c>
      <c r="AB82" s="1600">
        <f>IF(AC$2&lt;$N82,0,IF($N82&gt;AB$2,$G82,0))</f>
        <v/>
      </c>
      <c r="AC82" s="1600">
        <f>IF(AD$2&lt;$N82,0,IF($N82&gt;AC$2,$G82,0))</f>
        <v/>
      </c>
      <c r="AD82" s="1600" t="n"/>
      <c r="AL82" s="1595">
        <f>SUM(Q82:AK82)</f>
        <v/>
      </c>
      <c r="AM82" s="1308">
        <f>+AL82-G82</f>
        <v/>
      </c>
      <c r="AN82" s="1077">
        <f>CONCATENATE(B82,K82,A82)</f>
        <v/>
      </c>
      <c r="AO82" s="1077">
        <f>CONCATENATE(B82,K82,A82,E82)</f>
        <v/>
      </c>
    </row>
    <row r="83">
      <c r="A83" s="1077" t="inlineStr">
        <is>
          <t>STL</t>
        </is>
      </c>
      <c r="B83" s="1077" t="inlineStr">
        <is>
          <t>RBPI</t>
        </is>
      </c>
      <c r="C83" s="1149" t="inlineStr">
        <is>
          <t>Bank SPb  7500-24-018253/6 ( NNPP )</t>
        </is>
      </c>
      <c r="D83" s="1077" t="inlineStr">
        <is>
          <t>SPB</t>
        </is>
      </c>
      <c r="E83" s="1077" t="inlineStr">
        <is>
          <t>no</t>
        </is>
      </c>
      <c r="F83" s="1593" t="n">
        <v>200</v>
      </c>
      <c r="G83" s="1603" t="n">
        <v>200</v>
      </c>
      <c r="H83" s="1595">
        <f>F83-G83</f>
        <v/>
      </c>
      <c r="I83" s="1086" t="n">
        <v>0.225</v>
      </c>
      <c r="K83" s="1086" t="inlineStr">
        <is>
          <t>Float</t>
        </is>
      </c>
      <c r="L83" s="1310">
        <f>+G83*I83</f>
        <v/>
      </c>
      <c r="M83" s="1277" t="n">
        <v>45651</v>
      </c>
      <c r="N83" s="1277" t="n">
        <v>46015</v>
      </c>
      <c r="O83" s="1077" t="n"/>
      <c r="Q83" s="1600" t="n"/>
      <c r="R83" s="1600" t="n"/>
      <c r="S83" s="1600" t="n"/>
      <c r="T83" s="1600" t="n"/>
      <c r="U83" s="1600" t="n"/>
      <c r="V83" s="1600" t="n"/>
      <c r="W83" s="1600" t="n"/>
      <c r="X83" s="1600">
        <f>IF(Y$2&lt;$N83,0,IF($N83&gt;X$2,$G83,0))</f>
        <v/>
      </c>
      <c r="Y83" s="1600">
        <f>IF(Z$2&lt;$N83,0,IF($N83&gt;Y$2,$G83,0))</f>
        <v/>
      </c>
      <c r="Z83" s="1600">
        <f>IF(AA$2&lt;$N83,0,IF($N83&gt;Z$2,$G83,0))</f>
        <v/>
      </c>
      <c r="AA83" s="1600">
        <f>IF(AB$2&lt;$N83,0,IF($N83&gt;AA$2,$G83,0))</f>
        <v/>
      </c>
      <c r="AB83" s="1600">
        <f>IF(AC$2&lt;$N83,0,IF($N83&gt;AB$2,$G83,0))</f>
        <v/>
      </c>
      <c r="AC83" s="1600">
        <f>IF(AD$2&lt;$N83,0,IF($N83&gt;AC$2,$G83,0))</f>
        <v/>
      </c>
      <c r="AD83" s="1600" t="n"/>
      <c r="AL83" s="1595">
        <f>SUM(Q83:AK83)</f>
        <v/>
      </c>
      <c r="AM83" s="1308">
        <f>+AL83-G83</f>
        <v/>
      </c>
      <c r="AN83" s="1077">
        <f>CONCATENATE(B83,K83,A83)</f>
        <v/>
      </c>
      <c r="AO83" s="1077">
        <f>CONCATENATE(B83,K83,A83,E83)</f>
        <v/>
      </c>
    </row>
    <row r="84">
      <c r="A84" s="1077" t="inlineStr">
        <is>
          <t>STL</t>
        </is>
      </c>
      <c r="B84" s="1077" t="inlineStr">
        <is>
          <t>RBPI</t>
        </is>
      </c>
      <c r="C84" s="1149" t="inlineStr">
        <is>
          <t>Bank SPb  7500-24-018253/5 ( NNPP )</t>
        </is>
      </c>
      <c r="D84" s="1077" t="inlineStr">
        <is>
          <t>SPB</t>
        </is>
      </c>
      <c r="E84" s="1077" t="inlineStr">
        <is>
          <t>no</t>
        </is>
      </c>
      <c r="F84" s="1593" t="n">
        <v>120</v>
      </c>
      <c r="G84" s="1603" t="n">
        <v>120</v>
      </c>
      <c r="H84" s="1595">
        <f>F84-G84</f>
        <v/>
      </c>
      <c r="I84" s="1086" t="n">
        <v>0.225</v>
      </c>
      <c r="K84" s="1086" t="inlineStr">
        <is>
          <t>Float</t>
        </is>
      </c>
      <c r="L84" s="1310">
        <f>+G84*I84</f>
        <v/>
      </c>
      <c r="M84" s="1277" t="n">
        <v>45650</v>
      </c>
      <c r="N84" s="1277" t="n">
        <v>46014</v>
      </c>
      <c r="O84" s="1077" t="n"/>
      <c r="Q84" s="1600" t="n"/>
      <c r="R84" s="1600" t="n"/>
      <c r="S84" s="1600" t="n"/>
      <c r="T84" s="1600" t="n"/>
      <c r="U84" s="1600" t="n"/>
      <c r="V84" s="1600" t="n"/>
      <c r="W84" s="1600" t="n"/>
      <c r="X84" s="1600">
        <f>IF(Y$2&lt;$N84,0,IF($N84&gt;X$2,$G84,0))</f>
        <v/>
      </c>
      <c r="Y84" s="1600">
        <f>IF(Z$2&lt;$N84,0,IF($N84&gt;Y$2,$G84,0))</f>
        <v/>
      </c>
      <c r="Z84" s="1600">
        <f>IF(AA$2&lt;$N84,0,IF($N84&gt;Z$2,$G84,0))</f>
        <v/>
      </c>
      <c r="AA84" s="1600">
        <f>IF(AB$2&lt;$N84,0,IF($N84&gt;AA$2,$G84,0))</f>
        <v/>
      </c>
      <c r="AB84" s="1600">
        <f>IF(AC$2&lt;$N84,0,IF($N84&gt;AB$2,$G84,0))</f>
        <v/>
      </c>
      <c r="AC84" s="1600">
        <f>IF(AD$2&lt;$N84,0,IF($N84&gt;AC$2,$G84,0))</f>
        <v/>
      </c>
      <c r="AD84" s="1600" t="n"/>
      <c r="AL84" s="1595">
        <f>SUM(Q84:AK84)</f>
        <v/>
      </c>
      <c r="AM84" s="1308">
        <f>+AL84-G84</f>
        <v/>
      </c>
      <c r="AN84" s="1077">
        <f>CONCATENATE(B84,K84,A84)</f>
        <v/>
      </c>
      <c r="AO84" s="1077">
        <f>CONCATENATE(B84,K84,A84,E84)</f>
        <v/>
      </c>
    </row>
    <row r="85">
      <c r="A85" s="1077" t="inlineStr">
        <is>
          <t>STL</t>
        </is>
      </c>
      <c r="B85" s="1077" t="inlineStr">
        <is>
          <t>RBPI</t>
        </is>
      </c>
      <c r="C85" s="1149" t="inlineStr">
        <is>
          <t>Bank SPb  7500-22-020286/30 ( PPP  )</t>
        </is>
      </c>
      <c r="D85" s="1077" t="inlineStr">
        <is>
          <t>SPB</t>
        </is>
      </c>
      <c r="E85" s="1077" t="inlineStr">
        <is>
          <t>no</t>
        </is>
      </c>
      <c r="F85" s="1593" t="n">
        <v>100</v>
      </c>
      <c r="G85" s="1603" t="n">
        <v>100</v>
      </c>
      <c r="H85" s="1595">
        <f>F85-G85</f>
        <v/>
      </c>
      <c r="I85" s="1086" t="n">
        <v>0.225</v>
      </c>
      <c r="K85" s="1086" t="inlineStr">
        <is>
          <t>Float</t>
        </is>
      </c>
      <c r="L85" s="1310">
        <f>+G85*I85</f>
        <v/>
      </c>
      <c r="M85" s="1277" t="n">
        <v>45681</v>
      </c>
      <c r="N85" s="1277" t="n">
        <v>46045</v>
      </c>
      <c r="O85" s="1077" t="n"/>
      <c r="Q85" s="1600" t="n"/>
      <c r="R85" s="1600" t="n"/>
      <c r="S85" s="1600" t="n"/>
      <c r="T85" s="1600" t="n"/>
      <c r="U85" s="1600" t="n"/>
      <c r="V85" s="1600" t="n"/>
      <c r="W85" s="1600" t="n"/>
      <c r="X85" s="1600">
        <f>IF(Y$2&lt;$N85,0,IF($N85&gt;X$2,$G85,0))</f>
        <v/>
      </c>
      <c r="Y85" s="1600">
        <f>IF(Z$2&lt;$N85,0,IF($N85&gt;Y$2,$G85,0))</f>
        <v/>
      </c>
      <c r="Z85" s="1600">
        <f>IF(AA$2&lt;$N85,0,IF($N85&gt;Z$2,$G85,0))</f>
        <v/>
      </c>
      <c r="AA85" s="1600">
        <f>IF(AB$2&lt;$N85,0,IF($N85&gt;AA$2,$G85,0))</f>
        <v/>
      </c>
      <c r="AB85" s="1600">
        <f>IF(AC$2&lt;$N85,0,IF($N85&gt;AB$2,$G85,0))</f>
        <v/>
      </c>
      <c r="AC85" s="1600">
        <f>IF(AD$2&lt;$N85,0,IF($N85&gt;AC$2,$G85,0))</f>
        <v/>
      </c>
      <c r="AD85" s="1600" t="n"/>
      <c r="AL85" s="1595">
        <f>SUM(Q85:AK85)</f>
        <v/>
      </c>
      <c r="AM85" s="1308">
        <f>+AL85-G85</f>
        <v/>
      </c>
      <c r="AN85" s="1077">
        <f>CONCATENATE(B85,K85,A85)</f>
        <v/>
      </c>
      <c r="AO85" s="1077">
        <f>CONCATENATE(B85,K85,A85,E85)</f>
        <v/>
      </c>
    </row>
    <row r="86">
      <c r="A86" s="1077" t="inlineStr">
        <is>
          <t>STL</t>
        </is>
      </c>
      <c r="B86" s="1077" t="inlineStr">
        <is>
          <t>RBPI</t>
        </is>
      </c>
      <c r="C86" s="1149" t="inlineStr">
        <is>
          <t>Bank SPb  7500-22-020286/31 ( PPP )</t>
        </is>
      </c>
      <c r="D86" s="1077" t="inlineStr">
        <is>
          <t>SPB</t>
        </is>
      </c>
      <c r="E86" s="1077" t="inlineStr">
        <is>
          <t>no</t>
        </is>
      </c>
      <c r="F86" s="1593" t="n">
        <v>100</v>
      </c>
      <c r="G86" s="1603" t="n">
        <v>76.44085294</v>
      </c>
      <c r="H86" s="1595">
        <f>F86-G86</f>
        <v/>
      </c>
      <c r="I86" s="1086" t="n">
        <v>0.225</v>
      </c>
      <c r="K86" s="1086" t="inlineStr">
        <is>
          <t>Float</t>
        </is>
      </c>
      <c r="L86" s="1310">
        <f>+G86*I86</f>
        <v/>
      </c>
      <c r="M86" s="1277" t="n">
        <v>45694</v>
      </c>
      <c r="N86" s="1277" t="n">
        <v>46058</v>
      </c>
      <c r="O86" s="1077" t="n"/>
      <c r="Q86" s="1600" t="n"/>
      <c r="R86" s="1600" t="n"/>
      <c r="S86" s="1600" t="n"/>
      <c r="T86" s="1600" t="n"/>
      <c r="U86" s="1600" t="n"/>
      <c r="V86" s="1600" t="n"/>
      <c r="W86" s="1600" t="n"/>
      <c r="X86" s="1600">
        <f>IF(Y$2&lt;$N86,0,IF($N86&gt;X$2,$G86,0))</f>
        <v/>
      </c>
      <c r="Y86" s="1600">
        <f>IF(Z$2&lt;$N86,0,IF($N86&gt;Y$2,$G86,0))</f>
        <v/>
      </c>
      <c r="Z86" s="1600">
        <f>IF(AA$2&lt;$N86,0,IF($N86&gt;Z$2,$G86,0))</f>
        <v/>
      </c>
      <c r="AA86" s="1600">
        <f>IF(AB$2&lt;$N86,0,IF($N86&gt;AA$2,$G86,0))</f>
        <v/>
      </c>
      <c r="AB86" s="1600">
        <f>IF(AC$2&lt;$N86,0,IF($N86&gt;AB$2,$G86,0))</f>
        <v/>
      </c>
      <c r="AC86" s="1600">
        <f>IF(AD$2&lt;$N86,0,IF($N86&gt;AC$2,$G86,0))</f>
        <v/>
      </c>
      <c r="AD86" s="1600" t="n"/>
      <c r="AL86" s="1595">
        <f>SUM(Q86:AK86)</f>
        <v/>
      </c>
      <c r="AM86" s="1308">
        <f>+AL86-G86</f>
        <v/>
      </c>
      <c r="AN86" s="1077">
        <f>CONCATENATE(B86,K86,A86)</f>
        <v/>
      </c>
      <c r="AO86" s="1077">
        <f>CONCATENATE(B86,K86,A86,E86)</f>
        <v/>
      </c>
    </row>
    <row r="87">
      <c r="A87" s="1077" t="inlineStr">
        <is>
          <t>STL</t>
        </is>
      </c>
      <c r="B87" s="1077" t="inlineStr">
        <is>
          <t>RBPI</t>
        </is>
      </c>
      <c r="C87" s="1149" t="inlineStr">
        <is>
          <t>Bank SPb  7500-22-020286/32 ( PPP )</t>
        </is>
      </c>
      <c r="D87" s="1077" t="inlineStr">
        <is>
          <t>SPB</t>
        </is>
      </c>
      <c r="E87" s="1077" t="inlineStr">
        <is>
          <t>yes</t>
        </is>
      </c>
      <c r="F87" s="1593" t="n">
        <v>80</v>
      </c>
      <c r="G87" s="1603" t="n">
        <v>80</v>
      </c>
      <c r="H87" s="1595">
        <f>F87-G87</f>
        <v/>
      </c>
      <c r="I87" s="1086" t="n">
        <v>0.074</v>
      </c>
      <c r="K87" s="1086" t="inlineStr">
        <is>
          <t>Float</t>
        </is>
      </c>
      <c r="L87" s="1310">
        <f>+G87*I87</f>
        <v/>
      </c>
      <c r="M87" s="1277" t="n">
        <v>45726</v>
      </c>
      <c r="N87" s="1277" t="n">
        <v>46090</v>
      </c>
      <c r="O87" s="1077" t="n"/>
      <c r="Q87" s="1600" t="n"/>
      <c r="R87" s="1600" t="n"/>
      <c r="S87" s="1600" t="n"/>
      <c r="T87" s="1600" t="n"/>
      <c r="U87" s="1600" t="n"/>
      <c r="V87" s="1600" t="n"/>
      <c r="W87" s="1600" t="n"/>
      <c r="X87" s="1600">
        <f>IF(Y$2&lt;$N87,0,IF($N87&gt;X$2,$G87,0))</f>
        <v/>
      </c>
      <c r="Y87" s="1600">
        <f>IF(Z$2&lt;$N87,0,IF($N87&gt;Y$2,$G87,0))</f>
        <v/>
      </c>
      <c r="Z87" s="1600">
        <f>IF(AA$2&lt;$N87,0,IF($N87&gt;Z$2,$G87,0))</f>
        <v/>
      </c>
      <c r="AA87" s="1600">
        <f>IF(AB$2&lt;$N87,0,IF($N87&gt;AA$2,$G87,0))</f>
        <v/>
      </c>
      <c r="AB87" s="1600">
        <f>IF(AC$2&lt;$N87,0,IF($N87&gt;AB$2,$G87,0))</f>
        <v/>
      </c>
      <c r="AC87" s="1600">
        <f>IF(AD$2&lt;$N87,0,IF($N87&gt;AC$2,$G87,0))</f>
        <v/>
      </c>
      <c r="AD87" s="1600" t="n"/>
      <c r="AL87" s="1595">
        <f>SUM(Q87:AK87)</f>
        <v/>
      </c>
      <c r="AM87" s="1308">
        <f>+AL87-G87</f>
        <v/>
      </c>
      <c r="AN87" s="1077">
        <f>CONCATENATE(B87,K87,A87)</f>
        <v/>
      </c>
      <c r="AO87" s="1077">
        <f>CONCATENATE(B87,K87,A87,E87)</f>
        <v/>
      </c>
    </row>
    <row r="88">
      <c r="A88" s="1077" t="inlineStr">
        <is>
          <t>STL</t>
        </is>
      </c>
      <c r="B88" s="1077" t="inlineStr">
        <is>
          <t>RBPI</t>
        </is>
      </c>
      <c r="C88" s="1149" t="inlineStr">
        <is>
          <t>Bank SPb  7500-22-020286/36 ( PPP )</t>
        </is>
      </c>
      <c r="D88" s="1077" t="inlineStr">
        <is>
          <t>SPB</t>
        </is>
      </c>
      <c r="E88" s="1077" t="inlineStr">
        <is>
          <t>no</t>
        </is>
      </c>
      <c r="F88" s="1593" t="n">
        <v>90</v>
      </c>
      <c r="G88" s="1603" t="n">
        <v>90</v>
      </c>
      <c r="H88" s="1595">
        <f>F88-G88</f>
        <v/>
      </c>
      <c r="I88" s="1086" t="n">
        <v>0.23</v>
      </c>
      <c r="K88" s="1086" t="inlineStr">
        <is>
          <t>Float</t>
        </is>
      </c>
      <c r="L88" s="1310">
        <f>+G88*I88</f>
        <v/>
      </c>
      <c r="M88" s="1277" t="n">
        <v>45736</v>
      </c>
      <c r="N88" s="1277" t="n">
        <v>46100</v>
      </c>
      <c r="O88" s="1077" t="n"/>
      <c r="Q88" s="1600" t="n"/>
      <c r="R88" s="1600" t="n"/>
      <c r="S88" s="1600" t="n"/>
      <c r="T88" s="1600" t="n"/>
      <c r="U88" s="1600" t="n"/>
      <c r="V88" s="1600" t="n"/>
      <c r="W88" s="1600" t="n"/>
      <c r="X88" s="1600">
        <f>IF(Y$2&lt;$N88,0,IF($N88&gt;X$2,$G88,0))</f>
        <v/>
      </c>
      <c r="Y88" s="1600">
        <f>IF(Z$2&lt;$N88,0,IF($N88&gt;Y$2,$G88,0))</f>
        <v/>
      </c>
      <c r="Z88" s="1600">
        <f>IF(AA$2&lt;$N88,0,IF($N88&gt;Z$2,$G88,0))</f>
        <v/>
      </c>
      <c r="AA88" s="1600">
        <f>IF(AB$2&lt;$N88,0,IF($N88&gt;AA$2,$G88,0))</f>
        <v/>
      </c>
      <c r="AB88" s="1600">
        <f>IF(AC$2&lt;$N88,0,IF($N88&gt;AB$2,$G88,0))</f>
        <v/>
      </c>
      <c r="AC88" s="1600">
        <f>IF(AD$2&lt;$N88,0,IF($N88&gt;AC$2,$G88,0))</f>
        <v/>
      </c>
      <c r="AD88" s="1600" t="n"/>
      <c r="AL88" s="1595">
        <f>SUM(Q88:AK88)</f>
        <v/>
      </c>
      <c r="AM88" s="1308">
        <f>+AL88-G88</f>
        <v/>
      </c>
      <c r="AN88" s="1077">
        <f>CONCATENATE(B88,K88,A88)</f>
        <v/>
      </c>
      <c r="AO88" s="1077">
        <f>CONCATENATE(B88,K88,A88,E88)</f>
        <v/>
      </c>
    </row>
    <row r="89">
      <c r="A89" s="1077" t="inlineStr">
        <is>
          <t>STL</t>
        </is>
      </c>
      <c r="B89" s="1077" t="inlineStr">
        <is>
          <t>RBPI</t>
        </is>
      </c>
      <c r="C89" s="1149" t="inlineStr">
        <is>
          <t>Bank SPb  7500-22-020286/37 ( PPP )</t>
        </is>
      </c>
      <c r="D89" s="1077" t="inlineStr">
        <is>
          <t>SPB</t>
        </is>
      </c>
      <c r="E89" s="1077" t="inlineStr">
        <is>
          <t>no</t>
        </is>
      </c>
      <c r="F89" s="1593" t="n">
        <v>110</v>
      </c>
      <c r="G89" s="1603" t="n">
        <v>110</v>
      </c>
      <c r="H89" s="1595">
        <f>F89-G89</f>
        <v/>
      </c>
      <c r="I89" s="1086" t="n">
        <v>0.23</v>
      </c>
      <c r="K89" s="1086" t="inlineStr">
        <is>
          <t>Float</t>
        </is>
      </c>
      <c r="L89" s="1310">
        <f>+G89*I89</f>
        <v/>
      </c>
      <c r="M89" s="1277" t="n">
        <v>45741</v>
      </c>
      <c r="N89" s="1277" t="n">
        <v>46105</v>
      </c>
      <c r="O89" s="1077" t="n"/>
      <c r="Q89" s="1600" t="n"/>
      <c r="R89" s="1600" t="n"/>
      <c r="S89" s="1600" t="n"/>
      <c r="T89" s="1600" t="n"/>
      <c r="U89" s="1600" t="n"/>
      <c r="V89" s="1600" t="n"/>
      <c r="W89" s="1600" t="n"/>
      <c r="X89" s="1600">
        <f>IF(Y$2&lt;$N89,0,IF($N89&gt;X$2,$G89,0))</f>
        <v/>
      </c>
      <c r="Y89" s="1600">
        <f>IF(Z$2&lt;$N89,0,IF($N89&gt;Y$2,$G89,0))</f>
        <v/>
      </c>
      <c r="Z89" s="1600">
        <f>IF(AA$2&lt;$N89,0,IF($N89&gt;Z$2,$G89,0))</f>
        <v/>
      </c>
      <c r="AA89" s="1600">
        <f>IF(AB$2&lt;$N89,0,IF($N89&gt;AA$2,$G89,0))</f>
        <v/>
      </c>
      <c r="AB89" s="1600">
        <f>IF(AC$2&lt;$N89,0,IF($N89&gt;AB$2,$G89,0))</f>
        <v/>
      </c>
      <c r="AC89" s="1600">
        <f>IF(AD$2&lt;$N89,0,IF($N89&gt;AC$2,$G89,0))</f>
        <v/>
      </c>
      <c r="AD89" s="1600" t="n"/>
      <c r="AL89" s="1595">
        <f>SUM(Q89:AK89)</f>
        <v/>
      </c>
      <c r="AM89" s="1308">
        <f>+AL89-G89</f>
        <v/>
      </c>
      <c r="AN89" s="1077">
        <f>CONCATENATE(B89,K89,A89)</f>
        <v/>
      </c>
      <c r="AO89" s="1077">
        <f>CONCATENATE(B89,K89,A89,E89)</f>
        <v/>
      </c>
    </row>
    <row r="90">
      <c r="A90" s="1077" t="inlineStr">
        <is>
          <t>STL</t>
        </is>
      </c>
      <c r="B90" s="1077" t="inlineStr">
        <is>
          <t>RBPI</t>
        </is>
      </c>
      <c r="C90" s="1149" t="inlineStr">
        <is>
          <t>Bank SPb  7500-22-020286/38 ( PPP )</t>
        </is>
      </c>
      <c r="D90" s="1077" t="inlineStr">
        <is>
          <t>SPB</t>
        </is>
      </c>
      <c r="E90" s="1077" t="inlineStr">
        <is>
          <t>no</t>
        </is>
      </c>
      <c r="F90" s="1593" t="n">
        <v>80</v>
      </c>
      <c r="G90" s="1603" t="n">
        <v>80</v>
      </c>
      <c r="H90" s="1595">
        <f>F90-G90</f>
        <v/>
      </c>
      <c r="I90" s="1086" t="n">
        <v>0.23</v>
      </c>
      <c r="K90" s="1086" t="inlineStr">
        <is>
          <t>Float</t>
        </is>
      </c>
      <c r="L90" s="1310">
        <f>+G90*I90</f>
        <v/>
      </c>
      <c r="M90" s="1277" t="n">
        <v>45754</v>
      </c>
      <c r="N90" s="1277" t="n">
        <v>46118</v>
      </c>
      <c r="O90" s="1077" t="n"/>
      <c r="Q90" s="1600" t="n"/>
      <c r="R90" s="1600" t="n"/>
      <c r="S90" s="1600" t="n"/>
      <c r="T90" s="1600" t="n"/>
      <c r="U90" s="1600" t="n"/>
      <c r="V90" s="1600" t="n"/>
      <c r="W90" s="1600" t="n"/>
      <c r="X90" s="1600">
        <f>IF(Y$2&lt;$N90,0,IF($N90&gt;X$2,$G90,0))</f>
        <v/>
      </c>
      <c r="Y90" s="1600">
        <f>IF(Z$2&lt;$N90,0,IF($N90&gt;Y$2,$G90,0))</f>
        <v/>
      </c>
      <c r="Z90" s="1600">
        <f>IF(AA$2&lt;$N90,0,IF($N90&gt;Z$2,$G90,0))</f>
        <v/>
      </c>
      <c r="AA90" s="1600">
        <f>IF(AB$2&lt;$N90,0,IF($N90&gt;AA$2,$G90,0))</f>
        <v/>
      </c>
      <c r="AB90" s="1600">
        <f>IF(AC$2&lt;$N90,0,IF($N90&gt;AB$2,$G90,0))</f>
        <v/>
      </c>
      <c r="AC90" s="1600">
        <f>IF(AD$2&lt;$N90,0,IF($N90&gt;AC$2,$G90,0))</f>
        <v/>
      </c>
      <c r="AD90" s="1600" t="n"/>
      <c r="AL90" s="1595">
        <f>SUM(Q90:AK90)</f>
        <v/>
      </c>
      <c r="AM90" s="1308">
        <f>+AL90-G90</f>
        <v/>
      </c>
      <c r="AN90" s="1077">
        <f>CONCATENATE(B90,K90,A90)</f>
        <v/>
      </c>
      <c r="AO90" s="1077">
        <f>CONCATENATE(B90,K90,A90,E90)</f>
        <v/>
      </c>
    </row>
    <row r="91">
      <c r="A91" s="1077" t="inlineStr">
        <is>
          <t>STL</t>
        </is>
      </c>
      <c r="B91" s="1077" t="inlineStr">
        <is>
          <t>RBPI</t>
        </is>
      </c>
      <c r="C91" s="1149" t="inlineStr">
        <is>
          <t>Bank SPb  7500-22-020286/39 ( PPP )</t>
        </is>
      </c>
      <c r="D91" s="1077" t="inlineStr">
        <is>
          <t>SPB</t>
        </is>
      </c>
      <c r="E91" s="1077" t="inlineStr">
        <is>
          <t>no</t>
        </is>
      </c>
      <c r="F91" s="1593" t="n">
        <v>100</v>
      </c>
      <c r="G91" s="1603" t="n">
        <v>100</v>
      </c>
      <c r="H91" s="1595">
        <f>F91-G91</f>
        <v/>
      </c>
      <c r="I91" s="1086" t="n">
        <v>0.23</v>
      </c>
      <c r="K91" s="1086" t="inlineStr">
        <is>
          <t>Float</t>
        </is>
      </c>
      <c r="L91" s="1310">
        <f>+G91*I91</f>
        <v/>
      </c>
      <c r="M91" s="1277" t="n">
        <v>45754</v>
      </c>
      <c r="N91" s="1277" t="n">
        <v>46119</v>
      </c>
      <c r="O91" s="1077" t="n"/>
      <c r="Q91" s="1600" t="n"/>
      <c r="R91" s="1600" t="n"/>
      <c r="S91" s="1600" t="n"/>
      <c r="T91" s="1600" t="n"/>
      <c r="U91" s="1600" t="n"/>
      <c r="V91" s="1600" t="n"/>
      <c r="W91" s="1600" t="n"/>
      <c r="X91" s="1600">
        <f>IF(Y$2&lt;$N91,0,IF($N91&gt;X$2,$G91,0))</f>
        <v/>
      </c>
      <c r="Y91" s="1600">
        <f>IF(Z$2&lt;$N91,0,IF($N91&gt;Y$2,$G91,0))</f>
        <v/>
      </c>
      <c r="Z91" s="1600">
        <f>IF(AA$2&lt;$N91,0,IF($N91&gt;Z$2,$G91,0))</f>
        <v/>
      </c>
      <c r="AA91" s="1600">
        <f>IF(AB$2&lt;$N91,0,IF($N91&gt;AA$2,$G91,0))</f>
        <v/>
      </c>
      <c r="AB91" s="1600">
        <f>IF(AC$2&lt;$N91,0,IF($N91&gt;AB$2,$G91,0))</f>
        <v/>
      </c>
      <c r="AC91" s="1600">
        <f>IF(AD$2&lt;$N91,0,IF($N91&gt;AC$2,$G91,0))</f>
        <v/>
      </c>
      <c r="AD91" s="1600" t="n"/>
      <c r="AL91" s="1595">
        <f>SUM(Q91:AK91)</f>
        <v/>
      </c>
      <c r="AM91" s="1308">
        <f>+AL91-G91</f>
        <v/>
      </c>
      <c r="AN91" s="1077">
        <f>CONCATENATE(B91,K91,A91)</f>
        <v/>
      </c>
      <c r="AO91" s="1077">
        <f>CONCATENATE(B91,K91,A91,E91)</f>
        <v/>
      </c>
    </row>
    <row r="92">
      <c r="A92" s="1077" t="inlineStr">
        <is>
          <t>STL</t>
        </is>
      </c>
      <c r="B92" s="1077" t="inlineStr">
        <is>
          <t>RBPI</t>
        </is>
      </c>
      <c r="C92" s="1149" t="inlineStr">
        <is>
          <t>Bank SPb  7500-22-020286/40 ( PPP )</t>
        </is>
      </c>
      <c r="D92" s="1077" t="inlineStr">
        <is>
          <t>SPB</t>
        </is>
      </c>
      <c r="E92" s="1077" t="inlineStr">
        <is>
          <t>no</t>
        </is>
      </c>
      <c r="F92" s="1593" t="n">
        <v>110</v>
      </c>
      <c r="G92" s="1603" t="n">
        <v>110</v>
      </c>
      <c r="H92" s="1595">
        <f>F92-G92</f>
        <v/>
      </c>
      <c r="I92" s="1086" t="n">
        <v>0.22</v>
      </c>
      <c r="K92" s="1086" t="inlineStr">
        <is>
          <t>Float</t>
        </is>
      </c>
      <c r="L92" s="1310">
        <f>+G92*I92</f>
        <v/>
      </c>
      <c r="M92" s="1277" t="n">
        <v>45771</v>
      </c>
      <c r="N92" s="1277" t="n">
        <v>46135</v>
      </c>
      <c r="O92" s="1077" t="n"/>
      <c r="Q92" s="1600" t="n"/>
      <c r="R92" s="1600" t="n"/>
      <c r="S92" s="1600" t="n"/>
      <c r="T92" s="1600" t="n"/>
      <c r="U92" s="1600" t="n"/>
      <c r="V92" s="1600" t="n"/>
      <c r="W92" s="1600" t="n"/>
      <c r="X92" s="1600">
        <f>IF(Y$2&lt;$N92,0,IF($N92&gt;X$2,$G92,0))</f>
        <v/>
      </c>
      <c r="Y92" s="1600">
        <f>IF(Z$2&lt;$N92,0,IF($N92&gt;Y$2,$G92,0))</f>
        <v/>
      </c>
      <c r="Z92" s="1600">
        <f>IF(AA$2&lt;$N92,0,IF($N92&gt;Z$2,$G92,0))</f>
        <v/>
      </c>
      <c r="AA92" s="1600">
        <f>IF(AB$2&lt;$N92,0,IF($N92&gt;AA$2,$G92,0))</f>
        <v/>
      </c>
      <c r="AB92" s="1600">
        <f>IF(AC$2&lt;$N92,0,IF($N92&gt;AB$2,$G92,0))</f>
        <v/>
      </c>
      <c r="AC92" s="1600">
        <f>IF(AD$2&lt;$N92,0,IF($N92&gt;AC$2,$G92,0))</f>
        <v/>
      </c>
      <c r="AD92" s="1600" t="n"/>
      <c r="AL92" s="1595">
        <f>SUM(Q92:AK92)</f>
        <v/>
      </c>
      <c r="AM92" s="1308">
        <f>+AL92-G92</f>
        <v/>
      </c>
      <c r="AN92" s="1077">
        <f>CONCATENATE(B92,K92,A92)</f>
        <v/>
      </c>
      <c r="AO92" s="1077">
        <f>CONCATENATE(B92,K92,A92,E92)</f>
        <v/>
      </c>
    </row>
    <row r="93">
      <c r="A93" s="1077" t="inlineStr">
        <is>
          <t>STL</t>
        </is>
      </c>
      <c r="B93" s="1077" t="inlineStr">
        <is>
          <t>APK</t>
        </is>
      </c>
      <c r="C93" s="1149" t="inlineStr">
        <is>
          <t>Sberbank  130B01BIM2LZMF  ( AB  )</t>
        </is>
      </c>
      <c r="D93" s="1077" t="inlineStr">
        <is>
          <t>SBER</t>
        </is>
      </c>
      <c r="E93" s="1077" t="inlineStr">
        <is>
          <t>no</t>
        </is>
      </c>
      <c r="F93" s="1593" t="n">
        <v>150</v>
      </c>
      <c r="G93" s="1603" t="n">
        <v>150</v>
      </c>
      <c r="H93" s="1595">
        <f>F93-G93</f>
        <v/>
      </c>
      <c r="I93" s="1086" t="n">
        <v>0.2081</v>
      </c>
      <c r="K93" s="1086" t="inlineStr">
        <is>
          <t>Float</t>
        </is>
      </c>
      <c r="L93" s="1310">
        <f>+G93*I93</f>
        <v/>
      </c>
      <c r="M93" s="1277" t="n">
        <v>45849</v>
      </c>
      <c r="N93" s="1277" t="n">
        <v>46212</v>
      </c>
      <c r="O93" s="1077" t="n"/>
      <c r="Q93" s="1600" t="n"/>
      <c r="R93" s="1600" t="n"/>
      <c r="S93" s="1600" t="n"/>
      <c r="T93" s="1600" t="n"/>
      <c r="U93" s="1600" t="n"/>
      <c r="V93" s="1600" t="n"/>
      <c r="W93" s="1600" t="n"/>
      <c r="X93" s="1600">
        <f>IF(Y$2&lt;$N93,0,IF($N93&gt;X$2,$G93,0))</f>
        <v/>
      </c>
      <c r="Y93" s="1600">
        <f>IF(Z$2&lt;$N93,0,IF($N93&gt;Y$2,$G93,0))</f>
        <v/>
      </c>
      <c r="Z93" s="1600">
        <f>IF(AA$2&lt;$N93,0,IF($N93&gt;Z$2,$G93,0))</f>
        <v/>
      </c>
      <c r="AA93" s="1600">
        <f>IF(AB$2&lt;$N93,0,IF($N93&gt;AA$2,$G93,0))</f>
        <v/>
      </c>
      <c r="AB93" s="1600">
        <f>IF(AC$2&lt;$N93,0,IF($N93&gt;AB$2,$G93,0))</f>
        <v/>
      </c>
      <c r="AC93" s="1600">
        <f>IF(AD$2&lt;$N93,0,IF($N93&gt;AC$2,$G93,0))</f>
        <v/>
      </c>
      <c r="AD93" s="1600" t="n"/>
      <c r="AL93" s="1595">
        <f>SUM(Q93:AK93)</f>
        <v/>
      </c>
      <c r="AM93" s="1308">
        <f>+AL93-G93</f>
        <v/>
      </c>
      <c r="AN93" s="1077">
        <f>CONCATENATE(B93,K93,A93)</f>
        <v/>
      </c>
      <c r="AO93" s="1077">
        <f>CONCATENATE(B93,K93,A93,E93)</f>
        <v/>
      </c>
    </row>
    <row r="94">
      <c r="A94" s="1077" t="inlineStr">
        <is>
          <t>STL</t>
        </is>
      </c>
      <c r="B94" s="1077" t="inlineStr">
        <is>
          <t>RBPI</t>
        </is>
      </c>
      <c r="C94" s="1149" t="inlineStr">
        <is>
          <t>Sberbank 550B01AY5MF ( NNPP )</t>
        </is>
      </c>
      <c r="D94" s="1077" t="inlineStr">
        <is>
          <t>SBER</t>
        </is>
      </c>
      <c r="E94" s="1077" t="inlineStr">
        <is>
          <t>no</t>
        </is>
      </c>
      <c r="F94" s="1593" t="n">
        <v>100</v>
      </c>
      <c r="G94" s="1603" t="n">
        <v>23.975582</v>
      </c>
      <c r="H94" s="1595">
        <f>F94-G94</f>
        <v/>
      </c>
      <c r="I94" s="1086" t="n">
        <v>0.2118</v>
      </c>
      <c r="K94" s="1086" t="inlineStr">
        <is>
          <t>Float</t>
        </is>
      </c>
      <c r="L94" s="1310">
        <f>+G94*I94</f>
        <v/>
      </c>
      <c r="M94" s="1277" t="n">
        <v>45825</v>
      </c>
      <c r="N94" s="1277" t="n">
        <v>46189</v>
      </c>
      <c r="O94" s="1077" t="n"/>
      <c r="Q94" s="1600" t="n"/>
      <c r="R94" s="1600" t="n"/>
      <c r="S94" s="1600" t="n"/>
      <c r="T94" s="1600" t="n"/>
      <c r="U94" s="1600" t="n"/>
      <c r="V94" s="1600" t="n"/>
      <c r="W94" s="1600" t="n"/>
      <c r="X94" s="1600">
        <f>IF(Y$2&lt;$N94,0,IF($N94&gt;X$2,$G94,0))</f>
        <v/>
      </c>
      <c r="Y94" s="1600">
        <f>IF(Z$2&lt;$N94,0,IF($N94&gt;Y$2,$G94,0))</f>
        <v/>
      </c>
      <c r="Z94" s="1600">
        <f>IF(AA$2&lt;$N94,0,IF($N94&gt;Z$2,$G94,0))</f>
        <v/>
      </c>
      <c r="AA94" s="1600">
        <f>IF(AB$2&lt;$N94,0,IF($N94&gt;AA$2,$G94,0))</f>
        <v/>
      </c>
      <c r="AB94" s="1600">
        <f>IF(AC$2&lt;$N94,0,IF($N94&gt;AB$2,$G94,0))</f>
        <v/>
      </c>
      <c r="AC94" s="1600">
        <f>IF(AD$2&lt;$N94,0,IF($N94&gt;AC$2,$G94,0))</f>
        <v/>
      </c>
      <c r="AD94" s="1600" t="n"/>
      <c r="AL94" s="1595">
        <f>SUM(Q94:AK94)</f>
        <v/>
      </c>
      <c r="AM94" s="1308">
        <f>+AL94-G94</f>
        <v/>
      </c>
      <c r="AN94" s="1077">
        <f>CONCATENATE(B94,K94,A94)</f>
        <v/>
      </c>
      <c r="AO94" s="1077">
        <f>CONCATENATE(B94,K94,A94,E94)</f>
        <v/>
      </c>
    </row>
    <row r="95">
      <c r="A95" s="1077" t="inlineStr">
        <is>
          <t>STL</t>
        </is>
      </c>
      <c r="B95" s="1077" t="inlineStr">
        <is>
          <t>RBPI</t>
        </is>
      </c>
      <c r="C95" s="1149" t="inlineStr">
        <is>
          <t>Bank SPb  7500-22-020286/45  ( PPP  )</t>
        </is>
      </c>
      <c r="D95" s="1077" t="inlineStr">
        <is>
          <t>SPB</t>
        </is>
      </c>
      <c r="E95" s="1077" t="inlineStr">
        <is>
          <t>no</t>
        </is>
      </c>
      <c r="F95" s="1593" t="n">
        <v>120</v>
      </c>
      <c r="G95" s="1603" t="n">
        <v>120</v>
      </c>
      <c r="H95" s="1595">
        <f>F95-G95</f>
        <v/>
      </c>
      <c r="I95" s="1086" t="n">
        <v>0.215</v>
      </c>
      <c r="K95" s="1086" t="inlineStr">
        <is>
          <t>Float</t>
        </is>
      </c>
      <c r="L95" s="1310">
        <f>+G95*I95</f>
        <v/>
      </c>
      <c r="M95" s="1277" t="n">
        <v>45861</v>
      </c>
      <c r="N95" s="1277" t="n">
        <v>46225</v>
      </c>
      <c r="O95" s="1077" t="n"/>
      <c r="Q95" s="1600" t="n"/>
      <c r="R95" s="1600" t="n"/>
      <c r="S95" s="1600" t="n"/>
      <c r="T95" s="1600" t="n"/>
      <c r="U95" s="1600" t="n"/>
      <c r="V95" s="1600" t="n"/>
      <c r="W95" s="1600" t="n"/>
      <c r="X95" s="1600">
        <f>IF(Y$2&lt;$N95,0,IF($N95&gt;X$2,$G95,0))</f>
        <v/>
      </c>
      <c r="Y95" s="1600">
        <f>IF(Z$2&lt;$N95,0,IF($N95&gt;Y$2,$G95,0))</f>
        <v/>
      </c>
      <c r="Z95" s="1600">
        <f>IF(AA$2&lt;$N95,0,IF($N95&gt;Z$2,$G95,0))</f>
        <v/>
      </c>
      <c r="AA95" s="1600">
        <f>IF(AB$2&lt;$N95,0,IF($N95&gt;AA$2,$G95,0))</f>
        <v/>
      </c>
      <c r="AB95" s="1600">
        <f>IF(AC$2&lt;$N95,0,IF($N95&gt;AB$2,$G95,0))</f>
        <v/>
      </c>
      <c r="AC95" s="1600">
        <f>IF(AD$2&lt;$N95,0,IF($N95&gt;AC$2,$G95,0))</f>
        <v/>
      </c>
      <c r="AD95" s="1600" t="n"/>
      <c r="AL95" s="1595">
        <f>SUM(Q95:AK95)</f>
        <v/>
      </c>
      <c r="AM95" s="1308">
        <f>+AL95-G95</f>
        <v/>
      </c>
      <c r="AN95" s="1077">
        <f>CONCATENATE(B95,K95,A95)</f>
        <v/>
      </c>
      <c r="AO95" s="1077">
        <f>CONCATENATE(B95,K95,A95,E95)</f>
        <v/>
      </c>
    </row>
    <row r="96">
      <c r="G96" s="1603" t="n"/>
      <c r="H96" s="1595" t="n"/>
      <c r="M96" s="1277" t="n"/>
      <c r="N96" s="1277" t="n"/>
      <c r="O96" s="1077" t="n"/>
      <c r="Q96" s="1600" t="n"/>
      <c r="R96" s="1600" t="n"/>
      <c r="S96" s="1600" t="n"/>
      <c r="T96" s="1600" t="n"/>
      <c r="U96" s="1600" t="n"/>
      <c r="V96" s="1600" t="n"/>
      <c r="W96" s="1600" t="n"/>
      <c r="X96" s="1600" t="n"/>
      <c r="Y96" s="1600" t="n"/>
      <c r="Z96" s="1600" t="n"/>
      <c r="AA96" s="1600" t="n"/>
      <c r="AB96" s="1600" t="n"/>
      <c r="AC96" s="1600" t="n"/>
      <c r="AD96" s="1600" t="n"/>
      <c r="AM96" s="1308" t="n"/>
      <c r="AN96" s="1077" t="n"/>
      <c r="AO96" s="1077" t="n"/>
    </row>
    <row r="97">
      <c r="A97" s="1077" t="inlineStr">
        <is>
          <t>LTL</t>
        </is>
      </c>
      <c r="B97" s="1077" t="inlineStr">
        <is>
          <t>APK</t>
        </is>
      </c>
      <c r="C97" s="1149" t="inlineStr">
        <is>
          <t>Sberbank    601521249 ( RBPI Voronezh  )</t>
        </is>
      </c>
      <c r="D97" s="1077" t="inlineStr">
        <is>
          <t>SBER</t>
        </is>
      </c>
      <c r="E97" s="1077" t="inlineStr">
        <is>
          <t>no</t>
        </is>
      </c>
      <c r="F97" s="1593" t="n">
        <v>9098</v>
      </c>
      <c r="G97" s="1603" t="n">
        <v>9098</v>
      </c>
      <c r="H97" s="1595">
        <f>F97-G97</f>
        <v/>
      </c>
      <c r="I97" s="1086" t="n">
        <v>0.0985</v>
      </c>
      <c r="K97" s="1170" t="inlineStr">
        <is>
          <t>Fix</t>
        </is>
      </c>
      <c r="L97" s="1310">
        <f>+G97*I97</f>
        <v/>
      </c>
      <c r="M97" s="1277" t="n">
        <v>44526</v>
      </c>
      <c r="N97" s="1277" t="n">
        <v>48177</v>
      </c>
      <c r="O97" s="1077" t="n"/>
      <c r="Q97" s="1600" t="n"/>
      <c r="R97" s="1604" t="n"/>
      <c r="S97" s="1604" t="n"/>
      <c r="T97" s="1604" t="n"/>
      <c r="U97" s="1604" t="n"/>
      <c r="V97" s="1604" t="n"/>
      <c r="W97" s="1604" t="n"/>
      <c r="X97" s="1604" t="n"/>
      <c r="Y97" s="1604" t="n">
        <v>295</v>
      </c>
      <c r="Z97" s="1604" t="n"/>
      <c r="AA97" s="1604" t="n"/>
      <c r="AB97" s="1604" t="n">
        <v>510</v>
      </c>
      <c r="AC97" s="1595" t="n">
        <v>1395</v>
      </c>
      <c r="AD97" s="1595" t="n">
        <v>1395</v>
      </c>
      <c r="AE97" s="1595" t="n">
        <v>1395</v>
      </c>
      <c r="AF97" s="1595" t="n">
        <v>1395</v>
      </c>
      <c r="AG97" s="1595" t="n">
        <v>1395</v>
      </c>
      <c r="AH97" s="1595" t="n">
        <v>1318</v>
      </c>
      <c r="AI97" s="1595" t="n"/>
      <c r="AL97" s="1595">
        <f>SUM(Q97:AK97)</f>
        <v/>
      </c>
      <c r="AM97" s="1308">
        <f>+AL97-G97</f>
        <v/>
      </c>
      <c r="AN97" s="1077">
        <f>CONCATENATE(B97,K97,A97)</f>
        <v/>
      </c>
      <c r="AO97" s="1077">
        <f>CONCATENATE(B97,K97,A97,E97)</f>
        <v/>
      </c>
    </row>
    <row r="98">
      <c r="A98" s="1077" t="inlineStr">
        <is>
          <t>LTL</t>
        </is>
      </c>
      <c r="B98" s="1077" t="inlineStr">
        <is>
          <t>APK</t>
        </is>
      </c>
      <c r="C98" s="1149" t="inlineStr">
        <is>
          <t>Sberbank    601521222 ( RBPI Voronezh  )</t>
        </is>
      </c>
      <c r="D98" s="1077" t="inlineStr">
        <is>
          <t>SBER</t>
        </is>
      </c>
      <c r="E98" s="1077" t="inlineStr">
        <is>
          <t>no</t>
        </is>
      </c>
      <c r="F98" s="1593" t="n">
        <v>3937</v>
      </c>
      <c r="G98" s="1603" t="n">
        <v>3937</v>
      </c>
      <c r="H98" s="1595">
        <f>F98-G98</f>
        <v/>
      </c>
      <c r="I98" s="1086" t="n">
        <v>0.1201</v>
      </c>
      <c r="K98" s="1170" t="inlineStr">
        <is>
          <t>Fix</t>
        </is>
      </c>
      <c r="L98" s="1310">
        <f>+G98*I98</f>
        <v/>
      </c>
      <c r="M98" s="1277" t="n">
        <v>44526</v>
      </c>
      <c r="N98" s="1277" t="n">
        <v>48177</v>
      </c>
      <c r="O98" s="1077" t="n"/>
      <c r="Q98" s="1600" t="n"/>
      <c r="R98" s="1604" t="n"/>
      <c r="S98" s="1604" t="n"/>
      <c r="T98" s="1604" t="n"/>
      <c r="U98" s="1604" t="n"/>
      <c r="V98" s="1604" t="n"/>
      <c r="W98" s="1604" t="n"/>
      <c r="X98" s="1604" t="n"/>
      <c r="Y98" s="1604" t="n">
        <v>118.5</v>
      </c>
      <c r="Z98" s="1604" t="n"/>
      <c r="AA98" s="1604" t="n"/>
      <c r="AB98" s="1604" t="n">
        <v>238.5</v>
      </c>
      <c r="AC98" s="1595" t="n">
        <v>594</v>
      </c>
      <c r="AD98" s="1595" t="n">
        <v>594</v>
      </c>
      <c r="AE98" s="1595" t="n">
        <v>594</v>
      </c>
      <c r="AF98" s="1595" t="n">
        <v>594</v>
      </c>
      <c r="AG98" s="1595" t="n">
        <v>594</v>
      </c>
      <c r="AH98" s="1595" t="n">
        <v>610</v>
      </c>
      <c r="AI98" s="1595" t="n"/>
      <c r="AL98" s="1595">
        <f>SUM(Q98:AK98)</f>
        <v/>
      </c>
      <c r="AM98" s="1308">
        <f>+AL98-G98</f>
        <v/>
      </c>
      <c r="AN98" s="1077">
        <f>CONCATENATE(B98,K98,A98)</f>
        <v/>
      </c>
      <c r="AO98" s="1077">
        <f>CONCATENATE(B98,K98,A98,E98)</f>
        <v/>
      </c>
    </row>
    <row r="99">
      <c r="A99" s="1077" t="inlineStr">
        <is>
          <t>LTL</t>
        </is>
      </c>
      <c r="B99" s="1077" t="inlineStr">
        <is>
          <t>RBPI</t>
        </is>
      </c>
      <c r="C99" s="1149" t="inlineStr">
        <is>
          <t>VTB BANK   15/18  ( NNPP-2  )</t>
        </is>
      </c>
      <c r="D99" s="1077" t="inlineStr">
        <is>
          <t>VTB</t>
        </is>
      </c>
      <c r="E99" s="1077" t="inlineStr">
        <is>
          <t>yes</t>
        </is>
      </c>
      <c r="F99" s="1603" t="n">
        <v>0</v>
      </c>
      <c r="G99" s="1603" t="n">
        <v>0</v>
      </c>
      <c r="H99" s="1595">
        <f>F99-G99</f>
        <v/>
      </c>
      <c r="I99" s="1086" t="n">
        <v>0.09</v>
      </c>
      <c r="K99" s="1170" t="inlineStr">
        <is>
          <t>Float</t>
        </is>
      </c>
      <c r="L99" s="1310">
        <f>+G99*I99</f>
        <v/>
      </c>
      <c r="M99" s="1277" t="n">
        <v>43307</v>
      </c>
      <c r="N99" s="1277" t="n">
        <v>45862</v>
      </c>
      <c r="O99" s="1077" t="n"/>
      <c r="Q99" s="1600" t="n"/>
      <c r="R99" s="1604" t="n"/>
      <c r="S99" s="1604" t="n"/>
      <c r="T99" s="1604" t="n"/>
      <c r="U99" s="1604" t="n"/>
      <c r="V99" s="1604" t="n"/>
      <c r="W99" s="1604" t="n"/>
      <c r="X99" s="1604" t="n"/>
      <c r="Y99" s="1604" t="n"/>
      <c r="Z99" s="1604" t="n"/>
      <c r="AA99" s="1604" t="n"/>
      <c r="AB99" s="1604" t="n"/>
      <c r="AC99" s="1595" t="n"/>
      <c r="AD99" s="1595" t="n"/>
      <c r="AE99" s="1595" t="n"/>
      <c r="AF99" s="1595" t="n"/>
      <c r="AG99" s="1595" t="n"/>
      <c r="AH99" s="1595" t="n"/>
      <c r="AI99" s="1595" t="n"/>
      <c r="AL99" s="1595">
        <f>SUM(Q99:AK99)</f>
        <v/>
      </c>
      <c r="AM99" s="1308">
        <f>+AL99-G99</f>
        <v/>
      </c>
      <c r="AN99" s="1077">
        <f>CONCATENATE(B99,K99,A99)</f>
        <v/>
      </c>
      <c r="AO99" s="1077">
        <f>CONCATENATE(B99,K99,A99,E99)</f>
        <v/>
      </c>
    </row>
    <row r="100">
      <c r="A100" s="1077" t="inlineStr">
        <is>
          <t>LTL</t>
        </is>
      </c>
      <c r="B100" s="1077" t="inlineStr">
        <is>
          <t>RBPI</t>
        </is>
      </c>
      <c r="C100" s="1149" t="inlineStr">
        <is>
          <t>Bank SPb  7500-24-003260  ( PPP  )</t>
        </is>
      </c>
      <c r="D100" s="1077" t="inlineStr">
        <is>
          <t>SPB</t>
        </is>
      </c>
      <c r="E100" s="1077" t="inlineStr">
        <is>
          <t>no</t>
        </is>
      </c>
      <c r="F100" s="1603" t="n">
        <v>60.91464067</v>
      </c>
      <c r="G100" s="1603" t="n">
        <v>60.91464067</v>
      </c>
      <c r="H100" s="1595">
        <f>F100-G100</f>
        <v/>
      </c>
      <c r="I100" s="1086" t="n">
        <v>0.2385</v>
      </c>
      <c r="K100" s="1170" t="inlineStr">
        <is>
          <t>Fix</t>
        </is>
      </c>
      <c r="L100" s="1310">
        <f>+G100*I100</f>
        <v/>
      </c>
      <c r="M100" s="1277" t="n">
        <v>45323</v>
      </c>
      <c r="N100" s="1277" t="n">
        <v>47149</v>
      </c>
      <c r="O100" s="1077" t="n"/>
      <c r="Q100" s="1600" t="n"/>
      <c r="R100" s="1604" t="n"/>
      <c r="S100" s="1604" t="n"/>
      <c r="T100" s="1604" t="n"/>
      <c r="U100" s="1604" t="n"/>
      <c r="V100" s="1604" t="n"/>
      <c r="W100" s="1604" t="n"/>
      <c r="X100" s="1604" t="n">
        <v>1.458333</v>
      </c>
      <c r="Y100" s="1604" t="n">
        <v>1.458333</v>
      </c>
      <c r="Z100" s="1604" t="n">
        <v>1.458333</v>
      </c>
      <c r="AA100" s="1604" t="n">
        <v>1.458333</v>
      </c>
      <c r="AB100" s="1604" t="n">
        <v>1.458333</v>
      </c>
      <c r="AC100" s="1595" t="n">
        <v>17.499996</v>
      </c>
      <c r="AD100" s="1595" t="n">
        <v>17.499996</v>
      </c>
      <c r="AE100" s="1595" t="n">
        <v>17.499996</v>
      </c>
      <c r="AF100" s="1595" t="n">
        <v>1.122987669999995</v>
      </c>
      <c r="AG100" s="1595" t="n"/>
      <c r="AH100" s="1595" t="n"/>
      <c r="AI100" s="1595" t="n"/>
      <c r="AL100" s="1595">
        <f>SUM(Q100:AK100)</f>
        <v/>
      </c>
      <c r="AM100" s="1308">
        <f>+AL100-G100</f>
        <v/>
      </c>
      <c r="AN100" s="1077">
        <f>CONCATENATE(B100,K100,A100)</f>
        <v/>
      </c>
      <c r="AO100" s="1077">
        <f>CONCATENATE(B100,K100,A100,E100)</f>
        <v/>
      </c>
    </row>
    <row r="101">
      <c r="A101" s="1077" t="inlineStr">
        <is>
          <t>LTL</t>
        </is>
      </c>
      <c r="B101" s="1077" t="inlineStr">
        <is>
          <t>RBPI</t>
        </is>
      </c>
      <c r="C101" s="1149" t="inlineStr">
        <is>
          <t>Bank SPb  7500-22-020286/14  ( PPP  )</t>
        </is>
      </c>
      <c r="D101" s="1077" t="inlineStr">
        <is>
          <t>SPB</t>
        </is>
      </c>
      <c r="E101" s="1077" t="inlineStr">
        <is>
          <t>no</t>
        </is>
      </c>
      <c r="F101" s="1603" t="n">
        <v>125.416665</v>
      </c>
      <c r="G101" s="1603" t="n">
        <v>125.416665</v>
      </c>
      <c r="H101" s="1595">
        <f>F101-G101</f>
        <v/>
      </c>
      <c r="I101" s="1086" t="n">
        <v>0.2388</v>
      </c>
      <c r="K101" s="1170" t="inlineStr">
        <is>
          <t>Fix</t>
        </is>
      </c>
      <c r="L101" s="1310">
        <f>+G101*I101</f>
        <v/>
      </c>
      <c r="M101" s="1277" t="n">
        <v>45355</v>
      </c>
      <c r="N101" s="1277" t="n">
        <v>47179</v>
      </c>
      <c r="O101" s="1077" t="n"/>
      <c r="Q101" s="1600" t="n"/>
      <c r="R101" s="1604" t="n"/>
      <c r="S101" s="1604" t="n"/>
      <c r="T101" s="1604" t="n"/>
      <c r="U101" s="1604" t="n"/>
      <c r="V101" s="1604" t="n"/>
      <c r="W101" s="1604" t="n"/>
      <c r="X101" s="1604" t="n">
        <v>2.916667</v>
      </c>
      <c r="Y101" s="1604" t="n">
        <v>2.916667</v>
      </c>
      <c r="Z101" s="1604" t="n">
        <v>2.916667</v>
      </c>
      <c r="AA101" s="1604" t="n">
        <v>2.916667</v>
      </c>
      <c r="AB101" s="1604" t="n">
        <v>2.916667</v>
      </c>
      <c r="AC101" s="1595" t="n">
        <v>35.000004</v>
      </c>
      <c r="AD101" s="1595" t="n">
        <v>35.000004</v>
      </c>
      <c r="AE101" s="1595" t="n">
        <v>35.000004</v>
      </c>
      <c r="AF101" s="1595" t="n">
        <v>5.833318000000012</v>
      </c>
      <c r="AG101" s="1595" t="n"/>
      <c r="AH101" s="1595" t="n"/>
      <c r="AI101" s="1595" t="n"/>
      <c r="AL101" s="1595">
        <f>SUM(Q101:AK101)</f>
        <v/>
      </c>
      <c r="AM101" s="1595">
        <f>+AL101-G101</f>
        <v/>
      </c>
      <c r="AN101" s="1077">
        <f>CONCATENATE(B101,K101,A101)</f>
        <v/>
      </c>
      <c r="AO101" s="1077">
        <f>CONCATENATE(B101,K101,A101,E101)</f>
        <v/>
      </c>
    </row>
    <row r="102">
      <c r="A102" s="1077" t="inlineStr">
        <is>
          <t>LTL</t>
        </is>
      </c>
      <c r="B102" s="1077" t="inlineStr">
        <is>
          <t>RBPI</t>
        </is>
      </c>
      <c r="C102" s="1149" t="inlineStr">
        <is>
          <t>Gasprombank  0117-053   ( PPP-2  )</t>
        </is>
      </c>
      <c r="D102" s="1077" t="inlineStr">
        <is>
          <t>GPB</t>
        </is>
      </c>
      <c r="E102" s="1077" t="inlineStr">
        <is>
          <t>yes</t>
        </is>
      </c>
      <c r="F102" s="1603" t="n">
        <v>90.00069542</v>
      </c>
      <c r="G102" s="1603" t="n">
        <v>90.00069542</v>
      </c>
      <c r="H102" s="1595">
        <f>F102-G102</f>
        <v/>
      </c>
      <c r="I102" s="1086" t="n">
        <v>0.09</v>
      </c>
      <c r="K102" s="1170" t="inlineStr">
        <is>
          <t>Fix</t>
        </is>
      </c>
      <c r="L102" s="1310">
        <f>+G102*I102</f>
        <v/>
      </c>
      <c r="M102" s="1277" t="n">
        <v>43000</v>
      </c>
      <c r="N102" s="1277" t="n">
        <v>45919</v>
      </c>
      <c r="O102" s="1077" t="n"/>
      <c r="Q102" s="1600" t="n"/>
      <c r="R102" s="1604" t="n"/>
      <c r="S102" s="1604" t="n"/>
      <c r="T102" s="1604" t="n"/>
      <c r="U102" s="1604" t="n"/>
      <c r="V102" s="1604" t="n"/>
      <c r="W102" s="1604" t="n"/>
      <c r="X102" s="1604" t="n">
        <v>45</v>
      </c>
      <c r="Y102" s="1604" t="n">
        <v>45.00069542</v>
      </c>
      <c r="Z102" s="1604" t="n"/>
      <c r="AA102" s="1604" t="n"/>
      <c r="AB102" s="1604" t="n"/>
      <c r="AC102" s="1595" t="n"/>
      <c r="AD102" s="1595" t="n"/>
      <c r="AE102" s="1595" t="n"/>
      <c r="AF102" s="1595" t="n"/>
      <c r="AG102" s="1595" t="n"/>
      <c r="AH102" s="1595" t="n"/>
      <c r="AI102" s="1595" t="n"/>
      <c r="AL102" s="1595">
        <f>SUM(Q102:AK102)</f>
        <v/>
      </c>
      <c r="AM102" s="1595">
        <f>+AL102-G102</f>
        <v/>
      </c>
      <c r="AN102" s="1077">
        <f>CONCATENATE(B102,K102,A102)</f>
        <v/>
      </c>
      <c r="AO102" s="1077">
        <f>CONCATENATE(B102,K102,A102,E102)</f>
        <v/>
      </c>
    </row>
    <row r="103">
      <c r="A103" s="1077" t="inlineStr">
        <is>
          <t>LTL</t>
        </is>
      </c>
      <c r="B103" s="1077" t="inlineStr">
        <is>
          <t>RBPI</t>
        </is>
      </c>
      <c r="C103" s="1149" t="inlineStr">
        <is>
          <t>Gasprombank  0118-046   ( PPP-2  )</t>
        </is>
      </c>
      <c r="D103" s="1077" t="inlineStr">
        <is>
          <t>GPB</t>
        </is>
      </c>
      <c r="E103" s="1077" t="inlineStr">
        <is>
          <t>yes</t>
        </is>
      </c>
      <c r="F103" s="1603" t="n">
        <v>1338.54224232</v>
      </c>
      <c r="G103" s="1603" t="n">
        <v>1338.54224232</v>
      </c>
      <c r="H103" s="1595">
        <f>F103-G103</f>
        <v/>
      </c>
      <c r="I103" s="1086" t="n">
        <v>0.09</v>
      </c>
      <c r="K103" s="1170" t="inlineStr">
        <is>
          <t>Fix</t>
        </is>
      </c>
      <c r="L103" s="1310">
        <f>+G103*I103</f>
        <v/>
      </c>
      <c r="M103" s="1277" t="n">
        <v>43304</v>
      </c>
      <c r="N103" s="1277" t="n">
        <v>46225</v>
      </c>
      <c r="O103" s="1077" t="n"/>
      <c r="Q103" s="1600" t="n"/>
      <c r="R103" s="1604" t="n"/>
      <c r="S103" s="1604" t="n"/>
      <c r="T103" s="1604" t="n"/>
      <c r="U103" s="1604" t="n"/>
      <c r="V103" s="1604" t="n"/>
      <c r="W103" s="1604" t="n"/>
      <c r="X103" s="1604" t="n"/>
      <c r="Y103" s="1604" t="n">
        <v>172.480107</v>
      </c>
      <c r="Z103" s="1604" t="n"/>
      <c r="AA103" s="1604" t="n"/>
      <c r="AB103" s="1604" t="n">
        <v>172.480107</v>
      </c>
      <c r="AC103" s="1595" t="n">
        <v>993.5820283199999</v>
      </c>
      <c r="AD103" s="1595" t="n"/>
      <c r="AE103" s="1595" t="n"/>
      <c r="AF103" s="1595" t="n"/>
      <c r="AG103" s="1595" t="n"/>
      <c r="AH103" s="1595" t="n"/>
      <c r="AI103" s="1595" t="n"/>
      <c r="AL103" s="1595">
        <f>SUM(Q103:AK103)</f>
        <v/>
      </c>
      <c r="AM103" s="1595">
        <f>+AL103-G103</f>
        <v/>
      </c>
      <c r="AN103" s="1077">
        <f>CONCATENATE(B103,K103,A103)</f>
        <v/>
      </c>
      <c r="AO103" s="1077">
        <f>CONCATENATE(B103,K103,A103,E103)</f>
        <v/>
      </c>
    </row>
    <row r="104">
      <c r="A104" s="1077" t="inlineStr">
        <is>
          <t>LTL</t>
        </is>
      </c>
      <c r="B104" s="1077" t="inlineStr">
        <is>
          <t>RBPI</t>
        </is>
      </c>
      <c r="C104" s="1149" t="inlineStr">
        <is>
          <t>Gasprombank  0118-045  ( PPP-2  )</t>
        </is>
      </c>
      <c r="D104" s="1077" t="inlineStr">
        <is>
          <t>GPB</t>
        </is>
      </c>
      <c r="E104" s="1077" t="inlineStr">
        <is>
          <t>yes</t>
        </is>
      </c>
      <c r="F104" s="1603" t="n">
        <v>1334.4832534</v>
      </c>
      <c r="G104" s="1603" t="n">
        <v>1334.4832534</v>
      </c>
      <c r="H104" s="1595">
        <f>F104-G104</f>
        <v/>
      </c>
      <c r="I104" s="1086" t="n">
        <v>0.09</v>
      </c>
      <c r="K104" s="1170" t="inlineStr">
        <is>
          <t>Fix</t>
        </is>
      </c>
      <c r="L104" s="1310">
        <f>+G104*I104</f>
        <v/>
      </c>
      <c r="M104" s="1277" t="n">
        <v>43304</v>
      </c>
      <c r="N104" s="1277" t="n">
        <v>46225</v>
      </c>
      <c r="O104" s="1077" t="n"/>
      <c r="Q104" s="1600" t="n"/>
      <c r="R104" s="1604" t="n"/>
      <c r="S104" s="1604" t="n"/>
      <c r="T104" s="1604" t="n"/>
      <c r="U104" s="1604" t="n"/>
      <c r="V104" s="1604" t="n"/>
      <c r="W104" s="1604" t="n"/>
      <c r="X104" s="1604" t="n"/>
      <c r="Y104" s="1604" t="n">
        <v>179.972874</v>
      </c>
      <c r="Z104" s="1604" t="n"/>
      <c r="AA104" s="1604" t="n"/>
      <c r="AB104" s="1604" t="n">
        <v>179.972874</v>
      </c>
      <c r="AC104" s="1595" t="n">
        <v>974.5375054000003</v>
      </c>
      <c r="AD104" s="1595" t="n"/>
      <c r="AE104" s="1595" t="n"/>
      <c r="AF104" s="1595" t="n"/>
      <c r="AG104" s="1595" t="n"/>
      <c r="AH104" s="1595" t="n"/>
      <c r="AI104" s="1595" t="n"/>
      <c r="AL104" s="1595">
        <f>SUM(Q104:AK104)</f>
        <v/>
      </c>
      <c r="AM104" s="1595">
        <f>+AL104-G104</f>
        <v/>
      </c>
      <c r="AN104" s="1077">
        <f>CONCATENATE(B104,K104,A104)</f>
        <v/>
      </c>
      <c r="AO104" s="1077">
        <f>CONCATENATE(B104,K104,A104,E104)</f>
        <v/>
      </c>
    </row>
    <row r="105">
      <c r="A105" s="1077" t="inlineStr">
        <is>
          <t>LTL</t>
        </is>
      </c>
      <c r="B105" s="1077" t="inlineStr">
        <is>
          <t>RBPI</t>
        </is>
      </c>
      <c r="C105" s="1149" t="inlineStr">
        <is>
          <t>Bank SPb  7500-22-020286/19 ( PPP  )</t>
        </is>
      </c>
      <c r="D105" s="1077" t="inlineStr">
        <is>
          <t>SPB</t>
        </is>
      </c>
      <c r="E105" s="1077" t="inlineStr">
        <is>
          <t>no</t>
        </is>
      </c>
      <c r="F105" s="1603" t="n">
        <v>61.94380646</v>
      </c>
      <c r="G105" s="1603" t="n">
        <v>61.94380646</v>
      </c>
      <c r="H105" s="1595">
        <f>F105-G105</f>
        <v/>
      </c>
      <c r="I105" s="1086" t="n">
        <v>0.215</v>
      </c>
      <c r="K105" s="1086" t="inlineStr">
        <is>
          <t>Float</t>
        </is>
      </c>
      <c r="L105" s="1310">
        <f>+G105*I105</f>
        <v/>
      </c>
      <c r="M105" s="1277" t="n">
        <v>45436</v>
      </c>
      <c r="N105" s="1277" t="n">
        <v>47261</v>
      </c>
      <c r="O105" s="1077" t="n"/>
      <c r="Q105" s="1600" t="n"/>
      <c r="R105" s="1604" t="n"/>
      <c r="S105" s="1604" t="n"/>
      <c r="T105" s="1604" t="n"/>
      <c r="U105" s="1604" t="n"/>
      <c r="V105" s="1604" t="n"/>
      <c r="W105" s="1604" t="n"/>
      <c r="X105" s="1604" t="n">
        <v>1.3542</v>
      </c>
      <c r="Y105" s="1604" t="n">
        <v>1.3542</v>
      </c>
      <c r="Z105" s="1604" t="n">
        <v>1.3542</v>
      </c>
      <c r="AA105" s="1604" t="n">
        <v>1.3542</v>
      </c>
      <c r="AB105" s="1604" t="n">
        <v>1.3542</v>
      </c>
      <c r="AC105" s="1604" t="n">
        <v>16.2504</v>
      </c>
      <c r="AD105" s="1604" t="n">
        <v>16.2504</v>
      </c>
      <c r="AE105" s="1604" t="n">
        <v>16.2504</v>
      </c>
      <c r="AF105" s="1604" t="n">
        <v>6.42160646</v>
      </c>
      <c r="AG105" s="1604" t="n"/>
      <c r="AH105" s="1595" t="n"/>
      <c r="AI105" s="1595" t="n"/>
      <c r="AL105" s="1595">
        <f>SUM(Q105:AK105)</f>
        <v/>
      </c>
      <c r="AM105" s="1308">
        <f>+AL105-G105</f>
        <v/>
      </c>
      <c r="AN105" s="1077">
        <f>CONCATENATE(B105,K105,A105)</f>
        <v/>
      </c>
      <c r="AO105" s="1077">
        <f>CONCATENATE(B105,K105,A105,E105)</f>
        <v/>
      </c>
    </row>
    <row r="106">
      <c r="A106" s="1077" t="inlineStr">
        <is>
          <t>LTL</t>
        </is>
      </c>
      <c r="B106" s="1077" t="inlineStr">
        <is>
          <t>RBPI</t>
        </is>
      </c>
      <c r="C106" s="1149" t="inlineStr">
        <is>
          <t>Bank SPb  7500-22-020286/15 ( PPP )</t>
        </is>
      </c>
      <c r="D106" s="1077" t="inlineStr">
        <is>
          <t>SPB</t>
        </is>
      </c>
      <c r="E106" s="1077" t="inlineStr">
        <is>
          <t>no</t>
        </is>
      </c>
      <c r="F106" s="1603" t="n">
        <v>73.333332</v>
      </c>
      <c r="G106" s="1603" t="n">
        <v>73.333332</v>
      </c>
      <c r="H106" s="1595">
        <f>F106-G106</f>
        <v/>
      </c>
      <c r="I106" s="1086" t="n">
        <v>0.2388</v>
      </c>
      <c r="J106" s="1086" t="n"/>
      <c r="K106" s="1170" t="inlineStr">
        <is>
          <t>Fix</t>
        </is>
      </c>
      <c r="L106" s="1310">
        <f>+G106*I106</f>
        <v/>
      </c>
      <c r="M106" s="1277" t="n">
        <v>45370</v>
      </c>
      <c r="N106" s="1277" t="n">
        <v>47193</v>
      </c>
      <c r="O106" s="1287" t="n"/>
      <c r="Q106" s="1600" t="n"/>
      <c r="R106" s="1604" t="n"/>
      <c r="S106" s="1604" t="n"/>
      <c r="T106" s="1604" t="n"/>
      <c r="U106" s="1604" t="n"/>
      <c r="V106" s="1604" t="n"/>
      <c r="W106" s="1604" t="n"/>
      <c r="X106" s="1604" t="n">
        <v>1.666667</v>
      </c>
      <c r="Y106" s="1604" t="n">
        <v>1.666667</v>
      </c>
      <c r="Z106" s="1604" t="n">
        <v>1.666667</v>
      </c>
      <c r="AA106" s="1604" t="n">
        <v>1.666667</v>
      </c>
      <c r="AB106" s="1604" t="n">
        <v>1.666667</v>
      </c>
      <c r="AC106" s="1595" t="n">
        <v>20.000004</v>
      </c>
      <c r="AD106" s="1595" t="n">
        <v>20.000004</v>
      </c>
      <c r="AE106" s="1595" t="n">
        <v>20.000004</v>
      </c>
      <c r="AF106" s="1595" t="n">
        <v>4.999985000000014</v>
      </c>
      <c r="AG106" s="1595" t="n"/>
      <c r="AH106" s="1595" t="n"/>
      <c r="AI106" s="1595" t="n"/>
      <c r="AL106" s="1595">
        <f>SUM(Q106:AK106)</f>
        <v/>
      </c>
      <c r="AM106" s="1308">
        <f>+AL106-G106</f>
        <v/>
      </c>
      <c r="AN106" s="1077">
        <f>CONCATENATE(B106,K106,A106)</f>
        <v/>
      </c>
      <c r="AO106" s="1077">
        <f>CONCATENATE(B106,K106,A106,E106)</f>
        <v/>
      </c>
    </row>
    <row r="107" ht="15" customHeight="1">
      <c r="A107" s="1077" t="inlineStr">
        <is>
          <t>LTL</t>
        </is>
      </c>
      <c r="B107" s="1077" t="inlineStr">
        <is>
          <t>RBPI</t>
        </is>
      </c>
      <c r="C107" s="1149" t="inlineStr">
        <is>
          <t>Bank SPb  7500-22-020286/35 ( PPP )</t>
        </is>
      </c>
      <c r="D107" s="1077" t="inlineStr">
        <is>
          <t>SPB</t>
        </is>
      </c>
      <c r="E107" s="1077" t="inlineStr">
        <is>
          <t>no</t>
        </is>
      </c>
      <c r="F107" s="1593" t="n">
        <v>100</v>
      </c>
      <c r="G107" s="1603" t="n">
        <v>96.08894201000001</v>
      </c>
      <c r="H107" s="1595">
        <f>F107-G107</f>
        <v/>
      </c>
      <c r="I107" s="1086" t="n">
        <v>0.235</v>
      </c>
      <c r="J107" s="1086" t="n"/>
      <c r="K107" s="1170" t="inlineStr">
        <is>
          <t>Float</t>
        </is>
      </c>
      <c r="L107" s="1310">
        <f>+G107*I107</f>
        <v/>
      </c>
      <c r="M107" s="1277" t="n">
        <v>45722</v>
      </c>
      <c r="N107" s="1277" t="n">
        <v>47193</v>
      </c>
      <c r="O107" s="1287" t="n"/>
      <c r="Q107" s="1600" t="n"/>
      <c r="R107" s="1604" t="n"/>
      <c r="S107" s="1604" t="n"/>
      <c r="T107" s="1604" t="n"/>
      <c r="U107" s="1604" t="n"/>
      <c r="V107" s="1604" t="n"/>
      <c r="W107" s="1604" t="n"/>
      <c r="X107" s="1604" t="n"/>
      <c r="Y107" s="1604" t="n"/>
      <c r="Z107" s="1604" t="n"/>
      <c r="AA107" s="1604" t="n"/>
      <c r="AB107" s="1604" t="n"/>
      <c r="AC107" s="1595" t="n"/>
      <c r="AD107" s="1595" t="n"/>
      <c r="AE107" s="1595" t="n"/>
      <c r="AF107" s="1595" t="n">
        <v>96.08894201</v>
      </c>
      <c r="AG107" s="1595" t="n"/>
      <c r="AH107" s="1595" t="n"/>
      <c r="AI107" s="1595" t="n"/>
      <c r="AL107" s="1595">
        <f>SUM(Q107:AK107)</f>
        <v/>
      </c>
      <c r="AM107" s="1308">
        <f>+AL107-G107</f>
        <v/>
      </c>
      <c r="AN107" s="1077" t="n"/>
      <c r="AO107" s="1077" t="n"/>
      <c r="AQ107" s="1308" t="n"/>
    </row>
    <row r="108">
      <c r="A108" s="1077" t="inlineStr">
        <is>
          <t>LTL</t>
        </is>
      </c>
      <c r="B108" s="1077" t="inlineStr">
        <is>
          <t>RBPI</t>
        </is>
      </c>
      <c r="C108" s="1149" t="inlineStr">
        <is>
          <t>Bank SPb  7500-22-020286/4 ( PPP  )</t>
        </is>
      </c>
      <c r="D108" s="1077" t="inlineStr">
        <is>
          <t>SPB</t>
        </is>
      </c>
      <c r="E108" s="1077" t="inlineStr">
        <is>
          <t>no</t>
        </is>
      </c>
      <c r="F108" s="1603" t="n">
        <v>39.716</v>
      </c>
      <c r="G108" s="1603" t="n">
        <v>39.716</v>
      </c>
      <c r="H108" s="1595">
        <f>F108-G108</f>
        <v/>
      </c>
      <c r="I108" s="1086" t="n">
        <v>0.2354</v>
      </c>
      <c r="J108" s="1086" t="n"/>
      <c r="K108" s="1170" t="inlineStr">
        <is>
          <t>Fix</t>
        </is>
      </c>
      <c r="L108" s="1310">
        <f>+G108*I108</f>
        <v/>
      </c>
      <c r="M108" s="1277" t="n">
        <v>45050</v>
      </c>
      <c r="N108" s="1277" t="n">
        <v>46507</v>
      </c>
      <c r="O108" s="1287" t="n"/>
      <c r="Q108" s="1600" t="n"/>
      <c r="R108" s="1604" t="n"/>
      <c r="S108" s="1604" t="n"/>
      <c r="T108" s="1604" t="n"/>
      <c r="U108" s="1604" t="n"/>
      <c r="V108" s="1604" t="n"/>
      <c r="W108" s="1604" t="n"/>
      <c r="X108" s="1604" t="n">
        <v>1.806</v>
      </c>
      <c r="Y108" s="1604" t="n">
        <v>1.806</v>
      </c>
      <c r="Z108" s="1604" t="n">
        <v>1.806</v>
      </c>
      <c r="AA108" s="1604" t="n">
        <v>1.806</v>
      </c>
      <c r="AB108" s="1604" t="n">
        <v>1.806</v>
      </c>
      <c r="AC108" s="1595" t="n">
        <v>21.672</v>
      </c>
      <c r="AD108" s="1595" t="n">
        <v>9.013999999999999</v>
      </c>
      <c r="AE108" s="1595" t="n"/>
      <c r="AF108" s="1595" t="n"/>
      <c r="AG108" s="1595" t="n"/>
      <c r="AH108" s="1595" t="n"/>
      <c r="AI108" s="1595" t="n"/>
      <c r="AL108" s="1595">
        <f>SUM(Q108:AK108)</f>
        <v/>
      </c>
      <c r="AM108" s="1308">
        <f>+AL108-G108</f>
        <v/>
      </c>
      <c r="AN108" s="1077">
        <f>CONCATENATE(B108,K108,A108)</f>
        <v/>
      </c>
      <c r="AO108" s="1077">
        <f>CONCATENATE(B108,K108,A108,E108)</f>
        <v/>
      </c>
    </row>
    <row r="109">
      <c r="A109" s="1077" t="inlineStr">
        <is>
          <t>LTL</t>
        </is>
      </c>
      <c r="B109" s="1077" t="inlineStr">
        <is>
          <t>RBPI</t>
        </is>
      </c>
      <c r="C109" s="1149" t="inlineStr">
        <is>
          <t>Bank SPb  7500-22-020286/11  ( PPP  )</t>
        </is>
      </c>
      <c r="D109" s="1077" t="inlineStr">
        <is>
          <t>SPB</t>
        </is>
      </c>
      <c r="E109" s="1077" t="inlineStr">
        <is>
          <t>no</t>
        </is>
      </c>
      <c r="F109" s="1603" t="n">
        <v>50.55</v>
      </c>
      <c r="G109" s="1603" t="n">
        <v>50.55</v>
      </c>
      <c r="H109" s="1595">
        <f>F109-G109</f>
        <v/>
      </c>
      <c r="I109" s="1086" t="n">
        <v>0.2385</v>
      </c>
      <c r="J109" s="1086" t="n"/>
      <c r="K109" s="1170" t="inlineStr">
        <is>
          <t>Fix</t>
        </is>
      </c>
      <c r="L109" s="1310">
        <f>+G109*I109</f>
        <v/>
      </c>
      <c r="M109" s="1277" t="n">
        <v>45197</v>
      </c>
      <c r="N109" s="1277" t="n">
        <v>46657</v>
      </c>
      <c r="O109" s="1287" t="n"/>
      <c r="Q109" s="1600" t="n"/>
      <c r="R109" s="1604" t="n"/>
      <c r="S109" s="1604" t="n"/>
      <c r="T109" s="1604" t="n"/>
      <c r="U109" s="1604" t="n"/>
      <c r="V109" s="1604" t="n"/>
      <c r="W109" s="1604" t="n"/>
      <c r="X109" s="1604" t="n">
        <v>1.945</v>
      </c>
      <c r="Y109" s="1604" t="n">
        <v>1.945</v>
      </c>
      <c r="Z109" s="1604" t="n">
        <v>1.945</v>
      </c>
      <c r="AA109" s="1604" t="n">
        <v>1.945</v>
      </c>
      <c r="AB109" s="1604" t="n">
        <v>1.945</v>
      </c>
      <c r="AC109" s="1604" t="n">
        <v>23.34</v>
      </c>
      <c r="AD109" s="1595" t="n">
        <v>17.485</v>
      </c>
      <c r="AE109" s="1595" t="n"/>
      <c r="AF109" s="1595" t="n"/>
      <c r="AG109" s="1595" t="n"/>
      <c r="AH109" s="1595" t="n"/>
      <c r="AI109" s="1595" t="n"/>
      <c r="AL109" s="1595">
        <f>SUM(Q109:AK109)</f>
        <v/>
      </c>
      <c r="AM109" s="1308">
        <f>+AL109-G109</f>
        <v/>
      </c>
      <c r="AN109" s="1077">
        <f>CONCATENATE(B109,K109,A109)</f>
        <v/>
      </c>
      <c r="AO109" s="1077">
        <f>CONCATENATE(B109,K109,A109,E109)</f>
        <v/>
      </c>
    </row>
    <row r="110">
      <c r="A110" s="1077" t="inlineStr">
        <is>
          <t>LTL</t>
        </is>
      </c>
      <c r="B110" s="1077" t="inlineStr">
        <is>
          <t>RBPI</t>
        </is>
      </c>
      <c r="C110" s="1149" t="inlineStr">
        <is>
          <t>Bank SPb  7500-23-042170 ( PPP  )</t>
        </is>
      </c>
      <c r="D110" s="1077" t="inlineStr">
        <is>
          <t>SPB</t>
        </is>
      </c>
      <c r="E110" s="1077" t="inlineStr">
        <is>
          <t>no</t>
        </is>
      </c>
      <c r="F110" s="1603" t="n">
        <v>230.625</v>
      </c>
      <c r="G110" s="1603" t="n">
        <v>230.625</v>
      </c>
      <c r="H110" s="1595">
        <f>F110-G110</f>
        <v/>
      </c>
      <c r="I110" s="1086" t="n">
        <v>0.2465</v>
      </c>
      <c r="J110" s="1086" t="n"/>
      <c r="K110" s="1170" t="inlineStr">
        <is>
          <t>Fix</t>
        </is>
      </c>
      <c r="L110" s="1310">
        <f>+G110*I110</f>
        <v/>
      </c>
      <c r="M110" s="1277" t="n">
        <v>45271</v>
      </c>
      <c r="N110" s="1277" t="n">
        <v>47095</v>
      </c>
      <c r="O110" s="1287" t="n"/>
      <c r="Q110" s="1600" t="n"/>
      <c r="R110" s="1604" t="n"/>
      <c r="S110" s="1604" t="n"/>
      <c r="T110" s="1604" t="n"/>
      <c r="U110" s="1604" t="n"/>
      <c r="V110" s="1604" t="n"/>
      <c r="W110" s="1604" t="n"/>
      <c r="X110" s="1604" t="n">
        <v>5.625</v>
      </c>
      <c r="Y110" s="1604" t="n">
        <v>5.625</v>
      </c>
      <c r="Z110" s="1604" t="n">
        <v>5.625</v>
      </c>
      <c r="AA110" s="1604" t="n">
        <v>5.625</v>
      </c>
      <c r="AB110" s="1604" t="n">
        <v>5.625</v>
      </c>
      <c r="AC110" s="1595" t="n">
        <v>67.5</v>
      </c>
      <c r="AD110" s="1595" t="n">
        <v>67.5</v>
      </c>
      <c r="AE110" s="1595" t="n">
        <v>67.5</v>
      </c>
      <c r="AF110" s="1595" t="n"/>
      <c r="AG110" s="1595" t="n"/>
      <c r="AH110" s="1595" t="n"/>
      <c r="AI110" s="1595" t="n"/>
      <c r="AL110" s="1595">
        <f>SUM(Q110:AK110)</f>
        <v/>
      </c>
      <c r="AM110" s="1308">
        <f>+AL110-G110</f>
        <v/>
      </c>
      <c r="AN110" s="1077">
        <f>CONCATENATE(B110,K110,A110)</f>
        <v/>
      </c>
      <c r="AO110" s="1077">
        <f>CONCATENATE(B110,K110,A110,E110)</f>
        <v/>
      </c>
    </row>
    <row r="111">
      <c r="A111" s="1077" t="inlineStr">
        <is>
          <t>LTL</t>
        </is>
      </c>
      <c r="B111" s="1077" t="inlineStr">
        <is>
          <t>RBPI</t>
        </is>
      </c>
      <c r="C111" s="1149" t="inlineStr">
        <is>
          <t>Bank SPb  7500-22-003340  ( PPP  )</t>
        </is>
      </c>
      <c r="D111" s="1077" t="inlineStr">
        <is>
          <t>SPB</t>
        </is>
      </c>
      <c r="E111" s="1077" t="inlineStr">
        <is>
          <t>no</t>
        </is>
      </c>
      <c r="F111" s="1603" t="n">
        <v>54.79945946</v>
      </c>
      <c r="G111" s="1603" t="n">
        <v>54.79945946</v>
      </c>
      <c r="H111" s="1595">
        <f>F111-G111</f>
        <v/>
      </c>
      <c r="I111" s="1086" t="n">
        <v>0.2424</v>
      </c>
      <c r="J111" s="1086" t="n"/>
      <c r="K111" s="1170" t="inlineStr">
        <is>
          <t>Fix</t>
        </is>
      </c>
      <c r="L111" s="1310">
        <f>+G111*I111</f>
        <v/>
      </c>
      <c r="M111" s="1277" t="n">
        <v>44616</v>
      </c>
      <c r="N111" s="1277" t="n">
        <v>46386</v>
      </c>
      <c r="O111" s="1287" t="n"/>
      <c r="Q111" s="1600" t="n"/>
      <c r="R111" s="1604" t="n"/>
      <c r="S111" s="1604" t="n"/>
      <c r="T111" s="1604" t="n"/>
      <c r="U111" s="1604" t="n"/>
      <c r="V111" s="1604" t="n"/>
      <c r="W111" s="1604" t="n"/>
      <c r="X111" s="1604" t="n">
        <v>3.260869</v>
      </c>
      <c r="Y111" s="1604" t="n">
        <v>3.260869</v>
      </c>
      <c r="Z111" s="1604" t="n">
        <v>3.260869</v>
      </c>
      <c r="AA111" s="1604" t="n">
        <v>3.260869</v>
      </c>
      <c r="AB111" s="1604" t="n">
        <v>3.260869</v>
      </c>
      <c r="AC111" s="1595" t="n">
        <v>38.49511446</v>
      </c>
      <c r="AD111" s="1595" t="n"/>
      <c r="AE111" s="1595" t="n"/>
      <c r="AF111" s="1595" t="n"/>
      <c r="AG111" s="1595" t="n"/>
      <c r="AH111" s="1595" t="n"/>
      <c r="AI111" s="1595" t="n"/>
      <c r="AL111" s="1595">
        <f>SUM(Q111:AK111)</f>
        <v/>
      </c>
      <c r="AM111" s="1308">
        <f>+AL111-G111</f>
        <v/>
      </c>
      <c r="AN111" s="1077">
        <f>CONCATENATE(B111,K111,A111)</f>
        <v/>
      </c>
      <c r="AO111" s="1077">
        <f>CONCATENATE(B111,K111,A111,E111)</f>
        <v/>
      </c>
    </row>
    <row r="112">
      <c r="A112" s="1077" t="inlineStr">
        <is>
          <t>LTL</t>
        </is>
      </c>
      <c r="B112" s="1077" t="inlineStr">
        <is>
          <t>RBPI</t>
        </is>
      </c>
      <c r="C112" s="1149" t="inlineStr">
        <is>
          <t>Gasprombank  0118-066 ( Rechnoe   )</t>
        </is>
      </c>
      <c r="D112" s="1077" t="inlineStr">
        <is>
          <t>GPB</t>
        </is>
      </c>
      <c r="E112" s="1077" t="inlineStr">
        <is>
          <t>yes</t>
        </is>
      </c>
      <c r="F112" s="1603" t="n">
        <v>135.31214051</v>
      </c>
      <c r="G112" s="1603" t="n">
        <v>135.31214051</v>
      </c>
      <c r="H112" s="1595">
        <f>F112-G112</f>
        <v/>
      </c>
      <c r="I112" s="1086" t="n">
        <v>0.09</v>
      </c>
      <c r="K112" s="1170" t="inlineStr">
        <is>
          <t>Fix</t>
        </is>
      </c>
      <c r="L112" s="1310">
        <f>+G112*I112</f>
        <v/>
      </c>
      <c r="M112" s="1277" t="n">
        <v>43434</v>
      </c>
      <c r="N112" s="1277" t="n">
        <v>46353</v>
      </c>
      <c r="Q112" s="1600" t="n"/>
      <c r="R112" s="1602" t="n"/>
      <c r="S112" s="1604" t="n"/>
      <c r="T112" s="1604" t="n"/>
      <c r="U112" s="1604" t="n"/>
      <c r="V112" s="1604" t="n"/>
      <c r="W112" s="1604" t="n"/>
      <c r="X112" s="1604" t="n"/>
      <c r="Y112" s="1604">
        <f>+V112</f>
        <v/>
      </c>
      <c r="Z112" s="1604" t="n"/>
      <c r="AA112" s="1604" t="n"/>
      <c r="AB112" s="1604">
        <f>+Y112</f>
        <v/>
      </c>
      <c r="AC112" s="1602" t="n">
        <v>90.20809486</v>
      </c>
      <c r="AD112" s="1602" t="n">
        <v>45.10404564999997</v>
      </c>
      <c r="AE112" s="1602" t="n"/>
      <c r="AF112" s="1602" t="n"/>
      <c r="AG112" s="1602" t="n"/>
      <c r="AH112" s="1602" t="n"/>
      <c r="AI112" s="1602" t="n"/>
      <c r="AL112" s="1595">
        <f>SUM(Q112:AK112)</f>
        <v/>
      </c>
      <c r="AM112" s="1308">
        <f>+AL112-G112</f>
        <v/>
      </c>
      <c r="AN112" s="1077">
        <f>CONCATENATE(B112,K112,A112)</f>
        <v/>
      </c>
      <c r="AO112" s="1077">
        <f>CONCATENATE(B112,K112,A112,E112)</f>
        <v/>
      </c>
    </row>
    <row r="113">
      <c r="A113" s="1077" t="inlineStr">
        <is>
          <t>LTL</t>
        </is>
      </c>
      <c r="B113" s="1077" t="inlineStr">
        <is>
          <t>RBPI</t>
        </is>
      </c>
      <c r="C113" s="1149" t="inlineStr">
        <is>
          <t>Gasprombank  0121-014  ( NNPP  )</t>
        </is>
      </c>
      <c r="D113" s="1077" t="inlineStr">
        <is>
          <t>GPB</t>
        </is>
      </c>
      <c r="E113" s="1077" t="inlineStr">
        <is>
          <t>yes</t>
        </is>
      </c>
      <c r="F113" s="1603" t="n">
        <v>60.65603085</v>
      </c>
      <c r="G113" s="1603" t="n">
        <v>60.65603085</v>
      </c>
      <c r="H113" s="1595">
        <f>F113-G113</f>
        <v/>
      </c>
      <c r="I113" s="1086" t="n">
        <v>0.09</v>
      </c>
      <c r="K113" s="1170" t="inlineStr">
        <is>
          <t>Fix</t>
        </is>
      </c>
      <c r="L113" s="1310">
        <f>+G113*I113</f>
        <v/>
      </c>
      <c r="M113" s="1277" t="n">
        <v>44341</v>
      </c>
      <c r="N113" s="1277" t="n">
        <v>46164</v>
      </c>
      <c r="Q113" s="1600" t="n"/>
      <c r="R113" s="1602" t="n"/>
      <c r="S113" s="1604" t="n"/>
      <c r="T113" s="1604" t="n"/>
      <c r="U113" s="1604" t="n"/>
      <c r="V113" s="1604" t="n"/>
      <c r="W113" s="1604" t="n"/>
      <c r="X113" s="1604" t="n"/>
      <c r="Y113" s="1604" t="n">
        <v>20.21867691666667</v>
      </c>
      <c r="Z113" s="1604" t="n"/>
      <c r="AA113" s="1604" t="n"/>
      <c r="AB113" s="1604">
        <f>+Y113</f>
        <v/>
      </c>
      <c r="AC113" s="1602" t="n">
        <v>20.21867701666667</v>
      </c>
      <c r="AD113" s="1602" t="n"/>
      <c r="AE113" s="1602" t="n"/>
      <c r="AF113" s="1602" t="n"/>
      <c r="AG113" s="1602" t="n"/>
      <c r="AH113" s="1602" t="n"/>
      <c r="AI113" s="1602" t="n"/>
      <c r="AL113" s="1595">
        <f>SUM(Q113:AK113)</f>
        <v/>
      </c>
      <c r="AM113" s="1308">
        <f>+AL113-G113</f>
        <v/>
      </c>
      <c r="AN113" s="1077">
        <f>CONCATENATE(B113,K113,A113)</f>
        <v/>
      </c>
      <c r="AO113" s="1077">
        <f>CONCATENATE(B113,K113,A113,E113)</f>
        <v/>
      </c>
    </row>
    <row r="114">
      <c r="A114" s="1077" t="inlineStr">
        <is>
          <t>LTL</t>
        </is>
      </c>
      <c r="B114" s="1077" t="inlineStr">
        <is>
          <t>RBPI</t>
        </is>
      </c>
      <c r="C114" s="1149" t="inlineStr">
        <is>
          <t>Gasprombank  0121-015  ( NNPP  )</t>
        </is>
      </c>
      <c r="D114" s="1077" t="inlineStr">
        <is>
          <t>GPB</t>
        </is>
      </c>
      <c r="E114" s="1077" t="inlineStr">
        <is>
          <t>no</t>
        </is>
      </c>
      <c r="F114" s="1603" t="n">
        <v>29.50048951</v>
      </c>
      <c r="G114" s="1603" t="n">
        <v>29.50048951</v>
      </c>
      <c r="H114" s="1595">
        <f>F114-G114</f>
        <v/>
      </c>
      <c r="I114" s="1086" t="n">
        <v>0.21</v>
      </c>
      <c r="K114" s="1170" t="inlineStr">
        <is>
          <t>Float</t>
        </is>
      </c>
      <c r="L114" s="1310">
        <f>+G114*I114</f>
        <v/>
      </c>
      <c r="M114" s="1277" t="n">
        <v>44322</v>
      </c>
      <c r="N114" s="1277" t="n">
        <v>46147</v>
      </c>
      <c r="Q114" s="1600" t="n"/>
      <c r="R114" s="1602" t="n"/>
      <c r="S114" s="1604" t="n"/>
      <c r="T114" s="1604" t="n"/>
      <c r="U114" s="1604" t="n"/>
      <c r="V114" s="1604" t="n"/>
      <c r="W114" s="1604" t="n"/>
      <c r="X114" s="1604" t="n"/>
      <c r="Y114" s="1604" t="n">
        <v>9.833496569999999</v>
      </c>
      <c r="Z114" s="1604" t="n"/>
      <c r="AA114" s="1604" t="n"/>
      <c r="AB114" s="1604">
        <f>+Y114</f>
        <v/>
      </c>
      <c r="AC114" s="1602" t="n">
        <v>9.833496370000002</v>
      </c>
      <c r="AD114" s="1602" t="n"/>
      <c r="AE114" s="1602" t="n"/>
      <c r="AF114" s="1602" t="n"/>
      <c r="AG114" s="1602" t="n"/>
      <c r="AH114" s="1602" t="n"/>
      <c r="AI114" s="1602" t="n"/>
      <c r="AL114" s="1595">
        <f>SUM(Q114:AK114)</f>
        <v/>
      </c>
      <c r="AM114" s="1308">
        <f>+AL114-G114</f>
        <v/>
      </c>
      <c r="AN114" s="1077">
        <f>CONCATENATE(B114,K114,A114)</f>
        <v/>
      </c>
      <c r="AO114" s="1077">
        <f>CONCATENATE(B114,K114,A114,E114)</f>
        <v/>
      </c>
    </row>
    <row r="115">
      <c r="A115" s="1077" t="inlineStr">
        <is>
          <t>LTL</t>
        </is>
      </c>
      <c r="B115" s="1077" t="inlineStr">
        <is>
          <t>RBPI</t>
        </is>
      </c>
      <c r="C115" s="1149" t="inlineStr">
        <is>
          <t>Gasprombank  0121-018  ( PPP  )</t>
        </is>
      </c>
      <c r="D115" s="1077" t="inlineStr">
        <is>
          <t>GPB</t>
        </is>
      </c>
      <c r="E115" s="1077" t="inlineStr">
        <is>
          <t>yes</t>
        </is>
      </c>
      <c r="F115" s="1603" t="n">
        <v>400.00000033</v>
      </c>
      <c r="G115" s="1603" t="n">
        <v>400.00000033</v>
      </c>
      <c r="H115" s="1595">
        <f>F115-G115</f>
        <v/>
      </c>
      <c r="I115" s="1086" t="n">
        <v>0.09</v>
      </c>
      <c r="K115" s="1170" t="inlineStr">
        <is>
          <t>Fix</t>
        </is>
      </c>
      <c r="L115" s="1310">
        <f>+G115*I115</f>
        <v/>
      </c>
      <c r="M115" s="1277" t="n">
        <v>44384</v>
      </c>
      <c r="N115" s="1277" t="n">
        <v>47305</v>
      </c>
      <c r="Q115" s="1600" t="n"/>
      <c r="R115" s="1602" t="n"/>
      <c r="S115" s="1604" t="n"/>
      <c r="T115" s="1604" t="n"/>
      <c r="U115" s="1604" t="n"/>
      <c r="V115" s="1604" t="n"/>
      <c r="W115" s="1604" t="n"/>
      <c r="X115" s="1604" t="n">
        <v>8.33333333</v>
      </c>
      <c r="Y115" s="1604">
        <f>+X115</f>
        <v/>
      </c>
      <c r="Z115" s="1604">
        <f>+Y115</f>
        <v/>
      </c>
      <c r="AA115" s="1604">
        <f>+Z115</f>
        <v/>
      </c>
      <c r="AB115" s="1604">
        <f>+AA115</f>
        <v/>
      </c>
      <c r="AC115" s="1602">
        <f>+AB115*12</f>
        <v/>
      </c>
      <c r="AD115" s="1602">
        <f>+AC115</f>
        <v/>
      </c>
      <c r="AE115" s="1602">
        <f>+AD115</f>
        <v/>
      </c>
      <c r="AF115" s="1602" t="n">
        <v>58.33333379999999</v>
      </c>
      <c r="AG115" s="1602" t="n"/>
      <c r="AH115" s="1602" t="n"/>
      <c r="AI115" s="1602" t="n"/>
      <c r="AL115" s="1595">
        <f>SUM(Q115:AK115)</f>
        <v/>
      </c>
      <c r="AM115" s="1308">
        <f>+AL115-G115</f>
        <v/>
      </c>
      <c r="AN115" s="1077">
        <f>CONCATENATE(B115,K115,A115)</f>
        <v/>
      </c>
      <c r="AO115" s="1077">
        <f>CONCATENATE(B115,K115,A115,E115)</f>
        <v/>
      </c>
    </row>
    <row r="116">
      <c r="A116" s="1077" t="inlineStr">
        <is>
          <t>LTL</t>
        </is>
      </c>
      <c r="B116" s="1077" t="inlineStr">
        <is>
          <t>RBPI</t>
        </is>
      </c>
      <c r="C116" s="1149" t="inlineStr">
        <is>
          <t>Bank SPb  7500-22-020286/3  ( PPP  )</t>
        </is>
      </c>
      <c r="D116" s="1077" t="inlineStr">
        <is>
          <t>SPB</t>
        </is>
      </c>
      <c r="E116" s="1077" t="inlineStr">
        <is>
          <t>no</t>
        </is>
      </c>
      <c r="F116" s="1603" t="n">
        <v>50.137</v>
      </c>
      <c r="G116" s="1603" t="n">
        <v>50.137</v>
      </c>
      <c r="H116" s="1595">
        <f>F116-G116</f>
        <v/>
      </c>
      <c r="I116" s="1086" t="n">
        <v>0.2345</v>
      </c>
      <c r="K116" s="1170" t="inlineStr">
        <is>
          <t>Fix</t>
        </is>
      </c>
      <c r="L116" s="1310">
        <f>+G116*I116</f>
        <v/>
      </c>
      <c r="M116" s="1277" t="n">
        <v>44959</v>
      </c>
      <c r="N116" s="1277" t="n">
        <v>46419</v>
      </c>
      <c r="Q116" s="1600" t="n"/>
      <c r="R116" s="1602" t="n"/>
      <c r="S116" s="1604" t="n"/>
      <c r="T116" s="1604" t="n"/>
      <c r="U116" s="1604" t="n"/>
      <c r="V116" s="1604" t="n"/>
      <c r="W116" s="1604" t="n"/>
      <c r="X116" s="1604" t="n">
        <v>2.639</v>
      </c>
      <c r="Y116" s="1604">
        <f>+X116</f>
        <v/>
      </c>
      <c r="Z116" s="1604">
        <f>+Y116</f>
        <v/>
      </c>
      <c r="AA116" s="1604">
        <f>+Z116</f>
        <v/>
      </c>
      <c r="AB116" s="1604">
        <f>+AA116</f>
        <v/>
      </c>
      <c r="AC116" s="1602">
        <f>+AB116*12</f>
        <v/>
      </c>
      <c r="AD116" s="1602" t="n">
        <v>5.274000000000001</v>
      </c>
      <c r="AE116" s="1602" t="n"/>
      <c r="AF116" s="1602" t="n"/>
      <c r="AG116" s="1602" t="n"/>
      <c r="AH116" s="1602" t="n"/>
      <c r="AI116" s="1602" t="n"/>
      <c r="AL116" s="1595">
        <f>SUM(Q116:AK116)</f>
        <v/>
      </c>
      <c r="AM116" s="1308">
        <f>+AL116-G116</f>
        <v/>
      </c>
      <c r="AN116" s="1077">
        <f>CONCATENATE(B116,K116,A116)</f>
        <v/>
      </c>
      <c r="AO116" s="1077">
        <f>CONCATENATE(B116,K116,A116,E116)</f>
        <v/>
      </c>
    </row>
    <row r="117">
      <c r="A117" s="1077" t="inlineStr">
        <is>
          <t>LTL</t>
        </is>
      </c>
      <c r="B117" s="1077" t="inlineStr">
        <is>
          <t>RBPI</t>
        </is>
      </c>
      <c r="C117" s="1149" t="inlineStr">
        <is>
          <t>Bank SPb  7500-22-020286/23  ( PPP  )</t>
        </is>
      </c>
      <c r="D117" s="1077" t="inlineStr">
        <is>
          <t>SPB</t>
        </is>
      </c>
      <c r="E117" s="1077" t="inlineStr">
        <is>
          <t>no</t>
        </is>
      </c>
      <c r="F117" s="1603" t="n">
        <v>35</v>
      </c>
      <c r="G117" s="1603" t="n">
        <v>35</v>
      </c>
      <c r="H117" s="1595">
        <f>F117-G117</f>
        <v/>
      </c>
      <c r="I117" s="1086" t="n">
        <v>0.215</v>
      </c>
      <c r="K117" s="1170" t="inlineStr">
        <is>
          <t>Float</t>
        </is>
      </c>
      <c r="L117" s="1310">
        <f>+G117*I117</f>
        <v/>
      </c>
      <c r="M117" s="1277" t="n">
        <v>45503</v>
      </c>
      <c r="N117" s="1277" t="n">
        <v>47326</v>
      </c>
      <c r="Q117" s="1600" t="n"/>
      <c r="R117" s="1602" t="n"/>
      <c r="S117" s="1604" t="n"/>
      <c r="T117" s="1604" t="n"/>
      <c r="U117" s="1604" t="n"/>
      <c r="V117" s="1604" t="n"/>
      <c r="W117" s="1604" t="n"/>
      <c r="X117" s="1604">
        <f>0.72916667</f>
        <v/>
      </c>
      <c r="Y117" s="1604">
        <f>0.72916667</f>
        <v/>
      </c>
      <c r="Z117" s="1604">
        <f>0.72916667</f>
        <v/>
      </c>
      <c r="AA117" s="1604">
        <f>0.72916667</f>
        <v/>
      </c>
      <c r="AB117" s="1604">
        <f>0.72916667</f>
        <v/>
      </c>
      <c r="AC117" s="1602">
        <f>+AB117*12</f>
        <v/>
      </c>
      <c r="AD117" s="1602">
        <f>+AC117</f>
        <v/>
      </c>
      <c r="AE117" s="1602">
        <f>+AD117</f>
        <v/>
      </c>
      <c r="AF117" s="1602" t="n">
        <v>5.104166530000001</v>
      </c>
      <c r="AG117" s="1602" t="n"/>
      <c r="AH117" s="1602" t="n"/>
      <c r="AI117" s="1602" t="n"/>
      <c r="AL117" s="1595">
        <f>SUM(Q117:AK117)</f>
        <v/>
      </c>
      <c r="AM117" s="1308">
        <f>+AL117-G117</f>
        <v/>
      </c>
      <c r="AN117" s="1077">
        <f>CONCATENATE(B117,K117,A117)</f>
        <v/>
      </c>
      <c r="AO117" s="1077">
        <f>CONCATENATE(B117,K117,A117,E117)</f>
        <v/>
      </c>
    </row>
    <row r="118">
      <c r="A118" s="1077" t="inlineStr">
        <is>
          <t>LTL</t>
        </is>
      </c>
      <c r="B118" s="1077" t="inlineStr">
        <is>
          <t>RBPI</t>
        </is>
      </c>
      <c r="C118" s="1149" t="inlineStr">
        <is>
          <t>Sberbank  550B00FYXMF  ( NNPP  )</t>
        </is>
      </c>
      <c r="D118" s="1077" t="inlineStr">
        <is>
          <t>SBER</t>
        </is>
      </c>
      <c r="E118" s="1077" t="inlineStr">
        <is>
          <t>yes</t>
        </is>
      </c>
      <c r="F118" s="1603" t="n">
        <v>227.95865914</v>
      </c>
      <c r="G118" s="1603" t="n">
        <v>227.95865914</v>
      </c>
      <c r="H118" s="1595">
        <f>F118-G118</f>
        <v/>
      </c>
      <c r="I118" s="1086" t="n">
        <v>0.05</v>
      </c>
      <c r="K118" s="1170" t="inlineStr">
        <is>
          <t>Fix</t>
        </is>
      </c>
      <c r="L118" s="1310">
        <f>+G118*I118</f>
        <v/>
      </c>
      <c r="M118" s="1277" t="n">
        <v>45006</v>
      </c>
      <c r="N118" s="1277" t="n">
        <v>46832</v>
      </c>
      <c r="Q118" s="1600" t="n"/>
      <c r="R118" s="1602" t="n"/>
      <c r="S118" s="1604" t="n"/>
      <c r="T118" s="1604" t="n"/>
      <c r="U118" s="1604" t="n"/>
      <c r="V118" s="1604" t="n"/>
      <c r="W118" s="1604" t="n"/>
      <c r="X118" s="1604" t="n"/>
      <c r="Y118" s="1604" t="n"/>
      <c r="Z118" s="1604" t="n"/>
      <c r="AA118" s="1604" t="n"/>
      <c r="AB118" s="1604" t="n"/>
      <c r="AC118" s="1602" t="n"/>
      <c r="AD118" s="1602" t="n">
        <v>95.05876086137998</v>
      </c>
      <c r="AE118" s="1602" t="n">
        <v>114.070513033656</v>
      </c>
      <c r="AF118" s="1602" t="n">
        <v>18.82938524496403</v>
      </c>
      <c r="AG118" s="1602" t="n"/>
      <c r="AH118" s="1602" t="n"/>
      <c r="AI118" s="1602" t="n"/>
      <c r="AL118" s="1595">
        <f>SUM(Q118:AK118)</f>
        <v/>
      </c>
      <c r="AM118" s="1308">
        <f>+AL118-G118</f>
        <v/>
      </c>
      <c r="AN118" s="1077">
        <f>CONCATENATE(B118,K118,A118)</f>
        <v/>
      </c>
      <c r="AO118" s="1077">
        <f>CONCATENATE(B118,K118,A118,E118)</f>
        <v/>
      </c>
    </row>
    <row r="119">
      <c r="G119" s="1603" t="n"/>
      <c r="H119" s="1595" t="n"/>
      <c r="K119" s="1170" t="n"/>
      <c r="M119" s="1277" t="n"/>
      <c r="N119" s="1277" t="n"/>
      <c r="Q119" s="1600" t="n"/>
      <c r="R119" s="1602" t="n"/>
      <c r="S119" s="1604" t="n"/>
      <c r="T119" s="1604" t="n"/>
      <c r="U119" s="1604" t="n"/>
      <c r="V119" s="1604" t="n"/>
      <c r="W119" s="1604" t="n"/>
      <c r="X119" s="1604" t="n"/>
      <c r="Y119" s="1604" t="n"/>
      <c r="Z119" s="1604" t="n"/>
      <c r="AA119" s="1604" t="n"/>
      <c r="AB119" s="1604" t="n"/>
      <c r="AC119" s="1602" t="n"/>
      <c r="AD119" s="1602" t="n"/>
      <c r="AE119" s="1602" t="n"/>
      <c r="AF119" s="1602" t="n"/>
      <c r="AG119" s="1602" t="n"/>
      <c r="AH119" s="1602" t="n"/>
      <c r="AI119" s="1602" t="n"/>
      <c r="AM119" s="1308" t="n"/>
      <c r="AN119" s="1077" t="n"/>
      <c r="AO119" s="1077" t="n"/>
    </row>
    <row r="120">
      <c r="G120" s="1595" t="n"/>
      <c r="H120" s="1595" t="n"/>
      <c r="K120" s="1170" t="n"/>
      <c r="M120" s="1277" t="n"/>
      <c r="N120" s="1277" t="n"/>
      <c r="Q120" s="1602" t="n"/>
      <c r="R120" s="1602" t="n"/>
      <c r="S120" s="1602" t="n"/>
      <c r="T120" s="1602" t="n"/>
      <c r="U120" s="1602" t="n"/>
      <c r="V120" s="1602" t="n"/>
      <c r="W120" s="1602" t="n"/>
      <c r="X120" s="1602" t="n"/>
      <c r="Y120" s="1602" t="n"/>
      <c r="Z120" s="1602" t="n"/>
      <c r="AA120" s="1602" t="n"/>
      <c r="AB120" s="1602" t="n"/>
      <c r="AC120" s="1602" t="n"/>
      <c r="AD120" s="1602" t="n"/>
      <c r="AE120" s="1602" t="n"/>
      <c r="AF120" s="1602" t="n"/>
      <c r="AG120" s="1602" t="n"/>
      <c r="AH120" s="1602" t="n"/>
      <c r="AI120" s="1602" t="n"/>
      <c r="AM120" s="1605" t="n"/>
    </row>
    <row r="121" ht="15" customHeight="1" thickBot="1">
      <c r="F121" s="1606">
        <f>SUM(F3:F120)</f>
        <v/>
      </c>
      <c r="G121" s="1606">
        <f>SUM(G3:G120)</f>
        <v/>
      </c>
      <c r="H121" s="1607">
        <f>SUM(H3:H120)</f>
        <v/>
      </c>
      <c r="I121" s="1116">
        <f>L121/G121</f>
        <v/>
      </c>
      <c r="J121" s="1116">
        <f>M121/H121</f>
        <v/>
      </c>
      <c r="K121" s="1116" t="n"/>
      <c r="L121" s="1607">
        <f>SUM(L3:L120)</f>
        <v/>
      </c>
      <c r="M121" s="1279" t="n"/>
      <c r="N121" s="1279" t="n"/>
      <c r="O121" s="1077" t="n"/>
      <c r="Q121" s="1600" t="n"/>
      <c r="R121" s="1600" t="n"/>
      <c r="S121" s="1600" t="n"/>
      <c r="T121" s="1608" t="n"/>
      <c r="U121" s="1608">
        <f>SUM(U3:U120)</f>
        <v/>
      </c>
      <c r="V121" s="1608">
        <f>SUM(V3:V120)</f>
        <v/>
      </c>
      <c r="W121" s="1608">
        <f>SUM(W3:W120)</f>
        <v/>
      </c>
      <c r="X121" s="1608">
        <f>SUM(X3:X120)</f>
        <v/>
      </c>
      <c r="Y121" s="1608">
        <f>SUM(Y3:Y120)</f>
        <v/>
      </c>
      <c r="Z121" s="1608">
        <f>SUM(Z3:Z120)</f>
        <v/>
      </c>
      <c r="AA121" s="1608">
        <f>SUM(AA3:AA120)</f>
        <v/>
      </c>
      <c r="AB121" s="1608">
        <f>SUM(AB3:AB120)</f>
        <v/>
      </c>
      <c r="AC121" s="1609">
        <f>SUM(AC3:AC120)</f>
        <v/>
      </c>
      <c r="AD121" s="1609">
        <f>SUM(AD3:AD120)</f>
        <v/>
      </c>
      <c r="AE121" s="1609">
        <f>SUM(AE3:AE120)</f>
        <v/>
      </c>
      <c r="AF121" s="1609">
        <f>SUM(AF3:AF120)</f>
        <v/>
      </c>
      <c r="AG121" s="1609">
        <f>SUM(AG3:AG120)</f>
        <v/>
      </c>
      <c r="AH121" s="1609">
        <f>SUM(AH3:AH120)</f>
        <v/>
      </c>
      <c r="AI121" s="1609">
        <f>SUM(AI3:AI120)</f>
        <v/>
      </c>
      <c r="AJ121" s="1291">
        <f>SUM(AJ3:AJ120)</f>
        <v/>
      </c>
      <c r="AK121" s="1291">
        <f>SUM(AK3:AK120)</f>
        <v/>
      </c>
      <c r="AL121" s="1186">
        <f>SUM(AL3:AL120)</f>
        <v/>
      </c>
      <c r="AM121" s="1186">
        <f>SUM(AM3:AM120)</f>
        <v/>
      </c>
    </row>
    <row r="122" ht="15" customHeight="1" thickTop="1">
      <c r="O122" s="1074" t="n"/>
      <c r="Q122" s="1600" t="n"/>
      <c r="R122" s="1600" t="n"/>
      <c r="AM122" s="1187" t="n"/>
    </row>
    <row r="123" ht="15" customHeight="1">
      <c r="B123" s="1292" t="n"/>
      <c r="C123" s="1292" t="n"/>
      <c r="F123" s="1593" t="inlineStr">
        <is>
          <t>RBPI+APK</t>
        </is>
      </c>
      <c r="G123" s="1610" t="n">
        <v>27454.448937</v>
      </c>
      <c r="O123" s="1074" t="n"/>
      <c r="Q123" s="1600" t="n"/>
      <c r="R123" s="1600" t="n"/>
      <c r="AM123" s="1187" t="n"/>
    </row>
    <row r="124">
      <c r="F124" s="1593" t="inlineStr">
        <is>
          <t>CPFO</t>
        </is>
      </c>
      <c r="G124" s="1602">
        <f>SUM(G3:G4)</f>
        <v/>
      </c>
      <c r="O124" s="1074" t="n"/>
      <c r="Q124" s="1600" t="n"/>
      <c r="R124" s="1600" t="n"/>
      <c r="AM124" s="1611" t="n"/>
    </row>
    <row r="125">
      <c r="F125" s="1593" t="inlineStr">
        <is>
          <t>SW</t>
        </is>
      </c>
      <c r="G125" s="1602">
        <f>SUM(G6:G11)</f>
        <v/>
      </c>
      <c r="O125" s="1074" t="n"/>
      <c r="Q125" s="1600" t="n"/>
      <c r="R125" s="1600" t="n"/>
    </row>
    <row r="126">
      <c r="G126" s="1610">
        <f>SUM(G123:G125)</f>
        <v/>
      </c>
      <c r="V126" s="1602" t="n"/>
    </row>
    <row r="127">
      <c r="G127" s="1313">
        <f>G126-G121</f>
        <v/>
      </c>
      <c r="V127" s="1602" t="n"/>
    </row>
    <row r="128">
      <c r="V128" s="1602" t="n"/>
    </row>
    <row r="129">
      <c r="V129" s="1602" t="n"/>
    </row>
    <row r="130">
      <c r="V130" s="1602" t="n"/>
    </row>
  </sheetData>
  <autoFilter ref="A2:N41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B1:AC40"/>
  <sheetViews>
    <sheetView showGridLines="0" showZeros="0" zoomScale="60" zoomScaleNormal="60" workbookViewId="0">
      <selection activeCell="B2" sqref="B2:C3"/>
    </sheetView>
  </sheetViews>
  <sheetFormatPr baseColWidth="8" defaultColWidth="10.77734375" defaultRowHeight="32.25" customHeight="1"/>
  <cols>
    <col width="10.77734375" customWidth="1" style="925" min="1" max="1"/>
    <col width="25.6640625" customWidth="1" style="925" min="2" max="2"/>
    <col width="13.6640625" customWidth="1" style="925" min="3" max="4"/>
    <col hidden="1" width="10.77734375" customWidth="1" style="926" min="5" max="5"/>
    <col width="10.77734375" customWidth="1" style="926" min="6" max="6"/>
    <col width="11.21875" customWidth="1" style="926" min="7" max="7"/>
    <col width="12.21875" customWidth="1" style="926" min="8" max="8"/>
    <col width="12.21875" bestFit="1" customWidth="1" style="926" min="9" max="10"/>
    <col width="13.21875" customWidth="1" style="926" min="11" max="11"/>
    <col width="10.77734375" customWidth="1" style="926" min="12" max="12"/>
    <col width="10.77734375" customWidth="1" style="925" min="13" max="27"/>
    <col width="2.21875" customWidth="1" style="925" min="28" max="28"/>
    <col width="20.21875" customWidth="1" style="925" min="29" max="29"/>
    <col width="10.77734375" customWidth="1" style="925" min="30" max="16384"/>
  </cols>
  <sheetData>
    <row r="1" ht="51" customHeight="1" thickBot="1">
      <c r="B1" s="1001" t="inlineStr">
        <is>
          <t>CPF RUSSIA repayment 2025</t>
        </is>
      </c>
    </row>
    <row r="2" ht="32.25" customFormat="1" customHeight="1" s="926">
      <c r="B2" s="1612" t="n">
        <v>2025</v>
      </c>
      <c r="C2" s="1613" t="n"/>
      <c r="D2" s="1614" t="inlineStr">
        <is>
          <t>Subsidy</t>
        </is>
      </c>
      <c r="E2" s="1615" t="inlineStr">
        <is>
          <t>Total
2025</t>
        </is>
      </c>
      <c r="F2" s="1615" t="inlineStr">
        <is>
          <t>Total
Jul - Dec</t>
        </is>
      </c>
      <c r="G2" s="1065" t="inlineStr">
        <is>
          <t>ACT</t>
        </is>
      </c>
      <c r="H2" s="1002" t="inlineStr">
        <is>
          <t>ACT</t>
        </is>
      </c>
      <c r="I2" s="1002" t="inlineStr">
        <is>
          <t>ACT</t>
        </is>
      </c>
      <c r="J2" s="1002" t="inlineStr">
        <is>
          <t>ACT</t>
        </is>
      </c>
      <c r="K2" s="1002" t="inlineStr">
        <is>
          <t>ACT</t>
        </is>
      </c>
      <c r="L2" s="1002" t="inlineStr">
        <is>
          <t>ACT</t>
        </is>
      </c>
      <c r="M2" s="1002" t="inlineStr">
        <is>
          <t>EST</t>
        </is>
      </c>
      <c r="N2" s="1002" t="inlineStr">
        <is>
          <t>EST</t>
        </is>
      </c>
      <c r="O2" s="1002" t="inlineStr">
        <is>
          <t>EST</t>
        </is>
      </c>
      <c r="P2" s="1002" t="inlineStr">
        <is>
          <t>EST</t>
        </is>
      </c>
      <c r="Q2" s="1002" t="inlineStr">
        <is>
          <t>EST</t>
        </is>
      </c>
      <c r="R2" s="1247" t="inlineStr">
        <is>
          <t>EST</t>
        </is>
      </c>
      <c r="S2" s="1616">
        <f>+B2+1</f>
        <v/>
      </c>
      <c r="T2" s="1617">
        <f>+S2+1</f>
        <v/>
      </c>
      <c r="U2" s="1617">
        <f>+T2+1</f>
        <v/>
      </c>
      <c r="V2" s="1617">
        <f>+U2+1</f>
        <v/>
      </c>
      <c r="W2" s="1617">
        <f>+V2+1</f>
        <v/>
      </c>
      <c r="X2" s="1617">
        <f>+W2+1</f>
        <v/>
      </c>
      <c r="Y2" s="1617">
        <f>+X2+1</f>
        <v/>
      </c>
      <c r="Z2" s="1617">
        <f>+Y2+1</f>
        <v/>
      </c>
      <c r="AA2" s="1618">
        <f>+Z2+1</f>
        <v/>
      </c>
      <c r="AC2" s="1618" t="inlineStr">
        <is>
          <t>Total Existing Loan</t>
        </is>
      </c>
    </row>
    <row r="3" ht="32.25" customFormat="1" customHeight="1" s="926" thickBot="1">
      <c r="B3" s="1558" t="n"/>
      <c r="C3" s="1619" t="n"/>
      <c r="D3" s="1620" t="n"/>
      <c r="E3" s="1620" t="n"/>
      <c r="F3" s="1620" t="n"/>
      <c r="G3" s="1066" t="inlineStr">
        <is>
          <t>Jan</t>
        </is>
      </c>
      <c r="H3" s="927" t="inlineStr">
        <is>
          <t>Feb</t>
        </is>
      </c>
      <c r="I3" s="927" t="inlineStr">
        <is>
          <t>Mar</t>
        </is>
      </c>
      <c r="J3" s="927" t="inlineStr">
        <is>
          <t>Apr</t>
        </is>
      </c>
      <c r="K3" s="927" t="inlineStr">
        <is>
          <t>May</t>
        </is>
      </c>
      <c r="L3" s="927" t="inlineStr">
        <is>
          <t>Jun</t>
        </is>
      </c>
      <c r="M3" s="927" t="inlineStr">
        <is>
          <t>Jul</t>
        </is>
      </c>
      <c r="N3" s="927" t="inlineStr">
        <is>
          <t>Aug</t>
        </is>
      </c>
      <c r="O3" s="927" t="inlineStr">
        <is>
          <t>Sep</t>
        </is>
      </c>
      <c r="P3" s="927" t="inlineStr">
        <is>
          <t>Oct</t>
        </is>
      </c>
      <c r="Q3" s="927" t="inlineStr">
        <is>
          <t>Nov</t>
        </is>
      </c>
      <c r="R3" s="1248" t="inlineStr">
        <is>
          <t>Dec</t>
        </is>
      </c>
      <c r="S3" s="1619" t="n"/>
      <c r="T3" s="1620" t="n"/>
      <c r="U3" s="1620" t="n"/>
      <c r="V3" s="1620" t="n"/>
      <c r="W3" s="1620" t="n"/>
      <c r="X3" s="1620" t="n"/>
      <c r="Y3" s="1620" t="n"/>
      <c r="Z3" s="1620" t="n"/>
      <c r="AA3" s="1621" t="n"/>
      <c r="AC3" s="1621" t="n"/>
    </row>
    <row r="4" ht="32.25" customHeight="1">
      <c r="B4" s="1003" t="inlineStr">
        <is>
          <t>CPFO</t>
        </is>
      </c>
      <c r="C4" s="1004" t="inlineStr">
        <is>
          <t>STL</t>
        </is>
      </c>
      <c r="D4" s="1053" t="inlineStr">
        <is>
          <t>Yes</t>
        </is>
      </c>
      <c r="E4" s="1054">
        <f>SUM(G4:R4)</f>
        <v/>
      </c>
      <c r="F4" s="1054">
        <f>SUM(N4:R4)</f>
        <v/>
      </c>
      <c r="G4" s="1140">
        <f>SUMIFS('Bank loan table'!Q:Q,'Bank loan table'!$A:$A,'Repayment 25'!$C4,'Bank loan table'!$B:$B,'Repayment 25'!$B4,'Bank loan table'!$E:$E,'Repayment 25'!$D4)</f>
        <v/>
      </c>
      <c r="H4" s="1005">
        <f>SUMIFS('Bank loan table'!R:R,'Bank loan table'!$A:$A,'Repayment 25'!$C4,'Bank loan table'!$B:$B,'Repayment 25'!$B4,'Bank loan table'!$E:$E,'Repayment 25'!$D4)</f>
        <v/>
      </c>
      <c r="I4" s="1005">
        <f>SUMIFS('Bank loan table'!S:S,'Bank loan table'!$A:$A,'Repayment 25'!$C4,'Bank loan table'!$B:$B,'Repayment 25'!$B4,'Bank loan table'!$E:$E,'Repayment 25'!$D4)</f>
        <v/>
      </c>
      <c r="J4" s="1005" t="n"/>
      <c r="K4" s="1005" t="n"/>
      <c r="L4" s="1005">
        <f>SUMIFS('Bank loan table'!V:V,'Bank loan table'!$A:$A,'Repayment 25'!$C4,'Bank loan table'!$B:$B,'Repayment 25'!$B4,'Bank loan table'!$E:$E,'Repayment 25'!$D4)</f>
        <v/>
      </c>
      <c r="M4" s="1005">
        <f>SUMIFS('Bank loan table'!W:W,'Bank loan table'!$A:$A,'Repayment 25'!$C4,'Bank loan table'!$B:$B,'Repayment 25'!$B4,'Bank loan table'!$E:$E,'Repayment 25'!$D4)</f>
        <v/>
      </c>
      <c r="N4" s="1005">
        <f>SUMIFS('Bank loan table'!X:X,'Bank loan table'!$A:$A,'Repayment 25'!$C4,'Bank loan table'!$B:$B,'Repayment 25'!$B4,'Bank loan table'!$E:$E,'Repayment 25'!$D4)</f>
        <v/>
      </c>
      <c r="O4" s="1005">
        <f>SUMIFS('Bank loan table'!Y:Y,'Bank loan table'!$A:$A,'Repayment 25'!$C4,'Bank loan table'!$B:$B,'Repayment 25'!$B4,'Bank loan table'!$E:$E,'Repayment 25'!$D4)</f>
        <v/>
      </c>
      <c r="P4" s="1005">
        <f>SUMIFS('Bank loan table'!Z:Z,'Bank loan table'!$A:$A,'Repayment 25'!$C4,'Bank loan table'!$B:$B,'Repayment 25'!$B4,'Bank loan table'!$E:$E,'Repayment 25'!$D4)</f>
        <v/>
      </c>
      <c r="Q4" s="1005">
        <f>SUMIFS('Bank loan table'!AA:AA,'Bank loan table'!$A:$A,'Repayment 25'!$C4,'Bank loan table'!$B:$B,'Repayment 25'!$B4,'Bank loan table'!$E:$E,'Repayment 25'!$D4)</f>
        <v/>
      </c>
      <c r="R4" s="1249">
        <f>SUMIFS('Bank loan table'!AB:AB,'Bank loan table'!$A:$A,'Repayment 25'!$C4,'Bank loan table'!$B:$B,'Repayment 25'!$B4,'Bank loan table'!$E:$E,'Repayment 25'!$D4)</f>
        <v/>
      </c>
      <c r="S4" s="1006">
        <f>SUMIFS('Bank loan table'!AC:AC,'Bank loan table'!$A:$A,'Repayment 25'!$C4,'Bank loan table'!$B:$B,'Repayment 25'!$B4,'Bank loan table'!$E:$E,'Repayment 25'!$D4)</f>
        <v/>
      </c>
      <c r="T4" s="1007">
        <f>SUMIFS('Bank loan table'!AD:AD,'Bank loan table'!$A:$A,'Repayment 25'!$C4,'Bank loan table'!$B:$B,'Repayment 25'!$B4,'Bank loan table'!$E:$E,'Repayment 25'!$D4)</f>
        <v/>
      </c>
      <c r="U4" s="1007">
        <f>SUMIFS('Bank loan table'!AE:AE,'Bank loan table'!$A:$A,'Repayment 25'!$C4,'Bank loan table'!$B:$B,'Repayment 25'!$B4,'Bank loan table'!$E:$E,'Repayment 25'!$D4)</f>
        <v/>
      </c>
      <c r="V4" s="1007">
        <f>SUMIFS('Bank loan table'!AF:AF,'Bank loan table'!$A:$A,'Repayment 25'!$C4,'Bank loan table'!$B:$B,'Repayment 25'!$B4,'Bank loan table'!$E:$E,'Repayment 25'!$D4)</f>
        <v/>
      </c>
      <c r="W4" s="1007">
        <f>SUMIFS('Bank loan table'!AG:AG,'Bank loan table'!$A:$A,'Repayment 25'!$C4,'Bank loan table'!$B:$B,'Repayment 25'!$B4,'Bank loan table'!$E:$E,'Repayment 25'!$D4)</f>
        <v/>
      </c>
      <c r="X4" s="1007">
        <f>SUMIFS('Bank loan table'!AH:AH,'Bank loan table'!$A:$A,'Repayment 25'!$C4,'Bank loan table'!$B:$B,'Repayment 25'!$B4,'Bank loan table'!$E:$E,'Repayment 25'!$D4)</f>
        <v/>
      </c>
      <c r="Y4" s="1007">
        <f>SUMIFS('Bank loan table'!AI:AI,'Bank loan table'!$A:$A,'Repayment 25'!$C4,'Bank loan table'!$B:$B,'Repayment 25'!$B4,'Bank loan table'!$E:$E,'Repayment 25'!$D4)</f>
        <v/>
      </c>
      <c r="Z4" s="1007">
        <f>SUMIFS('Bank loan table'!AJ:AJ,'Bank loan table'!$A:$A,'Repayment 25'!$C4,'Bank loan table'!$B:$B,'Repayment 25'!$B4,'Bank loan table'!$E:$E,'Repayment 25'!$D4)</f>
        <v/>
      </c>
      <c r="AA4" s="1008">
        <f>SUMIFS('Bank loan table'!AK:AK,'Bank loan table'!$A:$A,'Repayment 25'!$C4,'Bank loan table'!$B:$B,'Repayment 25'!$B4,'Bank loan table'!$E:$E,'Repayment 25'!$D4)</f>
        <v/>
      </c>
      <c r="AC4" s="1008">
        <f>SUM(S4:AA4)+F4</f>
        <v/>
      </c>
    </row>
    <row r="5" ht="32.25" customHeight="1">
      <c r="B5" s="1264" t="inlineStr">
        <is>
          <t>CPFO</t>
        </is>
      </c>
      <c r="C5" s="1009" t="inlineStr">
        <is>
          <t>LTL</t>
        </is>
      </c>
      <c r="D5" s="1009">
        <f>+D4</f>
        <v/>
      </c>
      <c r="E5" s="1055">
        <f>SUM(G5:R5)</f>
        <v/>
      </c>
      <c r="F5" s="1055">
        <f>SUM(N5:R5)</f>
        <v/>
      </c>
      <c r="G5" s="1141">
        <f>SUMIFS('Bank loan table'!Q:Q,'Bank loan table'!$A:$A,'Repayment 25'!$C5,'Bank loan table'!$B:$B,'Repayment 25'!$B5,'Bank loan table'!$E:$E,'Repayment 25'!$D5)</f>
        <v/>
      </c>
      <c r="H5" s="1010">
        <f>SUMIFS('Bank loan table'!R:R,'Bank loan table'!$A:$A,'Repayment 25'!$C5,'Bank loan table'!$B:$B,'Repayment 25'!$B5,'Bank loan table'!$E:$E,'Repayment 25'!$D5)</f>
        <v/>
      </c>
      <c r="I5" s="1010" t="n">
        <v>128.51473082</v>
      </c>
      <c r="J5" s="1010" t="n"/>
      <c r="K5" s="1010" t="n"/>
      <c r="L5" s="1010" t="n">
        <v>128.51473082</v>
      </c>
      <c r="M5" s="1010">
        <f>SUMIFS('Bank loan table'!W:W,'Bank loan table'!$A:$A,'Repayment 25'!$C5,'Bank loan table'!$B:$B,'Repayment 25'!$B5,'Bank loan table'!$E:$E,'Repayment 25'!$D5)</f>
        <v/>
      </c>
      <c r="N5" s="1010">
        <f>SUMIFS('Bank loan table'!X:X,'Bank loan table'!$A:$A,'Repayment 25'!$C5,'Bank loan table'!$B:$B,'Repayment 25'!$B5,'Bank loan table'!$E:$E,'Repayment 25'!$D5)</f>
        <v/>
      </c>
      <c r="O5" s="1010">
        <f>SUMIFS('Bank loan table'!Y:Y,'Bank loan table'!$A:$A,'Repayment 25'!$C5,'Bank loan table'!$B:$B,'Repayment 25'!$B5,'Bank loan table'!$E:$E,'Repayment 25'!$D5)</f>
        <v/>
      </c>
      <c r="P5" s="1010">
        <f>SUMIFS('Bank loan table'!Z:Z,'Bank loan table'!$A:$A,'Repayment 25'!$C5,'Bank loan table'!$B:$B,'Repayment 25'!$B5,'Bank loan table'!$E:$E,'Repayment 25'!$D5)</f>
        <v/>
      </c>
      <c r="Q5" s="1010">
        <f>SUMIFS('Bank loan table'!AA:AA,'Bank loan table'!$A:$A,'Repayment 25'!$C5,'Bank loan table'!$B:$B,'Repayment 25'!$B5,'Bank loan table'!$E:$E,'Repayment 25'!$D5)</f>
        <v/>
      </c>
      <c r="R5" s="1250">
        <f>SUMIFS('Bank loan table'!AB:AB,'Bank loan table'!$A:$A,'Repayment 25'!$C5,'Bank loan table'!$B:$B,'Repayment 25'!$B5,'Bank loan table'!$E:$E,'Repayment 25'!$D5)</f>
        <v/>
      </c>
      <c r="S5" s="1011">
        <f>SUMIFS('Bank loan table'!AC:AC,'Bank loan table'!$A:$A,'Repayment 25'!$C5,'Bank loan table'!$B:$B,'Repayment 25'!$B5,'Bank loan table'!$E:$E,'Repayment 25'!$D5)</f>
        <v/>
      </c>
      <c r="T5" s="1012">
        <f>SUMIFS('Bank loan table'!AD:AD,'Bank loan table'!$A:$A,'Repayment 25'!$C5,'Bank loan table'!$B:$B,'Repayment 25'!$B5,'Bank loan table'!$E:$E,'Repayment 25'!$D5)</f>
        <v/>
      </c>
      <c r="U5" s="1012">
        <f>SUMIFS('Bank loan table'!AE:AE,'Bank loan table'!$A:$A,'Repayment 25'!$C5,'Bank loan table'!$B:$B,'Repayment 25'!$B5,'Bank loan table'!$E:$E,'Repayment 25'!$D5)</f>
        <v/>
      </c>
      <c r="V5" s="1012">
        <f>SUMIFS('Bank loan table'!AF:AF,'Bank loan table'!$A:$A,'Repayment 25'!$C5,'Bank loan table'!$B:$B,'Repayment 25'!$B5,'Bank loan table'!$E:$E,'Repayment 25'!$D5)</f>
        <v/>
      </c>
      <c r="W5" s="1012">
        <f>SUMIFS('Bank loan table'!AG:AG,'Bank loan table'!$A:$A,'Repayment 25'!$C5,'Bank loan table'!$B:$B,'Repayment 25'!$B5,'Bank loan table'!$E:$E,'Repayment 25'!$D5)</f>
        <v/>
      </c>
      <c r="X5" s="1012">
        <f>SUMIFS('Bank loan table'!AH:AH,'Bank loan table'!$A:$A,'Repayment 25'!$C5,'Bank loan table'!$B:$B,'Repayment 25'!$B5,'Bank loan table'!$E:$E,'Repayment 25'!$D5)</f>
        <v/>
      </c>
      <c r="Y5" s="1012">
        <f>SUMIFS('Bank loan table'!AI:AI,'Bank loan table'!$A:$A,'Repayment 25'!$C5,'Bank loan table'!$B:$B,'Repayment 25'!$B5,'Bank loan table'!$E:$E,'Repayment 25'!$D5)</f>
        <v/>
      </c>
      <c r="Z5" s="1012">
        <f>SUMIFS('Bank loan table'!AJ:AJ,'Bank loan table'!$A:$A,'Repayment 25'!$C5,'Bank loan table'!$B:$B,'Repayment 25'!$B5,'Bank loan table'!$E:$E,'Repayment 25'!$D5)</f>
        <v/>
      </c>
      <c r="AA5" s="1013">
        <f>SUMIFS('Bank loan table'!AK:AK,'Bank loan table'!$A:$A,'Repayment 25'!$C5,'Bank loan table'!$B:$B,'Repayment 25'!$B5,'Bank loan table'!$E:$E,'Repayment 25'!$D5)</f>
        <v/>
      </c>
      <c r="AC5" s="1013">
        <f>SUM(S5:AA5)+F5</f>
        <v/>
      </c>
    </row>
    <row r="6" hidden="1" ht="32.25" customHeight="1">
      <c r="B6" s="1014" t="n"/>
      <c r="C6" s="1015">
        <f>+C4</f>
        <v/>
      </c>
      <c r="D6" s="1015" t="inlineStr">
        <is>
          <t>No</t>
        </is>
      </c>
      <c r="E6" s="1056">
        <f>SUM(G6:R6)</f>
        <v/>
      </c>
      <c r="F6" s="1056">
        <f>SUM(N6:R6)</f>
        <v/>
      </c>
      <c r="G6" s="1142">
        <f>SUMIFS('Bank loan table'!Q:Q,'Bank loan table'!$A:$A,'Repayment 25'!$C6,'Bank loan table'!$B:$B,'Repayment 25'!$B6,'Bank loan table'!$E:$E,'Repayment 25'!$D6)</f>
        <v/>
      </c>
      <c r="H6" s="1016">
        <f>SUMIFS('Bank loan table'!R:R,'Bank loan table'!$A:$A,'Repayment 25'!$C6,'Bank loan table'!$B:$B,'Repayment 25'!$B6,'Bank loan table'!$E:$E,'Repayment 25'!$D6)</f>
        <v/>
      </c>
      <c r="I6" s="1016">
        <f>SUMIFS('Bank loan table'!S:S,'Bank loan table'!$A:$A,'Repayment 25'!$C6,'Bank loan table'!$B:$B,'Repayment 25'!$B6,'Bank loan table'!$E:$E,'Repayment 25'!$D6)</f>
        <v/>
      </c>
      <c r="J6" s="1016">
        <f>SUMIFS('Bank loan table'!T:T,'Bank loan table'!$A:$A,'Repayment 25'!$C6,'Bank loan table'!$B:$B,'Repayment 25'!$B6,'Bank loan table'!$E:$E,'Repayment 25'!$D6)</f>
        <v/>
      </c>
      <c r="K6" s="1016">
        <f>SUMIFS('Bank loan table'!U:U,'Bank loan table'!$A:$A,'Repayment 25'!$C6,'Bank loan table'!$B:$B,'Repayment 25'!$B6,'Bank loan table'!$E:$E,'Repayment 25'!$D6)</f>
        <v/>
      </c>
      <c r="L6" s="1016">
        <f>SUMIFS('Bank loan table'!V:V,'Bank loan table'!$A:$A,'Repayment 25'!$C6,'Bank loan table'!$B:$B,'Repayment 25'!$B6,'Bank loan table'!$E:$E,'Repayment 25'!$D6)</f>
        <v/>
      </c>
      <c r="M6" s="1016">
        <f>SUMIFS('Bank loan table'!W:W,'Bank loan table'!$A:$A,'Repayment 25'!$C6,'Bank loan table'!$B:$B,'Repayment 25'!$B6,'Bank loan table'!$E:$E,'Repayment 25'!$D6)</f>
        <v/>
      </c>
      <c r="N6" s="1016">
        <f>SUMIFS('Bank loan table'!X:X,'Bank loan table'!$A:$A,'Repayment 25'!$C6,'Bank loan table'!$B:$B,'Repayment 25'!$B6,'Bank loan table'!$E:$E,'Repayment 25'!$D6)</f>
        <v/>
      </c>
      <c r="O6" s="1016">
        <f>SUMIFS('Bank loan table'!Y:Y,'Bank loan table'!$A:$A,'Repayment 25'!$C6,'Bank loan table'!$B:$B,'Repayment 25'!$B6,'Bank loan table'!$E:$E,'Repayment 25'!$D6)</f>
        <v/>
      </c>
      <c r="P6" s="1016">
        <f>SUMIFS('Bank loan table'!Z:Z,'Bank loan table'!$A:$A,'Repayment 25'!$C6,'Bank loan table'!$B:$B,'Repayment 25'!$B6,'Bank loan table'!$E:$E,'Repayment 25'!$D6)</f>
        <v/>
      </c>
      <c r="Q6" s="1016">
        <f>SUMIFS('Bank loan table'!AA:AA,'Bank loan table'!$A:$A,'Repayment 25'!$C6,'Bank loan table'!$B:$B,'Repayment 25'!$B6,'Bank loan table'!$E:$E,'Repayment 25'!$D6)</f>
        <v/>
      </c>
      <c r="R6" s="1251">
        <f>SUMIFS('Bank loan table'!AB:AB,'Bank loan table'!$A:$A,'Repayment 25'!$C6,'Bank loan table'!$B:$B,'Repayment 25'!$B6,'Bank loan table'!$E:$E,'Repayment 25'!$D6)</f>
        <v/>
      </c>
      <c r="S6" s="1017">
        <f>SUMIFS('Bank loan table'!AC:AC,'Bank loan table'!$A:$A,'Repayment 25'!$C6,'Bank loan table'!$B:$B,'Repayment 25'!$B6,'Bank loan table'!$E:$E,'Repayment 25'!$D6)</f>
        <v/>
      </c>
      <c r="T6" s="1018">
        <f>SUMIFS('Bank loan table'!AD:AD,'Bank loan table'!$A:$A,'Repayment 25'!$C6,'Bank loan table'!$B:$B,'Repayment 25'!$B6,'Bank loan table'!$E:$E,'Repayment 25'!$D6)</f>
        <v/>
      </c>
      <c r="U6" s="1018">
        <f>SUMIFS('Bank loan table'!AE:AE,'Bank loan table'!$A:$A,'Repayment 25'!$C6,'Bank loan table'!$B:$B,'Repayment 25'!$B6,'Bank loan table'!$E:$E,'Repayment 25'!$D6)</f>
        <v/>
      </c>
      <c r="V6" s="1018">
        <f>SUMIFS('Bank loan table'!AF:AF,'Bank loan table'!$A:$A,'Repayment 25'!$C6,'Bank loan table'!$B:$B,'Repayment 25'!$B6,'Bank loan table'!$E:$E,'Repayment 25'!$D6)</f>
        <v/>
      </c>
      <c r="W6" s="1018">
        <f>SUMIFS('Bank loan table'!AG:AG,'Bank loan table'!$A:$A,'Repayment 25'!$C6,'Bank loan table'!$B:$B,'Repayment 25'!$B6,'Bank loan table'!$E:$E,'Repayment 25'!$D6)</f>
        <v/>
      </c>
      <c r="X6" s="1018">
        <f>SUMIFS('Bank loan table'!AH:AH,'Bank loan table'!$A:$A,'Repayment 25'!$C6,'Bank loan table'!$B:$B,'Repayment 25'!$B6,'Bank loan table'!$E:$E,'Repayment 25'!$D6)</f>
        <v/>
      </c>
      <c r="Y6" s="1018">
        <f>SUMIFS('Bank loan table'!AI:AI,'Bank loan table'!$A:$A,'Repayment 25'!$C6,'Bank loan table'!$B:$B,'Repayment 25'!$B6,'Bank loan table'!$E:$E,'Repayment 25'!$D6)</f>
        <v/>
      </c>
      <c r="Z6" s="1018">
        <f>SUMIFS('Bank loan table'!AJ:AJ,'Bank loan table'!$A:$A,'Repayment 25'!$C6,'Bank loan table'!$B:$B,'Repayment 25'!$B6,'Bank loan table'!$E:$E,'Repayment 25'!$D6)</f>
        <v/>
      </c>
      <c r="AA6" s="1019">
        <f>SUMIFS('Bank loan table'!AK:AK,'Bank loan table'!$A:$A,'Repayment 25'!$C6,'Bank loan table'!$B:$B,'Repayment 25'!$B6,'Bank loan table'!$E:$E,'Repayment 25'!$D6)</f>
        <v/>
      </c>
      <c r="AC6" s="1019">
        <f>SUM(S6:AA6)+F6</f>
        <v/>
      </c>
    </row>
    <row r="7" hidden="1" ht="32.25" customHeight="1">
      <c r="B7" s="1020" t="n"/>
      <c r="C7" s="928">
        <f>+C5</f>
        <v/>
      </c>
      <c r="D7" s="1057">
        <f>+D6</f>
        <v/>
      </c>
      <c r="E7" s="1058">
        <f>SUM(G7:R7)</f>
        <v/>
      </c>
      <c r="F7" s="1058">
        <f>SUM(N7:R7)</f>
        <v/>
      </c>
      <c r="G7" s="1143">
        <f>SUMIFS('Bank loan table'!Q:Q,'Bank loan table'!$A:$A,'Repayment 25'!$C7,'Bank loan table'!$B:$B,'Repayment 25'!$B7,'Bank loan table'!$E:$E,'Repayment 25'!$D7)</f>
        <v/>
      </c>
      <c r="H7" s="929">
        <f>SUMIFS('Bank loan table'!R:R,'Bank loan table'!$A:$A,'Repayment 25'!$C7,'Bank loan table'!$B:$B,'Repayment 25'!$B7,'Bank loan table'!$E:$E,'Repayment 25'!$D7)</f>
        <v/>
      </c>
      <c r="I7" s="929">
        <f>SUMIFS('Bank loan table'!S:S,'Bank loan table'!$A:$A,'Repayment 25'!$C7,'Bank loan table'!$B:$B,'Repayment 25'!$B7,'Bank loan table'!$E:$E,'Repayment 25'!$D7)</f>
        <v/>
      </c>
      <c r="J7" s="929">
        <f>SUMIFS('Bank loan table'!T:T,'Bank loan table'!$A:$A,'Repayment 25'!$C7,'Bank loan table'!$B:$B,'Repayment 25'!$B7,'Bank loan table'!$E:$E,'Repayment 25'!$D7)</f>
        <v/>
      </c>
      <c r="K7" s="929">
        <f>SUMIFS('Bank loan table'!U:U,'Bank loan table'!$A:$A,'Repayment 25'!$C7,'Bank loan table'!$B:$B,'Repayment 25'!$B7,'Bank loan table'!$E:$E,'Repayment 25'!$D7)</f>
        <v/>
      </c>
      <c r="L7" s="929">
        <f>SUMIFS('Bank loan table'!V:V,'Bank loan table'!$A:$A,'Repayment 25'!$C7,'Bank loan table'!$B:$B,'Repayment 25'!$B7,'Bank loan table'!$E:$E,'Repayment 25'!$D7)</f>
        <v/>
      </c>
      <c r="M7" s="929">
        <f>SUMIFS('Bank loan table'!W:W,'Bank loan table'!$A:$A,'Repayment 25'!$C7,'Bank loan table'!$B:$B,'Repayment 25'!$B7,'Bank loan table'!$E:$E,'Repayment 25'!$D7)</f>
        <v/>
      </c>
      <c r="N7" s="929">
        <f>SUMIFS('Bank loan table'!X:X,'Bank loan table'!$A:$A,'Repayment 25'!$C7,'Bank loan table'!$B:$B,'Repayment 25'!$B7,'Bank loan table'!$E:$E,'Repayment 25'!$D7)</f>
        <v/>
      </c>
      <c r="O7" s="929">
        <f>SUMIFS('Bank loan table'!Y:Y,'Bank loan table'!$A:$A,'Repayment 25'!$C7,'Bank loan table'!$B:$B,'Repayment 25'!$B7,'Bank loan table'!$E:$E,'Repayment 25'!$D7)</f>
        <v/>
      </c>
      <c r="P7" s="929">
        <f>SUMIFS('Bank loan table'!Z:Z,'Bank loan table'!$A:$A,'Repayment 25'!$C7,'Bank loan table'!$B:$B,'Repayment 25'!$B7,'Bank loan table'!$E:$E,'Repayment 25'!$D7)</f>
        <v/>
      </c>
      <c r="Q7" s="929">
        <f>SUMIFS('Bank loan table'!AA:AA,'Bank loan table'!$A:$A,'Repayment 25'!$C7,'Bank loan table'!$B:$B,'Repayment 25'!$B7,'Bank loan table'!$E:$E,'Repayment 25'!$D7)</f>
        <v/>
      </c>
      <c r="R7" s="1252">
        <f>SUMIFS('Bank loan table'!AB:AB,'Bank loan table'!$A:$A,'Repayment 25'!$C7,'Bank loan table'!$B:$B,'Repayment 25'!$B7,'Bank loan table'!$E:$E,'Repayment 25'!$D7)</f>
        <v/>
      </c>
      <c r="S7" s="930">
        <f>SUMIFS('Bank loan table'!AC:AC,'Bank loan table'!$A:$A,'Repayment 25'!$C7,'Bank loan table'!$B:$B,'Repayment 25'!$B7,'Bank loan table'!$E:$E,'Repayment 25'!$D7)</f>
        <v/>
      </c>
      <c r="T7" s="931">
        <f>SUMIFS('Bank loan table'!AD:AD,'Bank loan table'!$A:$A,'Repayment 25'!$C7,'Bank loan table'!$B:$B,'Repayment 25'!$B7,'Bank loan table'!$E:$E,'Repayment 25'!$D7)</f>
        <v/>
      </c>
      <c r="U7" s="931">
        <f>SUMIFS('Bank loan table'!AE:AE,'Bank loan table'!$A:$A,'Repayment 25'!$C7,'Bank loan table'!$B:$B,'Repayment 25'!$B7,'Bank loan table'!$E:$E,'Repayment 25'!$D7)</f>
        <v/>
      </c>
      <c r="V7" s="931">
        <f>SUMIFS('Bank loan table'!AF:AF,'Bank loan table'!$A:$A,'Repayment 25'!$C7,'Bank loan table'!$B:$B,'Repayment 25'!$B7,'Bank loan table'!$E:$E,'Repayment 25'!$D7)</f>
        <v/>
      </c>
      <c r="W7" s="931">
        <f>SUMIFS('Bank loan table'!AG:AG,'Bank loan table'!$A:$A,'Repayment 25'!$C7,'Bank loan table'!$B:$B,'Repayment 25'!$B7,'Bank loan table'!$E:$E,'Repayment 25'!$D7)</f>
        <v/>
      </c>
      <c r="X7" s="931">
        <f>SUMIFS('Bank loan table'!AH:AH,'Bank loan table'!$A:$A,'Repayment 25'!$C7,'Bank loan table'!$B:$B,'Repayment 25'!$B7,'Bank loan table'!$E:$E,'Repayment 25'!$D7)</f>
        <v/>
      </c>
      <c r="Y7" s="931">
        <f>SUMIFS('Bank loan table'!AI:AI,'Bank loan table'!$A:$A,'Repayment 25'!$C7,'Bank loan table'!$B:$B,'Repayment 25'!$B7,'Bank loan table'!$E:$E,'Repayment 25'!$D7)</f>
        <v/>
      </c>
      <c r="Z7" s="931">
        <f>SUMIFS('Bank loan table'!AJ:AJ,'Bank loan table'!$A:$A,'Repayment 25'!$C7,'Bank loan table'!$B:$B,'Repayment 25'!$B7,'Bank loan table'!$E:$E,'Repayment 25'!$D7)</f>
        <v/>
      </c>
      <c r="AA7" s="932">
        <f>SUMIFS('Bank loan table'!AK:AK,'Bank loan table'!$A:$A,'Repayment 25'!$C7,'Bank loan table'!$B:$B,'Repayment 25'!$B7,'Bank loan table'!$E:$E,'Repayment 25'!$D7)</f>
        <v/>
      </c>
      <c r="AC7" s="932">
        <f>SUM(S7:AA7)+F7</f>
        <v/>
      </c>
    </row>
    <row r="8" ht="32.25" customFormat="1" customHeight="1" s="926" thickBot="1">
      <c r="B8" s="1622" t="inlineStr">
        <is>
          <t>SUM</t>
        </is>
      </c>
      <c r="C8" s="1623" t="n"/>
      <c r="D8" s="1344" t="n"/>
      <c r="E8" s="936">
        <f>SUM(G8:R8)</f>
        <v/>
      </c>
      <c r="F8" s="936">
        <f>SUM(N8:R8)</f>
        <v/>
      </c>
      <c r="G8" s="1144">
        <f>SUM(G4:G7)</f>
        <v/>
      </c>
      <c r="H8" s="934">
        <f>SUM(H4:H7)</f>
        <v/>
      </c>
      <c r="I8" s="934">
        <f>SUM(I4:I7)</f>
        <v/>
      </c>
      <c r="J8" s="934">
        <f>SUM(J4:J7)</f>
        <v/>
      </c>
      <c r="K8" s="934">
        <f>SUM(K4:K7)</f>
        <v/>
      </c>
      <c r="L8" s="934">
        <f>SUM(L4:L7)</f>
        <v/>
      </c>
      <c r="M8" s="934">
        <f>SUM(M4:M7)</f>
        <v/>
      </c>
      <c r="N8" s="934">
        <f>SUM(N4:N7)</f>
        <v/>
      </c>
      <c r="O8" s="934">
        <f>SUM(O4:O7)</f>
        <v/>
      </c>
      <c r="P8" s="934">
        <f>SUM(P4:P7)</f>
        <v/>
      </c>
      <c r="Q8" s="934">
        <f>SUM(Q4:Q7)</f>
        <v/>
      </c>
      <c r="R8" s="1253">
        <f>SUM(R4:R7)</f>
        <v/>
      </c>
      <c r="S8" s="935">
        <f>SUM(S4:S7)</f>
        <v/>
      </c>
      <c r="T8" s="936">
        <f>SUM(T4:T7)</f>
        <v/>
      </c>
      <c r="U8" s="936">
        <f>SUM(U4:U7)</f>
        <v/>
      </c>
      <c r="V8" s="936">
        <f>SUM(V4:V7)</f>
        <v/>
      </c>
      <c r="W8" s="936">
        <f>SUM(W4:W7)</f>
        <v/>
      </c>
      <c r="X8" s="936">
        <f>SUM(X4:X7)</f>
        <v/>
      </c>
      <c r="Y8" s="936">
        <f>SUM(Y4:Y7)</f>
        <v/>
      </c>
      <c r="Z8" s="936">
        <f>SUM(Z4:Z7)</f>
        <v/>
      </c>
      <c r="AA8" s="933">
        <f>SUM(AA4:AA7)</f>
        <v/>
      </c>
      <c r="AC8" s="933">
        <f>SUM(S8:AA8)+F8</f>
        <v/>
      </c>
    </row>
    <row r="9" ht="32.25" customHeight="1" thickTop="1">
      <c r="B9" s="1021" t="inlineStr">
        <is>
          <t>RBPI</t>
        </is>
      </c>
      <c r="C9" s="1009">
        <f>+C4</f>
        <v/>
      </c>
      <c r="D9" s="1053">
        <f>+D4</f>
        <v/>
      </c>
      <c r="E9" s="1054">
        <f>SUM(G9:R9)</f>
        <v/>
      </c>
      <c r="F9" s="1054">
        <f>SUM(N9:R9)</f>
        <v/>
      </c>
      <c r="G9" s="1140" t="n">
        <v>169</v>
      </c>
      <c r="H9" s="1005" t="n">
        <v>169</v>
      </c>
      <c r="I9" s="1005" t="n">
        <v>219</v>
      </c>
      <c r="J9" s="1005" t="n">
        <v>289</v>
      </c>
      <c r="K9" s="1005" t="n">
        <v>58.75</v>
      </c>
      <c r="L9" s="1005" t="n">
        <v>58.75</v>
      </c>
      <c r="M9" s="1314">
        <f>SUMIFS('Bank loan table'!W:W,'Bank loan table'!$A:$A,'Repayment 25'!$C9,'Bank loan table'!$B:$B,'Repayment 25'!$B9,'Bank loan table'!$E:$E,'Repayment 25'!$D9)</f>
        <v/>
      </c>
      <c r="N9" s="1005">
        <f>SUMIFS('Bank loan table'!X:X,'Bank loan table'!$A:$A,'Repayment 25'!$C9,'Bank loan table'!$B:$B,'Repayment 25'!$B9,'Bank loan table'!$E:$E,'Repayment 25'!$D9)</f>
        <v/>
      </c>
      <c r="O9" s="1005">
        <f>SUMIFS('Bank loan table'!Y:Y,'Bank loan table'!$A:$A,'Repayment 25'!$C9,'Bank loan table'!$B:$B,'Repayment 25'!$B9,'Bank loan table'!$E:$E,'Repayment 25'!$D9)</f>
        <v/>
      </c>
      <c r="P9" s="1005">
        <f>SUMIFS('Bank loan table'!Z:Z,'Bank loan table'!$A:$A,'Repayment 25'!$C9,'Bank loan table'!$B:$B,'Repayment 25'!$B9,'Bank loan table'!$E:$E,'Repayment 25'!$D9)</f>
        <v/>
      </c>
      <c r="Q9" s="1005">
        <f>SUMIFS('Bank loan table'!AA:AA,'Bank loan table'!$A:$A,'Repayment 25'!$C9,'Bank loan table'!$B:$B,'Repayment 25'!$B9,'Bank loan table'!$E:$E,'Repayment 25'!$D9)</f>
        <v/>
      </c>
      <c r="R9" s="1249">
        <f>SUMIFS('Bank loan table'!AB:AB,'Bank loan table'!$A:$A,'Repayment 25'!$C9,'Bank loan table'!$B:$B,'Repayment 25'!$B9,'Bank loan table'!$E:$E,'Repayment 25'!$D9)</f>
        <v/>
      </c>
      <c r="S9" s="1006">
        <f>SUMIFS('Bank loan table'!AC:AC,'Bank loan table'!$A:$A,'Repayment 25'!$C9,'Bank loan table'!$B:$B,'Repayment 25'!$B9,'Bank loan table'!$E:$E,'Repayment 25'!$D9)</f>
        <v/>
      </c>
      <c r="T9" s="1007">
        <f>SUMIFS('Bank loan table'!AD:AD,'Bank loan table'!$A:$A,'Repayment 25'!$C9,'Bank loan table'!$B:$B,'Repayment 25'!$B9,'Bank loan table'!$E:$E,'Repayment 25'!$D9)</f>
        <v/>
      </c>
      <c r="U9" s="1007">
        <f>SUMIFS('Bank loan table'!AE:AE,'Bank loan table'!$A:$A,'Repayment 25'!$C9,'Bank loan table'!$B:$B,'Repayment 25'!$B9,'Bank loan table'!$E:$E,'Repayment 25'!$D9)</f>
        <v/>
      </c>
      <c r="V9" s="1007">
        <f>SUMIFS('Bank loan table'!AF:AF,'Bank loan table'!$A:$A,'Repayment 25'!$C9,'Bank loan table'!$B:$B,'Repayment 25'!$B9,'Bank loan table'!$E:$E,'Repayment 25'!$D9)</f>
        <v/>
      </c>
      <c r="W9" s="1007">
        <f>SUMIFS('Bank loan table'!AG:AG,'Bank loan table'!$A:$A,'Repayment 25'!$C9,'Bank loan table'!$B:$B,'Repayment 25'!$B9,'Bank loan table'!$E:$E,'Repayment 25'!$D9)</f>
        <v/>
      </c>
      <c r="X9" s="1007">
        <f>SUMIFS('Bank loan table'!AH:AH,'Bank loan table'!$A:$A,'Repayment 25'!$C9,'Bank loan table'!$B:$B,'Repayment 25'!$B9,'Bank loan table'!$E:$E,'Repayment 25'!$D9)</f>
        <v/>
      </c>
      <c r="Y9" s="1007">
        <f>SUMIFS('Bank loan table'!AI:AI,'Bank loan table'!$A:$A,'Repayment 25'!$C9,'Bank loan table'!$B:$B,'Repayment 25'!$B9,'Bank loan table'!$E:$E,'Repayment 25'!$D9)</f>
        <v/>
      </c>
      <c r="Z9" s="1007">
        <f>SUMIFS('Bank loan table'!AJ:AJ,'Bank loan table'!$A:$A,'Repayment 25'!$C9,'Bank loan table'!$B:$B,'Repayment 25'!$B9,'Bank loan table'!$E:$E,'Repayment 25'!$D9)</f>
        <v/>
      </c>
      <c r="AA9" s="1008">
        <f>SUMIFS('Bank loan table'!AK:AK,'Bank loan table'!$A:$A,'Repayment 25'!$C9,'Bank loan table'!$B:$B,'Repayment 25'!$B9,'Bank loan table'!$E:$E,'Repayment 25'!$D9)</f>
        <v/>
      </c>
      <c r="AC9" s="1008">
        <f>SUM(S9:AA9)+F9</f>
        <v/>
      </c>
    </row>
    <row r="10" ht="32.25" customHeight="1">
      <c r="B10" s="1264" t="inlineStr">
        <is>
          <t>RBPI</t>
        </is>
      </c>
      <c r="C10" s="1009">
        <f>+C5</f>
        <v/>
      </c>
      <c r="D10" s="1009">
        <f>+D5</f>
        <v/>
      </c>
      <c r="E10" s="1055">
        <f>SUM(G10:R10)</f>
        <v/>
      </c>
      <c r="F10" s="1055">
        <f>SUM(N10:R10)</f>
        <v/>
      </c>
      <c r="G10" s="1141" t="n">
        <v>87</v>
      </c>
      <c r="H10" s="1010" t="n">
        <v>67</v>
      </c>
      <c r="I10" s="1010" t="n">
        <v>441.67232649</v>
      </c>
      <c r="J10" s="1010" t="n">
        <v>86.88599825</v>
      </c>
      <c r="K10" s="1010" t="n">
        <v>66.66732133000001</v>
      </c>
      <c r="L10" s="1010" t="n">
        <v>441.67232643</v>
      </c>
      <c r="M10" s="1315">
        <f>SUMIFS('Bank loan table'!W:W,'Bank loan table'!$A:$A,'Repayment 25'!$C10,'Bank loan table'!$B:$B,'Repayment 25'!$B10,'Bank loan table'!$E:$E,'Repayment 25'!$D10)</f>
        <v/>
      </c>
      <c r="N10" s="1010">
        <f>SUMIFS('Bank loan table'!X:X,'Bank loan table'!$A:$A,'Repayment 25'!$C10,'Bank loan table'!$B:$B,'Repayment 25'!$B10,'Bank loan table'!$E:$E,'Repayment 25'!$D10)</f>
        <v/>
      </c>
      <c r="O10" s="1010">
        <f>SUMIFS('Bank loan table'!Y:Y,'Bank loan table'!$A:$A,'Repayment 25'!$C10,'Bank loan table'!$B:$B,'Repayment 25'!$B10,'Bank loan table'!$E:$E,'Repayment 25'!$D10)</f>
        <v/>
      </c>
      <c r="P10" s="1010">
        <f>SUMIFS('Bank loan table'!Z:Z,'Bank loan table'!$A:$A,'Repayment 25'!$C10,'Bank loan table'!$B:$B,'Repayment 25'!$B10,'Bank loan table'!$E:$E,'Repayment 25'!$D10)</f>
        <v/>
      </c>
      <c r="Q10" s="1010">
        <f>SUMIFS('Bank loan table'!AA:AA,'Bank loan table'!$A:$A,'Repayment 25'!$C10,'Bank loan table'!$B:$B,'Repayment 25'!$B10,'Bank loan table'!$E:$E,'Repayment 25'!$D10)</f>
        <v/>
      </c>
      <c r="R10" s="1250">
        <f>SUMIFS('Bank loan table'!AB:AB,'Bank loan table'!$A:$A,'Repayment 25'!$C10,'Bank loan table'!$B:$B,'Repayment 25'!$B10,'Bank loan table'!$E:$E,'Repayment 25'!$D10)</f>
        <v/>
      </c>
      <c r="S10" s="1011">
        <f>SUMIFS('Bank loan table'!AC:AC,'Bank loan table'!$A:$A,'Repayment 25'!$C10,'Bank loan table'!$B:$B,'Repayment 25'!$B10,'Bank loan table'!$E:$E,'Repayment 25'!$D10)</f>
        <v/>
      </c>
      <c r="T10" s="1012">
        <f>SUMIFS('Bank loan table'!AD:AD,'Bank loan table'!$A:$A,'Repayment 25'!$C10,'Bank loan table'!$B:$B,'Repayment 25'!$B10,'Bank loan table'!$E:$E,'Repayment 25'!$D10)</f>
        <v/>
      </c>
      <c r="U10" s="1012">
        <f>SUMIFS('Bank loan table'!AE:AE,'Bank loan table'!$A:$A,'Repayment 25'!$C10,'Bank loan table'!$B:$B,'Repayment 25'!$B10,'Bank loan table'!$E:$E,'Repayment 25'!$D10)</f>
        <v/>
      </c>
      <c r="V10" s="1012">
        <f>SUMIFS('Bank loan table'!AF:AF,'Bank loan table'!$A:$A,'Repayment 25'!$C10,'Bank loan table'!$B:$B,'Repayment 25'!$B10,'Bank loan table'!$E:$E,'Repayment 25'!$D10)</f>
        <v/>
      </c>
      <c r="W10" s="1012">
        <f>SUMIFS('Bank loan table'!AG:AG,'Bank loan table'!$A:$A,'Repayment 25'!$C10,'Bank loan table'!$B:$B,'Repayment 25'!$B10,'Bank loan table'!$E:$E,'Repayment 25'!$D10)</f>
        <v/>
      </c>
      <c r="X10" s="1012">
        <f>SUMIFS('Bank loan table'!AH:AH,'Bank loan table'!$A:$A,'Repayment 25'!$C10,'Bank loan table'!$B:$B,'Repayment 25'!$B10,'Bank loan table'!$E:$E,'Repayment 25'!$D10)</f>
        <v/>
      </c>
      <c r="Y10" s="1012">
        <f>SUMIFS('Bank loan table'!AI:AI,'Bank loan table'!$A:$A,'Repayment 25'!$C10,'Bank loan table'!$B:$B,'Repayment 25'!$B10,'Bank loan table'!$E:$E,'Repayment 25'!$D10)</f>
        <v/>
      </c>
      <c r="Z10" s="1012">
        <f>SUMIFS('Bank loan table'!AJ:AJ,'Bank loan table'!$A:$A,'Repayment 25'!$C10,'Bank loan table'!$B:$B,'Repayment 25'!$B10,'Bank loan table'!$E:$E,'Repayment 25'!$D10)</f>
        <v/>
      </c>
      <c r="AA10" s="1013">
        <f>SUMIFS('Bank loan table'!AK:AK,'Bank loan table'!$A:$A,'Repayment 25'!$C10,'Bank loan table'!$B:$B,'Repayment 25'!$B10,'Bank loan table'!$E:$E,'Repayment 25'!$D10)</f>
        <v/>
      </c>
      <c r="AC10" s="1013">
        <f>SUM(S10:AA10)+F10</f>
        <v/>
      </c>
    </row>
    <row r="11" ht="32.25" customHeight="1">
      <c r="B11" s="1265" t="inlineStr">
        <is>
          <t>RBPI</t>
        </is>
      </c>
      <c r="C11" s="1015">
        <f>+C6</f>
        <v/>
      </c>
      <c r="D11" s="1015">
        <f>+D6</f>
        <v/>
      </c>
      <c r="E11" s="1056">
        <f>SUM(G11:R11)</f>
        <v/>
      </c>
      <c r="F11" s="1056">
        <f>SUM(N11:R11)</f>
        <v/>
      </c>
      <c r="G11" s="1142" t="n">
        <v>557</v>
      </c>
      <c r="H11" s="1016" t="n">
        <v>543</v>
      </c>
      <c r="I11" s="1016" t="n">
        <v>415.00000002</v>
      </c>
      <c r="J11" s="1016" t="n">
        <v>655</v>
      </c>
      <c r="K11" s="1016" t="n">
        <v>431.7</v>
      </c>
      <c r="L11" s="1016" t="n">
        <v>261.7</v>
      </c>
      <c r="M11" s="1316">
        <f>SUMIFS('Bank loan table'!W:W,'Bank loan table'!$A:$A,'Repayment 25'!$C11,'Bank loan table'!$B:$B,'Repayment 25'!$B11,'Bank loan table'!$E:$E,'Repayment 25'!$D11)</f>
        <v/>
      </c>
      <c r="N11" s="1016">
        <f>SUMIFS('Bank loan table'!X:X,'Bank loan table'!$A:$A,'Repayment 25'!$C11,'Bank loan table'!$B:$B,'Repayment 25'!$B11,'Bank loan table'!$E:$E,'Repayment 25'!$D11)</f>
        <v/>
      </c>
      <c r="O11" s="1016">
        <f>SUMIFS('Bank loan table'!Y:Y,'Bank loan table'!$A:$A,'Repayment 25'!$C11,'Bank loan table'!$B:$B,'Repayment 25'!$B11,'Bank loan table'!$E:$E,'Repayment 25'!$D11)</f>
        <v/>
      </c>
      <c r="P11" s="1016">
        <f>SUMIFS('Bank loan table'!Z:Z,'Bank loan table'!$A:$A,'Repayment 25'!$C11,'Bank loan table'!$B:$B,'Repayment 25'!$B11,'Bank loan table'!$E:$E,'Repayment 25'!$D11)</f>
        <v/>
      </c>
      <c r="Q11" s="1016">
        <f>SUMIFS('Bank loan table'!AA:AA,'Bank loan table'!$A:$A,'Repayment 25'!$C11,'Bank loan table'!$B:$B,'Repayment 25'!$B11,'Bank loan table'!$E:$E,'Repayment 25'!$D11)</f>
        <v/>
      </c>
      <c r="R11" s="1251">
        <f>SUMIFS('Bank loan table'!AB:AB,'Bank loan table'!$A:$A,'Repayment 25'!$C11,'Bank loan table'!$B:$B,'Repayment 25'!$B11,'Bank loan table'!$E:$E,'Repayment 25'!$D11)</f>
        <v/>
      </c>
      <c r="S11" s="1017">
        <f>SUMIFS('Bank loan table'!AC:AC,'Bank loan table'!$A:$A,'Repayment 25'!$C11,'Bank loan table'!$B:$B,'Repayment 25'!$B11,'Bank loan table'!$E:$E,'Repayment 25'!$D11)</f>
        <v/>
      </c>
      <c r="T11" s="1018">
        <f>SUMIFS('Bank loan table'!AD:AD,'Bank loan table'!$A:$A,'Repayment 25'!$C11,'Bank loan table'!$B:$B,'Repayment 25'!$B11,'Bank loan table'!$E:$E,'Repayment 25'!$D11)</f>
        <v/>
      </c>
      <c r="U11" s="1018">
        <f>SUMIFS('Bank loan table'!AE:AE,'Bank loan table'!$A:$A,'Repayment 25'!$C11,'Bank loan table'!$B:$B,'Repayment 25'!$B11,'Bank loan table'!$E:$E,'Repayment 25'!$D11)</f>
        <v/>
      </c>
      <c r="V11" s="1018">
        <f>SUMIFS('Bank loan table'!AF:AF,'Bank loan table'!$A:$A,'Repayment 25'!$C11,'Bank loan table'!$B:$B,'Repayment 25'!$B11,'Bank loan table'!$E:$E,'Repayment 25'!$D11)</f>
        <v/>
      </c>
      <c r="W11" s="1018">
        <f>SUMIFS('Bank loan table'!AG:AG,'Bank loan table'!$A:$A,'Repayment 25'!$C11,'Bank loan table'!$B:$B,'Repayment 25'!$B11,'Bank loan table'!$E:$E,'Repayment 25'!$D11)</f>
        <v/>
      </c>
      <c r="X11" s="1018">
        <f>SUMIFS('Bank loan table'!AH:AH,'Bank loan table'!$A:$A,'Repayment 25'!$C11,'Bank loan table'!$B:$B,'Repayment 25'!$B11,'Bank loan table'!$E:$E,'Repayment 25'!$D11)</f>
        <v/>
      </c>
      <c r="Y11" s="1018">
        <f>SUMIFS('Bank loan table'!AI:AI,'Bank loan table'!$A:$A,'Repayment 25'!$C11,'Bank loan table'!$B:$B,'Repayment 25'!$B11,'Bank loan table'!$E:$E,'Repayment 25'!$D11)</f>
        <v/>
      </c>
      <c r="Z11" s="1018">
        <f>SUMIFS('Bank loan table'!AJ:AJ,'Bank loan table'!$A:$A,'Repayment 25'!$C11,'Bank loan table'!$B:$B,'Repayment 25'!$B11,'Bank loan table'!$E:$E,'Repayment 25'!$D11)</f>
        <v/>
      </c>
      <c r="AA11" s="1019">
        <f>SUMIFS('Bank loan table'!AK:AK,'Bank loan table'!$A:$A,'Repayment 25'!$C11,'Bank loan table'!$B:$B,'Repayment 25'!$B11,'Bank loan table'!$E:$E,'Repayment 25'!$D11)</f>
        <v/>
      </c>
      <c r="AC11" s="1019">
        <f>SUM(S11:AA11)+F11</f>
        <v/>
      </c>
    </row>
    <row r="12" ht="32.25" customHeight="1">
      <c r="B12" s="1266" t="inlineStr">
        <is>
          <t>RBPI</t>
        </is>
      </c>
      <c r="C12" s="928">
        <f>+C7</f>
        <v/>
      </c>
      <c r="D12" s="1057">
        <f>+D7</f>
        <v/>
      </c>
      <c r="E12" s="1058">
        <f>SUM(G12:R12)</f>
        <v/>
      </c>
      <c r="F12" s="1058">
        <f>SUM(N12:R12)</f>
        <v/>
      </c>
      <c r="G12" s="1143" t="n">
        <v>53</v>
      </c>
      <c r="H12" s="929" t="n">
        <v>18</v>
      </c>
      <c r="I12" s="929" t="n">
        <v>23.354869</v>
      </c>
      <c r="J12" s="929" t="n">
        <v>60.67705388000001</v>
      </c>
      <c r="K12" s="929" t="n">
        <v>21.31753600000001</v>
      </c>
      <c r="L12" s="929" t="n">
        <v>22.67173600000001</v>
      </c>
      <c r="M12" s="1317">
        <f>SUMIFS('Bank loan table'!W:W,'Bank loan table'!$A:$A,'Repayment 25'!$C12,'Bank loan table'!$B:$B,'Repayment 25'!$B12,'Bank loan table'!$E:$E,'Repayment 25'!$D12)</f>
        <v/>
      </c>
      <c r="N12" s="929">
        <f>SUMIFS('Bank loan table'!X:X,'Bank loan table'!$A:$A,'Repayment 25'!$C12,'Bank loan table'!$B:$B,'Repayment 25'!$B12,'Bank loan table'!$E:$E,'Repayment 25'!$D12)</f>
        <v/>
      </c>
      <c r="O12" s="929">
        <f>SUMIFS('Bank loan table'!Y:Y,'Bank loan table'!$A:$A,'Repayment 25'!$C12,'Bank loan table'!$B:$B,'Repayment 25'!$B12,'Bank loan table'!$E:$E,'Repayment 25'!$D12)</f>
        <v/>
      </c>
      <c r="P12" s="929">
        <f>SUMIFS('Bank loan table'!Z:Z,'Bank loan table'!$A:$A,'Repayment 25'!$C12,'Bank loan table'!$B:$B,'Repayment 25'!$B12,'Bank loan table'!$E:$E,'Repayment 25'!$D12)</f>
        <v/>
      </c>
      <c r="Q12" s="929">
        <f>SUMIFS('Bank loan table'!AA:AA,'Bank loan table'!$A:$A,'Repayment 25'!$C12,'Bank loan table'!$B:$B,'Repayment 25'!$B12,'Bank loan table'!$E:$E,'Repayment 25'!$D12)</f>
        <v/>
      </c>
      <c r="R12" s="1252">
        <f>SUMIFS('Bank loan table'!AB:AB,'Bank loan table'!$A:$A,'Repayment 25'!$C12,'Bank loan table'!$B:$B,'Repayment 25'!$B12,'Bank loan table'!$E:$E,'Repayment 25'!$D12)</f>
        <v/>
      </c>
      <c r="S12" s="930">
        <f>SUMIFS('Bank loan table'!AC:AC,'Bank loan table'!$A:$A,'Repayment 25'!$C12,'Bank loan table'!$B:$B,'Repayment 25'!$B12,'Bank loan table'!$E:$E,'Repayment 25'!$D12)</f>
        <v/>
      </c>
      <c r="T12" s="931">
        <f>SUMIFS('Bank loan table'!AD:AD,'Bank loan table'!$A:$A,'Repayment 25'!$C12,'Bank loan table'!$B:$B,'Repayment 25'!$B12,'Bank loan table'!$E:$E,'Repayment 25'!$D12)</f>
        <v/>
      </c>
      <c r="U12" s="931">
        <f>SUMIFS('Bank loan table'!AE:AE,'Bank loan table'!$A:$A,'Repayment 25'!$C12,'Bank loan table'!$B:$B,'Repayment 25'!$B12,'Bank loan table'!$E:$E,'Repayment 25'!$D12)</f>
        <v/>
      </c>
      <c r="V12" s="931">
        <f>SUMIFS('Bank loan table'!AF:AF,'Bank loan table'!$A:$A,'Repayment 25'!$C12,'Bank loan table'!$B:$B,'Repayment 25'!$B12,'Bank loan table'!$E:$E,'Repayment 25'!$D12)</f>
        <v/>
      </c>
      <c r="W12" s="931">
        <f>SUMIFS('Bank loan table'!AG:AG,'Bank loan table'!$A:$A,'Repayment 25'!$C12,'Bank loan table'!$B:$B,'Repayment 25'!$B12,'Bank loan table'!$E:$E,'Repayment 25'!$D12)</f>
        <v/>
      </c>
      <c r="X12" s="931">
        <f>SUMIFS('Bank loan table'!AH:AH,'Bank loan table'!$A:$A,'Repayment 25'!$C12,'Bank loan table'!$B:$B,'Repayment 25'!$B12,'Bank loan table'!$E:$E,'Repayment 25'!$D12)</f>
        <v/>
      </c>
      <c r="Y12" s="931">
        <f>SUMIFS('Bank loan table'!AI:AI,'Bank loan table'!$A:$A,'Repayment 25'!$C12,'Bank loan table'!$B:$B,'Repayment 25'!$B12,'Bank loan table'!$E:$E,'Repayment 25'!$D12)</f>
        <v/>
      </c>
      <c r="Z12" s="931">
        <f>SUMIFS('Bank loan table'!AJ:AJ,'Bank loan table'!$A:$A,'Repayment 25'!$C12,'Bank loan table'!$B:$B,'Repayment 25'!$B12,'Bank loan table'!$E:$E,'Repayment 25'!$D12)</f>
        <v/>
      </c>
      <c r="AA12" s="932">
        <f>SUMIFS('Bank loan table'!AK:AK,'Bank loan table'!$A:$A,'Repayment 25'!$C12,'Bank loan table'!$B:$B,'Repayment 25'!$B12,'Bank loan table'!$E:$E,'Repayment 25'!$D12)</f>
        <v/>
      </c>
      <c r="AC12" s="932">
        <f>SUM(S12:AA12)+F12</f>
        <v/>
      </c>
    </row>
    <row r="13" ht="32.25" customFormat="1" customHeight="1" s="926" thickBot="1">
      <c r="B13" s="1622" t="inlineStr">
        <is>
          <t>SUM</t>
        </is>
      </c>
      <c r="C13" s="1623" t="n"/>
      <c r="D13" s="1344" t="n"/>
      <c r="E13" s="936">
        <f>SUM(G13:R13)</f>
        <v/>
      </c>
      <c r="F13" s="936">
        <f>SUM(N13:R13)</f>
        <v/>
      </c>
      <c r="G13" s="1144">
        <f>SUM(G9:G12)</f>
        <v/>
      </c>
      <c r="H13" s="934">
        <f>SUM(H9:H12)</f>
        <v/>
      </c>
      <c r="I13" s="934">
        <f>SUM(I9:I12)</f>
        <v/>
      </c>
      <c r="J13" s="934">
        <f>SUM(J9:J12)</f>
        <v/>
      </c>
      <c r="K13" s="934">
        <f>SUM(K9:K12)</f>
        <v/>
      </c>
      <c r="L13" s="934">
        <f>SUM(L9:L12)</f>
        <v/>
      </c>
      <c r="M13" s="934">
        <f>SUM(M9:M12)</f>
        <v/>
      </c>
      <c r="N13" s="934">
        <f>SUM(N9:N12)</f>
        <v/>
      </c>
      <c r="O13" s="934">
        <f>SUM(O9:O12)</f>
        <v/>
      </c>
      <c r="P13" s="934">
        <f>SUM(P9:P12)</f>
        <v/>
      </c>
      <c r="Q13" s="934">
        <f>SUM(Q9:Q12)</f>
        <v/>
      </c>
      <c r="R13" s="1253">
        <f>SUM(R9:R12)</f>
        <v/>
      </c>
      <c r="S13" s="935">
        <f>SUM(S9:S12)</f>
        <v/>
      </c>
      <c r="T13" s="936">
        <f>SUM(T9:T12)</f>
        <v/>
      </c>
      <c r="U13" s="936">
        <f>SUM(U9:U12)</f>
        <v/>
      </c>
      <c r="V13" s="936">
        <f>SUM(V9:V12)</f>
        <v/>
      </c>
      <c r="W13" s="936">
        <f>SUM(W9:W12)</f>
        <v/>
      </c>
      <c r="X13" s="936">
        <f>SUM(X9:X12)</f>
        <v/>
      </c>
      <c r="Y13" s="936">
        <f>SUM(Y9:Y12)</f>
        <v/>
      </c>
      <c r="Z13" s="936">
        <f>SUM(Z9:Z12)</f>
        <v/>
      </c>
      <c r="AA13" s="933">
        <f>SUM(AA9:AA12)</f>
        <v/>
      </c>
      <c r="AC13" s="933">
        <f>SUM(S13:AA13)+F13</f>
        <v/>
      </c>
    </row>
    <row r="14" ht="32.25" customHeight="1" thickTop="1">
      <c r="B14" s="1021" t="inlineStr">
        <is>
          <t>APK</t>
        </is>
      </c>
      <c r="C14" s="1009">
        <f>+C9</f>
        <v/>
      </c>
      <c r="D14" s="1053">
        <f>+D4</f>
        <v/>
      </c>
      <c r="E14" s="1054">
        <f>SUM(G14:R14)</f>
        <v/>
      </c>
      <c r="F14" s="1054">
        <f>SUM(N14:R14)</f>
        <v/>
      </c>
      <c r="G14" s="1140" t="n"/>
      <c r="H14" s="1005" t="n">
        <v>550</v>
      </c>
      <c r="I14" s="1005" t="n">
        <v>100</v>
      </c>
      <c r="J14" s="1005" t="n">
        <v>600</v>
      </c>
      <c r="K14" s="1005" t="n">
        <v>75</v>
      </c>
      <c r="L14" s="1005" t="n">
        <v>165</v>
      </c>
      <c r="M14" s="1314">
        <f>SUMIFS('Bank loan table'!W:W,'Bank loan table'!$A:$A,'Repayment 25'!$C14,'Bank loan table'!$B:$B,'Repayment 25'!$B14,'Bank loan table'!$E:$E,'Repayment 25'!$D14)</f>
        <v/>
      </c>
      <c r="N14" s="1005">
        <f>SUMIFS('Bank loan table'!X:X,'Bank loan table'!$A:$A,'Repayment 25'!$C14,'Bank loan table'!$B:$B,'Repayment 25'!$B14,'Bank loan table'!$E:$E,'Repayment 25'!$D14)</f>
        <v/>
      </c>
      <c r="O14" s="1005">
        <f>SUMIFS('Bank loan table'!Y:Y,'Bank loan table'!$A:$A,'Repayment 25'!$C14,'Bank loan table'!$B:$B,'Repayment 25'!$B14,'Bank loan table'!$E:$E,'Repayment 25'!$D14)</f>
        <v/>
      </c>
      <c r="P14" s="1005">
        <f>SUMIFS('Bank loan table'!Z:Z,'Bank loan table'!$A:$A,'Repayment 25'!$C14,'Bank loan table'!$B:$B,'Repayment 25'!$B14,'Bank loan table'!$E:$E,'Repayment 25'!$D14)</f>
        <v/>
      </c>
      <c r="Q14" s="1005">
        <f>SUMIFS('Bank loan table'!AA:AA,'Bank loan table'!$A:$A,'Repayment 25'!$C14,'Bank loan table'!$B:$B,'Repayment 25'!$B14,'Bank loan table'!$E:$E,'Repayment 25'!$D14)</f>
        <v/>
      </c>
      <c r="R14" s="1249">
        <f>SUMIFS('Bank loan table'!AB:AB,'Bank loan table'!$A:$A,'Repayment 25'!$C14,'Bank loan table'!$B:$B,'Repayment 25'!$B14,'Bank loan table'!$E:$E,'Repayment 25'!$D14)</f>
        <v/>
      </c>
      <c r="S14" s="1006">
        <f>SUMIFS('Bank loan table'!AC:AC,'Bank loan table'!$A:$A,'Repayment 25'!$C14,'Bank loan table'!$B:$B,'Repayment 25'!$B14,'Bank loan table'!$E:$E,'Repayment 25'!$D14)</f>
        <v/>
      </c>
      <c r="T14" s="1007">
        <f>SUMIFS('Bank loan table'!AD:AD,'Bank loan table'!$A:$A,'Repayment 25'!$C14,'Bank loan table'!$B:$B,'Repayment 25'!$B14,'Bank loan table'!$E:$E,'Repayment 25'!$D14)</f>
        <v/>
      </c>
      <c r="U14" s="1007">
        <f>SUMIFS('Bank loan table'!AE:AE,'Bank loan table'!$A:$A,'Repayment 25'!$C14,'Bank loan table'!$B:$B,'Repayment 25'!$B14,'Bank loan table'!$E:$E,'Repayment 25'!$D14)</f>
        <v/>
      </c>
      <c r="V14" s="1007">
        <f>SUMIFS('Bank loan table'!AF:AF,'Bank loan table'!$A:$A,'Repayment 25'!$C14,'Bank loan table'!$B:$B,'Repayment 25'!$B14,'Bank loan table'!$E:$E,'Repayment 25'!$D14)</f>
        <v/>
      </c>
      <c r="W14" s="1007">
        <f>SUMIFS('Bank loan table'!AG:AG,'Bank loan table'!$A:$A,'Repayment 25'!$C14,'Bank loan table'!$B:$B,'Repayment 25'!$B14,'Bank loan table'!$E:$E,'Repayment 25'!$D14)</f>
        <v/>
      </c>
      <c r="X14" s="1007">
        <f>SUMIFS('Bank loan table'!AH:AH,'Bank loan table'!$A:$A,'Repayment 25'!$C14,'Bank loan table'!$B:$B,'Repayment 25'!$B14,'Bank loan table'!$E:$E,'Repayment 25'!$D14)</f>
        <v/>
      </c>
      <c r="Y14" s="1007">
        <f>SUMIFS('Bank loan table'!AI:AI,'Bank loan table'!$A:$A,'Repayment 25'!$C14,'Bank loan table'!$B:$B,'Repayment 25'!$B14,'Bank loan table'!$E:$E,'Repayment 25'!$D14)</f>
        <v/>
      </c>
      <c r="Z14" s="1007">
        <f>SUMIFS('Bank loan table'!AJ:AJ,'Bank loan table'!$A:$A,'Repayment 25'!$C14,'Bank loan table'!$B:$B,'Repayment 25'!$B14,'Bank loan table'!$E:$E,'Repayment 25'!$D14)</f>
        <v/>
      </c>
      <c r="AA14" s="1008">
        <f>SUMIFS('Bank loan table'!AK:AK,'Bank loan table'!$A:$A,'Repayment 25'!$C14,'Bank loan table'!$B:$B,'Repayment 25'!$B14,'Bank loan table'!$E:$E,'Repayment 25'!$D14)</f>
        <v/>
      </c>
      <c r="AC14" s="1008">
        <f>SUM(S14:AA14)+F14</f>
        <v/>
      </c>
    </row>
    <row r="15" ht="32.25" customHeight="1">
      <c r="B15" s="1264" t="inlineStr">
        <is>
          <t>APK</t>
        </is>
      </c>
      <c r="C15" s="1009">
        <f>+C10</f>
        <v/>
      </c>
      <c r="D15" s="1009">
        <f>+D5</f>
        <v/>
      </c>
      <c r="E15" s="1055">
        <f>SUM(G15:R15)</f>
        <v/>
      </c>
      <c r="F15" s="1055">
        <f>SUM(N15:R15)</f>
        <v/>
      </c>
      <c r="G15" s="1141" t="n"/>
      <c r="H15" s="1010" t="n"/>
      <c r="I15" s="1010" t="n"/>
      <c r="J15" s="1010" t="n">
        <v>0</v>
      </c>
      <c r="K15" s="1010" t="n">
        <v>0</v>
      </c>
      <c r="L15" s="1010" t="n">
        <v>0</v>
      </c>
      <c r="M15" s="1315">
        <f>SUMIFS('Bank loan table'!W:W,'Bank loan table'!$A:$A,'Repayment 25'!$C15,'Bank loan table'!$B:$B,'Repayment 25'!$B15,'Bank loan table'!$E:$E,'Repayment 25'!$D15)</f>
        <v/>
      </c>
      <c r="N15" s="1010">
        <f>SUMIFS('Bank loan table'!X:X,'Bank loan table'!$A:$A,'Repayment 25'!$C15,'Bank loan table'!$B:$B,'Repayment 25'!$B15,'Bank loan table'!$E:$E,'Repayment 25'!$D15)</f>
        <v/>
      </c>
      <c r="O15" s="1010">
        <f>SUMIFS('Bank loan table'!Y:Y,'Bank loan table'!$A:$A,'Repayment 25'!$C15,'Bank loan table'!$B:$B,'Repayment 25'!$B15,'Bank loan table'!$E:$E,'Repayment 25'!$D15)</f>
        <v/>
      </c>
      <c r="P15" s="1010">
        <f>SUMIFS('Bank loan table'!Z:Z,'Bank loan table'!$A:$A,'Repayment 25'!$C15,'Bank loan table'!$B:$B,'Repayment 25'!$B15,'Bank loan table'!$E:$E,'Repayment 25'!$D15)</f>
        <v/>
      </c>
      <c r="Q15" s="1010">
        <f>SUMIFS('Bank loan table'!AA:AA,'Bank loan table'!$A:$A,'Repayment 25'!$C15,'Bank loan table'!$B:$B,'Repayment 25'!$B15,'Bank loan table'!$E:$E,'Repayment 25'!$D15)</f>
        <v/>
      </c>
      <c r="R15" s="1250">
        <f>SUMIFS('Bank loan table'!AB:AB,'Bank loan table'!$A:$A,'Repayment 25'!$C15,'Bank loan table'!$B:$B,'Repayment 25'!$B15,'Bank loan table'!$E:$E,'Repayment 25'!$D15)</f>
        <v/>
      </c>
      <c r="S15" s="1011">
        <f>SUMIFS('Bank loan table'!AC:AC,'Bank loan table'!$A:$A,'Repayment 25'!$C15,'Bank loan table'!$B:$B,'Repayment 25'!$B15,'Bank loan table'!$E:$E,'Repayment 25'!$D15)</f>
        <v/>
      </c>
      <c r="T15" s="1012">
        <f>SUMIFS('Bank loan table'!AD:AD,'Bank loan table'!$A:$A,'Repayment 25'!$C15,'Bank loan table'!$B:$B,'Repayment 25'!$B15,'Bank loan table'!$E:$E,'Repayment 25'!$D15)</f>
        <v/>
      </c>
      <c r="U15" s="1012">
        <f>SUMIFS('Bank loan table'!AE:AE,'Bank loan table'!$A:$A,'Repayment 25'!$C15,'Bank loan table'!$B:$B,'Repayment 25'!$B15,'Bank loan table'!$E:$E,'Repayment 25'!$D15)</f>
        <v/>
      </c>
      <c r="V15" s="1012">
        <f>SUMIFS('Bank loan table'!AF:AF,'Bank loan table'!$A:$A,'Repayment 25'!$C15,'Bank loan table'!$B:$B,'Repayment 25'!$B15,'Bank loan table'!$E:$E,'Repayment 25'!$D15)</f>
        <v/>
      </c>
      <c r="W15" s="1012">
        <f>SUMIFS('Bank loan table'!AG:AG,'Bank loan table'!$A:$A,'Repayment 25'!$C15,'Bank loan table'!$B:$B,'Repayment 25'!$B15,'Bank loan table'!$E:$E,'Repayment 25'!$D15)</f>
        <v/>
      </c>
      <c r="X15" s="1012">
        <f>SUMIFS('Bank loan table'!AH:AH,'Bank loan table'!$A:$A,'Repayment 25'!$C15,'Bank loan table'!$B:$B,'Repayment 25'!$B15,'Bank loan table'!$E:$E,'Repayment 25'!$D15)</f>
        <v/>
      </c>
      <c r="Y15" s="1012">
        <f>SUMIFS('Bank loan table'!AI:AI,'Bank loan table'!$A:$A,'Repayment 25'!$C15,'Bank loan table'!$B:$B,'Repayment 25'!$B15,'Bank loan table'!$E:$E,'Repayment 25'!$D15)</f>
        <v/>
      </c>
      <c r="Z15" s="1012">
        <f>SUMIFS('Bank loan table'!AJ:AJ,'Bank loan table'!$A:$A,'Repayment 25'!$C15,'Bank loan table'!$B:$B,'Repayment 25'!$B15,'Bank loan table'!$E:$E,'Repayment 25'!$D15)</f>
        <v/>
      </c>
      <c r="AA15" s="1013">
        <f>SUMIFS('Bank loan table'!AK:AK,'Bank loan table'!$A:$A,'Repayment 25'!$C15,'Bank loan table'!$B:$B,'Repayment 25'!$B15,'Bank loan table'!$E:$E,'Repayment 25'!$D15)</f>
        <v/>
      </c>
      <c r="AC15" s="1013">
        <f>SUM(S15:AA15)+F15</f>
        <v/>
      </c>
    </row>
    <row r="16" ht="32.25" customHeight="1">
      <c r="B16" s="1265" t="inlineStr">
        <is>
          <t>APK</t>
        </is>
      </c>
      <c r="C16" s="1015">
        <f>+C11</f>
        <v/>
      </c>
      <c r="D16" s="1015">
        <f>+D6</f>
        <v/>
      </c>
      <c r="E16" s="1056">
        <f>SUM(G16:R16)</f>
        <v/>
      </c>
      <c r="F16" s="1056">
        <f>SUM(N16:R16)</f>
        <v/>
      </c>
      <c r="G16" s="1142" t="n">
        <v>350</v>
      </c>
      <c r="H16" s="1016" t="n">
        <v>600</v>
      </c>
      <c r="I16" s="1016" t="n">
        <v>425</v>
      </c>
      <c r="J16" s="1016" t="n">
        <v>50</v>
      </c>
      <c r="K16" s="1016" t="n">
        <v>400</v>
      </c>
      <c r="L16" s="1016" t="n">
        <v>0</v>
      </c>
      <c r="M16" s="1316">
        <f>SUMIFS('Bank loan table'!W:W,'Bank loan table'!$A:$A,'Repayment 25'!$C16,'Bank loan table'!$B:$B,'Repayment 25'!$B16,'Bank loan table'!$E:$E,'Repayment 25'!$D16)</f>
        <v/>
      </c>
      <c r="N16" s="1016">
        <f>SUMIFS('Bank loan table'!X:X,'Bank loan table'!$A:$A,'Repayment 25'!$C16,'Bank loan table'!$B:$B,'Repayment 25'!$B16,'Bank loan table'!$E:$E,'Repayment 25'!$D16)</f>
        <v/>
      </c>
      <c r="O16" s="1016">
        <f>SUMIFS('Bank loan table'!Y:Y,'Bank loan table'!$A:$A,'Repayment 25'!$C16,'Bank loan table'!$B:$B,'Repayment 25'!$B16,'Bank loan table'!$E:$E,'Repayment 25'!$D16)</f>
        <v/>
      </c>
      <c r="P16" s="1016">
        <f>SUMIFS('Bank loan table'!Z:Z,'Bank loan table'!$A:$A,'Repayment 25'!$C16,'Bank loan table'!$B:$B,'Repayment 25'!$B16,'Bank loan table'!$E:$E,'Repayment 25'!$D16)</f>
        <v/>
      </c>
      <c r="Q16" s="1016">
        <f>SUMIFS('Bank loan table'!AA:AA,'Bank loan table'!$A:$A,'Repayment 25'!$C16,'Bank loan table'!$B:$B,'Repayment 25'!$B16,'Bank loan table'!$E:$E,'Repayment 25'!$D16)</f>
        <v/>
      </c>
      <c r="R16" s="1251">
        <f>SUMIFS('Bank loan table'!AB:AB,'Bank loan table'!$A:$A,'Repayment 25'!$C16,'Bank loan table'!$B:$B,'Repayment 25'!$B16,'Bank loan table'!$E:$E,'Repayment 25'!$D16)</f>
        <v/>
      </c>
      <c r="S16" s="1017">
        <f>SUMIFS('Bank loan table'!AC:AC,'Bank loan table'!$A:$A,'Repayment 25'!$C16,'Bank loan table'!$B:$B,'Repayment 25'!$B16,'Bank loan table'!$E:$E,'Repayment 25'!$D16)</f>
        <v/>
      </c>
      <c r="T16" s="1018">
        <f>SUMIFS('Bank loan table'!AD:AD,'Bank loan table'!$A:$A,'Repayment 25'!$C16,'Bank loan table'!$B:$B,'Repayment 25'!$B16,'Bank loan table'!$E:$E,'Repayment 25'!$D16)</f>
        <v/>
      </c>
      <c r="U16" s="1018">
        <f>SUMIFS('Bank loan table'!AE:AE,'Bank loan table'!$A:$A,'Repayment 25'!$C16,'Bank loan table'!$B:$B,'Repayment 25'!$B16,'Bank loan table'!$E:$E,'Repayment 25'!$D16)</f>
        <v/>
      </c>
      <c r="V16" s="1018">
        <f>SUMIFS('Bank loan table'!AF:AF,'Bank loan table'!$A:$A,'Repayment 25'!$C16,'Bank loan table'!$B:$B,'Repayment 25'!$B16,'Bank loan table'!$E:$E,'Repayment 25'!$D16)</f>
        <v/>
      </c>
      <c r="W16" s="1018">
        <f>SUMIFS('Bank loan table'!AG:AG,'Bank loan table'!$A:$A,'Repayment 25'!$C16,'Bank loan table'!$B:$B,'Repayment 25'!$B16,'Bank loan table'!$E:$E,'Repayment 25'!$D16)</f>
        <v/>
      </c>
      <c r="X16" s="1018">
        <f>SUMIFS('Bank loan table'!AH:AH,'Bank loan table'!$A:$A,'Repayment 25'!$C16,'Bank loan table'!$B:$B,'Repayment 25'!$B16,'Bank loan table'!$E:$E,'Repayment 25'!$D16)</f>
        <v/>
      </c>
      <c r="Y16" s="1018">
        <f>SUMIFS('Bank loan table'!AI:AI,'Bank loan table'!$A:$A,'Repayment 25'!$C16,'Bank loan table'!$B:$B,'Repayment 25'!$B16,'Bank loan table'!$E:$E,'Repayment 25'!$D16)</f>
        <v/>
      </c>
      <c r="Z16" s="1018">
        <f>SUMIFS('Bank loan table'!AJ:AJ,'Bank loan table'!$A:$A,'Repayment 25'!$C16,'Bank loan table'!$B:$B,'Repayment 25'!$B16,'Bank loan table'!$E:$E,'Repayment 25'!$D16)</f>
        <v/>
      </c>
      <c r="AA16" s="1019">
        <f>SUMIFS('Bank loan table'!AK:AK,'Bank loan table'!$A:$A,'Repayment 25'!$C16,'Bank loan table'!$B:$B,'Repayment 25'!$B16,'Bank loan table'!$E:$E,'Repayment 25'!$D16)</f>
        <v/>
      </c>
      <c r="AC16" s="1019">
        <f>SUM(S16:AA16)+F16</f>
        <v/>
      </c>
    </row>
    <row r="17" ht="32.25" customHeight="1">
      <c r="B17" s="1266" t="inlineStr">
        <is>
          <t>APK</t>
        </is>
      </c>
      <c r="C17" s="928">
        <f>+C12</f>
        <v/>
      </c>
      <c r="D17" s="1057">
        <f>+D7</f>
        <v/>
      </c>
      <c r="E17" s="1058">
        <f>SUM(G17:R17)</f>
        <v/>
      </c>
      <c r="F17" s="1058">
        <f>SUM(N17:R17)</f>
        <v/>
      </c>
      <c r="G17" s="1143" t="n"/>
      <c r="H17" s="929" t="n"/>
      <c r="I17" s="929" t="n">
        <v>413.5</v>
      </c>
      <c r="J17" s="929" t="n">
        <v>0</v>
      </c>
      <c r="K17" s="929" t="n">
        <v>0</v>
      </c>
      <c r="L17" s="929" t="n">
        <v>413.5</v>
      </c>
      <c r="M17" s="1317">
        <f>SUMIFS('Bank loan table'!W:W,'Bank loan table'!$A:$A,'Repayment 25'!$C17,'Bank loan table'!$B:$B,'Repayment 25'!$B17,'Bank loan table'!$E:$E,'Repayment 25'!$D17)</f>
        <v/>
      </c>
      <c r="N17" s="929">
        <f>SUMIFS('Bank loan table'!X:X,'Bank loan table'!$A:$A,'Repayment 25'!$C17,'Bank loan table'!$B:$B,'Repayment 25'!$B17,'Bank loan table'!$E:$E,'Repayment 25'!$D17)</f>
        <v/>
      </c>
      <c r="O17" s="929">
        <f>SUMIFS('Bank loan table'!Y:Y,'Bank loan table'!$A:$A,'Repayment 25'!$C17,'Bank loan table'!$B:$B,'Repayment 25'!$B17,'Bank loan table'!$E:$E,'Repayment 25'!$D17)</f>
        <v/>
      </c>
      <c r="P17" s="929">
        <f>SUMIFS('Bank loan table'!Z:Z,'Bank loan table'!$A:$A,'Repayment 25'!$C17,'Bank loan table'!$B:$B,'Repayment 25'!$B17,'Bank loan table'!$E:$E,'Repayment 25'!$D17)</f>
        <v/>
      </c>
      <c r="Q17" s="929">
        <f>SUMIFS('Bank loan table'!AA:AA,'Bank loan table'!$A:$A,'Repayment 25'!$C17,'Bank loan table'!$B:$B,'Repayment 25'!$B17,'Bank loan table'!$E:$E,'Repayment 25'!$D17)</f>
        <v/>
      </c>
      <c r="R17" s="1252">
        <f>SUMIFS('Bank loan table'!AB:AB,'Bank loan table'!$A:$A,'Repayment 25'!$C17,'Bank loan table'!$B:$B,'Repayment 25'!$B17,'Bank loan table'!$E:$E,'Repayment 25'!$D17)</f>
        <v/>
      </c>
      <c r="S17" s="930">
        <f>SUMIFS('Bank loan table'!AC:AC,'Bank loan table'!$A:$A,'Repayment 25'!$C17,'Bank loan table'!$B:$B,'Repayment 25'!$B17,'Bank loan table'!$E:$E,'Repayment 25'!$D17)</f>
        <v/>
      </c>
      <c r="T17" s="931">
        <f>SUMIFS('Bank loan table'!AD:AD,'Bank loan table'!$A:$A,'Repayment 25'!$C17,'Bank loan table'!$B:$B,'Repayment 25'!$B17,'Bank loan table'!$E:$E,'Repayment 25'!$D17)</f>
        <v/>
      </c>
      <c r="U17" s="931">
        <f>SUMIFS('Bank loan table'!AE:AE,'Bank loan table'!$A:$A,'Repayment 25'!$C17,'Bank loan table'!$B:$B,'Repayment 25'!$B17,'Bank loan table'!$E:$E,'Repayment 25'!$D17)</f>
        <v/>
      </c>
      <c r="V17" s="931">
        <f>SUMIFS('Bank loan table'!AF:AF,'Bank loan table'!$A:$A,'Repayment 25'!$C17,'Bank loan table'!$B:$B,'Repayment 25'!$B17,'Bank loan table'!$E:$E,'Repayment 25'!$D17)</f>
        <v/>
      </c>
      <c r="W17" s="931">
        <f>SUMIFS('Bank loan table'!AG:AG,'Bank loan table'!$A:$A,'Repayment 25'!$C17,'Bank loan table'!$B:$B,'Repayment 25'!$B17,'Bank loan table'!$E:$E,'Repayment 25'!$D17)</f>
        <v/>
      </c>
      <c r="X17" s="931">
        <f>SUMIFS('Bank loan table'!AH:AH,'Bank loan table'!$A:$A,'Repayment 25'!$C17,'Bank loan table'!$B:$B,'Repayment 25'!$B17,'Bank loan table'!$E:$E,'Repayment 25'!$D17)</f>
        <v/>
      </c>
      <c r="Y17" s="931">
        <f>SUMIFS('Bank loan table'!AI:AI,'Bank loan table'!$A:$A,'Repayment 25'!$C17,'Bank loan table'!$B:$B,'Repayment 25'!$B17,'Bank loan table'!$E:$E,'Repayment 25'!$D17)</f>
        <v/>
      </c>
      <c r="Z17" s="931">
        <f>SUMIFS('Bank loan table'!AJ:AJ,'Bank loan table'!$A:$A,'Repayment 25'!$C17,'Bank loan table'!$B:$B,'Repayment 25'!$B17,'Bank loan table'!$E:$E,'Repayment 25'!$D17)</f>
        <v/>
      </c>
      <c r="AA17" s="932">
        <f>SUMIFS('Bank loan table'!AK:AK,'Bank loan table'!$A:$A,'Repayment 25'!$C17,'Bank loan table'!$B:$B,'Repayment 25'!$B17,'Bank loan table'!$E:$E,'Repayment 25'!$D17)</f>
        <v/>
      </c>
      <c r="AC17" s="932">
        <f>SUM(S17:AA17)+F17</f>
        <v/>
      </c>
    </row>
    <row r="18" ht="32.25" customFormat="1" customHeight="1" s="926" thickBot="1">
      <c r="B18" s="1622" t="inlineStr">
        <is>
          <t>SUM</t>
        </is>
      </c>
      <c r="C18" s="1623" t="n"/>
      <c r="D18" s="1344" t="n"/>
      <c r="E18" s="936">
        <f>SUM(G18:R18)</f>
        <v/>
      </c>
      <c r="F18" s="936">
        <f>SUM(N18:R18)</f>
        <v/>
      </c>
      <c r="G18" s="1144">
        <f>SUM(G14:G17)</f>
        <v/>
      </c>
      <c r="H18" s="934">
        <f>SUM(H14:H17)</f>
        <v/>
      </c>
      <c r="I18" s="934">
        <f>SUM(I14:I17)</f>
        <v/>
      </c>
      <c r="J18" s="934">
        <f>SUM(J14:J17)</f>
        <v/>
      </c>
      <c r="K18" s="934">
        <f>SUM(K14:K17)</f>
        <v/>
      </c>
      <c r="L18" s="934">
        <f>SUM(L14:L17)</f>
        <v/>
      </c>
      <c r="M18" s="934">
        <f>SUM(M14:M17)</f>
        <v/>
      </c>
      <c r="N18" s="934">
        <f>SUM(N14:N17)</f>
        <v/>
      </c>
      <c r="O18" s="934">
        <f>SUM(O14:O17)</f>
        <v/>
      </c>
      <c r="P18" s="934">
        <f>SUM(P14:P17)</f>
        <v/>
      </c>
      <c r="Q18" s="934">
        <f>SUM(Q14:Q17)</f>
        <v/>
      </c>
      <c r="R18" s="1253">
        <f>SUM(R14:R17)</f>
        <v/>
      </c>
      <c r="S18" s="935">
        <f>SUM(S14:S17)</f>
        <v/>
      </c>
      <c r="T18" s="936">
        <f>SUM(T14:T17)</f>
        <v/>
      </c>
      <c r="U18" s="936">
        <f>SUM(U14:U17)</f>
        <v/>
      </c>
      <c r="V18" s="936">
        <f>SUM(V14:V17)</f>
        <v/>
      </c>
      <c r="W18" s="936">
        <f>SUM(W14:W17)</f>
        <v/>
      </c>
      <c r="X18" s="936">
        <f>SUM(X14:X17)</f>
        <v/>
      </c>
      <c r="Y18" s="936">
        <f>SUM(Y14:Y17)</f>
        <v/>
      </c>
      <c r="Z18" s="936">
        <f>SUM(Z14:Z17)</f>
        <v/>
      </c>
      <c r="AA18" s="933">
        <f>SUM(AA14:AA17)</f>
        <v/>
      </c>
      <c r="AC18" s="933">
        <f>SUM(S18:AA18)+F18</f>
        <v/>
      </c>
    </row>
    <row r="19" ht="32.25" customHeight="1" thickTop="1">
      <c r="B19" s="1021" t="inlineStr">
        <is>
          <t>SW</t>
        </is>
      </c>
      <c r="C19" s="1009">
        <f>+C14</f>
        <v/>
      </c>
      <c r="D19" s="1053">
        <f>+D4</f>
        <v/>
      </c>
      <c r="E19" s="1054">
        <f>SUM(G19:R19)</f>
        <v/>
      </c>
      <c r="F19" s="1054">
        <f>SUM(N19:R19)</f>
        <v/>
      </c>
      <c r="G19" s="1140">
        <f>SUMIFS('Bank loan table'!Q:Q,'Bank loan table'!$A:$A,'Repayment 25'!$C19,'Bank loan table'!$B:$B,'Repayment 25'!$B19,'Bank loan table'!$E:$E,'Repayment 25'!$D19)</f>
        <v/>
      </c>
      <c r="H19" s="1005">
        <f>SUMIFS('Bank loan table'!R:R,'Bank loan table'!$A:$A,'Repayment 25'!$C19,'Bank loan table'!$B:$B,'Repayment 25'!$B19,'Bank loan table'!$E:$E,'Repayment 25'!$D19)</f>
        <v/>
      </c>
      <c r="I19" s="1005" t="n">
        <v>300</v>
      </c>
      <c r="J19" s="1005" t="n"/>
      <c r="K19" s="1005" t="n"/>
      <c r="L19" s="1005">
        <f>SUMIFS('Bank loan table'!V:V,'Bank loan table'!$A:$A,'Repayment 25'!$C19,'Bank loan table'!$B:$B,'Repayment 25'!$B19,'Bank loan table'!$E:$E,'Repayment 25'!$D19)</f>
        <v/>
      </c>
      <c r="M19" s="1005">
        <f>SUMIFS('Bank loan table'!W:W,'Bank loan table'!$A:$A,'Repayment 25'!$C19,'Bank loan table'!$B:$B,'Repayment 25'!$B19,'Bank loan table'!$E:$E,'Repayment 25'!$D19)</f>
        <v/>
      </c>
      <c r="N19" s="1189">
        <f>SUMIFS('Bank loan table'!X:X,'Bank loan table'!$A:$A,'Repayment 25'!$C19,'Bank loan table'!$B:$B,'Repayment 25'!$B19,'Bank loan table'!$E:$E,'Repayment 25'!$D19)</f>
        <v/>
      </c>
      <c r="O19" s="1189">
        <f>SUMIFS('Bank loan table'!Y:Y,'Bank loan table'!$A:$A,'Repayment 25'!$C19,'Bank loan table'!$B:$B,'Repayment 25'!$B19,'Bank loan table'!$E:$E,'Repayment 25'!$D19)</f>
        <v/>
      </c>
      <c r="P19" s="1189">
        <f>SUMIFS('Bank loan table'!Z:Z,'Bank loan table'!$A:$A,'Repayment 25'!$C19,'Bank loan table'!$B:$B,'Repayment 25'!$B19,'Bank loan table'!$E:$E,'Repayment 25'!$D19)</f>
        <v/>
      </c>
      <c r="Q19" s="1189">
        <f>SUMIFS('Bank loan table'!AA:AA,'Bank loan table'!$A:$A,'Repayment 25'!$C19,'Bank loan table'!$B:$B,'Repayment 25'!$B19,'Bank loan table'!$E:$E,'Repayment 25'!$D19)</f>
        <v/>
      </c>
      <c r="R19" s="1249">
        <f>SUMIFS('Bank loan table'!AB:AB,'Bank loan table'!$A:$A,'Repayment 25'!$C19,'Bank loan table'!$B:$B,'Repayment 25'!$B19,'Bank loan table'!$E:$E,'Repayment 25'!$D19)</f>
        <v/>
      </c>
      <c r="S19" s="1006">
        <f>SUMIFS('Bank loan table'!AC:AC,'Bank loan table'!$A:$A,'Repayment 25'!$C19,'Bank loan table'!$B:$B,'Repayment 25'!$B19,'Bank loan table'!$E:$E,'Repayment 25'!$D19)</f>
        <v/>
      </c>
      <c r="T19" s="1007">
        <f>SUMIFS('Bank loan table'!AD:AD,'Bank loan table'!$A:$A,'Repayment 25'!$C19,'Bank loan table'!$B:$B,'Repayment 25'!$B19,'Bank loan table'!$E:$E,'Repayment 25'!$D19)</f>
        <v/>
      </c>
      <c r="U19" s="1007">
        <f>SUMIFS('Bank loan table'!AE:AE,'Bank loan table'!$A:$A,'Repayment 25'!$C19,'Bank loan table'!$B:$B,'Repayment 25'!$B19,'Bank loan table'!$E:$E,'Repayment 25'!$D19)</f>
        <v/>
      </c>
      <c r="V19" s="1007">
        <f>SUMIFS('Bank loan table'!AF:AF,'Bank loan table'!$A:$A,'Repayment 25'!$C19,'Bank loan table'!$B:$B,'Repayment 25'!$B19,'Bank loan table'!$E:$E,'Repayment 25'!$D19)</f>
        <v/>
      </c>
      <c r="W19" s="1007">
        <f>SUMIFS('Bank loan table'!AG:AG,'Bank loan table'!$A:$A,'Repayment 25'!$C19,'Bank loan table'!$B:$B,'Repayment 25'!$B19,'Bank loan table'!$E:$E,'Repayment 25'!$D19)</f>
        <v/>
      </c>
      <c r="X19" s="1007">
        <f>SUMIFS('Bank loan table'!AH:AH,'Bank loan table'!$A:$A,'Repayment 25'!$C19,'Bank loan table'!$B:$B,'Repayment 25'!$B19,'Bank loan table'!$E:$E,'Repayment 25'!$D19)</f>
        <v/>
      </c>
      <c r="Y19" s="1007">
        <f>SUMIFS('Bank loan table'!AI:AI,'Bank loan table'!$A:$A,'Repayment 25'!$C19,'Bank loan table'!$B:$B,'Repayment 25'!$B19,'Bank loan table'!$E:$E,'Repayment 25'!$D19)</f>
        <v/>
      </c>
      <c r="Z19" s="1007">
        <f>SUMIFS('Bank loan table'!AJ:AJ,'Bank loan table'!$A:$A,'Repayment 25'!$C19,'Bank loan table'!$B:$B,'Repayment 25'!$B19,'Bank loan table'!$E:$E,'Repayment 25'!$D19)</f>
        <v/>
      </c>
      <c r="AA19" s="1008">
        <f>SUMIFS('Bank loan table'!AK:AK,'Bank loan table'!$A:$A,'Repayment 25'!$C19,'Bank loan table'!$B:$B,'Repayment 25'!$B19,'Bank loan table'!$E:$E,'Repayment 25'!$D19)</f>
        <v/>
      </c>
      <c r="AC19" s="1008">
        <f>SUM(S19:AA19)+F19</f>
        <v/>
      </c>
    </row>
    <row r="20" ht="32.25" customHeight="1">
      <c r="B20" s="1264" t="inlineStr">
        <is>
          <t>SW</t>
        </is>
      </c>
      <c r="C20" s="1009">
        <f>+C15</f>
        <v/>
      </c>
      <c r="D20" s="1009">
        <f>+D5</f>
        <v/>
      </c>
      <c r="E20" s="1055">
        <f>SUM(G20:R20)</f>
        <v/>
      </c>
      <c r="F20" s="1055">
        <f>SUM(N20:R20)</f>
        <v/>
      </c>
      <c r="G20" s="1141" t="n">
        <v>145.95797061</v>
      </c>
      <c r="H20" s="1010" t="n">
        <v>145.95797061</v>
      </c>
      <c r="I20" s="1010" t="n">
        <v>145.95797061</v>
      </c>
      <c r="J20" s="1010" t="n">
        <v>145.95797061</v>
      </c>
      <c r="K20" s="1010" t="n">
        <v>145.95797061</v>
      </c>
      <c r="L20" s="1010" t="n">
        <v>145.95797061</v>
      </c>
      <c r="M20" s="1010" t="n">
        <v>145.95797061</v>
      </c>
      <c r="N20" s="1010">
        <f>SUMIFS('Bank loan table'!X:X,'Bank loan table'!$A:$A,'Repayment 25'!$C20,'Bank loan table'!$B:$B,'Repayment 25'!$B20,'Bank loan table'!$E:$E,'Repayment 25'!$D20)</f>
        <v/>
      </c>
      <c r="O20" s="1010">
        <f>SUMIFS('Bank loan table'!Y:Y,'Bank loan table'!$A:$A,'Repayment 25'!$C20,'Bank loan table'!$B:$B,'Repayment 25'!$B20,'Bank loan table'!$E:$E,'Repayment 25'!$D20)</f>
        <v/>
      </c>
      <c r="P20" s="1010">
        <f>SUMIFS('Bank loan table'!Z:Z,'Bank loan table'!$A:$A,'Repayment 25'!$C20,'Bank loan table'!$B:$B,'Repayment 25'!$B20,'Bank loan table'!$E:$E,'Repayment 25'!$D20)</f>
        <v/>
      </c>
      <c r="Q20" s="1010">
        <f>SUMIFS('Bank loan table'!AA:AA,'Bank loan table'!$A:$A,'Repayment 25'!$C20,'Bank loan table'!$B:$B,'Repayment 25'!$B20,'Bank loan table'!$E:$E,'Repayment 25'!$D20)</f>
        <v/>
      </c>
      <c r="R20" s="1250">
        <f>SUMIFS('Bank loan table'!AB:AB,'Bank loan table'!$A:$A,'Repayment 25'!$C20,'Bank loan table'!$B:$B,'Repayment 25'!$B20,'Bank loan table'!$E:$E,'Repayment 25'!$D20)</f>
        <v/>
      </c>
      <c r="S20" s="1011">
        <f>SUMIFS('Bank loan table'!AC:AC,'Bank loan table'!$A:$A,'Repayment 25'!$C20,'Bank loan table'!$B:$B,'Repayment 25'!$B20,'Bank loan table'!$E:$E,'Repayment 25'!$D20)</f>
        <v/>
      </c>
      <c r="T20" s="1012">
        <f>SUMIFS('Bank loan table'!AD:AD,'Bank loan table'!$A:$A,'Repayment 25'!$C20,'Bank loan table'!$B:$B,'Repayment 25'!$B20,'Bank loan table'!$E:$E,'Repayment 25'!$D20)</f>
        <v/>
      </c>
      <c r="U20" s="1012">
        <f>SUMIFS('Bank loan table'!AE:AE,'Bank loan table'!$A:$A,'Repayment 25'!$C20,'Bank loan table'!$B:$B,'Repayment 25'!$B20,'Bank loan table'!$E:$E,'Repayment 25'!$D20)</f>
        <v/>
      </c>
      <c r="V20" s="1012">
        <f>SUMIFS('Bank loan table'!AF:AF,'Bank loan table'!$A:$A,'Repayment 25'!$C20,'Bank loan table'!$B:$B,'Repayment 25'!$B20,'Bank loan table'!$E:$E,'Repayment 25'!$D20)</f>
        <v/>
      </c>
      <c r="W20" s="1012">
        <f>SUMIFS('Bank loan table'!AG:AG,'Bank loan table'!$A:$A,'Repayment 25'!$C20,'Bank loan table'!$B:$B,'Repayment 25'!$B20,'Bank loan table'!$E:$E,'Repayment 25'!$D20)</f>
        <v/>
      </c>
      <c r="X20" s="1012">
        <f>SUMIFS('Bank loan table'!AH:AH,'Bank loan table'!$A:$A,'Repayment 25'!$C20,'Bank loan table'!$B:$B,'Repayment 25'!$B20,'Bank loan table'!$E:$E,'Repayment 25'!$D20)</f>
        <v/>
      </c>
      <c r="Y20" s="1012">
        <f>SUMIFS('Bank loan table'!AI:AI,'Bank loan table'!$A:$A,'Repayment 25'!$C20,'Bank loan table'!$B:$B,'Repayment 25'!$B20,'Bank loan table'!$E:$E,'Repayment 25'!$D20)</f>
        <v/>
      </c>
      <c r="Z20" s="1012">
        <f>SUMIFS('Bank loan table'!AJ:AJ,'Bank loan table'!$A:$A,'Repayment 25'!$C20,'Bank loan table'!$B:$B,'Repayment 25'!$B20,'Bank loan table'!$E:$E,'Repayment 25'!$D20)</f>
        <v/>
      </c>
      <c r="AA20" s="1013">
        <f>SUMIFS('Bank loan table'!AK:AK,'Bank loan table'!$A:$A,'Repayment 25'!$C20,'Bank loan table'!$B:$B,'Repayment 25'!$B20,'Bank loan table'!$E:$E,'Repayment 25'!$D20)</f>
        <v/>
      </c>
      <c r="AC20" s="1013">
        <f>SUM(S20:AA20)+F20</f>
        <v/>
      </c>
    </row>
    <row r="21" hidden="1" ht="32.25" customHeight="1">
      <c r="B21" s="1265" t="inlineStr">
        <is>
          <t>SW</t>
        </is>
      </c>
      <c r="C21" s="1015">
        <f>+C16</f>
        <v/>
      </c>
      <c r="D21" s="1015">
        <f>+D6</f>
        <v/>
      </c>
      <c r="E21" s="1056">
        <f>SUM(G21:R21)</f>
        <v/>
      </c>
      <c r="F21" s="1056">
        <f>SUM(N21:R21)</f>
        <v/>
      </c>
      <c r="G21" s="1142">
        <f>SUMIFS('Bank loan table'!Q:Q,'Bank loan table'!$A:$A,'Repayment 25'!$C21,'Bank loan table'!$B:$B,'Repayment 25'!$B21,'Bank loan table'!$E:$E,'Repayment 25'!$D21)</f>
        <v/>
      </c>
      <c r="H21" s="1016">
        <f>SUMIFS('Bank loan table'!R:R,'Bank loan table'!$A:$A,'Repayment 25'!$C21,'Bank loan table'!$B:$B,'Repayment 25'!$B21,'Bank loan table'!$E:$E,'Repayment 25'!$D21)</f>
        <v/>
      </c>
      <c r="I21" s="1016">
        <f>SUMIFS('Bank loan table'!S:S,'Bank loan table'!$A:$A,'Repayment 25'!$C21,'Bank loan table'!$B:$B,'Repayment 25'!$B21,'Bank loan table'!$E:$E,'Repayment 25'!$D21)</f>
        <v/>
      </c>
      <c r="J21" s="1010">
        <f>SUMIFS('Bank loan table'!T:T,'Bank loan table'!$A:$A,'Repayment 25'!$C21,'Bank loan table'!$B:$B,'Repayment 25'!$B21,'Bank loan table'!$E:$E,'Repayment 25'!$D21)</f>
        <v/>
      </c>
      <c r="K21" s="1010">
        <f>SUMIFS('Bank loan table'!U:U,'Bank loan table'!$A:$A,'Repayment 25'!$C21,'Bank loan table'!$B:$B,'Repayment 25'!$B21,'Bank loan table'!$E:$E,'Repayment 25'!$D21)</f>
        <v/>
      </c>
      <c r="L21" s="1010">
        <f>SUMIFS('Bank loan table'!V:V,'Bank loan table'!$A:$A,'Repayment 25'!$C21,'Bank loan table'!$B:$B,'Repayment 25'!$B21,'Bank loan table'!$E:$E,'Repayment 25'!$D21)</f>
        <v/>
      </c>
      <c r="M21" s="1010">
        <f>SUMIFS('Bank loan table'!W:W,'Bank loan table'!$A:$A,'Repayment 25'!$C21,'Bank loan table'!$B:$B,'Repayment 25'!$B21,'Bank loan table'!$E:$E,'Repayment 25'!$D21)</f>
        <v/>
      </c>
      <c r="N21" s="1010">
        <f>SUMIFS('Bank loan table'!X:X,'Bank loan table'!$A:$A,'Repayment 25'!$C21,'Bank loan table'!$B:$B,'Repayment 25'!$B21,'Bank loan table'!$E:$E,'Repayment 25'!$D21)</f>
        <v/>
      </c>
      <c r="O21" s="1010">
        <f>SUMIFS('Bank loan table'!Y:Y,'Bank loan table'!$A:$A,'Repayment 25'!$C21,'Bank loan table'!$B:$B,'Repayment 25'!$B21,'Bank loan table'!$E:$E,'Repayment 25'!$D21)</f>
        <v/>
      </c>
      <c r="P21" s="1010">
        <f>SUMIFS('Bank loan table'!Z:Z,'Bank loan table'!$A:$A,'Repayment 25'!$C21,'Bank loan table'!$B:$B,'Repayment 25'!$B21,'Bank loan table'!$E:$E,'Repayment 25'!$D21)</f>
        <v/>
      </c>
      <c r="Q21" s="1010">
        <f>SUMIFS('Bank loan table'!AA:AA,'Bank loan table'!$A:$A,'Repayment 25'!$C21,'Bank loan table'!$B:$B,'Repayment 25'!$B21,'Bank loan table'!$E:$E,'Repayment 25'!$D21)</f>
        <v/>
      </c>
      <c r="R21" s="1251">
        <f>SUMIFS('Bank loan table'!AB:AB,'Bank loan table'!$A:$A,'Repayment 25'!$C21,'Bank loan table'!$B:$B,'Repayment 25'!$B21,'Bank loan table'!$E:$E,'Repayment 25'!$D21)</f>
        <v/>
      </c>
      <c r="S21" s="1017">
        <f>SUMIFS('Bank loan table'!AC:AC,'Bank loan table'!$A:$A,'Repayment 25'!$C21,'Bank loan table'!$B:$B,'Repayment 25'!$B21,'Bank loan table'!$E:$E,'Repayment 25'!$D21)</f>
        <v/>
      </c>
      <c r="T21" s="1018">
        <f>SUMIFS('Bank loan table'!AD:AD,'Bank loan table'!$A:$A,'Repayment 25'!$C21,'Bank loan table'!$B:$B,'Repayment 25'!$B21,'Bank loan table'!$E:$E,'Repayment 25'!$D21)</f>
        <v/>
      </c>
      <c r="U21" s="1018">
        <f>SUMIFS('Bank loan table'!AE:AE,'Bank loan table'!$A:$A,'Repayment 25'!$C21,'Bank loan table'!$B:$B,'Repayment 25'!$B21,'Bank loan table'!$E:$E,'Repayment 25'!$D21)</f>
        <v/>
      </c>
      <c r="V21" s="1018">
        <f>SUMIFS('Bank loan table'!AF:AF,'Bank loan table'!$A:$A,'Repayment 25'!$C21,'Bank loan table'!$B:$B,'Repayment 25'!$B21,'Bank loan table'!$E:$E,'Repayment 25'!$D21)</f>
        <v/>
      </c>
      <c r="W21" s="1018">
        <f>SUMIFS('Bank loan table'!AG:AG,'Bank loan table'!$A:$A,'Repayment 25'!$C21,'Bank loan table'!$B:$B,'Repayment 25'!$B21,'Bank loan table'!$E:$E,'Repayment 25'!$D21)</f>
        <v/>
      </c>
      <c r="X21" s="1018">
        <f>SUMIFS('Bank loan table'!AH:AH,'Bank loan table'!$A:$A,'Repayment 25'!$C21,'Bank loan table'!$B:$B,'Repayment 25'!$B21,'Bank loan table'!$E:$E,'Repayment 25'!$D21)</f>
        <v/>
      </c>
      <c r="Y21" s="1018">
        <f>SUMIFS('Bank loan table'!AI:AI,'Bank loan table'!$A:$A,'Repayment 25'!$C21,'Bank loan table'!$B:$B,'Repayment 25'!$B21,'Bank loan table'!$E:$E,'Repayment 25'!$D21)</f>
        <v/>
      </c>
      <c r="Z21" s="1018">
        <f>SUMIFS('Bank loan table'!AJ:AJ,'Bank loan table'!$A:$A,'Repayment 25'!$C21,'Bank loan table'!$B:$B,'Repayment 25'!$B21,'Bank loan table'!$E:$E,'Repayment 25'!$D21)</f>
        <v/>
      </c>
      <c r="AA21" s="1019">
        <f>SUMIFS('Bank loan table'!AK:AK,'Bank loan table'!$A:$A,'Repayment 25'!$C21,'Bank loan table'!$B:$B,'Repayment 25'!$B21,'Bank loan table'!$E:$E,'Repayment 25'!$D21)</f>
        <v/>
      </c>
      <c r="AC21" s="1019">
        <f>SUM(S21:AA21)+F21</f>
        <v/>
      </c>
    </row>
    <row r="22" hidden="1" ht="32.25" customHeight="1">
      <c r="B22" s="1266" t="inlineStr">
        <is>
          <t>SW</t>
        </is>
      </c>
      <c r="C22" s="928">
        <f>+C17</f>
        <v/>
      </c>
      <c r="D22" s="1057">
        <f>+D7</f>
        <v/>
      </c>
      <c r="E22" s="1058">
        <f>SUM(G22:R22)</f>
        <v/>
      </c>
      <c r="F22" s="1058">
        <f>SUM(N22:R22)</f>
        <v/>
      </c>
      <c r="G22" s="1143">
        <f>SUMIFS('Bank loan table'!Q:Q,'Bank loan table'!$A:$A,'Repayment 25'!$C22,'Bank loan table'!$B:$B,'Repayment 25'!$B22,'Bank loan table'!$E:$E,'Repayment 25'!$D22)</f>
        <v/>
      </c>
      <c r="H22" s="929">
        <f>SUMIFS('Bank loan table'!R:R,'Bank loan table'!$A:$A,'Repayment 25'!$C22,'Bank loan table'!$B:$B,'Repayment 25'!$B22,'Bank loan table'!$E:$E,'Repayment 25'!$D22)</f>
        <v/>
      </c>
      <c r="I22" s="929">
        <f>SUMIFS('Bank loan table'!S:S,'Bank loan table'!$A:$A,'Repayment 25'!$C22,'Bank loan table'!$B:$B,'Repayment 25'!$B22,'Bank loan table'!$E:$E,'Repayment 25'!$D22)</f>
        <v/>
      </c>
      <c r="J22" s="1010">
        <f>SUMIFS('Bank loan table'!T:T,'Bank loan table'!$A:$A,'Repayment 25'!$C22,'Bank loan table'!$B:$B,'Repayment 25'!$B22,'Bank loan table'!$E:$E,'Repayment 25'!$D22)</f>
        <v/>
      </c>
      <c r="K22" s="1010">
        <f>SUMIFS('Bank loan table'!U:U,'Bank loan table'!$A:$A,'Repayment 25'!$C22,'Bank loan table'!$B:$B,'Repayment 25'!$B22,'Bank loan table'!$E:$E,'Repayment 25'!$D22)</f>
        <v/>
      </c>
      <c r="L22" s="1010">
        <f>SUMIFS('Bank loan table'!V:V,'Bank loan table'!$A:$A,'Repayment 25'!$C22,'Bank loan table'!$B:$B,'Repayment 25'!$B22,'Bank loan table'!$E:$E,'Repayment 25'!$D22)</f>
        <v/>
      </c>
      <c r="M22" s="1010">
        <f>SUMIFS('Bank loan table'!W:W,'Bank loan table'!$A:$A,'Repayment 25'!$C22,'Bank loan table'!$B:$B,'Repayment 25'!$B22,'Bank loan table'!$E:$E,'Repayment 25'!$D22)</f>
        <v/>
      </c>
      <c r="N22" s="1010">
        <f>SUMIFS('Bank loan table'!X:X,'Bank loan table'!$A:$A,'Repayment 25'!$C22,'Bank loan table'!$B:$B,'Repayment 25'!$B22,'Bank loan table'!$E:$E,'Repayment 25'!$D22)</f>
        <v/>
      </c>
      <c r="O22" s="1010">
        <f>SUMIFS('Bank loan table'!Y:Y,'Bank loan table'!$A:$A,'Repayment 25'!$C22,'Bank loan table'!$B:$B,'Repayment 25'!$B22,'Bank loan table'!$E:$E,'Repayment 25'!$D22)</f>
        <v/>
      </c>
      <c r="P22" s="1010">
        <f>SUMIFS('Bank loan table'!Z:Z,'Bank loan table'!$A:$A,'Repayment 25'!$C22,'Bank loan table'!$B:$B,'Repayment 25'!$B22,'Bank loan table'!$E:$E,'Repayment 25'!$D22)</f>
        <v/>
      </c>
      <c r="Q22" s="1010">
        <f>SUMIFS('Bank loan table'!AA:AA,'Bank loan table'!$A:$A,'Repayment 25'!$C22,'Bank loan table'!$B:$B,'Repayment 25'!$B22,'Bank loan table'!$E:$E,'Repayment 25'!$D22)</f>
        <v/>
      </c>
      <c r="R22" s="1252">
        <f>SUMIFS('Bank loan table'!AB:AB,'Bank loan table'!$A:$A,'Repayment 25'!$C22,'Bank loan table'!$B:$B,'Repayment 25'!$B22,'Bank loan table'!$E:$E,'Repayment 25'!$D22)</f>
        <v/>
      </c>
      <c r="S22" s="930">
        <f>SUMIFS('Bank loan table'!AC:AC,'Bank loan table'!$A:$A,'Repayment 25'!$C22,'Bank loan table'!$B:$B,'Repayment 25'!$B22,'Bank loan table'!$E:$E,'Repayment 25'!$D22)</f>
        <v/>
      </c>
      <c r="T22" s="931">
        <f>SUMIFS('Bank loan table'!AD:AD,'Bank loan table'!$A:$A,'Repayment 25'!$C22,'Bank loan table'!$B:$B,'Repayment 25'!$B22,'Bank loan table'!$E:$E,'Repayment 25'!$D22)</f>
        <v/>
      </c>
      <c r="U22" s="931">
        <f>SUMIFS('Bank loan table'!AE:AE,'Bank loan table'!$A:$A,'Repayment 25'!$C22,'Bank loan table'!$B:$B,'Repayment 25'!$B22,'Bank loan table'!$E:$E,'Repayment 25'!$D22)</f>
        <v/>
      </c>
      <c r="V22" s="931">
        <f>SUMIFS('Bank loan table'!AF:AF,'Bank loan table'!$A:$A,'Repayment 25'!$C22,'Bank loan table'!$B:$B,'Repayment 25'!$B22,'Bank loan table'!$E:$E,'Repayment 25'!$D22)</f>
        <v/>
      </c>
      <c r="W22" s="931">
        <f>SUMIFS('Bank loan table'!AG:AG,'Bank loan table'!$A:$A,'Repayment 25'!$C22,'Bank loan table'!$B:$B,'Repayment 25'!$B22,'Bank loan table'!$E:$E,'Repayment 25'!$D22)</f>
        <v/>
      </c>
      <c r="X22" s="931">
        <f>SUMIFS('Bank loan table'!AH:AH,'Bank loan table'!$A:$A,'Repayment 25'!$C22,'Bank loan table'!$B:$B,'Repayment 25'!$B22,'Bank loan table'!$E:$E,'Repayment 25'!$D22)</f>
        <v/>
      </c>
      <c r="Y22" s="931">
        <f>SUMIFS('Bank loan table'!AI:AI,'Bank loan table'!$A:$A,'Repayment 25'!$C22,'Bank loan table'!$B:$B,'Repayment 25'!$B22,'Bank loan table'!$E:$E,'Repayment 25'!$D22)</f>
        <v/>
      </c>
      <c r="Z22" s="931">
        <f>SUMIFS('Bank loan table'!AJ:AJ,'Bank loan table'!$A:$A,'Repayment 25'!$C22,'Bank loan table'!$B:$B,'Repayment 25'!$B22,'Bank loan table'!$E:$E,'Repayment 25'!$D22)</f>
        <v/>
      </c>
      <c r="AA22" s="932">
        <f>SUMIFS('Bank loan table'!AK:AK,'Bank loan table'!$A:$A,'Repayment 25'!$C22,'Bank loan table'!$B:$B,'Repayment 25'!$B22,'Bank loan table'!$E:$E,'Repayment 25'!$D22)</f>
        <v/>
      </c>
      <c r="AC22" s="932">
        <f>SUM(S22:AA22)+F22</f>
        <v/>
      </c>
    </row>
    <row r="23" ht="32.25" customFormat="1" customHeight="1" s="926" thickBot="1">
      <c r="B23" s="1622" t="inlineStr">
        <is>
          <t>SUM</t>
        </is>
      </c>
      <c r="C23" s="1623" t="n"/>
      <c r="D23" s="1344" t="n"/>
      <c r="E23" s="936">
        <f>SUM(G23:R23)</f>
        <v/>
      </c>
      <c r="F23" s="936">
        <f>SUM(N23:R23)</f>
        <v/>
      </c>
      <c r="G23" s="1144">
        <f>SUM(G19:G22)</f>
        <v/>
      </c>
      <c r="H23" s="934">
        <f>SUM(H19:H22)</f>
        <v/>
      </c>
      <c r="I23" s="934">
        <f>SUM(I19:I22)</f>
        <v/>
      </c>
      <c r="J23" s="934">
        <f>SUM(J19:J22)</f>
        <v/>
      </c>
      <c r="K23" s="934">
        <f>SUM(K19:K22)</f>
        <v/>
      </c>
      <c r="L23" s="934">
        <f>SUM(L19:L22)</f>
        <v/>
      </c>
      <c r="M23" s="934">
        <f>SUM(M19:M22)</f>
        <v/>
      </c>
      <c r="N23" s="934">
        <f>SUM(N19:N22)</f>
        <v/>
      </c>
      <c r="O23" s="934">
        <f>SUM(O19:O22)</f>
        <v/>
      </c>
      <c r="P23" s="934">
        <f>SUM(P19:P22)</f>
        <v/>
      </c>
      <c r="Q23" s="934">
        <f>SUM(Q19:Q22)</f>
        <v/>
      </c>
      <c r="R23" s="1253">
        <f>SUM(R19:R22)</f>
        <v/>
      </c>
      <c r="S23" s="935">
        <f>SUM(S19:S22)</f>
        <v/>
      </c>
      <c r="T23" s="936">
        <f>SUM(T19:T22)</f>
        <v/>
      </c>
      <c r="U23" s="936">
        <f>SUM(U19:U22)</f>
        <v/>
      </c>
      <c r="V23" s="936">
        <f>SUM(V19:V22)</f>
        <v/>
      </c>
      <c r="W23" s="936">
        <f>SUM(W19:W22)</f>
        <v/>
      </c>
      <c r="X23" s="936">
        <f>SUM(X19:X22)</f>
        <v/>
      </c>
      <c r="Y23" s="936">
        <f>SUM(Y19:Y22)</f>
        <v/>
      </c>
      <c r="Z23" s="936">
        <f>SUM(Z19:Z22)</f>
        <v/>
      </c>
      <c r="AA23" s="933">
        <f>SUM(AA19:AA22)</f>
        <v/>
      </c>
      <c r="AC23" s="933">
        <f>SUM(S23:AA23)+F23</f>
        <v/>
      </c>
    </row>
    <row r="24" ht="32.25" customFormat="1" customHeight="1" s="926" thickTop="1">
      <c r="B24" s="1022" t="inlineStr">
        <is>
          <t>Russia</t>
        </is>
      </c>
      <c r="C24" s="1023" t="inlineStr">
        <is>
          <t>STL</t>
        </is>
      </c>
      <c r="D24" s="1059">
        <f>+D19</f>
        <v/>
      </c>
      <c r="E24" s="1060">
        <f>SUM(G24:R24)</f>
        <v/>
      </c>
      <c r="F24" s="1060">
        <f>SUM(N24:R24)</f>
        <v/>
      </c>
      <c r="G24" s="1145">
        <f>+G4+G9+G14+G19</f>
        <v/>
      </c>
      <c r="H24" s="1024">
        <f>+H4+H9+H14+H19</f>
        <v/>
      </c>
      <c r="I24" s="1024">
        <f>+I4+I9+I14+I19</f>
        <v/>
      </c>
      <c r="J24" s="1024">
        <f>+J4+J9+J14+J19</f>
        <v/>
      </c>
      <c r="K24" s="1024">
        <f>+K4+K9+K14+K19</f>
        <v/>
      </c>
      <c r="L24" s="1024">
        <f>+L4+L9+L14+L19</f>
        <v/>
      </c>
      <c r="M24" s="1024">
        <f>+M4+M9+M14+M19</f>
        <v/>
      </c>
      <c r="N24" s="1024">
        <f>+N4+N9+N14+N19</f>
        <v/>
      </c>
      <c r="O24" s="1024">
        <f>+O4+O9+O14+O19</f>
        <v/>
      </c>
      <c r="P24" s="1024">
        <f>+P4+P9+P14+P19</f>
        <v/>
      </c>
      <c r="Q24" s="1024">
        <f>+Q4+Q9+Q14+Q19</f>
        <v/>
      </c>
      <c r="R24" s="1254">
        <f>+R4+R9+R14+R19</f>
        <v/>
      </c>
      <c r="S24" s="1025">
        <f>+S4+S9+S14+S19</f>
        <v/>
      </c>
      <c r="T24" s="1026">
        <f>+T4+T9+T14+T19</f>
        <v/>
      </c>
      <c r="U24" s="1026">
        <f>+U4+U9+U14+U19</f>
        <v/>
      </c>
      <c r="V24" s="1026">
        <f>+V4+V9+V14+V19</f>
        <v/>
      </c>
      <c r="W24" s="1026">
        <f>+W4+W9+W14+W19</f>
        <v/>
      </c>
      <c r="X24" s="1026">
        <f>+X4+X9+X14+X19</f>
        <v/>
      </c>
      <c r="Y24" s="1026">
        <f>+Y4+Y9+Y14+Y19</f>
        <v/>
      </c>
      <c r="Z24" s="1026">
        <f>+Z4+Z9+Z14+Z19</f>
        <v/>
      </c>
      <c r="AA24" s="1027">
        <f>+AA4+AA9+AA14+AA19</f>
        <v/>
      </c>
      <c r="AC24" s="1027">
        <f>SUM(S24:AA24)+F24</f>
        <v/>
      </c>
    </row>
    <row r="25" ht="32.25" customFormat="1" customHeight="1" s="926">
      <c r="B25" s="1028" t="n"/>
      <c r="C25" s="1023" t="inlineStr">
        <is>
          <t>LTL</t>
        </is>
      </c>
      <c r="D25" s="1023">
        <f>+D20</f>
        <v/>
      </c>
      <c r="E25" s="1061">
        <f>SUM(G25:R25)</f>
        <v/>
      </c>
      <c r="F25" s="1061">
        <f>SUM(N25:R25)</f>
        <v/>
      </c>
      <c r="G25" s="1146">
        <f>+G5+G10+G15+G20</f>
        <v/>
      </c>
      <c r="H25" s="1029">
        <f>+H5+H10+H15+H20</f>
        <v/>
      </c>
      <c r="I25" s="1029">
        <f>+I5+I10+I15+I20</f>
        <v/>
      </c>
      <c r="J25" s="1029">
        <f>+J5+J10+J15+J20</f>
        <v/>
      </c>
      <c r="K25" s="1029">
        <f>+K5+K10+K15+K20</f>
        <v/>
      </c>
      <c r="L25" s="1029">
        <f>+L5+L10+L15+L20</f>
        <v/>
      </c>
      <c r="M25" s="1029">
        <f>+M5+M10+M15+M20</f>
        <v/>
      </c>
      <c r="N25" s="1029">
        <f>+N5+N10+N15+N20</f>
        <v/>
      </c>
      <c r="O25" s="1029">
        <f>+O5+O10+O15+O20</f>
        <v/>
      </c>
      <c r="P25" s="1029">
        <f>+P5+P10+P15+P20</f>
        <v/>
      </c>
      <c r="Q25" s="1029">
        <f>+Q5+Q10+Q15+Q20</f>
        <v/>
      </c>
      <c r="R25" s="1255">
        <f>+R5+R10+R15+R20</f>
        <v/>
      </c>
      <c r="S25" s="1030">
        <f>+S5+S10+S15+S20</f>
        <v/>
      </c>
      <c r="T25" s="1031">
        <f>+T5+T10+T15+T20</f>
        <v/>
      </c>
      <c r="U25" s="1031">
        <f>+U5+U10+U15+U20</f>
        <v/>
      </c>
      <c r="V25" s="1031">
        <f>+V5+V10+V15+V20</f>
        <v/>
      </c>
      <c r="W25" s="1031">
        <f>+W5+W10+W15+W20</f>
        <v/>
      </c>
      <c r="X25" s="1031">
        <f>+X5+X10+X15+X20</f>
        <v/>
      </c>
      <c r="Y25" s="1031">
        <f>+Y5+Y10+Y15+Y20</f>
        <v/>
      </c>
      <c r="Z25" s="1031">
        <f>+Z5+Z10+Z15+Z20</f>
        <v/>
      </c>
      <c r="AA25" s="1032">
        <f>+AA5+AA10+AA15+AA20</f>
        <v/>
      </c>
      <c r="AC25" s="1032">
        <f>SUM(S25:AA25)+F25</f>
        <v/>
      </c>
    </row>
    <row r="26" ht="32.25" customFormat="1" customHeight="1" s="926">
      <c r="B26" s="1033" t="n"/>
      <c r="C26" s="1034" t="inlineStr">
        <is>
          <t>STL</t>
        </is>
      </c>
      <c r="D26" s="1034">
        <f>+D21</f>
        <v/>
      </c>
      <c r="E26" s="1062">
        <f>SUM(G26:R26)</f>
        <v/>
      </c>
      <c r="F26" s="1062">
        <f>SUM(N26:R26)</f>
        <v/>
      </c>
      <c r="G26" s="1147">
        <f>+G6+G11+G16+G21</f>
        <v/>
      </c>
      <c r="H26" s="1035">
        <f>+H6+H11+H16+H21</f>
        <v/>
      </c>
      <c r="I26" s="1035">
        <f>+I6+I11+I16+I21</f>
        <v/>
      </c>
      <c r="J26" s="1035">
        <f>+J6+J11+J16+J21</f>
        <v/>
      </c>
      <c r="K26" s="1035">
        <f>+K6+K11+K16+K21</f>
        <v/>
      </c>
      <c r="L26" s="1035">
        <f>+L6+L11+L16+L21</f>
        <v/>
      </c>
      <c r="M26" s="1035">
        <f>+M6+M11+M16+M21</f>
        <v/>
      </c>
      <c r="N26" s="1035">
        <f>+N6+N11+N16+N21</f>
        <v/>
      </c>
      <c r="O26" s="1035">
        <f>+O6+O11+O16+O21</f>
        <v/>
      </c>
      <c r="P26" s="1035">
        <f>+P6+P11+P16+P21</f>
        <v/>
      </c>
      <c r="Q26" s="1035">
        <f>+Q6+Q11+Q16+Q21</f>
        <v/>
      </c>
      <c r="R26" s="1256">
        <f>+R6+R11+R16+R21</f>
        <v/>
      </c>
      <c r="S26" s="1036">
        <f>+S6+S11+S16+S21</f>
        <v/>
      </c>
      <c r="T26" s="1037">
        <f>+T6+T11+T16+T21</f>
        <v/>
      </c>
      <c r="U26" s="1037">
        <f>+U6+U11+U16+U21</f>
        <v/>
      </c>
      <c r="V26" s="1037">
        <f>+V6+V11+V16+V21</f>
        <v/>
      </c>
      <c r="W26" s="1037">
        <f>+W6+W11+W16+W21</f>
        <v/>
      </c>
      <c r="X26" s="1037">
        <f>+X6+X11+X16+X21</f>
        <v/>
      </c>
      <c r="Y26" s="1037">
        <f>+Y6+Y11+Y16+Y21</f>
        <v/>
      </c>
      <c r="Z26" s="1037">
        <f>+Z6+Z11+Z16+Z21</f>
        <v/>
      </c>
      <c r="AA26" s="1038">
        <f>+AA6+AA11+AA16+AA21</f>
        <v/>
      </c>
      <c r="AC26" s="1038">
        <f>SUM(S26:AA26)+F26</f>
        <v/>
      </c>
    </row>
    <row r="27" ht="32.25" customFormat="1" customHeight="1" s="926">
      <c r="B27" s="1039" t="n"/>
      <c r="C27" s="1040" t="inlineStr">
        <is>
          <t>LTL</t>
        </is>
      </c>
      <c r="D27" s="1063">
        <f>+D22</f>
        <v/>
      </c>
      <c r="E27" s="1064">
        <f>SUM(G27:R27)</f>
        <v/>
      </c>
      <c r="F27" s="1064">
        <f>SUM(N27:R27)</f>
        <v/>
      </c>
      <c r="G27" s="1148">
        <f>+G7+G12+G17+G22</f>
        <v/>
      </c>
      <c r="H27" s="1041">
        <f>+H7+H12+H17+H22</f>
        <v/>
      </c>
      <c r="I27" s="1041">
        <f>+I7+I12+I17+I22</f>
        <v/>
      </c>
      <c r="J27" s="1041">
        <f>+J7+J12+J17+J22</f>
        <v/>
      </c>
      <c r="K27" s="1041">
        <f>+K7+K12+K17+K22</f>
        <v/>
      </c>
      <c r="L27" s="1041">
        <f>+L7+L12+L17+L22</f>
        <v/>
      </c>
      <c r="M27" s="1041">
        <f>+M7+M12+M17+M22</f>
        <v/>
      </c>
      <c r="N27" s="1041">
        <f>+N7+N12+N17+N22</f>
        <v/>
      </c>
      <c r="O27" s="1041">
        <f>+O7+O12+O17+O22</f>
        <v/>
      </c>
      <c r="P27" s="1041">
        <f>+P7+P12+P17+P22</f>
        <v/>
      </c>
      <c r="Q27" s="1041">
        <f>+Q7+Q12+Q17+Q22</f>
        <v/>
      </c>
      <c r="R27" s="1257">
        <f>+R7+R12+R17+R22</f>
        <v/>
      </c>
      <c r="S27" s="1042">
        <f>+S7+S12+S17+S22</f>
        <v/>
      </c>
      <c r="T27" s="1043">
        <f>+T7+T12+T17+T22</f>
        <v/>
      </c>
      <c r="U27" s="1043">
        <f>+U7+U12+U17+U22</f>
        <v/>
      </c>
      <c r="V27" s="1043">
        <f>+V7+V12+V17+V22</f>
        <v/>
      </c>
      <c r="W27" s="1043">
        <f>+W7+W12+W17+W22</f>
        <v/>
      </c>
      <c r="X27" s="1043">
        <f>+X7+X12+X17+X22</f>
        <v/>
      </c>
      <c r="Y27" s="1043">
        <f>+Y7+Y12+Y17+Y22</f>
        <v/>
      </c>
      <c r="Z27" s="1043">
        <f>+Z7+Z12+Z17+Z22</f>
        <v/>
      </c>
      <c r="AA27" s="1044">
        <f>+AA7+AA12+AA17+AA22</f>
        <v/>
      </c>
      <c r="AC27" s="1044">
        <f>SUM(S27:AA27)+F27</f>
        <v/>
      </c>
    </row>
    <row r="28" ht="32.25" customFormat="1" customHeight="1" s="926" thickBot="1">
      <c r="B28" s="1622" t="inlineStr">
        <is>
          <t>SUM</t>
        </is>
      </c>
      <c r="C28" s="1623" t="n"/>
      <c r="D28" s="1344" t="n"/>
      <c r="E28" s="936">
        <f>SUM(G28:R28)</f>
        <v/>
      </c>
      <c r="F28" s="936">
        <f>SUM(N28:R28)</f>
        <v/>
      </c>
      <c r="G28" s="1144">
        <f>SUM(G24:G27)</f>
        <v/>
      </c>
      <c r="H28" s="934">
        <f>SUM(H24:H27)</f>
        <v/>
      </c>
      <c r="I28" s="934">
        <f>SUM(I24:I27)</f>
        <v/>
      </c>
      <c r="J28" s="934">
        <f>SUM(J24:J27)</f>
        <v/>
      </c>
      <c r="K28" s="934">
        <f>SUM(K24:K27)</f>
        <v/>
      </c>
      <c r="L28" s="934">
        <f>SUM(L24:L27)</f>
        <v/>
      </c>
      <c r="M28" s="934">
        <f>SUM(M24:M27)</f>
        <v/>
      </c>
      <c r="N28" s="934">
        <f>SUM(N24:N27)</f>
        <v/>
      </c>
      <c r="O28" s="934">
        <f>SUM(O24:O27)</f>
        <v/>
      </c>
      <c r="P28" s="934">
        <f>SUM(P24:P27)</f>
        <v/>
      </c>
      <c r="Q28" s="934">
        <f>SUM(Q24:Q27)</f>
        <v/>
      </c>
      <c r="R28" s="1253">
        <f>SUM(R24:R27)</f>
        <v/>
      </c>
      <c r="S28" s="935">
        <f>SUM(S24:S27)</f>
        <v/>
      </c>
      <c r="T28" s="936">
        <f>SUM(T24:T27)</f>
        <v/>
      </c>
      <c r="U28" s="936">
        <f>SUM(U24:U27)</f>
        <v/>
      </c>
      <c r="V28" s="936">
        <f>SUM(V24:V27)</f>
        <v/>
      </c>
      <c r="W28" s="936">
        <f>SUM(W24:W27)</f>
        <v/>
      </c>
      <c r="X28" s="936">
        <f>SUM(X24:X27)</f>
        <v/>
      </c>
      <c r="Y28" s="936">
        <f>SUM(Y24:Y27)</f>
        <v/>
      </c>
      <c r="Z28" s="936">
        <f>SUM(Z24:Z27)</f>
        <v/>
      </c>
      <c r="AA28" s="933">
        <f>SUM(AA24:AA27)</f>
        <v/>
      </c>
      <c r="AC28" s="933">
        <f>SUM(S28:AA28)+F28</f>
        <v/>
      </c>
    </row>
    <row r="29" ht="32.25" customHeight="1" thickTop="1">
      <c r="E29" s="937">
        <f>+E8+E13+E18+E23-E24-E26-E25-E27</f>
        <v/>
      </c>
      <c r="F29" s="937">
        <f>+F8+F13+F18+F23-F24-F26-F25-F27</f>
        <v/>
      </c>
      <c r="G29" s="937">
        <f>+G8+G13+G18+G23-G24-G26-G25-G27</f>
        <v/>
      </c>
      <c r="H29" s="937">
        <f>+H8+H13+H18+H23-H24-H26-H25-H27</f>
        <v/>
      </c>
      <c r="I29" s="937">
        <f>+I8+I13+I18+I23-I24-I26-I25-I27</f>
        <v/>
      </c>
      <c r="J29" s="937">
        <f>+J8+J13+J18+J23-J24-J26-J25-J27</f>
        <v/>
      </c>
      <c r="K29" s="937">
        <f>+K8+K13+K18+K23-K24-K26-K25-K27</f>
        <v/>
      </c>
      <c r="L29" s="937">
        <f>+L8+L13+L18+L23-L24-L26-L25-L27</f>
        <v/>
      </c>
      <c r="M29" s="937">
        <f>+M8+M13+M18+M23-M24-M26-M25-M27</f>
        <v/>
      </c>
      <c r="N29" s="937">
        <f>+N8+N13+N18+N23-N24-N26-N25-N27</f>
        <v/>
      </c>
      <c r="O29" s="937">
        <f>+O8+O13+O18+O23-O24-O26-O25-O27</f>
        <v/>
      </c>
      <c r="P29" s="937">
        <f>+P8+P13+P18+P23-P24-P26-P25-P27</f>
        <v/>
      </c>
      <c r="Q29" s="937">
        <f>+Q8+Q13+Q18+Q23-Q24-Q26-Q25-Q27</f>
        <v/>
      </c>
      <c r="R29" s="937">
        <f>+R8+R13+R18+R23-R24-R26-R25-R27</f>
        <v/>
      </c>
      <c r="S29" s="937">
        <f>+S8+S13+S18+S23-S24-S26-S25-S27</f>
        <v/>
      </c>
      <c r="T29" s="937">
        <f>+T8+T13+T18+T23-T24-T26-T25-T27</f>
        <v/>
      </c>
      <c r="U29" s="937">
        <f>+U8+U13+U18+U23-U24-U26-U25-U27</f>
        <v/>
      </c>
      <c r="V29" s="937">
        <f>+V8+V13+V18+V23-V24-V26-V25-V27</f>
        <v/>
      </c>
      <c r="W29" s="937">
        <f>+W8+W13+W18+W23-W24-W26-W25-W27</f>
        <v/>
      </c>
      <c r="X29" s="937">
        <f>+X8+X13+X18+X23-X24-X26-X25-X27</f>
        <v/>
      </c>
      <c r="Y29" s="937">
        <f>+Y8+Y13+Y18+Y23-Y24-Y26-Y25-Y27</f>
        <v/>
      </c>
      <c r="Z29" s="937">
        <f>+Z8+Z13+Z18+Z23-Z24-Z26-Z25-Z27</f>
        <v/>
      </c>
      <c r="AA29" s="937">
        <f>+AA8+AA13+AA18+AA23-AA24-AA26-AA25-AA27</f>
        <v/>
      </c>
      <c r="AC29" s="937">
        <f>+AC28-'SUM Loan (Subsidy)'!E20</f>
        <v/>
      </c>
    </row>
    <row r="30" ht="32.25" customHeight="1">
      <c r="B30" s="1045" t="n"/>
      <c r="C30" s="1046" t="n"/>
      <c r="D30" s="1046" t="n"/>
      <c r="G30" s="1293" t="n"/>
      <c r="H30" s="1294" t="inlineStr">
        <is>
          <t>Wait RBPI revise</t>
        </is>
      </c>
    </row>
    <row r="31" ht="32.25" customHeight="1">
      <c r="B31" s="1045" t="n"/>
      <c r="C31" s="1046" t="n"/>
      <c r="D31" s="1046" t="n"/>
      <c r="H31" s="1047" t="n"/>
      <c r="AC31" s="1126" t="n"/>
    </row>
    <row r="32" ht="32.25" customHeight="1">
      <c r="B32" s="1045" t="n"/>
      <c r="C32" s="1046" t="n"/>
      <c r="D32" s="1046" t="n"/>
      <c r="G32" s="1047" t="n"/>
    </row>
    <row r="33" ht="32.25" customHeight="1">
      <c r="B33" s="1045" t="n"/>
      <c r="C33" s="1046" t="n"/>
      <c r="D33" s="1046" t="n"/>
      <c r="G33" s="1047" t="n"/>
    </row>
    <row r="34" ht="32.25" customHeight="1">
      <c r="B34" s="1045" t="n"/>
      <c r="C34" s="1046" t="n"/>
      <c r="D34" s="1046" t="n"/>
      <c r="G34" s="1047" t="n"/>
    </row>
    <row r="35" ht="32.25" customHeight="1">
      <c r="B35" s="1045" t="n"/>
      <c r="C35" s="1046" t="n"/>
      <c r="D35" s="1046" t="n"/>
      <c r="I35" s="1047" t="n"/>
    </row>
    <row r="36" ht="32.25" customHeight="1">
      <c r="B36" s="1045" t="n"/>
      <c r="C36" s="1046" t="n"/>
      <c r="D36" s="1046" t="n"/>
      <c r="H36" s="1047" t="n"/>
    </row>
    <row r="37" ht="32.25" customHeight="1">
      <c r="B37" s="1045" t="n"/>
      <c r="C37" s="1046" t="n"/>
      <c r="D37" s="1046" t="n"/>
      <c r="H37" s="1047" t="n"/>
    </row>
    <row r="38" ht="32.25" customHeight="1">
      <c r="B38" s="1045" t="n"/>
      <c r="C38" s="1046" t="n"/>
      <c r="D38" s="1046" t="n"/>
      <c r="G38" s="1047" t="n"/>
    </row>
    <row r="39" ht="32.25" customHeight="1">
      <c r="B39" s="1045" t="n"/>
      <c r="C39" s="1046" t="n"/>
      <c r="D39" s="1046" t="n"/>
      <c r="G39" s="1047" t="n"/>
    </row>
    <row r="40" ht="32.25" customHeight="1">
      <c r="B40" s="1045" t="n"/>
      <c r="G40" s="1047" t="n"/>
      <c r="H40" s="1047" t="n"/>
      <c r="I40" s="1047" t="n"/>
    </row>
  </sheetData>
  <mergeCells count="19">
    <mergeCell ref="D2:D3"/>
    <mergeCell ref="U2:U3"/>
    <mergeCell ref="F2:F3"/>
    <mergeCell ref="B18:C18"/>
    <mergeCell ref="Y2:Y3"/>
    <mergeCell ref="B23:C23"/>
    <mergeCell ref="Z2:Z3"/>
    <mergeCell ref="T2:T3"/>
    <mergeCell ref="B8:C8"/>
    <mergeCell ref="E2:E3"/>
    <mergeCell ref="W2:W3"/>
    <mergeCell ref="B13:C13"/>
    <mergeCell ref="B28:C28"/>
    <mergeCell ref="AA2:AA3"/>
    <mergeCell ref="AC2:AC3"/>
    <mergeCell ref="B2:C3"/>
    <mergeCell ref="V2:V3"/>
    <mergeCell ref="X2:X3"/>
    <mergeCell ref="S2:S3"/>
  </mergeCells>
  <pageMargins left="0.7" right="0.7" top="0.75" bottom="0.75" header="0.3" footer="0.3"/>
  <pageSetup orientation="landscape" paperSize="9" scale="37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1:S66"/>
  <sheetViews>
    <sheetView showGridLines="0" showZeros="0" zoomScale="90" zoomScaleNormal="80" workbookViewId="0">
      <pane xSplit="2" ySplit="3" topLeftCell="C44" activePane="bottomRight" state="frozen"/>
      <selection pane="topRight" activeCell="C1" sqref="C1"/>
      <selection pane="bottomLeft" activeCell="A4" sqref="A4"/>
      <selection pane="bottomRight" activeCell="A1" sqref="A1:XFD1048576"/>
    </sheetView>
  </sheetViews>
  <sheetFormatPr baseColWidth="8" defaultColWidth="9.21875" defaultRowHeight="21" customHeight="1"/>
  <cols>
    <col width="2.21875" customWidth="1" style="867" min="1" max="1"/>
    <col width="23" customWidth="1" style="787" min="2" max="2"/>
    <col width="15.6640625" customWidth="1" style="867" min="3" max="3"/>
    <col width="12.21875" customWidth="1" style="867" min="4" max="5"/>
    <col width="15.6640625" customWidth="1" style="867" min="6" max="7"/>
    <col width="0.77734375" customWidth="1" style="867" min="8" max="8"/>
    <col width="15.6640625" customWidth="1" style="867" min="9" max="9"/>
    <col width="12.21875" customWidth="1" style="867" min="10" max="11"/>
    <col width="15.6640625" customWidth="1" style="867" min="12" max="13"/>
    <col width="0.77734375" customWidth="1" style="867" min="14" max="14"/>
    <col width="15.6640625" customWidth="1" style="867" min="15" max="15"/>
    <col width="12.21875" customWidth="1" style="867" min="16" max="17"/>
    <col width="15.6640625" customWidth="1" style="867" min="18" max="19"/>
    <col width="9.21875" customWidth="1" style="867" min="20" max="16384"/>
  </cols>
  <sheetData>
    <row r="1" ht="21" customHeight="1">
      <c r="S1" s="868" t="inlineStr">
        <is>
          <t>Unit : Million</t>
        </is>
      </c>
    </row>
    <row r="2" ht="21" customHeight="1">
      <c r="B2" s="869" t="inlineStr">
        <is>
          <t>For illustrative purpose</t>
        </is>
      </c>
      <c r="C2" s="1624" t="inlineStr">
        <is>
          <t>CNY</t>
        </is>
      </c>
      <c r="D2" s="1424" t="n"/>
      <c r="E2" s="1425" t="n"/>
      <c r="F2" s="870" t="inlineStr">
        <is>
          <t>target:</t>
        </is>
      </c>
      <c r="G2" s="1625">
        <f>+'Exchange plan'!E7</f>
        <v/>
      </c>
      <c r="I2" s="1624" t="inlineStr">
        <is>
          <t>EUR</t>
        </is>
      </c>
      <c r="J2" s="1424" t="n"/>
      <c r="K2" s="1425" t="n"/>
      <c r="L2" s="870" t="inlineStr">
        <is>
          <t>target:</t>
        </is>
      </c>
      <c r="M2" s="1625">
        <f>+'Exchange plan'!E6</f>
        <v/>
      </c>
      <c r="O2" s="1624" t="inlineStr">
        <is>
          <t>USD</t>
        </is>
      </c>
      <c r="P2" s="1424" t="n"/>
      <c r="Q2" s="1425" t="n"/>
      <c r="R2" s="870" t="inlineStr">
        <is>
          <t>target:</t>
        </is>
      </c>
      <c r="S2" s="1625">
        <f>+'Exchange plan'!E5</f>
        <v/>
      </c>
    </row>
    <row r="3" ht="21" customHeight="1">
      <c r="B3" s="872" t="inlineStr">
        <is>
          <t>date</t>
        </is>
      </c>
      <c r="C3" s="872" t="inlineStr">
        <is>
          <t>beginning cash</t>
        </is>
      </c>
      <c r="D3" s="872" t="inlineStr">
        <is>
          <t>purchase</t>
        </is>
      </c>
      <c r="E3" s="872" t="inlineStr">
        <is>
          <t>spend</t>
        </is>
      </c>
      <c r="F3" s="872" t="inlineStr">
        <is>
          <t>ending cash</t>
        </is>
      </c>
      <c r="G3" s="872" t="inlineStr">
        <is>
          <t>to purchase</t>
        </is>
      </c>
      <c r="I3" s="872" t="inlineStr">
        <is>
          <t>beginning cash</t>
        </is>
      </c>
      <c r="J3" s="872" t="inlineStr">
        <is>
          <t>purchase</t>
        </is>
      </c>
      <c r="K3" s="872" t="inlineStr">
        <is>
          <t>spend</t>
        </is>
      </c>
      <c r="L3" s="872" t="inlineStr">
        <is>
          <t>ending cash</t>
        </is>
      </c>
      <c r="M3" s="872" t="inlineStr">
        <is>
          <t>to purchase</t>
        </is>
      </c>
      <c r="O3" s="872" t="inlineStr">
        <is>
          <t>beginning cash</t>
        </is>
      </c>
      <c r="P3" s="872" t="inlineStr">
        <is>
          <t>purchase</t>
        </is>
      </c>
      <c r="Q3" s="872" t="inlineStr">
        <is>
          <t>spend</t>
        </is>
      </c>
      <c r="R3" s="872" t="inlineStr">
        <is>
          <t>ending cash</t>
        </is>
      </c>
      <c r="S3" s="872" t="inlineStr">
        <is>
          <t>to purchase</t>
        </is>
      </c>
    </row>
    <row r="4" ht="21" customHeight="1">
      <c r="B4" s="1626" t="n">
        <v>44988</v>
      </c>
      <c r="C4" s="1627" t="n">
        <v>3.5</v>
      </c>
      <c r="D4" s="1627">
        <f>+'Daily exchange'!I3</f>
        <v/>
      </c>
      <c r="E4" s="1627" t="n"/>
      <c r="F4" s="1627">
        <f>+C4+D4+E4</f>
        <v/>
      </c>
      <c r="G4" s="1627">
        <f>+$G$2-F4</f>
        <v/>
      </c>
      <c r="H4" s="1628" t="n"/>
      <c r="I4" s="1627" t="n">
        <v>0.6</v>
      </c>
      <c r="J4" s="1627">
        <f>+'Daily exchange'!F3</f>
        <v/>
      </c>
      <c r="K4" s="1627" t="n">
        <v>-0.5</v>
      </c>
      <c r="L4" s="1627">
        <f>+I4+J4+K4</f>
        <v/>
      </c>
      <c r="M4" s="1627">
        <f>+$M$2-L4</f>
        <v/>
      </c>
      <c r="N4" s="1628" t="n"/>
      <c r="O4" s="1627" t="n">
        <v>1.4</v>
      </c>
      <c r="P4" s="1627">
        <f>+'Daily exchange'!C3</f>
        <v/>
      </c>
      <c r="Q4" s="1627" t="n"/>
      <c r="R4" s="1627">
        <f>+O4+P4+Q4</f>
        <v/>
      </c>
      <c r="S4" s="1627">
        <f>+$S$2-R4</f>
        <v/>
      </c>
    </row>
    <row r="5" ht="21" customHeight="1">
      <c r="B5" s="1626" t="n">
        <v>44991</v>
      </c>
      <c r="C5" s="1627">
        <f>+F4</f>
        <v/>
      </c>
      <c r="D5" s="1627" t="n"/>
      <c r="E5" s="1627">
        <f>+F5-C5-D5</f>
        <v/>
      </c>
      <c r="F5" s="1627">
        <f>(SUMIF(Daily!$3:$3,$B5,Daily!$23:$23)+SUMIF(Daily!$3:$3,$B5,Daily!$25:$25))*'Cash in bank report'!$E$2/'Cash in bank report'!$E$4</f>
        <v/>
      </c>
      <c r="G5" s="1627">
        <f>+$G$2-F5</f>
        <v/>
      </c>
      <c r="H5" s="1628" t="n"/>
      <c r="I5" s="1627">
        <f>+L4</f>
        <v/>
      </c>
      <c r="J5" s="1627" t="n"/>
      <c r="K5" s="1627">
        <f>+L5-I5-J5</f>
        <v/>
      </c>
      <c r="L5" s="1627">
        <f>(SUMIF(Daily!$3:$3,$B5,Daily!$19:$19)+SUMIF(Daily!$3:$3,$B5,Daily!$21:$21))*'Cash in bank report'!$E$2/'Cash in bank report'!$E$3</f>
        <v/>
      </c>
      <c r="M5" s="1627">
        <f>+$M$2-L5</f>
        <v/>
      </c>
      <c r="N5" s="1628" t="n"/>
      <c r="O5" s="1627">
        <f>+R4</f>
        <v/>
      </c>
      <c r="P5" s="1627" t="n"/>
      <c r="Q5" s="1627">
        <f>+R5-O5-P5</f>
        <v/>
      </c>
      <c r="R5" s="1627">
        <f>(SUMIF(Daily!$3:$3,$B5,Daily!$15:$15)+SUMIF(Daily!$3:$3,$B5,Daily!$17:$17))</f>
        <v/>
      </c>
      <c r="S5" s="1627">
        <f>+$S$2-R5</f>
        <v/>
      </c>
    </row>
    <row r="6" ht="21" customHeight="1">
      <c r="B6" s="1626" t="n">
        <v>44992</v>
      </c>
      <c r="C6" s="1627">
        <f>+F5</f>
        <v/>
      </c>
      <c r="D6" s="1627" t="n"/>
      <c r="E6" s="1627">
        <f>+F6-C6-D6</f>
        <v/>
      </c>
      <c r="F6" s="1627">
        <f>(SUMIF(Daily!$3:$3,$B6,Daily!$23:$23)+SUMIF(Daily!$3:$3,$B6,Daily!$25:$25))*'Cash in bank report'!$E$2/'Cash in bank report'!$E$4</f>
        <v/>
      </c>
      <c r="G6" s="1627">
        <f>+$G$2-F6</f>
        <v/>
      </c>
      <c r="H6" s="1628" t="n"/>
      <c r="I6" s="1627">
        <f>+L5</f>
        <v/>
      </c>
      <c r="J6" s="1627" t="n"/>
      <c r="K6" s="1627">
        <f>+L6-I6-J6</f>
        <v/>
      </c>
      <c r="L6" s="1627">
        <f>(SUMIF(Daily!$3:$3,$B6,Daily!$19:$19)+SUMIF(Daily!$3:$3,$B6,Daily!$21:$21))*'Cash in bank report'!$E$2/'Cash in bank report'!$E$3</f>
        <v/>
      </c>
      <c r="M6" s="1627">
        <f>+$M$2-L6</f>
        <v/>
      </c>
      <c r="N6" s="1628" t="n"/>
      <c r="O6" s="1627">
        <f>+R5</f>
        <v/>
      </c>
      <c r="P6" s="1627" t="n"/>
      <c r="Q6" s="1627">
        <f>+R6-O6-P6</f>
        <v/>
      </c>
      <c r="R6" s="1627">
        <f>(SUMIF(Daily!$3:$3,$B6,Daily!$15:$15)+SUMIF(Daily!$3:$3,$B6,Daily!$17:$17))</f>
        <v/>
      </c>
      <c r="S6" s="1627">
        <f>+$S$2-R6</f>
        <v/>
      </c>
    </row>
    <row r="7" ht="21" customHeight="1">
      <c r="B7" s="1626" t="n">
        <v>45006</v>
      </c>
      <c r="C7" s="1627">
        <f>+F6</f>
        <v/>
      </c>
      <c r="D7" s="1627" t="n"/>
      <c r="E7" s="1627">
        <f>+F7-C7-D7</f>
        <v/>
      </c>
      <c r="F7" s="1627">
        <f>(SUMIF(Daily!$3:$3,$B7,Daily!$23:$23)+SUMIF(Daily!$3:$3,$B7,Daily!$25:$25))*'Cash in bank report'!$E$2/'Cash in bank report'!$E$4</f>
        <v/>
      </c>
      <c r="G7" s="1627">
        <f>+$G$2-F7</f>
        <v/>
      </c>
      <c r="H7" s="1628" t="n"/>
      <c r="I7" s="1627">
        <f>+L6</f>
        <v/>
      </c>
      <c r="J7" s="1627" t="n"/>
      <c r="K7" s="1627">
        <f>+L7-I7-J7</f>
        <v/>
      </c>
      <c r="L7" s="1627">
        <f>(SUMIF(Daily!$3:$3,$B7,Daily!$19:$19)+SUMIF(Daily!$3:$3,$B7,Daily!$21:$21))*'Cash in bank report'!$E$2/'Cash in bank report'!$E$3</f>
        <v/>
      </c>
      <c r="M7" s="1627">
        <f>+$M$2-L7</f>
        <v/>
      </c>
      <c r="N7" s="1628" t="n"/>
      <c r="O7" s="1627">
        <f>+R6</f>
        <v/>
      </c>
      <c r="P7" s="1627" t="n"/>
      <c r="Q7" s="1627">
        <f>+R7-O7-P7</f>
        <v/>
      </c>
      <c r="R7" s="1627">
        <f>(SUMIF(Daily!$3:$3,$B7,Daily!$15:$15)+SUMIF(Daily!$3:$3,$B7,Daily!$17:$17))</f>
        <v/>
      </c>
      <c r="S7" s="1627">
        <f>+$S$2-R7</f>
        <v/>
      </c>
    </row>
    <row r="8" ht="21" customHeight="1">
      <c r="B8" s="1626" t="n">
        <v>45007</v>
      </c>
      <c r="C8" s="1627">
        <f>+F7</f>
        <v/>
      </c>
      <c r="D8" s="1627" t="n"/>
      <c r="E8" s="1627" t="n"/>
      <c r="F8" s="1627">
        <f>(SUMIF(Daily!$3:$3,$B8,Daily!$23:$23)+SUMIF(Daily!$3:$3,$B8,Daily!$25:$25))*'Cash in bank report'!$E$2/'Cash in bank report'!$E$4</f>
        <v/>
      </c>
      <c r="G8" s="1627">
        <f>+$G$2-F8</f>
        <v/>
      </c>
      <c r="H8" s="1628" t="n"/>
      <c r="I8" s="1627" t="n"/>
      <c r="J8" s="1627" t="n"/>
      <c r="K8" s="1627" t="n"/>
      <c r="L8" s="1627" t="n"/>
      <c r="M8" s="1627">
        <f>+$M$2-L8</f>
        <v/>
      </c>
      <c r="N8" s="1628" t="n"/>
      <c r="O8" s="1627" t="n"/>
      <c r="P8" s="1627" t="n"/>
      <c r="Q8" s="1627" t="n"/>
      <c r="R8" s="1627" t="n"/>
      <c r="S8" s="1627">
        <f>+$S$2-R8</f>
        <v/>
      </c>
    </row>
    <row r="9" ht="21" customHeight="1">
      <c r="B9" s="1626" t="n">
        <v>45009</v>
      </c>
      <c r="C9" s="1627">
        <f>+F8</f>
        <v/>
      </c>
      <c r="D9" s="1627">
        <f>+'Daily exchange'!I7</f>
        <v/>
      </c>
      <c r="E9" s="1627" t="n"/>
      <c r="F9" s="1627">
        <f>(SUMIF(Daily!$3:$3,$B9,Daily!$23:$23)+SUMIF(Daily!$3:$3,$B9,Daily!$25:$25))*'Cash in bank report'!$E$2/'Cash in bank report'!$E$4</f>
        <v/>
      </c>
      <c r="G9" s="1627">
        <f>+$G$2-F9</f>
        <v/>
      </c>
      <c r="H9" s="1628" t="n"/>
      <c r="I9" s="1627">
        <f>+L7</f>
        <v/>
      </c>
      <c r="J9" s="1627" t="n"/>
      <c r="K9" s="1627">
        <f>+L9-I9-J9</f>
        <v/>
      </c>
      <c r="L9" s="1627">
        <f>(SUMIF(Daily!$3:$3,$B9,Daily!$19:$19)+SUMIF(Daily!$3:$3,$B9,Daily!$21:$21))*'Cash in bank report'!$E$2/'Cash in bank report'!$E$3</f>
        <v/>
      </c>
      <c r="M9" s="1627">
        <f>+$M$2-L9</f>
        <v/>
      </c>
      <c r="N9" s="1628" t="n"/>
      <c r="O9" s="1627">
        <f>+R7</f>
        <v/>
      </c>
      <c r="P9" s="1627" t="n"/>
      <c r="Q9" s="1627" t="n"/>
      <c r="R9" s="1627">
        <f>(SUMIF(Daily!$3:$3,$B9,Daily!$15:$15)+SUMIF(Daily!$3:$3,$B9,Daily!$17:$17))</f>
        <v/>
      </c>
      <c r="S9" s="1627">
        <f>+$S$2-R9</f>
        <v/>
      </c>
    </row>
    <row r="10" ht="21" customHeight="1">
      <c r="B10" s="1626" t="n">
        <v>45013</v>
      </c>
      <c r="C10" s="1627">
        <f>+F9</f>
        <v/>
      </c>
      <c r="D10" s="1627" t="n"/>
      <c r="E10" s="1627">
        <f>+F10-C10-D10</f>
        <v/>
      </c>
      <c r="F10" s="1627">
        <f>(SUMIF(Daily!$3:$3,$B10,Daily!$23:$23)+SUMIF(Daily!$3:$3,$B10,Daily!$25:$25))*'Cash in bank report'!$E$2/'Cash in bank report'!$E$4</f>
        <v/>
      </c>
      <c r="G10" s="1627">
        <f>+$G$2-F10</f>
        <v/>
      </c>
      <c r="H10" s="1628" t="n"/>
      <c r="I10" s="1627">
        <f>+L9</f>
        <v/>
      </c>
      <c r="J10" s="1627">
        <f>'Daily exchange'!F4</f>
        <v/>
      </c>
      <c r="K10" s="1627">
        <f>J10</f>
        <v/>
      </c>
      <c r="L10" s="1627">
        <f>(SUMIF(Daily!$3:$3,$B10,Daily!$19:$19)+SUMIF(Daily!$3:$3,$B10,Daily!$21:$21))*'Cash in bank report'!$E$2/'Cash in bank report'!$E$3</f>
        <v/>
      </c>
      <c r="M10" s="1627">
        <f>+$M$2-L10</f>
        <v/>
      </c>
      <c r="N10" s="1628" t="n"/>
      <c r="O10" s="1627">
        <f>+R9</f>
        <v/>
      </c>
      <c r="P10" s="1627" t="n"/>
      <c r="Q10" s="1627">
        <f>+R10-O10-P10</f>
        <v/>
      </c>
      <c r="R10" s="1627">
        <f>(SUMIF(Daily!$3:$3,$B10,Daily!$15:$15)+SUMIF(Daily!$3:$3,$B10,Daily!$17:$17))</f>
        <v/>
      </c>
      <c r="S10" s="1627">
        <f>+$S$2-R10</f>
        <v/>
      </c>
    </row>
    <row r="11" ht="21" customHeight="1">
      <c r="B11" s="1626" t="n">
        <v>45014</v>
      </c>
      <c r="C11" s="1627">
        <f>+F10</f>
        <v/>
      </c>
      <c r="D11" s="1627" t="n"/>
      <c r="E11" s="1627">
        <f>+F11-C11-D11</f>
        <v/>
      </c>
      <c r="F11" s="1627">
        <f>(SUMIF(Daily!$3:$3,$B11,Daily!$23:$23)+SUMIF(Daily!$3:$3,$B11,Daily!$25:$25))*'Cash in bank report'!$E$2/'Cash in bank report'!$E$4</f>
        <v/>
      </c>
      <c r="G11" s="1627">
        <f>+$G$2-F11</f>
        <v/>
      </c>
      <c r="H11" s="1628" t="n"/>
      <c r="I11" s="1627">
        <f>+L10</f>
        <v/>
      </c>
      <c r="J11" s="1627" t="n"/>
      <c r="K11" s="1627">
        <f>+L11-I11-J11</f>
        <v/>
      </c>
      <c r="L11" s="1627">
        <f>(SUMIF(Daily!$3:$3,$B11,Daily!$19:$19)+SUMIF(Daily!$3:$3,$B11,Daily!$21:$21))*'Cash in bank report'!$E$2/'Cash in bank report'!$E$3</f>
        <v/>
      </c>
      <c r="M11" s="1627">
        <f>+$M$2-L11</f>
        <v/>
      </c>
      <c r="N11" s="1628" t="n"/>
      <c r="O11" s="1627">
        <f>+R10</f>
        <v/>
      </c>
      <c r="P11" s="1627" t="n"/>
      <c r="Q11" s="1627">
        <f>+R11-O11-P11</f>
        <v/>
      </c>
      <c r="R11" s="1627">
        <f>(SUMIF(Daily!$3:$3,$B11,Daily!$15:$15)+SUMIF(Daily!$3:$3,$B11,Daily!$17:$17))</f>
        <v/>
      </c>
      <c r="S11" s="1627">
        <f>+$S$2-R11</f>
        <v/>
      </c>
    </row>
    <row r="12" ht="21" customHeight="1">
      <c r="B12" s="1626" t="n">
        <v>45015</v>
      </c>
      <c r="C12" s="1627">
        <f>+F11</f>
        <v/>
      </c>
      <c r="D12" s="1627" t="n"/>
      <c r="E12" s="1627" t="n"/>
      <c r="F12" s="1627">
        <f>(SUMIF(Daily!$3:$3,$B12,Daily!$23:$23)+SUMIF(Daily!$3:$3,$B12,Daily!$25:$25))*'Cash in bank report'!$E$2/'Cash in bank report'!$E$4</f>
        <v/>
      </c>
      <c r="G12" s="1627">
        <f>+$G$2-F12</f>
        <v/>
      </c>
      <c r="H12" s="1628" t="n"/>
      <c r="I12" s="1627">
        <f>+L11</f>
        <v/>
      </c>
      <c r="J12" s="1627" t="n"/>
      <c r="K12" s="1627">
        <f>+L12-I12-J12</f>
        <v/>
      </c>
      <c r="L12" s="1627">
        <f>(SUMIF(Daily!$3:$3,$B12,Daily!$19:$19)+SUMIF(Daily!$3:$3,$B12,Daily!$21:$21))*'Cash in bank report'!$E$2/'Cash in bank report'!$E$3</f>
        <v/>
      </c>
      <c r="M12" s="1627">
        <f>+$M$2-L12</f>
        <v/>
      </c>
      <c r="N12" s="1628" t="n"/>
      <c r="O12" s="1627">
        <f>+R11</f>
        <v/>
      </c>
      <c r="P12" s="1627" t="n"/>
      <c r="Q12" s="1627" t="n"/>
      <c r="R12" s="1627">
        <f>(SUMIF(Daily!$3:$3,$B12,Daily!$15:$15)+SUMIF(Daily!$3:$3,$B12,Daily!$17:$17))</f>
        <v/>
      </c>
      <c r="S12" s="1627">
        <f>+$S$2-R12</f>
        <v/>
      </c>
    </row>
    <row r="13" ht="21" customHeight="1">
      <c r="B13" s="1626" t="n">
        <v>45020</v>
      </c>
      <c r="C13" s="1627">
        <f>+F12</f>
        <v/>
      </c>
      <c r="D13" s="1627" t="n"/>
      <c r="E13" s="1627" t="n"/>
      <c r="F13" s="1627">
        <f>(SUMIF(Daily!$3:$3,$B13,Daily!$23:$23)+SUMIF(Daily!$3:$3,$B13,Daily!$25:$25))*'Cash in bank report'!$E$2/'Cash in bank report'!$E$4</f>
        <v/>
      </c>
      <c r="G13" s="1627">
        <f>+$G$2-F13</f>
        <v/>
      </c>
      <c r="H13" s="1628" t="n"/>
      <c r="I13" s="1627">
        <f>+L12</f>
        <v/>
      </c>
      <c r="J13" s="1627" t="n"/>
      <c r="K13" s="1627">
        <f>+L13-I13-J13</f>
        <v/>
      </c>
      <c r="L13" s="1627">
        <f>(SUMIF(Daily!$3:$3,$B13,Daily!$19:$19)+SUMIF(Daily!$3:$3,$B13,Daily!$21:$21))*'Cash in bank report'!$E$2/'Cash in bank report'!$E$3</f>
        <v/>
      </c>
      <c r="M13" s="1627">
        <f>+$M$2-L13</f>
        <v/>
      </c>
      <c r="N13" s="1628" t="n"/>
      <c r="O13" s="1627">
        <f>+R12</f>
        <v/>
      </c>
      <c r="P13" s="1627">
        <f>+R13-O13</f>
        <v/>
      </c>
      <c r="Q13" s="1627" t="n"/>
      <c r="R13" s="1627">
        <f>(SUMIF(Daily!$3:$3,$B13,Daily!$15:$15)+SUMIF(Daily!$3:$3,$B13,Daily!$17:$17))</f>
        <v/>
      </c>
      <c r="S13" s="1627">
        <f>+$S$2-R13</f>
        <v/>
      </c>
    </row>
    <row r="14" ht="21" customHeight="1">
      <c r="B14" s="1626" t="n">
        <v>45021</v>
      </c>
      <c r="C14" s="1627">
        <f>+F13</f>
        <v/>
      </c>
      <c r="D14" s="1627">
        <f>'Daily exchange'!I6</f>
        <v/>
      </c>
      <c r="E14" s="1627" t="n"/>
      <c r="F14" s="1627">
        <f>(SUMIF(Daily!$3:$3,$B14,Daily!$23:$23)+SUMIF(Daily!$3:$3,$B14,Daily!$25:$25))*'Cash in bank report'!$E$2/'Cash in bank report'!$E$4</f>
        <v/>
      </c>
      <c r="G14" s="1627">
        <f>+$G$2-F14</f>
        <v/>
      </c>
      <c r="H14" s="1628" t="n"/>
      <c r="I14" s="1627">
        <f>+L13</f>
        <v/>
      </c>
      <c r="J14" s="1627" t="n"/>
      <c r="K14" s="1627">
        <f>+L14-I14-J14</f>
        <v/>
      </c>
      <c r="L14" s="1627">
        <f>(SUMIF(Daily!$3:$3,$B14,Daily!$19:$19)+SUMIF(Daily!$3:$3,$B14,Daily!$21:$21))*'Cash in bank report'!$E$2/'Cash in bank report'!$E$3</f>
        <v/>
      </c>
      <c r="M14" s="1627">
        <f>+$M$2-L14</f>
        <v/>
      </c>
      <c r="N14" s="1628" t="n"/>
      <c r="O14" s="1627">
        <f>+R13</f>
        <v/>
      </c>
      <c r="P14" s="1627" t="n"/>
      <c r="Q14" s="1627" t="n"/>
      <c r="R14" s="1627">
        <f>(SUMIF(Daily!$3:$3,$B14,Daily!$15:$15)+SUMIF(Daily!$3:$3,$B14,Daily!$17:$17))</f>
        <v/>
      </c>
      <c r="S14" s="1627">
        <f>+$S$2-R14</f>
        <v/>
      </c>
    </row>
    <row r="15" ht="21" customHeight="1">
      <c r="B15" s="1626" t="n">
        <v>45023</v>
      </c>
      <c r="C15" s="1627">
        <f>+F14</f>
        <v/>
      </c>
      <c r="D15" s="1627" t="n"/>
      <c r="E15" s="1627" t="n"/>
      <c r="F15" s="1627">
        <f>(SUMIF(Daily!$3:$3,$B15,Daily!$23:$23)+SUMIF(Daily!$3:$3,$B15,Daily!$25:$25))*'Cash in bank report'!$E$2/'Cash in bank report'!$E$4</f>
        <v/>
      </c>
      <c r="G15" s="1627">
        <f>+$G$2-F15</f>
        <v/>
      </c>
      <c r="H15" s="1628" t="n"/>
      <c r="I15" s="1627">
        <f>+L14</f>
        <v/>
      </c>
      <c r="J15" s="1627">
        <f>'Daily exchange'!F7</f>
        <v/>
      </c>
      <c r="K15" s="1627" t="n"/>
      <c r="L15" s="1627">
        <f>(SUMIF(Daily!$3:$3,$B15,Daily!$19:$19)+SUMIF(Daily!$3:$3,$B15,Daily!$21:$21))*'Cash in bank report'!$E$2/'Cash in bank report'!$E$3</f>
        <v/>
      </c>
      <c r="M15" s="1627">
        <f>+$M$2-L15</f>
        <v/>
      </c>
      <c r="N15" s="1628" t="n"/>
      <c r="O15" s="1627">
        <f>+R14</f>
        <v/>
      </c>
      <c r="P15" s="1627" t="n"/>
      <c r="Q15" s="1627" t="n"/>
      <c r="R15" s="1627">
        <f>(SUMIF(Daily!$3:$3,$B15,Daily!$15:$15)+SUMIF(Daily!$3:$3,$B15,Daily!$17:$17))</f>
        <v/>
      </c>
      <c r="S15" s="1627">
        <f>+$S$2-R15</f>
        <v/>
      </c>
    </row>
    <row r="16" ht="21" customHeight="1">
      <c r="B16" s="1626" t="n">
        <v>45027</v>
      </c>
      <c r="C16" s="1627">
        <f>+F15</f>
        <v/>
      </c>
      <c r="D16" s="1627" t="n"/>
      <c r="E16" s="1627" t="n"/>
      <c r="F16" s="1627">
        <f>(SUMIF(Daily!$3:$3,$B16,Daily!$23:$23)+SUMIF(Daily!$3:$3,$B16,Daily!$25:$25))*'Cash in bank report'!$E$2/'Cash in bank report'!$E$4</f>
        <v/>
      </c>
      <c r="G16" s="1627">
        <f>+$G$2-F16</f>
        <v/>
      </c>
      <c r="H16" s="1628" t="n"/>
      <c r="I16" s="1627">
        <f>+L15</f>
        <v/>
      </c>
      <c r="J16" s="1627" t="n"/>
      <c r="K16" s="1627" t="n"/>
      <c r="L16" s="1627">
        <f>(SUMIF(Daily!$3:$3,$B16,Daily!$19:$19)+SUMIF(Daily!$3:$3,$B16,Daily!$21:$21))*'Cash in bank report'!$E$2/'Cash in bank report'!$E$3</f>
        <v/>
      </c>
      <c r="M16" s="1627">
        <f>+$M$2-L16</f>
        <v/>
      </c>
      <c r="N16" s="1628" t="n"/>
      <c r="O16" s="1627">
        <f>+R15</f>
        <v/>
      </c>
      <c r="P16" s="1627">
        <f>'Daily exchange'!C8</f>
        <v/>
      </c>
      <c r="Q16" s="1627" t="n"/>
      <c r="R16" s="1627">
        <f>(SUMIF(Daily!$3:$3,$B16,Daily!$15:$15)+SUMIF(Daily!$3:$3,$B16,Daily!$17:$17))</f>
        <v/>
      </c>
      <c r="S16" s="1627">
        <f>+$S$2-R16</f>
        <v/>
      </c>
    </row>
    <row r="17" ht="21" customHeight="1">
      <c r="B17" s="1626" t="n">
        <v>45030</v>
      </c>
      <c r="C17" s="1627">
        <f>+F16</f>
        <v/>
      </c>
      <c r="D17" s="1627" t="n"/>
      <c r="E17" s="1627" t="n"/>
      <c r="F17" s="1627">
        <f>(SUMIF(Daily!$3:$3,$B17,Daily!$23:$23)+SUMIF(Daily!$3:$3,$B17,Daily!$25:$25))*'Cash in bank report'!$E$2/'Cash in bank report'!$E$4</f>
        <v/>
      </c>
      <c r="G17" s="1627">
        <f>+$G$2-F17</f>
        <v/>
      </c>
      <c r="H17" s="1628" t="n"/>
      <c r="I17" s="1627">
        <f>+L16</f>
        <v/>
      </c>
      <c r="J17" s="1627" t="n"/>
      <c r="K17" s="1627" t="n"/>
      <c r="L17" s="1627">
        <f>(SUMIF(Daily!$3:$3,$B17,Daily!$19:$19)+SUMIF(Daily!$3:$3,$B17,Daily!$21:$21))*'Cash in bank report'!$E$2/'Cash in bank report'!$E$3</f>
        <v/>
      </c>
      <c r="M17" s="1627">
        <f>+$M$2-L17</f>
        <v/>
      </c>
      <c r="N17" s="1628" t="n"/>
      <c r="O17" s="1627">
        <f>+R16</f>
        <v/>
      </c>
      <c r="Q17" s="1627" t="n"/>
      <c r="R17" s="1627">
        <f>(SUMIF(Daily!$3:$3,$B17,Daily!$15:$15)+SUMIF(Daily!$3:$3,$B17,Daily!$17:$17))</f>
        <v/>
      </c>
      <c r="S17" s="1627">
        <f>+$S$2-R17</f>
        <v/>
      </c>
    </row>
    <row r="18" ht="21" customHeight="1">
      <c r="B18" s="1626" t="n">
        <v>45033</v>
      </c>
      <c r="C18" s="1627">
        <f>+F17</f>
        <v/>
      </c>
      <c r="D18" s="1627" t="n"/>
      <c r="E18" s="1627">
        <f>+F18-C18-D18</f>
        <v/>
      </c>
      <c r="F18" s="1627">
        <f>(SUMIF(Daily!$3:$3,$B18,Daily!$23:$23)+SUMIF(Daily!$3:$3,$B18,Daily!$25:$25))*'Cash in bank report'!$E$2/'Cash in bank report'!$E$4</f>
        <v/>
      </c>
      <c r="G18" s="1627">
        <f>+$G$2-F18</f>
        <v/>
      </c>
      <c r="H18" s="1628" t="n"/>
      <c r="I18" s="1627">
        <f>+L17</f>
        <v/>
      </c>
      <c r="J18" s="1627" t="n"/>
      <c r="K18" s="1627" t="n"/>
      <c r="L18" s="1627">
        <f>(SUMIF(Daily!$3:$3,$B18,Daily!$19:$19)+SUMIF(Daily!$3:$3,$B18,Daily!$21:$21))*'Cash in bank report'!$E$2/'Cash in bank report'!$E$3</f>
        <v/>
      </c>
      <c r="M18" s="1627">
        <f>+$M$2-L18</f>
        <v/>
      </c>
      <c r="N18" s="1628" t="n"/>
      <c r="O18" s="1627">
        <f>+R17</f>
        <v/>
      </c>
      <c r="P18" s="1627">
        <f>'Daily exchange'!C9</f>
        <v/>
      </c>
      <c r="Q18" s="1627" t="n"/>
      <c r="R18" s="1627">
        <f>(SUMIF(Daily!$3:$3,$B18,Daily!$15:$15)+SUMIF(Daily!$3:$3,$B18,Daily!$17:$17))</f>
        <v/>
      </c>
      <c r="S18" s="1627">
        <f>+$S$2-R18</f>
        <v/>
      </c>
    </row>
    <row r="19" ht="21" customHeight="1">
      <c r="B19" s="1626" t="n">
        <v>45034</v>
      </c>
      <c r="C19" s="1627">
        <f>+F18</f>
        <v/>
      </c>
      <c r="D19" s="1627" t="n"/>
      <c r="E19" s="1627" t="n"/>
      <c r="F19" s="1627">
        <f>(SUMIF(Daily!$3:$3,$B19,Daily!$23:$23)+SUMIF(Daily!$3:$3,$B19,Daily!$25:$25))*'Cash in bank report'!$E$2/'Cash in bank report'!$E$4</f>
        <v/>
      </c>
      <c r="G19" s="1627">
        <f>+$G$2-F19</f>
        <v/>
      </c>
      <c r="H19" s="1628" t="n"/>
      <c r="I19" s="1627">
        <f>+L18</f>
        <v/>
      </c>
      <c r="J19" s="1627" t="n"/>
      <c r="K19" s="1627">
        <f>+L19-I19-J19</f>
        <v/>
      </c>
      <c r="L19" s="1627">
        <f>(SUMIF(Daily!$3:$3,$B19,Daily!$19:$19)+SUMIF(Daily!$3:$3,$B19,Daily!$21:$21))*'Cash in bank report'!$E$2/'Cash in bank report'!$E$3</f>
        <v/>
      </c>
      <c r="M19" s="1627">
        <f>+$M$2-L19</f>
        <v/>
      </c>
      <c r="N19" s="1628" t="n"/>
      <c r="O19" s="1627">
        <f>+R18</f>
        <v/>
      </c>
      <c r="P19" s="1627" t="n"/>
      <c r="Q19" s="1627" t="n"/>
      <c r="R19" s="1627">
        <f>(SUMIF(Daily!$3:$3,$B19,Daily!$15:$15)+SUMIF(Daily!$3:$3,$B19,Daily!$17:$17))</f>
        <v/>
      </c>
      <c r="S19" s="1627">
        <f>+$S$2-R19</f>
        <v/>
      </c>
    </row>
    <row r="20" ht="21" customHeight="1">
      <c r="B20" s="1626" t="n">
        <v>45035</v>
      </c>
      <c r="C20" s="1627">
        <f>+F19</f>
        <v/>
      </c>
      <c r="D20" s="1627" t="n"/>
      <c r="E20" s="1627" t="n"/>
      <c r="F20" s="1627">
        <f>(SUMIF(Daily!$3:$3,$B20,Daily!$23:$23)+SUMIF(Daily!$3:$3,$B20,Daily!$25:$25))*'Cash in bank report'!$E$2/'Cash in bank report'!$E$4</f>
        <v/>
      </c>
      <c r="G20" s="1627">
        <f>+$G$2-F20</f>
        <v/>
      </c>
      <c r="H20" s="1628" t="n"/>
      <c r="I20" s="1627">
        <f>+L19</f>
        <v/>
      </c>
      <c r="J20" s="1627" t="n"/>
      <c r="K20" s="1627" t="n"/>
      <c r="L20" s="1627">
        <f>(SUMIF(Daily!$3:$3,$B20,Daily!$19:$19)+SUMIF(Daily!$3:$3,$B20,Daily!$21:$21))*'Cash in bank report'!$E$2/'Cash in bank report'!$E$3</f>
        <v/>
      </c>
      <c r="M20" s="1627">
        <f>+$M$2-L20</f>
        <v/>
      </c>
      <c r="N20" s="1628" t="n"/>
      <c r="O20" s="1627">
        <f>+R19</f>
        <v/>
      </c>
      <c r="P20" s="1627">
        <f>'Daily exchange'!C10</f>
        <v/>
      </c>
      <c r="Q20" s="1627" t="n"/>
      <c r="R20" s="1627">
        <f>(SUMIF(Daily!$3:$3,$B20,Daily!$15:$15)+SUMIF(Daily!$3:$3,$B20,Daily!$17:$17))</f>
        <v/>
      </c>
      <c r="S20" s="1627">
        <f>+$S$2-R20</f>
        <v/>
      </c>
    </row>
    <row r="21" ht="21" customHeight="1">
      <c r="B21" s="1626" t="n">
        <v>45050</v>
      </c>
      <c r="C21" s="1627">
        <f>+F20</f>
        <v/>
      </c>
      <c r="D21" s="1627" t="n"/>
      <c r="E21" s="1627">
        <f>+F21-C21-D21</f>
        <v/>
      </c>
      <c r="F21" s="1627">
        <f>(SUMIF(Daily!$3:$3,$B21,Daily!$23:$23)+SUMIF(Daily!$3:$3,$B21,Daily!$25:$25))*'Cash in bank report'!$E$2/'Cash in bank report'!$E$4</f>
        <v/>
      </c>
      <c r="G21" s="1627">
        <f>+$G$2-F21</f>
        <v/>
      </c>
      <c r="H21" s="1628" t="n"/>
      <c r="I21" s="1627">
        <f>+L20</f>
        <v/>
      </c>
      <c r="J21" s="1627" t="n"/>
      <c r="K21" s="1627">
        <f>+L21-I21-J21</f>
        <v/>
      </c>
      <c r="L21" s="1627">
        <f>(SUMIF(Daily!$3:$3,$B21,Daily!$19:$19)+SUMIF(Daily!$3:$3,$B21,Daily!$21:$21))*'Cash in bank report'!$E$2/'Cash in bank report'!$E$3</f>
        <v/>
      </c>
      <c r="M21" s="1627">
        <f>+$M$2-L21</f>
        <v/>
      </c>
      <c r="N21" s="1628" t="n"/>
      <c r="O21" s="1627">
        <f>+R20</f>
        <v/>
      </c>
      <c r="P21" s="1627">
        <f>'Daily exchange'!C11</f>
        <v/>
      </c>
      <c r="Q21" s="1627" t="n"/>
      <c r="R21" s="1627">
        <f>(SUMIF(Daily!$3:$3,$B21,Daily!$15:$15)+SUMIF(Daily!$3:$3,$B21,Daily!$17:$17))</f>
        <v/>
      </c>
      <c r="S21" s="1627">
        <f>+$S$2-R21</f>
        <v/>
      </c>
    </row>
    <row r="22" ht="21" customHeight="1">
      <c r="B22" s="1626" t="n">
        <v>45051</v>
      </c>
      <c r="C22" s="1627">
        <f>+F21</f>
        <v/>
      </c>
      <c r="D22" s="1627" t="n"/>
      <c r="E22" s="1627">
        <f>+F22-C22-D22</f>
        <v/>
      </c>
      <c r="F22" s="1627">
        <f>(SUMIF(Daily!$3:$3,$B22,Daily!$23:$23)+SUMIF(Daily!$3:$3,$B22,Daily!$25:$25))*'Cash in bank report'!$E$2/'Cash in bank report'!$E$4</f>
        <v/>
      </c>
      <c r="G22" s="1627">
        <f>+$G$2-F22</f>
        <v/>
      </c>
      <c r="H22" s="1628" t="n"/>
      <c r="I22" s="1627">
        <f>+L21</f>
        <v/>
      </c>
      <c r="J22" s="1627" t="n"/>
      <c r="K22" s="1627">
        <f>+L22-I22-J22</f>
        <v/>
      </c>
      <c r="L22" s="1627">
        <f>(SUMIF(Daily!$3:$3,$B22,Daily!$19:$19)+SUMIF(Daily!$3:$3,$B22,Daily!$21:$21))*'Cash in bank report'!$E$2/'Cash in bank report'!$E$3</f>
        <v/>
      </c>
      <c r="M22" s="1627">
        <f>+$M$2-L22</f>
        <v/>
      </c>
      <c r="N22" s="1628" t="n"/>
      <c r="O22" s="1627">
        <f>+R21</f>
        <v/>
      </c>
      <c r="P22" s="1627">
        <f>'Daily exchange'!C12</f>
        <v/>
      </c>
      <c r="Q22" s="1627" t="n"/>
      <c r="R22" s="1627">
        <f>(SUMIF(Daily!$3:$3,$B22,Daily!$15:$15)+SUMIF(Daily!$3:$3,$B22,Daily!$17:$17))</f>
        <v/>
      </c>
      <c r="S22" s="1627">
        <f>+$S$2-R22</f>
        <v/>
      </c>
    </row>
    <row r="23" ht="21" customHeight="1">
      <c r="B23" s="1626" t="n">
        <v>45057</v>
      </c>
      <c r="C23" s="1627">
        <f>+F20</f>
        <v/>
      </c>
      <c r="D23" s="1627" t="n"/>
      <c r="E23" s="1627">
        <f>+F23-C23-D23</f>
        <v/>
      </c>
      <c r="F23" s="1627">
        <f>(SUMIF(Daily!$3:$3,$B23,Daily!$23:$23)+SUMIF(Daily!$3:$3,$B23,Daily!$25:$25))*'Cash in bank report'!$E$2/'Cash in bank report'!$E$4</f>
        <v/>
      </c>
      <c r="G23" s="1627">
        <f>+$G$2-F23</f>
        <v/>
      </c>
      <c r="H23" s="1628" t="n"/>
      <c r="I23" s="1627">
        <f>+L20</f>
        <v/>
      </c>
      <c r="J23" s="1627">
        <f>'Daily exchange'!F11</f>
        <v/>
      </c>
      <c r="K23" s="1627" t="n"/>
      <c r="L23" s="1627">
        <f>(SUMIF(Daily!$3:$3,$B23,Daily!$19:$19)+SUMIF(Daily!$3:$3,$B23,Daily!$21:$21))*'Cash in bank report'!$E$2/'Cash in bank report'!$E$3</f>
        <v/>
      </c>
      <c r="M23" s="1627">
        <f>+$M$2-L23</f>
        <v/>
      </c>
      <c r="N23" s="1628" t="n"/>
      <c r="O23" s="1627">
        <f>+R20</f>
        <v/>
      </c>
      <c r="P23" s="1627">
        <f>'Daily exchange'!C11</f>
        <v/>
      </c>
      <c r="Q23" s="1627" t="n"/>
      <c r="R23" s="1627">
        <f>(SUMIF(Daily!$3:$3,$B23,Daily!$15:$15)+SUMIF(Daily!$3:$3,$B23,Daily!$17:$17))</f>
        <v/>
      </c>
      <c r="S23" s="1627">
        <f>+$S$2-R23</f>
        <v/>
      </c>
    </row>
    <row r="24" ht="21" customHeight="1">
      <c r="B24" s="1626" t="n">
        <v>45063</v>
      </c>
      <c r="C24" s="1627">
        <f>+F23</f>
        <v/>
      </c>
      <c r="D24" s="1627" t="n"/>
      <c r="E24" s="1627">
        <f>+F24-C24-D24</f>
        <v/>
      </c>
      <c r="F24" s="1627">
        <f>(SUMIF(Daily!$3:$3,$B24,Daily!$23:$23)+SUMIF(Daily!$3:$3,$B24,Daily!$25:$25))*'Cash in bank report'!$E$2/'Cash in bank report'!$E$4</f>
        <v/>
      </c>
      <c r="G24" s="1627">
        <f>+$G$2-F24</f>
        <v/>
      </c>
      <c r="H24" s="1628" t="n"/>
      <c r="I24" s="1627">
        <f>+L23</f>
        <v/>
      </c>
      <c r="J24" s="1627" t="n"/>
      <c r="K24" s="1627">
        <f>+L24-I24-J24</f>
        <v/>
      </c>
      <c r="L24" s="1627">
        <f>(SUMIF(Daily!$3:$3,$B24,Daily!$19:$19)+SUMIF(Daily!$3:$3,$B24,Daily!$21:$21))*'Cash in bank report'!$E$2/'Cash in bank report'!$E$3</f>
        <v/>
      </c>
      <c r="M24" s="1627">
        <f>+$M$2-L24</f>
        <v/>
      </c>
      <c r="N24" s="1628" t="n"/>
      <c r="O24" s="1627">
        <f>+R23</f>
        <v/>
      </c>
      <c r="P24" s="1627">
        <f>'Daily exchange'!C12</f>
        <v/>
      </c>
      <c r="Q24" s="1627" t="n"/>
      <c r="R24" s="1627">
        <f>(SUMIF(Daily!$3:$3,$B24,Daily!$15:$15)+SUMIF(Daily!$3:$3,$B24,Daily!$17:$17))</f>
        <v/>
      </c>
      <c r="S24" s="1627">
        <f>+$S$2-R24</f>
        <v/>
      </c>
    </row>
    <row r="25" ht="21" customHeight="1">
      <c r="B25" s="1626" t="n">
        <v>45075</v>
      </c>
      <c r="C25" s="1627">
        <f>+F24</f>
        <v/>
      </c>
      <c r="D25" s="1627" t="n"/>
      <c r="E25" s="1627">
        <f>+F25-C25-D25</f>
        <v/>
      </c>
      <c r="F25" s="1627">
        <f>(SUMIF(Daily!$3:$3,$B25,Daily!$23:$23)+SUMIF(Daily!$3:$3,$B25,Daily!$25:$25))*'Cash in bank report'!$E$2/'Cash in bank report'!$E$4</f>
        <v/>
      </c>
      <c r="G25" s="1627">
        <f>+$G$2-F25</f>
        <v/>
      </c>
      <c r="H25" s="1628" t="n"/>
      <c r="I25" s="1627">
        <f>+L24</f>
        <v/>
      </c>
      <c r="J25" s="1627">
        <f>'Daily exchange'!F13</f>
        <v/>
      </c>
      <c r="K25" s="1627">
        <f>+L25-I25-J25</f>
        <v/>
      </c>
      <c r="L25" s="1627">
        <f>(SUMIF(Daily!$3:$3,$B25,Daily!$19:$19)+SUMIF(Daily!$3:$3,$B25,Daily!$21:$21))*'Cash in bank report'!$E$2/'Cash in bank report'!$E$3</f>
        <v/>
      </c>
      <c r="M25" s="1627">
        <f>+$M$2-L25</f>
        <v/>
      </c>
      <c r="N25" s="1628" t="n"/>
      <c r="O25" s="1627">
        <f>+R24</f>
        <v/>
      </c>
      <c r="P25" s="1627" t="n"/>
      <c r="Q25" s="1627" t="n"/>
      <c r="R25" s="1627">
        <f>(SUMIF(Daily!$3:$3,$B25,Daily!$15:$15)+SUMIF(Daily!$3:$3,$B25,Daily!$17:$17))</f>
        <v/>
      </c>
      <c r="S25" s="1627">
        <f>+$S$2-R25</f>
        <v/>
      </c>
    </row>
    <row r="26" ht="21" customHeight="1">
      <c r="B26" s="1626" t="n">
        <v>45083</v>
      </c>
      <c r="C26" s="1627">
        <f>+F25</f>
        <v/>
      </c>
      <c r="D26" s="1627" t="n"/>
      <c r="E26" s="1627">
        <f>+F26-C26-D26</f>
        <v/>
      </c>
      <c r="F26" s="1627">
        <f>(SUMIF(Daily!$3:$3,$B26,Daily!$23:$23)+SUMIF(Daily!$3:$3,$B26,Daily!$25:$25))*'Cash in bank report'!$E$2/'Cash in bank report'!$E$4</f>
        <v/>
      </c>
      <c r="G26" s="1627">
        <f>+$G$2-F26</f>
        <v/>
      </c>
      <c r="H26" s="1628" t="n"/>
      <c r="I26" s="1627">
        <f>+L25</f>
        <v/>
      </c>
      <c r="K26" s="1627" t="n"/>
      <c r="L26" s="1627">
        <f>(SUMIF(Daily!$3:$3,$B26,Daily!$19:$19)+SUMIF(Daily!$3:$3,$B26,Daily!$21:$21))*'Cash in bank report'!$E$2/'Cash in bank report'!$E$3</f>
        <v/>
      </c>
      <c r="M26" s="1627">
        <f>+$M$2-L26</f>
        <v/>
      </c>
      <c r="N26" s="1628" t="n"/>
      <c r="O26" s="1627">
        <f>+R25</f>
        <v/>
      </c>
      <c r="P26" s="1627" t="n"/>
      <c r="Q26" s="1627" t="n"/>
      <c r="R26" s="1627">
        <f>(SUMIF(Daily!$3:$3,$B26,Daily!$15:$15)+SUMIF(Daily!$3:$3,$B26,Daily!$17:$17))</f>
        <v/>
      </c>
      <c r="S26" s="1627">
        <f>+$S$2-R26</f>
        <v/>
      </c>
    </row>
    <row r="27" ht="21" customHeight="1">
      <c r="B27" s="1626" t="n">
        <v>45085</v>
      </c>
      <c r="C27" s="1627">
        <f>+F25</f>
        <v/>
      </c>
      <c r="D27" s="1627" t="n"/>
      <c r="E27" s="1627">
        <f>+F27-C27-D27</f>
        <v/>
      </c>
      <c r="F27" s="1627">
        <f>(SUMIF(Daily!$3:$3,$B27,Daily!$23:$23)+SUMIF(Daily!$3:$3,$B27,Daily!$25:$25))*'Cash in bank report'!$E$2/'Cash in bank report'!$E$4</f>
        <v/>
      </c>
      <c r="G27" s="1627">
        <f>+$G$2-F27</f>
        <v/>
      </c>
      <c r="H27" s="1628" t="n"/>
      <c r="I27" s="1627">
        <f>+L26</f>
        <v/>
      </c>
      <c r="J27" s="1627">
        <f>'Daily exchange'!F14+'Daily exchange'!F15</f>
        <v/>
      </c>
      <c r="K27" s="1627">
        <f>+L27-I27-J27</f>
        <v/>
      </c>
      <c r="L27" s="1627">
        <f>(SUMIF(Daily!$3:$3,$B27,Daily!$19:$19)+SUMIF(Daily!$3:$3,$B27,Daily!$21:$21))*'Cash in bank report'!$E$2/'Cash in bank report'!$E$3</f>
        <v/>
      </c>
      <c r="M27" s="1627">
        <f>+$M$2-L27</f>
        <v/>
      </c>
      <c r="N27" s="1628" t="n"/>
      <c r="O27" s="1627">
        <f>+R25</f>
        <v/>
      </c>
      <c r="P27" s="1627">
        <f>'Daily exchange'!C16</f>
        <v/>
      </c>
      <c r="R27" s="1627">
        <f>(SUMIF(Daily!$3:$3,$B27,Daily!$15:$15)+SUMIF(Daily!$3:$3,$B27,Daily!$17:$17))</f>
        <v/>
      </c>
      <c r="S27" s="1627">
        <f>+$S$2-R27</f>
        <v/>
      </c>
    </row>
    <row r="28" ht="21" customHeight="1">
      <c r="B28" s="1626" t="n">
        <v>45103</v>
      </c>
      <c r="C28" s="1627" t="n"/>
      <c r="D28" s="1627" t="n"/>
      <c r="E28" s="1627">
        <f>+F28-C28-D28</f>
        <v/>
      </c>
      <c r="F28" s="1627">
        <f>(SUMIF(Daily!$3:$3,$B28,Daily!$23:$23)+SUMIF(Daily!$3:$3,$B28,Daily!$25:$25))*'Cash in bank report'!$E$2/'Cash in bank report'!$E$4</f>
        <v/>
      </c>
      <c r="G28" s="1627">
        <f>+$G$2-F28</f>
        <v/>
      </c>
      <c r="H28" s="1628" t="n"/>
      <c r="I28" s="1627" t="n"/>
      <c r="J28" s="1627" t="n"/>
      <c r="K28" s="1627">
        <f>+L28-I28-J28</f>
        <v/>
      </c>
      <c r="L28" s="1627" t="n"/>
      <c r="M28" s="1627" t="n"/>
      <c r="N28" s="1628" t="n"/>
      <c r="O28" s="1627">
        <f>+R26</f>
        <v/>
      </c>
      <c r="P28" s="1627">
        <f>'Daily exchange'!C17</f>
        <v/>
      </c>
      <c r="Q28" s="1627" t="n"/>
      <c r="R28" s="1627">
        <f>(SUMIF(Daily!$3:$3,$B28,Daily!$15:$15)+SUMIF(Daily!$3:$3,$B28,Daily!$17:$17))</f>
        <v/>
      </c>
      <c r="S28" s="1627">
        <f>+$S$2-R28</f>
        <v/>
      </c>
    </row>
    <row r="29" ht="21" customHeight="1">
      <c r="B29" s="1626" t="n">
        <v>45104</v>
      </c>
      <c r="C29" s="1627">
        <f>F28</f>
        <v/>
      </c>
      <c r="D29" s="1627">
        <f>'Daily exchange'!I17</f>
        <v/>
      </c>
      <c r="E29" s="1627">
        <f>+F29-C29-D29</f>
        <v/>
      </c>
      <c r="F29" s="1627">
        <f>(SUMIF(Daily!$3:$3,$B29,Daily!$23:$23)+SUMIF(Daily!$3:$3,$B29,Daily!$25:$25))*'Cash in bank report'!$E$2/'Cash in bank report'!$E$4</f>
        <v/>
      </c>
      <c r="G29" s="1627">
        <f>+$G$2-F29</f>
        <v/>
      </c>
      <c r="H29" s="1628" t="n"/>
      <c r="I29" s="1627" t="n"/>
      <c r="J29" s="1627" t="n"/>
      <c r="K29" s="1627">
        <f>+L29-I29-J29</f>
        <v/>
      </c>
      <c r="L29" s="1627">
        <f>(SUMIF(Daily!$3:$3,$B29,Daily!$19:$19)+SUMIF(Daily!$3:$3,$B29,Daily!$21:$21))*'Cash in bank report'!$E$2/'Cash in bank report'!$E$3</f>
        <v/>
      </c>
      <c r="M29" s="1627">
        <f>+$M$2-L29</f>
        <v/>
      </c>
      <c r="N29" s="1628" t="n"/>
      <c r="O29" s="1627">
        <f>+R27</f>
        <v/>
      </c>
      <c r="P29" s="1627">
        <f>'Daily exchange'!C18</f>
        <v/>
      </c>
      <c r="Q29" s="1627" t="n"/>
      <c r="R29" s="1627">
        <f>(SUMIF(Daily!$3:$3,$B29,Daily!$15:$15)+SUMIF(Daily!$3:$3,$B29,Daily!$17:$17))</f>
        <v/>
      </c>
      <c r="S29" s="1627">
        <f>+$S$2-R29</f>
        <v/>
      </c>
    </row>
    <row r="30" ht="21" customHeight="1">
      <c r="B30" s="1626" t="n">
        <v>45105</v>
      </c>
      <c r="C30" s="1627">
        <f>F29</f>
        <v/>
      </c>
      <c r="D30" s="1627" t="n"/>
      <c r="E30" s="1627">
        <f>+F30-C30-D30</f>
        <v/>
      </c>
      <c r="F30" s="1627">
        <f>(SUMIF(Daily!$3:$3,$B30,Daily!$23:$23)+SUMIF(Daily!$3:$3,$B30,Daily!$25:$25))*'Cash in bank report'!$E$2/'Cash in bank report'!$E$4</f>
        <v/>
      </c>
      <c r="G30" s="1627">
        <f>+$G$2-F30</f>
        <v/>
      </c>
      <c r="H30" s="1628" t="n"/>
      <c r="I30" s="1627">
        <f>L29</f>
        <v/>
      </c>
      <c r="J30" s="1627">
        <f>'Daily exchange'!F18</f>
        <v/>
      </c>
      <c r="K30" s="1627">
        <f>+L30-I30-J30</f>
        <v/>
      </c>
      <c r="L30" s="1627">
        <f>(SUMIF(Daily!$3:$3,$B30,Daily!$19:$19)+SUMIF(Daily!$3:$3,$B30,Daily!$21:$21))*'Cash in bank report'!$E$2/'Cash in bank report'!$E$3</f>
        <v/>
      </c>
      <c r="M30" s="1627">
        <f>+$M$2-L30</f>
        <v/>
      </c>
      <c r="N30" s="1628" t="n"/>
      <c r="O30" s="1627">
        <f>+R28</f>
        <v/>
      </c>
      <c r="P30" s="1627">
        <f>'Daily exchange'!C19</f>
        <v/>
      </c>
      <c r="Q30" s="1627" t="n"/>
      <c r="R30" s="1627">
        <f>(SUMIF(Daily!$3:$3,$B30,Daily!$15:$15)+SUMIF(Daily!$3:$3,$B30,Daily!$17:$17))</f>
        <v/>
      </c>
      <c r="S30" s="1627">
        <f>+$S$2-R30</f>
        <v/>
      </c>
    </row>
    <row r="31" ht="21" customHeight="1">
      <c r="B31" s="1626" t="n">
        <v>45106</v>
      </c>
      <c r="C31" s="1627">
        <f>F30</f>
        <v/>
      </c>
      <c r="D31" s="1627" t="n"/>
      <c r="E31" s="1627">
        <f>+F31-C31-D31</f>
        <v/>
      </c>
      <c r="F31" s="1627">
        <f>(SUMIF(Daily!$3:$3,$B31,Daily!$23:$23)+SUMIF(Daily!$3:$3,$B31,Daily!$25:$25))*'Cash in bank report'!$E$2/'Cash in bank report'!$E$4</f>
        <v/>
      </c>
      <c r="G31" s="1627">
        <f>+$G$2-F31</f>
        <v/>
      </c>
      <c r="H31" s="1628" t="n"/>
      <c r="I31" s="1627">
        <f>L30</f>
        <v/>
      </c>
      <c r="J31" s="1627">
        <f>'Daily exchange'!F19</f>
        <v/>
      </c>
      <c r="K31" s="1627">
        <f>+L31-I31-J31</f>
        <v/>
      </c>
      <c r="L31" s="1627">
        <f>(SUMIF(Daily!$3:$3,$B31,Daily!$19:$19)+SUMIF(Daily!$3:$3,$B31,Daily!$21:$21))*'Cash in bank report'!$E$2/'Cash in bank report'!$E$3</f>
        <v/>
      </c>
      <c r="M31" s="1627">
        <f>+$M$2-L31</f>
        <v/>
      </c>
      <c r="N31" s="1628" t="n"/>
      <c r="O31" s="1627">
        <f>+R29</f>
        <v/>
      </c>
      <c r="P31" s="1627">
        <f>'Daily exchange'!C20</f>
        <v/>
      </c>
      <c r="Q31" s="1627" t="n"/>
      <c r="R31" s="1627">
        <f>(SUMIF(Daily!$3:$3,$B31,Daily!$15:$15)+SUMIF(Daily!$3:$3,$B31,Daily!$17:$17))</f>
        <v/>
      </c>
      <c r="S31" s="1627">
        <f>+$S$2-R31</f>
        <v/>
      </c>
    </row>
    <row r="32" ht="21" customHeight="1">
      <c r="B32" s="1626" t="n">
        <v>45120</v>
      </c>
      <c r="C32" s="1627">
        <f>F31</f>
        <v/>
      </c>
      <c r="D32" s="1627" t="n"/>
      <c r="E32" s="1627">
        <f>+F32-C32-D32</f>
        <v/>
      </c>
      <c r="F32" s="1627">
        <f>(SUMIF(Daily!$3:$3,$B32,Daily!$23:$23)+SUMIF(Daily!$3:$3,$B32,Daily!$25:$25))*'Cash in bank report'!$E$2/'Cash in bank report'!$E$4</f>
        <v/>
      </c>
      <c r="G32" s="1627">
        <f>+$G$2-F32</f>
        <v/>
      </c>
      <c r="H32" s="1628" t="n"/>
      <c r="I32" s="1627">
        <f>L31</f>
        <v/>
      </c>
      <c r="J32" s="1627" t="n"/>
      <c r="K32" s="1627" t="n"/>
      <c r="L32" s="1627">
        <f>(SUMIF(Daily!$3:$3,$B32,Daily!$19:$19)+SUMIF(Daily!$3:$3,$B32,Daily!$21:$21))*'Cash in bank report'!$E$2/'Cash in bank report'!$E$3</f>
        <v/>
      </c>
      <c r="M32" s="1627">
        <f>+$M$2-L32</f>
        <v/>
      </c>
      <c r="N32" s="1628" t="n"/>
      <c r="O32" s="1627">
        <f>+R30</f>
        <v/>
      </c>
      <c r="P32" s="1627" t="n"/>
      <c r="Q32" s="1627" t="n"/>
      <c r="R32" s="1627">
        <f>(SUMIF(Daily!$3:$3,$B32,Daily!$15:$15)+SUMIF(Daily!$3:$3,$B32,Daily!$17:$17))</f>
        <v/>
      </c>
      <c r="S32" s="1627">
        <f>+$S$2-R32</f>
        <v/>
      </c>
    </row>
    <row r="33" ht="21" customHeight="1">
      <c r="B33" s="1626" t="n">
        <v>45121</v>
      </c>
      <c r="C33" s="1627">
        <f>F32</f>
        <v/>
      </c>
      <c r="D33" s="1627">
        <f>'Daily exchange'!I19</f>
        <v/>
      </c>
      <c r="E33" s="1627">
        <f>+F33-C33-D33</f>
        <v/>
      </c>
      <c r="F33" s="1627">
        <f>(SUMIF(Daily!$3:$3,$B33,Daily!$23:$23)+SUMIF(Daily!$3:$3,$B33,Daily!$25:$25))*'Cash in bank report'!$E$2/'Cash in bank report'!$E$4</f>
        <v/>
      </c>
      <c r="G33" s="1627">
        <f>+$G$2-F33</f>
        <v/>
      </c>
      <c r="H33" s="1628" t="n"/>
      <c r="I33" s="1627">
        <f>L32</f>
        <v/>
      </c>
      <c r="J33" s="1627" t="n"/>
      <c r="K33" s="1627" t="n"/>
      <c r="L33" s="1627">
        <f>(SUMIF(Daily!$3:$3,$B33,Daily!$19:$19)+SUMIF(Daily!$3:$3,$B33,Daily!$21:$21))*'Cash in bank report'!$E$2/'Cash in bank report'!$E$3</f>
        <v/>
      </c>
      <c r="M33" s="1627">
        <f>+$M$2-L33</f>
        <v/>
      </c>
      <c r="N33" s="1628" t="n"/>
      <c r="O33" s="1627">
        <f>+R31</f>
        <v/>
      </c>
      <c r="P33" s="1627" t="n"/>
      <c r="Q33" s="1627" t="n"/>
      <c r="R33" s="1627">
        <f>(SUMIF(Daily!$3:$3,$B33,Daily!$15:$15)+SUMIF(Daily!$3:$3,$B33,Daily!$17:$17))</f>
        <v/>
      </c>
      <c r="S33" s="1627">
        <f>+$S$2-R33</f>
        <v/>
      </c>
    </row>
    <row r="34" ht="21" customHeight="1">
      <c r="B34" s="1626" t="n">
        <v>45124</v>
      </c>
      <c r="C34" s="1627">
        <f>F33</f>
        <v/>
      </c>
      <c r="D34" s="1627">
        <f>'Daily exchange'!I20</f>
        <v/>
      </c>
      <c r="E34" s="1627" t="n"/>
      <c r="F34" s="1627">
        <f>(SUMIF(Daily!$3:$3,$B34,Daily!$23:$23)+SUMIF(Daily!$3:$3,$B34,Daily!$25:$25))*'Cash in bank report'!$E$2/'Cash in bank report'!$E$4</f>
        <v/>
      </c>
      <c r="G34" s="1627">
        <f>+$G$2-F34</f>
        <v/>
      </c>
      <c r="H34" s="1628" t="n"/>
      <c r="I34" s="1627">
        <f>L33</f>
        <v/>
      </c>
      <c r="J34" s="1627" t="n"/>
      <c r="K34" s="1627" t="n"/>
      <c r="L34" s="1627">
        <f>(SUMIF(Daily!$3:$3,$B34,Daily!$19:$19)+SUMIF(Daily!$3:$3,$B34,Daily!$21:$21))*'Cash in bank report'!$E$2/'Cash in bank report'!$E$3</f>
        <v/>
      </c>
      <c r="M34" s="1627">
        <f>+$M$2-L34</f>
        <v/>
      </c>
      <c r="N34" s="1628" t="n"/>
      <c r="O34" s="1627">
        <f>+R32</f>
        <v/>
      </c>
      <c r="P34" s="1627" t="n"/>
      <c r="Q34" s="1627" t="n"/>
      <c r="R34" s="1627">
        <f>(SUMIF(Daily!$3:$3,$B34,Daily!$15:$15)+SUMIF(Daily!$3:$3,$B34,Daily!$17:$17))</f>
        <v/>
      </c>
      <c r="S34" s="1627">
        <f>+$S$2-R34</f>
        <v/>
      </c>
    </row>
    <row r="35" ht="21" customHeight="1">
      <c r="B35" s="1626" t="n">
        <v>45125</v>
      </c>
      <c r="C35" s="1627">
        <f>F34</f>
        <v/>
      </c>
      <c r="D35" s="1627" t="n"/>
      <c r="E35" s="1627">
        <f>+F35-C35-D35</f>
        <v/>
      </c>
      <c r="F35" s="1627">
        <f>(SUMIF(Daily!$3:$3,$B35,Daily!$23:$23)+SUMIF(Daily!$3:$3,$B35,Daily!$25:$25))*'Cash in bank report'!$E$2/'Cash in bank report'!$E$4</f>
        <v/>
      </c>
      <c r="G35" s="1627">
        <f>+$G$2-F35</f>
        <v/>
      </c>
      <c r="H35" s="1628" t="n"/>
      <c r="I35" s="1627">
        <f>L34</f>
        <v/>
      </c>
      <c r="J35" s="1627" t="n"/>
      <c r="K35" s="1627" t="n"/>
      <c r="L35" s="1627">
        <f>(SUMIF(Daily!$3:$3,$B35,Daily!$19:$19)+SUMIF(Daily!$3:$3,$B35,Daily!$21:$21))*'Cash in bank report'!$E$2/'Cash in bank report'!$E$3</f>
        <v/>
      </c>
      <c r="M35" s="1627">
        <f>+$M$2-L35</f>
        <v/>
      </c>
      <c r="N35" s="1628" t="n"/>
      <c r="O35" s="1627">
        <f>+R33</f>
        <v/>
      </c>
      <c r="P35" s="1627" t="n"/>
      <c r="Q35" s="1627" t="n"/>
      <c r="R35" s="1627">
        <f>(SUMIF(Daily!$3:$3,$B35,Daily!$15:$15)+SUMIF(Daily!$3:$3,$B35,Daily!$17:$17))</f>
        <v/>
      </c>
      <c r="S35" s="1627">
        <f>+$S$2-R35</f>
        <v/>
      </c>
    </row>
    <row r="36" ht="21" customHeight="1">
      <c r="B36" s="1626" t="n">
        <v>45132</v>
      </c>
      <c r="C36" s="1627">
        <f>F35</f>
        <v/>
      </c>
      <c r="D36" s="1627">
        <f>'Daily exchange'!I21</f>
        <v/>
      </c>
      <c r="E36" s="1627">
        <f>+F36-C36-D36</f>
        <v/>
      </c>
      <c r="F36" s="1627">
        <f>(SUMIF(Daily!$3:$3,$B36,Daily!$23:$23)+SUMIF(Daily!$3:$3,$B36,Daily!$25:$25))*'Cash in bank report'!$E$2/'Cash in bank report'!$E$4</f>
        <v/>
      </c>
      <c r="G36" s="1627">
        <f>+$G$2-F36</f>
        <v/>
      </c>
      <c r="H36" s="1628" t="n"/>
      <c r="I36" s="1627">
        <f>L35</f>
        <v/>
      </c>
      <c r="J36" s="1627" t="n"/>
      <c r="K36" s="1627" t="n"/>
      <c r="L36" s="1627">
        <f>(SUMIF(Daily!$3:$3,$B36,Daily!$19:$19)+SUMIF(Daily!$3:$3,$B36,Daily!$21:$21))*'Cash in bank report'!$E$2/'Cash in bank report'!$E$3</f>
        <v/>
      </c>
      <c r="M36" s="1627">
        <f>+$M$2-L36</f>
        <v/>
      </c>
      <c r="N36" s="1628" t="n"/>
      <c r="O36" s="1627">
        <f>+R34</f>
        <v/>
      </c>
      <c r="P36" s="1627" t="n"/>
      <c r="Q36" s="1627" t="n"/>
      <c r="R36" s="1627">
        <f>(SUMIF(Daily!$3:$3,$B36,Daily!$15:$15)+SUMIF(Daily!$3:$3,$B36,Daily!$17:$17))</f>
        <v/>
      </c>
      <c r="S36" s="1627">
        <f>+$S$2-R36</f>
        <v/>
      </c>
    </row>
    <row r="37" ht="21" customHeight="1">
      <c r="B37" s="1626" t="n">
        <v>45141</v>
      </c>
      <c r="C37" s="1627">
        <f>F36</f>
        <v/>
      </c>
      <c r="D37" s="1627">
        <f>'Daily exchange'!I22</f>
        <v/>
      </c>
      <c r="E37" s="1627">
        <f>+F37-C37-D37</f>
        <v/>
      </c>
      <c r="F37" s="1627">
        <f>(SUMIF(Daily!$3:$3,$B37,Daily!$23:$23)+SUMIF(Daily!$3:$3,$B37,Daily!$25:$25))*'Cash in bank report'!$E$2/'Cash in bank report'!$E$4</f>
        <v/>
      </c>
      <c r="G37" s="1627">
        <f>+$G$2-F37</f>
        <v/>
      </c>
      <c r="H37" s="1628" t="n"/>
      <c r="I37" s="1627">
        <f>L36</f>
        <v/>
      </c>
      <c r="J37" s="1627">
        <f>'Daily exchange'!F22</f>
        <v/>
      </c>
      <c r="K37" s="1627" t="n"/>
      <c r="L37" s="1627">
        <f>(SUMIF(Daily!$3:$3,$B37,Daily!$19:$19)+SUMIF(Daily!$3:$3,$B37,Daily!$21:$21))*'Cash in bank report'!$E$2/'Cash in bank report'!$E$3</f>
        <v/>
      </c>
      <c r="M37" s="1627">
        <f>+$M$2-L37</f>
        <v/>
      </c>
      <c r="N37" s="1628" t="n"/>
      <c r="O37" s="1627">
        <f>+R35</f>
        <v/>
      </c>
      <c r="P37" s="1627" t="n"/>
      <c r="Q37" s="1627" t="n"/>
      <c r="R37" s="1627">
        <f>(SUMIF(Daily!$3:$3,$B37,Daily!$15:$15)+SUMIF(Daily!$3:$3,$B37,Daily!$17:$17))</f>
        <v/>
      </c>
      <c r="S37" s="1627">
        <f>+$S$2-R37</f>
        <v/>
      </c>
    </row>
    <row r="38" ht="21" customHeight="1">
      <c r="B38" s="1626" t="n">
        <v>45147</v>
      </c>
      <c r="C38" s="1627">
        <f>F37</f>
        <v/>
      </c>
      <c r="D38" s="1627">
        <f>'Daily exchange'!I23</f>
        <v/>
      </c>
      <c r="E38" s="1627">
        <f>+F38-C38-D38</f>
        <v/>
      </c>
      <c r="F38" s="1627">
        <f>(SUMIF(Daily!$3:$3,$B38,Daily!$23:$23)+SUMIF(Daily!$3:$3,$B38,Daily!$25:$25))*'Cash in bank report'!$E$2/'Cash in bank report'!$E$4</f>
        <v/>
      </c>
      <c r="G38" s="1627">
        <f>+$G$2-F38</f>
        <v/>
      </c>
      <c r="H38" s="1628" t="n"/>
      <c r="I38" s="1627">
        <f>L37</f>
        <v/>
      </c>
      <c r="J38" s="1627">
        <f>'Daily exchange'!F23</f>
        <v/>
      </c>
      <c r="K38" s="1627" t="n"/>
      <c r="L38" s="1627">
        <f>(SUMIF(Daily!$3:$3,$B38,Daily!$19:$19)+SUMIF(Daily!$3:$3,$B38,Daily!$21:$21))*'Cash in bank report'!$E$2/'Cash in bank report'!$E$3</f>
        <v/>
      </c>
      <c r="M38" s="1627">
        <f>+$M$2-L38</f>
        <v/>
      </c>
      <c r="N38" s="1628" t="n"/>
      <c r="O38" s="1627">
        <f>+R36</f>
        <v/>
      </c>
      <c r="P38" s="1627" t="n"/>
      <c r="Q38" s="1627" t="n"/>
      <c r="R38" s="1627">
        <f>(SUMIF(Daily!$3:$3,$B38,Daily!$15:$15)+SUMIF(Daily!$3:$3,$B38,Daily!$17:$17))</f>
        <v/>
      </c>
      <c r="S38" s="1627">
        <f>+$S$2-R38</f>
        <v/>
      </c>
    </row>
    <row r="39" ht="21" customHeight="1">
      <c r="B39" s="1626" t="n">
        <v>45156</v>
      </c>
      <c r="C39" s="1627">
        <f>F38</f>
        <v/>
      </c>
      <c r="D39" s="1627">
        <f>'Daily exchange'!I24</f>
        <v/>
      </c>
      <c r="E39" s="1627">
        <f>+F39-C39-D39</f>
        <v/>
      </c>
      <c r="F39" s="1627">
        <f>(SUMIF(Daily!$3:$3,$B39,Daily!$23:$23)+SUMIF(Daily!$3:$3,$B39,Daily!$25:$25))*'Cash in bank report'!$E$2/'Cash in bank report'!$E$4</f>
        <v/>
      </c>
      <c r="G39" s="1627">
        <f>+$G$2-F39</f>
        <v/>
      </c>
      <c r="I39" s="1627">
        <f>L38</f>
        <v/>
      </c>
      <c r="J39" s="1627">
        <f>'Daily exchange'!F23</f>
        <v/>
      </c>
      <c r="K39" s="1627" t="n"/>
      <c r="L39" s="1627">
        <f>(SUMIF(Daily!$3:$3,$B39,Daily!$19:$19)+SUMIF(Daily!$3:$3,$B39,Daily!$21:$21))*'Cash in bank report'!$E$2/'Cash in bank report'!$E$3</f>
        <v/>
      </c>
      <c r="M39" s="1627">
        <f>+$M$2-L39</f>
        <v/>
      </c>
      <c r="O39" s="1627">
        <f>+R37</f>
        <v/>
      </c>
      <c r="P39" s="1627" t="n"/>
      <c r="Q39" s="1627" t="n"/>
      <c r="R39" s="1627">
        <f>(SUMIF(Daily!$3:$3,$B39,Daily!$15:$15)+SUMIF(Daily!$3:$3,$B39,Daily!$17:$17))</f>
        <v/>
      </c>
      <c r="S39" s="1627">
        <f>+$S$2-R39</f>
        <v/>
      </c>
    </row>
    <row r="40" ht="21" customHeight="1">
      <c r="B40" s="1626" t="n">
        <v>45167</v>
      </c>
      <c r="C40" s="1627">
        <f>F39</f>
        <v/>
      </c>
      <c r="D40" s="1627">
        <f>'Daily exchange'!I25</f>
        <v/>
      </c>
      <c r="E40" s="1627">
        <f>+F40-C40-D40</f>
        <v/>
      </c>
      <c r="F40" s="1627">
        <f>(SUMIF(Daily!$3:$3,$B40,Daily!$23:$23)+SUMIF(Daily!$3:$3,$B40,Daily!$25:$25))*'Cash in bank report'!$E$2/'Cash in bank report'!$E$4</f>
        <v/>
      </c>
      <c r="G40" s="1627">
        <f>+$G$2-F40</f>
        <v/>
      </c>
      <c r="I40" s="1627">
        <f>L39</f>
        <v/>
      </c>
      <c r="J40" s="1627">
        <f>'Daily exchange'!F24</f>
        <v/>
      </c>
      <c r="K40" s="1627" t="n"/>
      <c r="L40" s="1627">
        <f>(SUMIF(Daily!$3:$3,$B40,Daily!$19:$19)+SUMIF(Daily!$3:$3,$B40,Daily!$21:$21))*'Cash in bank report'!$E$2/'Cash in bank report'!$E$3</f>
        <v/>
      </c>
      <c r="M40" s="1627">
        <f>+$M$2-L40</f>
        <v/>
      </c>
      <c r="O40" s="1627">
        <f>+R38</f>
        <v/>
      </c>
      <c r="P40" s="1627" t="n"/>
      <c r="Q40" s="1627" t="n"/>
      <c r="R40" s="1627">
        <f>(SUMIF(Daily!$3:$3,$B40,Daily!$15:$15)+SUMIF(Daily!$3:$3,$B40,Daily!$17:$17))</f>
        <v/>
      </c>
      <c r="S40" s="1627">
        <f>+$S$2-R40</f>
        <v/>
      </c>
    </row>
    <row r="41" ht="21" customHeight="1">
      <c r="B41" s="1626" t="n">
        <v>45173</v>
      </c>
      <c r="C41" s="1627">
        <f>F40</f>
        <v/>
      </c>
      <c r="D41" s="1627">
        <f>'Daily exchange'!I26</f>
        <v/>
      </c>
      <c r="E41" s="1627">
        <f>+F41-C41-D41</f>
        <v/>
      </c>
      <c r="F41" s="1627">
        <f>(SUMIF(Daily!$3:$3,$B41,Daily!$23:$23)+SUMIF(Daily!$3:$3,$B41,Daily!$25:$25))*'Cash in bank report'!$E$2/'Cash in bank report'!$E$4</f>
        <v/>
      </c>
      <c r="G41" s="1627">
        <f>+$G$2-F41</f>
        <v/>
      </c>
      <c r="I41" s="1627">
        <f>L40</f>
        <v/>
      </c>
      <c r="J41" s="1627">
        <f>'Daily exchange'!F25</f>
        <v/>
      </c>
      <c r="K41" s="1627" t="n"/>
      <c r="L41" s="1627">
        <f>(SUMIF(Daily!$3:$3,$B41,Daily!$19:$19)+SUMIF(Daily!$3:$3,$B41,Daily!$21:$21))*'Cash in bank report'!$E$2/'Cash in bank report'!$E$3</f>
        <v/>
      </c>
      <c r="M41" s="1627">
        <f>+$M$2-L41</f>
        <v/>
      </c>
      <c r="O41" s="1627">
        <f>+R39</f>
        <v/>
      </c>
      <c r="P41" s="1627" t="n"/>
      <c r="Q41" s="1627" t="n"/>
      <c r="R41" s="1627">
        <f>(SUMIF(Daily!$3:$3,$B41,Daily!$15:$15)+SUMIF(Daily!$3:$3,$B41,Daily!$17:$17))</f>
        <v/>
      </c>
      <c r="S41" s="1627">
        <f>+$S$2-R41</f>
        <v/>
      </c>
    </row>
    <row r="42" ht="21" customHeight="1">
      <c r="B42" s="1626" t="n">
        <v>45223</v>
      </c>
      <c r="C42" s="1627">
        <f>F41</f>
        <v/>
      </c>
      <c r="D42" s="1627">
        <f>'Daily exchange'!I26</f>
        <v/>
      </c>
      <c r="E42" s="1627">
        <f>+F42-C42-D42</f>
        <v/>
      </c>
      <c r="F42" s="1627">
        <f>(SUMIF(Daily!$3:$3,$B42,Daily!$23:$23)+SUMIF(Daily!$3:$3,$B42,Daily!$25:$25))*'Cash in bank report'!$E$2/'Cash in bank report'!$E$4</f>
        <v/>
      </c>
      <c r="G42" s="1627">
        <f>+$G$2-F42</f>
        <v/>
      </c>
      <c r="I42" s="1627">
        <f>L41</f>
        <v/>
      </c>
      <c r="J42" s="1627">
        <f>'Daily exchange'!F26</f>
        <v/>
      </c>
      <c r="K42" s="1627" t="n"/>
      <c r="L42" s="1627">
        <f>(SUMIF(Daily!$3:$3,$B42,Daily!$19:$19)+SUMIF(Daily!$3:$3,$B42,Daily!$21:$21))*'Cash in bank report'!$E$2/'Cash in bank report'!$E$3</f>
        <v/>
      </c>
      <c r="M42" s="1627">
        <f>+$M$2-L42</f>
        <v/>
      </c>
      <c r="O42" s="1627">
        <f>+R41</f>
        <v/>
      </c>
      <c r="P42" s="1627" t="n"/>
      <c r="Q42" s="1627">
        <f>+R42-O42-P42</f>
        <v/>
      </c>
      <c r="R42" s="1627">
        <f>(SUMIF(Daily!$3:$3,$B42,Daily!$15:$15)+SUMIF(Daily!$3:$3,$B42,Daily!$17:$17))</f>
        <v/>
      </c>
      <c r="S42" s="1627">
        <f>+$S$2-R42</f>
        <v/>
      </c>
    </row>
    <row r="43" ht="21" customHeight="1">
      <c r="B43" s="1626" t="n">
        <v>45237</v>
      </c>
      <c r="C43" s="1627">
        <f>F42</f>
        <v/>
      </c>
      <c r="D43" s="1627">
        <f>'Daily exchange'!I27</f>
        <v/>
      </c>
      <c r="E43" s="1627">
        <f>+F43-C43-D43</f>
        <v/>
      </c>
      <c r="F43" s="1627">
        <f>(SUMIF(Daily!$3:$3,$B43,Daily!$23:$23)+SUMIF(Daily!$3:$3,$B43,Daily!$25:$25))*'Cash in bank report'!$E$2/'Cash in bank report'!$E$4</f>
        <v/>
      </c>
      <c r="G43" s="1627">
        <f>+$G$2-F43</f>
        <v/>
      </c>
      <c r="I43" s="1627">
        <f>L42</f>
        <v/>
      </c>
      <c r="J43" s="1627">
        <f>'Daily exchange'!F27</f>
        <v/>
      </c>
      <c r="K43" s="1627">
        <f>+L43-I43-J43</f>
        <v/>
      </c>
      <c r="L43" s="1627">
        <f>(SUMIF(Daily!$3:$3,$B43,Daily!$19:$19)+SUMIF(Daily!$3:$3,$B43,Daily!$21:$21))*'Cash in bank report'!$E$2/'Cash in bank report'!$E$3</f>
        <v/>
      </c>
      <c r="M43" s="1627">
        <f>+$M$2-L43</f>
        <v/>
      </c>
      <c r="O43" s="1627">
        <f>+R42</f>
        <v/>
      </c>
      <c r="P43" s="1627" t="n"/>
      <c r="Q43" s="1627">
        <f>+R43-O43-P43</f>
        <v/>
      </c>
      <c r="R43" s="1627">
        <f>(SUMIF(Daily!$3:$3,$B43,Daily!$15:$15)+SUMIF(Daily!$3:$3,$B43,Daily!$17:$17))</f>
        <v/>
      </c>
      <c r="S43" s="1627">
        <f>+$S$2-R43</f>
        <v/>
      </c>
    </row>
    <row r="44" ht="21" customHeight="1">
      <c r="B44" s="1626" t="n">
        <v>45238</v>
      </c>
      <c r="C44" s="1627">
        <f>F43</f>
        <v/>
      </c>
      <c r="D44" s="1627">
        <f>'Daily exchange'!I28</f>
        <v/>
      </c>
      <c r="E44" s="1627">
        <f>+F44-C44-D44</f>
        <v/>
      </c>
      <c r="F44" s="1627">
        <f>(SUMIF(Daily!$3:$3,$B44,Daily!$23:$23)+SUMIF(Daily!$3:$3,$B44,Daily!$25:$25))*'Cash in bank report'!$E$2/'Cash in bank report'!$E$4</f>
        <v/>
      </c>
      <c r="G44" s="1627">
        <f>+$G$2-F44</f>
        <v/>
      </c>
      <c r="I44" s="1627">
        <f>L43</f>
        <v/>
      </c>
      <c r="J44" s="1627">
        <f>'Daily exchange'!F28</f>
        <v/>
      </c>
      <c r="K44" s="1627">
        <f>+L44-I44-J44</f>
        <v/>
      </c>
      <c r="L44" s="1627">
        <f>(SUMIF(Daily!$3:$3,$B44,Daily!$19:$19)+SUMIF(Daily!$3:$3,$B44,Daily!$21:$21))*'Cash in bank report'!$E$2/'Cash in bank report'!$E$3</f>
        <v/>
      </c>
      <c r="M44" s="1627">
        <f>+$M$2-L44</f>
        <v/>
      </c>
      <c r="O44" s="1627">
        <f>+R43</f>
        <v/>
      </c>
      <c r="P44" s="1627" t="n"/>
      <c r="Q44" s="1627">
        <f>+R44-O44-P44</f>
        <v/>
      </c>
      <c r="R44" s="1627">
        <f>(SUMIF(Daily!$3:$3,$B44,Daily!$15:$15)+SUMIF(Daily!$3:$3,$B44,Daily!$17:$17))</f>
        <v/>
      </c>
      <c r="S44" s="1627">
        <f>+$S$2-R44</f>
        <v/>
      </c>
    </row>
    <row r="45" ht="21" customHeight="1">
      <c r="B45" s="1626" t="n">
        <v>45239</v>
      </c>
      <c r="C45" s="1627">
        <f>F44</f>
        <v/>
      </c>
      <c r="D45" s="1627">
        <f>'Daily exchange'!I29</f>
        <v/>
      </c>
      <c r="E45" s="1627">
        <f>+F45-C45-D45</f>
        <v/>
      </c>
      <c r="F45" s="1627">
        <f>(SUMIF(Daily!$3:$3,$B45,Daily!$23:$23)+SUMIF(Daily!$3:$3,$B45,Daily!$25:$25))*'Cash in bank report'!$E$2/'Cash in bank report'!$E$4</f>
        <v/>
      </c>
      <c r="G45" s="1627">
        <f>+$G$2-F45</f>
        <v/>
      </c>
      <c r="I45" s="1627">
        <f>L44</f>
        <v/>
      </c>
      <c r="J45" s="1627">
        <f>'Daily exchange'!F29</f>
        <v/>
      </c>
      <c r="K45" s="1627">
        <f>+L45-I45-J45</f>
        <v/>
      </c>
      <c r="L45" s="1627">
        <f>(SUMIF(Daily!$3:$3,$B45,Daily!$19:$19)+SUMIF(Daily!$3:$3,$B45,Daily!$21:$21))*'Cash in bank report'!$E$2/'Cash in bank report'!$E$3</f>
        <v/>
      </c>
      <c r="M45" s="1627">
        <f>+$M$2-L45</f>
        <v/>
      </c>
      <c r="O45" s="1627">
        <f>+R44</f>
        <v/>
      </c>
      <c r="P45" s="1627" t="n"/>
      <c r="Q45" s="1627">
        <f>+R45-O45-P45</f>
        <v/>
      </c>
      <c r="R45" s="1627">
        <f>(SUMIF(Daily!$3:$3,$B45,Daily!$15:$15)+SUMIF(Daily!$3:$3,$B45,Daily!$17:$17))</f>
        <v/>
      </c>
      <c r="S45" s="1627">
        <f>+$S$2-R45</f>
        <v/>
      </c>
    </row>
    <row r="46" ht="21" customHeight="1">
      <c r="B46" s="1626" t="n">
        <v>45307</v>
      </c>
      <c r="C46" s="1627">
        <f>F45</f>
        <v/>
      </c>
      <c r="D46" s="1627">
        <f>'Daily exchange'!I29</f>
        <v/>
      </c>
      <c r="E46" s="1627">
        <f>+F46-C46-D46</f>
        <v/>
      </c>
      <c r="F46" s="1627">
        <f>(SUMIF(Daily!$3:$3,$B46,Daily!$23:$23)+SUMIF(Daily!$3:$3,$B46,Daily!$25:$25))*'Cash in bank report'!$E$2/'Cash in bank report'!$E$4</f>
        <v/>
      </c>
      <c r="G46" s="1627">
        <f>+$G$2-F46</f>
        <v/>
      </c>
      <c r="I46" s="1627">
        <f>L45</f>
        <v/>
      </c>
      <c r="J46" s="1627">
        <f>'Daily exchange'!F30</f>
        <v/>
      </c>
      <c r="K46" s="1627">
        <f>+L46-I46-J46</f>
        <v/>
      </c>
      <c r="L46" s="1627">
        <f>(SUMIF(Daily!$3:$3,$B46,Daily!$19:$19)+SUMIF(Daily!$3:$3,$B46,Daily!$21:$21))*'Cash in bank report'!$E$2/'Cash in bank report'!$E$3</f>
        <v/>
      </c>
      <c r="M46" s="1627">
        <f>+$M$2-L46</f>
        <v/>
      </c>
      <c r="O46" s="1627">
        <f>+R45</f>
        <v/>
      </c>
      <c r="P46" s="1627" t="n"/>
      <c r="Q46" s="1627">
        <f>+R46-O46-P46</f>
        <v/>
      </c>
      <c r="R46" s="1627">
        <f>(SUMIF(Daily!$3:$3,$B46,Daily!$15:$15)+SUMIF(Daily!$3:$3,$B46,Daily!$17:$17))</f>
        <v/>
      </c>
      <c r="S46" s="1627">
        <f>+$S$2-R46</f>
        <v/>
      </c>
    </row>
    <row r="47" ht="21" customHeight="1">
      <c r="B47" s="1626" t="n">
        <v>45315</v>
      </c>
      <c r="C47" s="1627">
        <f>F46</f>
        <v/>
      </c>
      <c r="D47" s="1627">
        <f>'Daily exchange'!I30</f>
        <v/>
      </c>
      <c r="E47" s="1627">
        <f>+F47-C47-D47</f>
        <v/>
      </c>
      <c r="F47" s="1627">
        <f>(SUMIF(Daily!$3:$3,$B47,Daily!$23:$23)+SUMIF(Daily!$3:$3,$B47,Daily!$25:$25))*'Cash in bank report'!$E$2/'Cash in bank report'!$E$4</f>
        <v/>
      </c>
      <c r="G47" s="1627">
        <f>+$G$2-F47</f>
        <v/>
      </c>
      <c r="I47" s="1627">
        <f>L46</f>
        <v/>
      </c>
      <c r="J47" s="1627">
        <f>'Daily exchange'!F31</f>
        <v/>
      </c>
      <c r="K47" s="1627">
        <f>+L47-I47-J47</f>
        <v/>
      </c>
      <c r="L47" s="1627">
        <f>(SUMIF(Daily!$3:$3,$B47,Daily!$19:$19)+SUMIF(Daily!$3:$3,$B47,Daily!$21:$21))*'Cash in bank report'!$E$2/'Cash in bank report'!$E$3</f>
        <v/>
      </c>
      <c r="M47" s="1627">
        <f>+$M$2-L47</f>
        <v/>
      </c>
      <c r="O47" s="1627">
        <f>+R46</f>
        <v/>
      </c>
      <c r="P47" s="1627" t="n"/>
      <c r="Q47" s="1627">
        <f>+R47-O47-P47</f>
        <v/>
      </c>
      <c r="R47" s="1627">
        <f>(SUMIF(Daily!$3:$3,$B47,Daily!$15:$15)+SUMIF(Daily!$3:$3,$B47,Daily!$17:$17))</f>
        <v/>
      </c>
      <c r="S47" s="1627">
        <f>+$S$2-R47</f>
        <v/>
      </c>
    </row>
    <row r="48" ht="21" customHeight="1">
      <c r="B48" s="1626" t="n">
        <v>45320</v>
      </c>
      <c r="C48" s="1627">
        <f>F47</f>
        <v/>
      </c>
      <c r="D48" s="1627">
        <f>'Daily exchange'!I31</f>
        <v/>
      </c>
      <c r="E48" s="1627">
        <f>+F48-C48-D48</f>
        <v/>
      </c>
      <c r="F48" s="1627">
        <f>(SUMIF(Daily!$3:$3,$B48,Daily!$23:$23)+SUMIF(Daily!$3:$3,$B48,Daily!$25:$25))*'Cash in bank report'!$E$2/'Cash in bank report'!$E$4</f>
        <v/>
      </c>
      <c r="G48" s="1627">
        <f>+$G$2-F48</f>
        <v/>
      </c>
      <c r="I48" s="1627">
        <f>L47</f>
        <v/>
      </c>
      <c r="J48" s="1627">
        <f>'Daily exchange'!F32</f>
        <v/>
      </c>
      <c r="K48" s="1627">
        <f>+L48-I48-J48</f>
        <v/>
      </c>
      <c r="L48" s="1627">
        <f>(SUMIF(Daily!$3:$3,$B48,Daily!$19:$19)+SUMIF(Daily!$3:$3,$B48,Daily!$21:$21))*'Cash in bank report'!$E$2/'Cash in bank report'!$E$3</f>
        <v/>
      </c>
      <c r="M48" s="1627">
        <f>+$M$2-L48</f>
        <v/>
      </c>
      <c r="O48" s="1627">
        <f>+R47</f>
        <v/>
      </c>
      <c r="P48" s="1627" t="n"/>
      <c r="Q48" s="1627">
        <f>+R48-O48-P48</f>
        <v/>
      </c>
      <c r="R48" s="1627">
        <f>(SUMIF(Daily!$3:$3,$B48,Daily!$15:$15)+SUMIF(Daily!$3:$3,$B48,Daily!$17:$17))</f>
        <v/>
      </c>
      <c r="S48" s="1627">
        <f>+$S$2-R48</f>
        <v/>
      </c>
    </row>
    <row r="49" ht="21" customHeight="1">
      <c r="B49" s="1626" t="n">
        <v>45327</v>
      </c>
      <c r="C49" s="1627">
        <f>F48</f>
        <v/>
      </c>
      <c r="D49" s="1627">
        <f>'Daily exchange'!I32</f>
        <v/>
      </c>
      <c r="E49" s="1627">
        <f>+F49-C49-D49</f>
        <v/>
      </c>
      <c r="F49" s="1627">
        <f>(SUMIF(Daily!$3:$3,$B49,Daily!$23:$23)+SUMIF(Daily!$3:$3,$B49,Daily!$25:$25))*'Cash in bank report'!$E$2/'Cash in bank report'!$E$4</f>
        <v/>
      </c>
      <c r="G49" s="1627">
        <f>+$G$2-F49</f>
        <v/>
      </c>
      <c r="I49" s="1627">
        <f>L48</f>
        <v/>
      </c>
      <c r="J49" s="1627">
        <f>'Daily exchange'!F33</f>
        <v/>
      </c>
      <c r="K49" s="1627">
        <f>+L49-I49-J49</f>
        <v/>
      </c>
      <c r="L49" s="1627">
        <f>(SUMIF(Daily!$3:$3,$B49,Daily!$19:$19)+SUMIF(Daily!$3:$3,$B49,Daily!$21:$21))*'Cash in bank report'!$E$2/'Cash in bank report'!$E$3</f>
        <v/>
      </c>
      <c r="M49" s="1627">
        <f>+$M$2-L49</f>
        <v/>
      </c>
      <c r="O49" s="1627">
        <f>+R48</f>
        <v/>
      </c>
      <c r="P49" s="1627" t="n"/>
      <c r="Q49" s="1627">
        <f>+R49-O49-P49</f>
        <v/>
      </c>
      <c r="R49" s="1627">
        <f>(SUMIF(Daily!$3:$3,$B49,Daily!$15:$15)+SUMIF(Daily!$3:$3,$B49,Daily!$17:$17))</f>
        <v/>
      </c>
      <c r="S49" s="1627">
        <f>+$S$2-R49</f>
        <v/>
      </c>
    </row>
    <row r="50" ht="21" customHeight="1">
      <c r="B50" s="1626" t="n">
        <v>45376</v>
      </c>
      <c r="C50" s="1627">
        <f>F49</f>
        <v/>
      </c>
      <c r="D50" s="1627">
        <f>'Daily exchange'!I33</f>
        <v/>
      </c>
      <c r="E50" s="1627">
        <f>+F50-C50-D50</f>
        <v/>
      </c>
      <c r="F50" s="1627">
        <f>(SUMIF(Daily!$3:$3,$B50,Daily!$23:$23)+SUMIF(Daily!$3:$3,$B50,Daily!$25:$25))*'Cash in bank report'!$E$2/'Cash in bank report'!$E$4</f>
        <v/>
      </c>
      <c r="G50" s="1627">
        <f>+$G$2-F50</f>
        <v/>
      </c>
      <c r="I50" s="1627">
        <f>L49</f>
        <v/>
      </c>
      <c r="J50" s="1627">
        <f>'Daily exchange'!F34</f>
        <v/>
      </c>
      <c r="K50" s="1627">
        <f>+L50-I50-J50</f>
        <v/>
      </c>
      <c r="L50" s="1627">
        <f>(SUMIF(Daily!$3:$3,$B50,Daily!$19:$19)+SUMIF(Daily!$3:$3,$B50,Daily!$21:$21))*'Cash in bank report'!$E$2/'Cash in bank report'!$E$3</f>
        <v/>
      </c>
      <c r="M50" s="1627">
        <f>+$M$2-L50</f>
        <v/>
      </c>
      <c r="O50" s="1627">
        <f>+R49</f>
        <v/>
      </c>
      <c r="P50" s="1627">
        <f>'Daily exchange'!C33</f>
        <v/>
      </c>
      <c r="Q50" s="1627">
        <f>+R50-O50-P50</f>
        <v/>
      </c>
      <c r="R50" s="1627">
        <f>(SUMIF(Daily!$3:$3,$B50,Daily!$15:$15)+SUMIF(Daily!$3:$3,$B50,Daily!$17:$17))</f>
        <v/>
      </c>
      <c r="S50" s="1627">
        <f>+$S$2-R50</f>
        <v/>
      </c>
    </row>
    <row r="51" ht="21" customHeight="1">
      <c r="B51" s="1626" t="n">
        <v>45384</v>
      </c>
      <c r="C51" s="1627">
        <f>F50</f>
        <v/>
      </c>
      <c r="D51" s="1627">
        <f>'Daily exchange'!I34</f>
        <v/>
      </c>
      <c r="E51" s="1627">
        <f>+F51-C51-D51</f>
        <v/>
      </c>
      <c r="F51" s="1627">
        <f>(SUMIF(Daily!$3:$3,$B51,Daily!$23:$23)+SUMIF(Daily!$3:$3,$B51,Daily!$25:$25))*'Cash in bank report'!$E$2/'Cash in bank report'!$E$4</f>
        <v/>
      </c>
      <c r="G51" s="1627">
        <f>+$G$2-F51</f>
        <v/>
      </c>
      <c r="I51" s="1627">
        <f>L50</f>
        <v/>
      </c>
      <c r="J51" s="1627">
        <f>'Daily exchange'!F35</f>
        <v/>
      </c>
      <c r="K51" s="1627">
        <f>+L51-I51-J51</f>
        <v/>
      </c>
      <c r="L51" s="1627">
        <f>(SUMIF(Daily!$3:$3,$B51,Daily!$19:$19)+SUMIF(Daily!$3:$3,$B51,Daily!$21:$21))*'Cash in bank report'!$E$2/'Cash in bank report'!$E$3</f>
        <v/>
      </c>
      <c r="M51" s="1627">
        <f>+$M$2-L51</f>
        <v/>
      </c>
      <c r="O51" s="1627">
        <f>+R50</f>
        <v/>
      </c>
      <c r="P51" s="1627">
        <f>'Daily exchange'!C34</f>
        <v/>
      </c>
      <c r="Q51" s="1627">
        <f>+R51-O51-P51</f>
        <v/>
      </c>
      <c r="R51" s="1627">
        <f>(SUMIF(Daily!$3:$3,$B51,Daily!$15:$15)+SUMIF(Daily!$3:$3,$B51,Daily!$17:$17))</f>
        <v/>
      </c>
      <c r="S51" s="1627">
        <f>+$S$2-R51</f>
        <v/>
      </c>
    </row>
    <row r="52" ht="21" customHeight="1">
      <c r="B52" s="1626" t="n">
        <v>45385</v>
      </c>
      <c r="C52" s="1627">
        <f>F51</f>
        <v/>
      </c>
      <c r="D52" s="1627">
        <f>'Daily exchange'!I35</f>
        <v/>
      </c>
      <c r="E52" s="1627">
        <f>+F52-C52-D52</f>
        <v/>
      </c>
      <c r="F52" s="1627">
        <f>(SUMIF(Daily!$3:$3,$B52,Daily!$23:$23)+SUMIF(Daily!$3:$3,$B52,Daily!$25:$25))*'Cash in bank report'!$E$2/'Cash in bank report'!$E$4</f>
        <v/>
      </c>
      <c r="G52" s="1627">
        <f>+$G$2-F52</f>
        <v/>
      </c>
      <c r="I52" s="1627">
        <f>L51</f>
        <v/>
      </c>
      <c r="J52" s="1627">
        <f>'Daily exchange'!F36</f>
        <v/>
      </c>
      <c r="K52" s="1627">
        <f>+L52-I52-J52</f>
        <v/>
      </c>
      <c r="L52" s="1627">
        <f>(SUMIF(Daily!$3:$3,$B52,Daily!$19:$19)+SUMIF(Daily!$3:$3,$B52,Daily!$21:$21))*'Cash in bank report'!$E$2/'Cash in bank report'!$E$3</f>
        <v/>
      </c>
      <c r="M52" s="1627">
        <f>+$M$2-L52</f>
        <v/>
      </c>
      <c r="O52" s="1627">
        <f>+R51</f>
        <v/>
      </c>
      <c r="P52" s="1627">
        <f>'Daily exchange'!C35</f>
        <v/>
      </c>
      <c r="Q52" s="1627">
        <f>+R52-O52-P52</f>
        <v/>
      </c>
      <c r="R52" s="1627">
        <f>(SUMIF(Daily!$3:$3,$B52,Daily!$15:$15)+SUMIF(Daily!$3:$3,$B52,Daily!$17:$17))</f>
        <v/>
      </c>
      <c r="S52" s="1627">
        <f>+$S$2-R52</f>
        <v/>
      </c>
    </row>
    <row r="53" ht="21" customHeight="1">
      <c r="B53" s="1626" t="n">
        <v>45392</v>
      </c>
      <c r="C53" s="1627">
        <f>F52</f>
        <v/>
      </c>
      <c r="D53" s="1627">
        <f>'Daily exchange'!I36</f>
        <v/>
      </c>
      <c r="E53" s="1627">
        <f>+F53-C53-D53</f>
        <v/>
      </c>
      <c r="F53" s="1627">
        <f>(SUMIF(Daily!$3:$3,$B53,Daily!$23:$23)+SUMIF(Daily!$3:$3,$B53,Daily!$25:$25))*'Cash in bank report'!$E$2/'Cash in bank report'!$E$4</f>
        <v/>
      </c>
      <c r="G53" s="1627">
        <f>+$G$2-F53</f>
        <v/>
      </c>
      <c r="I53" s="1627">
        <f>L52</f>
        <v/>
      </c>
      <c r="J53" s="1627">
        <f>'Daily exchange'!F37</f>
        <v/>
      </c>
      <c r="K53" s="1627">
        <f>+L53-I53-J53</f>
        <v/>
      </c>
      <c r="L53" s="1627">
        <f>(SUMIF(Daily!$3:$3,$B53,Daily!$19:$19)+SUMIF(Daily!$3:$3,$B53,Daily!$21:$21))*'Cash in bank report'!$E$2/'Cash in bank report'!$E$3</f>
        <v/>
      </c>
      <c r="M53" s="1627">
        <f>+$M$2-L53</f>
        <v/>
      </c>
      <c r="O53" s="1627">
        <f>+R52</f>
        <v/>
      </c>
      <c r="P53" s="1627">
        <f>'Daily exchange'!C36</f>
        <v/>
      </c>
      <c r="Q53" s="1627">
        <f>+R53-O53-P53</f>
        <v/>
      </c>
      <c r="R53" s="1627">
        <f>(SUMIF(Daily!$3:$3,$B53,Daily!$15:$15)+SUMIF(Daily!$3:$3,$B53,Daily!$17:$17))</f>
        <v/>
      </c>
      <c r="S53" s="1627">
        <f>+$S$2-R53</f>
        <v/>
      </c>
    </row>
    <row r="54" ht="21" customHeight="1">
      <c r="B54" s="1626" t="n">
        <v>45433</v>
      </c>
      <c r="C54" s="1627">
        <f>F53</f>
        <v/>
      </c>
      <c r="D54" s="1627">
        <f>'Daily exchange'!I37</f>
        <v/>
      </c>
      <c r="E54" s="1627">
        <f>+F54-C54-D54</f>
        <v/>
      </c>
      <c r="F54" s="1627">
        <f>(SUMIF(Daily!$3:$3,$B54,Daily!$23:$23)+SUMIF(Daily!$3:$3,$B54,Daily!$25:$25))*'Cash in bank report'!$E$2/'Cash in bank report'!$E$4</f>
        <v/>
      </c>
      <c r="G54" s="1627">
        <f>+$G$2-F54</f>
        <v/>
      </c>
      <c r="I54" s="1627">
        <f>L53</f>
        <v/>
      </c>
      <c r="J54" s="1627">
        <f>'Daily exchange'!F38</f>
        <v/>
      </c>
      <c r="K54" s="1627">
        <f>+L54-I54-J54</f>
        <v/>
      </c>
      <c r="L54" s="1627">
        <f>(SUMIF(Daily!$3:$3,$B54,Daily!$19:$19)+SUMIF(Daily!$3:$3,$B54,Daily!$21:$21))*'Cash in bank report'!$E$2/'Cash in bank report'!$E$3</f>
        <v/>
      </c>
      <c r="M54" s="1627">
        <f>+$M$2-L54</f>
        <v/>
      </c>
      <c r="O54" s="1627">
        <f>+R53</f>
        <v/>
      </c>
      <c r="P54" s="1627">
        <f>'Daily exchange'!C37</f>
        <v/>
      </c>
      <c r="Q54" s="1627">
        <f>+R54-O54-P54</f>
        <v/>
      </c>
      <c r="R54" s="1627">
        <f>(SUMIF(Daily!$3:$3,$B54,Daily!$15:$15)+SUMIF(Daily!$3:$3,$B54,Daily!$17:$17))</f>
        <v/>
      </c>
      <c r="S54" s="1627">
        <f>+$S$2-R54</f>
        <v/>
      </c>
    </row>
    <row r="55" ht="21" customHeight="1">
      <c r="B55" s="1626" t="n">
        <v>45625</v>
      </c>
      <c r="C55" s="1627">
        <f>F54</f>
        <v/>
      </c>
      <c r="D55" s="1627">
        <f>'Daily exchange'!I38+'Daily exchange'!I39</f>
        <v/>
      </c>
      <c r="E55" s="1627">
        <f>+F55-C55-D55</f>
        <v/>
      </c>
      <c r="F55" s="1627">
        <f>(SUMIF(Daily!$3:$3,$B55,Daily!$23:$23)+SUMIF(Daily!$3:$3,$B55,Daily!$25:$25))*'Cash in bank report'!$E$2/'Cash in bank report'!$E$4</f>
        <v/>
      </c>
      <c r="G55" s="1627">
        <f>+$G$2-F55</f>
        <v/>
      </c>
      <c r="I55" s="1627">
        <f>L54</f>
        <v/>
      </c>
      <c r="J55" s="1627">
        <f>'Daily exchange'!F39</f>
        <v/>
      </c>
      <c r="K55" s="1627">
        <f>+L55-I55-J55</f>
        <v/>
      </c>
      <c r="L55" s="1627">
        <f>(SUMIF(Daily!$3:$3,$B55,Daily!$19:$19)+SUMIF(Daily!$3:$3,$B55,Daily!$21:$21))*'Cash in bank report'!$E$2/'Cash in bank report'!$E$3</f>
        <v/>
      </c>
      <c r="M55" s="1627">
        <f>+$M$2-L55</f>
        <v/>
      </c>
      <c r="O55" s="1627">
        <f>+R54</f>
        <v/>
      </c>
      <c r="P55" s="1627">
        <f>'Daily exchange'!C38</f>
        <v/>
      </c>
      <c r="Q55" s="1627">
        <f>+R55-O55-P55</f>
        <v/>
      </c>
      <c r="R55" s="1627">
        <f>(SUMIF(Daily!$3:$3,$B55,Daily!$15:$15)+SUMIF(Daily!$3:$3,$B55,Daily!$17:$17))</f>
        <v/>
      </c>
      <c r="S55" s="1627">
        <f>+$S$2-R55</f>
        <v/>
      </c>
    </row>
    <row r="56" ht="21" customHeight="1">
      <c r="B56" s="1626" t="n">
        <v>45642</v>
      </c>
      <c r="C56" s="1627">
        <f>F55</f>
        <v/>
      </c>
      <c r="D56" s="1627">
        <f>'Daily exchange'!I40</f>
        <v/>
      </c>
      <c r="E56" s="1627">
        <f>+F56-C56-D56</f>
        <v/>
      </c>
      <c r="F56" s="1627">
        <f>(SUMIF(Daily!$3:$3,$B56,Daily!$23:$23)+SUMIF(Daily!$3:$3,$B56,Daily!$25:$25))*'Cash in bank report'!$E$2/'Cash in bank report'!$E$4</f>
        <v/>
      </c>
      <c r="G56" s="1627">
        <f>+$G$2-F56</f>
        <v/>
      </c>
      <c r="I56" s="1627">
        <f>L55</f>
        <v/>
      </c>
      <c r="J56" s="1627">
        <f>'Daily exchange'!F40</f>
        <v/>
      </c>
      <c r="K56" s="1627">
        <f>+L56-I56-J56</f>
        <v/>
      </c>
      <c r="L56" s="1627">
        <f>(SUMIF(Daily!$3:$3,$B56,Daily!$19:$19)+SUMIF(Daily!$3:$3,$B56,Daily!$21:$21))*'Cash in bank report'!$E$2/'Cash in bank report'!$E$3</f>
        <v/>
      </c>
      <c r="M56" s="1627">
        <f>+$M$2-L56</f>
        <v/>
      </c>
      <c r="O56" s="1627">
        <f>+R55</f>
        <v/>
      </c>
      <c r="P56" s="1627">
        <f>'Daily exchange'!C39</f>
        <v/>
      </c>
      <c r="Q56" s="1627">
        <f>+R56-O56-P56</f>
        <v/>
      </c>
      <c r="R56" s="1627">
        <f>(SUMIF(Daily!$3:$3,$B56,Daily!$15:$15)+SUMIF(Daily!$3:$3,$B56,Daily!$17:$17))</f>
        <v/>
      </c>
      <c r="S56" s="1627">
        <f>+$S$2-R56</f>
        <v/>
      </c>
    </row>
    <row r="57" ht="21" customHeight="1">
      <c r="B57" s="1626" t="n">
        <v>45666</v>
      </c>
      <c r="C57" s="1627">
        <f>F56</f>
        <v/>
      </c>
      <c r="D57" s="1627">
        <f>'Daily exchange'!I42+'Daily exchange'!I41</f>
        <v/>
      </c>
      <c r="E57" s="1627">
        <f>+F57-C57-D57</f>
        <v/>
      </c>
      <c r="F57" s="1627">
        <f>(SUMIF(Daily!$3:$3,$B57,Daily!$23:$23)+SUMIF(Daily!$3:$3,$B57,Daily!$25:$25))*'Cash in bank report'!$E$2/'Cash in bank report'!$E$4</f>
        <v/>
      </c>
      <c r="G57" s="1627">
        <f>+$G$2-F57</f>
        <v/>
      </c>
      <c r="I57" s="1627">
        <f>L56</f>
        <v/>
      </c>
      <c r="J57" s="1627">
        <f>'Daily exchange'!F42</f>
        <v/>
      </c>
      <c r="K57" s="1627">
        <f>+L57-I57-J57</f>
        <v/>
      </c>
      <c r="L57" s="1627">
        <f>(SUMIF(Daily!$3:$3,$B57,Daily!$19:$19)+SUMIF(Daily!$3:$3,$B57,Daily!$21:$21))*'Cash in bank report'!$E$2/'Cash in bank report'!$E$3</f>
        <v/>
      </c>
      <c r="M57" s="1627">
        <f>+$M$2-L57</f>
        <v/>
      </c>
      <c r="O57" s="1627">
        <f>+R56</f>
        <v/>
      </c>
      <c r="P57" s="1627">
        <f>'Daily exchange'!C40</f>
        <v/>
      </c>
      <c r="Q57" s="1627">
        <f>+R57-O57-P57</f>
        <v/>
      </c>
      <c r="R57" s="1627">
        <f>(SUMIF(Daily!$3:$3,$B57,Daily!$15:$15)+SUMIF(Daily!$3:$3,$B57,Daily!$17:$17))</f>
        <v/>
      </c>
      <c r="S57" s="1627">
        <f>+$S$2-R57</f>
        <v/>
      </c>
    </row>
    <row r="58" ht="21" customHeight="1">
      <c r="B58" s="1626" t="n">
        <v>45695</v>
      </c>
      <c r="C58" s="1627">
        <f>F57</f>
        <v/>
      </c>
      <c r="D58" s="1627">
        <f>'Daily exchange'!I44+'Daily exchange'!I43</f>
        <v/>
      </c>
      <c r="E58" s="1627">
        <f>+F58-C58-D58</f>
        <v/>
      </c>
      <c r="F58" s="1627">
        <f>(SUMIF(Daily!$3:$3,$B58,Daily!$23:$23)+SUMIF(Daily!$3:$3,$B58,Daily!$25:$25))*'Cash in bank report'!$E$2/'Cash in bank report'!$E$4</f>
        <v/>
      </c>
      <c r="G58" s="1627">
        <f>+$G$2-F58</f>
        <v/>
      </c>
      <c r="I58" s="1627">
        <f>L57</f>
        <v/>
      </c>
      <c r="J58" s="1627">
        <f>'Daily exchange'!F44</f>
        <v/>
      </c>
      <c r="K58" s="1627">
        <f>+L58-I58-J58</f>
        <v/>
      </c>
      <c r="L58" s="1627">
        <f>(SUMIF(Daily!$3:$3,$B58,Daily!$19:$19)+SUMIF(Daily!$3:$3,$B58,Daily!$21:$21))*'Cash in bank report'!$E$2/'Cash in bank report'!$E$3</f>
        <v/>
      </c>
      <c r="M58" s="1627">
        <f>+$M$2-L58</f>
        <v/>
      </c>
      <c r="O58" s="1627">
        <f>+R57</f>
        <v/>
      </c>
      <c r="P58" s="1627">
        <f>'Daily exchange'!C42</f>
        <v/>
      </c>
      <c r="Q58" s="1627">
        <f>+R58-O58-P58</f>
        <v/>
      </c>
      <c r="R58" s="1627">
        <f>(SUMIF(Daily!$3:$3,$B58,Daily!$15:$15)+SUMIF(Daily!$3:$3,$B58,Daily!$17:$17))</f>
        <v/>
      </c>
      <c r="S58" s="1627">
        <f>+$S$2-R58</f>
        <v/>
      </c>
    </row>
    <row r="59" ht="21" customHeight="1">
      <c r="B59" s="1626" t="n">
        <v>45702</v>
      </c>
      <c r="C59" s="1627">
        <f>F58</f>
        <v/>
      </c>
      <c r="D59" s="1627">
        <f>'Daily exchange'!I44</f>
        <v/>
      </c>
      <c r="E59" s="1627">
        <f>+F59-C59-D59</f>
        <v/>
      </c>
      <c r="F59" s="1627">
        <f>(SUMIF(Daily!$3:$3,$B59,Daily!$23:$23)+SUMIF(Daily!$3:$3,$B59,Daily!$25:$25))*'Cash in bank report'!$E$2/'Cash in bank report'!$E$4</f>
        <v/>
      </c>
      <c r="G59" s="1627">
        <f>+$G$2-F59</f>
        <v/>
      </c>
      <c r="I59" s="1627">
        <f>L58</f>
        <v/>
      </c>
      <c r="J59" s="1627">
        <f>'Daily exchange'!F45</f>
        <v/>
      </c>
      <c r="K59" s="1627">
        <f>+L59-I59-J59</f>
        <v/>
      </c>
      <c r="L59" s="1627">
        <f>(SUMIF(Daily!$3:$3,$B59,Daily!$19:$19)+SUMIF(Daily!$3:$3,$B59,Daily!$21:$21))*'Cash in bank report'!$E$2/'Cash in bank report'!$E$3</f>
        <v/>
      </c>
      <c r="M59" s="1627">
        <f>+$M$2-L59</f>
        <v/>
      </c>
      <c r="O59" s="1627">
        <f>+R58</f>
        <v/>
      </c>
      <c r="P59" s="1627">
        <f>'Daily exchange'!C43</f>
        <v/>
      </c>
      <c r="Q59" s="1627">
        <f>+R59-O59-P59</f>
        <v/>
      </c>
      <c r="R59" s="1627">
        <f>(SUMIF(Daily!$3:$3,$B59,Daily!$15:$15)+SUMIF(Daily!$3:$3,$B59,Daily!$17:$17))</f>
        <v/>
      </c>
      <c r="S59" s="1627">
        <f>+$S$2-R59</f>
        <v/>
      </c>
    </row>
    <row r="60" ht="21" customHeight="1">
      <c r="B60" s="1626" t="n">
        <v>45706</v>
      </c>
      <c r="C60" s="1627">
        <f>F59</f>
        <v/>
      </c>
      <c r="D60" s="1627">
        <f>'Daily exchange'!I45</f>
        <v/>
      </c>
      <c r="E60" s="1627">
        <f>+F60-C60-D60</f>
        <v/>
      </c>
      <c r="F60" s="1627">
        <f>(SUMIF(Daily!$3:$3,$B60,Daily!$23:$23)+SUMIF(Daily!$3:$3,$B60,Daily!$25:$25))*'Cash in bank report'!$E$2/'Cash in bank report'!$E$4</f>
        <v/>
      </c>
      <c r="G60" s="1627">
        <f>+$G$2-F60</f>
        <v/>
      </c>
      <c r="I60" s="1627">
        <f>L59</f>
        <v/>
      </c>
      <c r="J60" s="1627">
        <f>'Daily exchange'!F46</f>
        <v/>
      </c>
      <c r="K60" s="1627">
        <f>+L60-I60-J60</f>
        <v/>
      </c>
      <c r="L60" s="1627">
        <f>(SUMIF(Daily!$3:$3,$B60,Daily!$19:$19)+SUMIF(Daily!$3:$3,$B60,Daily!$21:$21))*'Cash in bank report'!$E$2/'Cash in bank report'!$E$3</f>
        <v/>
      </c>
      <c r="M60" s="1627">
        <f>+$M$2-L60</f>
        <v/>
      </c>
      <c r="O60" s="1627">
        <f>+R59</f>
        <v/>
      </c>
      <c r="P60" s="1627">
        <f>'Daily exchange'!C44</f>
        <v/>
      </c>
      <c r="Q60" s="1627">
        <f>+R60-O60-P60</f>
        <v/>
      </c>
      <c r="R60" s="1627">
        <f>(SUMIF(Daily!$3:$3,$B60,Daily!$15:$15)+SUMIF(Daily!$3:$3,$B60,Daily!$17:$17))</f>
        <v/>
      </c>
      <c r="S60" s="1627">
        <f>+$S$2-R60</f>
        <v/>
      </c>
    </row>
    <row r="61" ht="21" customHeight="1">
      <c r="B61" s="1626" t="n">
        <v>45708</v>
      </c>
      <c r="C61" s="1627">
        <f>F60</f>
        <v/>
      </c>
      <c r="D61" s="1627" t="n"/>
      <c r="E61" s="1627">
        <f>+F61-C61-D61</f>
        <v/>
      </c>
      <c r="F61" s="1627">
        <f>(SUMIF(Daily!$3:$3,$B61,Daily!$23:$23)+SUMIF(Daily!$3:$3,$B61,Daily!$25:$25))*'Cash in bank report'!$E$2/'Cash in bank report'!$E$4</f>
        <v/>
      </c>
      <c r="G61" s="1627">
        <f>+$G$2-F61</f>
        <v/>
      </c>
      <c r="I61" s="1627">
        <f>L60</f>
        <v/>
      </c>
      <c r="J61" s="1627">
        <f>'Daily exchange'!F47</f>
        <v/>
      </c>
      <c r="K61" s="1627">
        <f>+L61-I61-J61</f>
        <v/>
      </c>
      <c r="L61" s="1627">
        <f>(SUMIF(Daily!$3:$3,$B61,Daily!$19:$19)+SUMIF(Daily!$3:$3,$B61,Daily!$21:$21))*'Cash in bank report'!$E$2/'Cash in bank report'!$E$3</f>
        <v/>
      </c>
      <c r="M61" s="1627">
        <f>+$M$2-L61</f>
        <v/>
      </c>
      <c r="O61" s="1627">
        <f>+R60</f>
        <v/>
      </c>
      <c r="P61" s="1627">
        <f>'Daily exchange'!C45</f>
        <v/>
      </c>
      <c r="Q61" s="1627">
        <f>+R61-O61-P61</f>
        <v/>
      </c>
      <c r="R61" s="1627">
        <f>(SUMIF(Daily!$3:$3,$B61,Daily!$15:$15)+SUMIF(Daily!$3:$3,$B61,Daily!$17:$17))</f>
        <v/>
      </c>
      <c r="S61" s="1627">
        <f>+$S$2-R61</f>
        <v/>
      </c>
    </row>
    <row r="62" ht="21" customHeight="1">
      <c r="B62" s="1626" t="n">
        <v>45727</v>
      </c>
      <c r="C62" s="1627">
        <f>F61</f>
        <v/>
      </c>
      <c r="D62" s="1627">
        <f>'Daily exchange'!I46</f>
        <v/>
      </c>
      <c r="E62" s="1627">
        <f>+F62-C62-D62</f>
        <v/>
      </c>
      <c r="F62" s="1627">
        <f>(SUMIF(Daily!$3:$3,$B62,Daily!$23:$23)+SUMIF(Daily!$3:$3,$B62,Daily!$25:$25))*'Cash in bank report'!$E$2/'Cash in bank report'!$E$4</f>
        <v/>
      </c>
      <c r="G62" s="1627">
        <f>+$G$2-F62</f>
        <v/>
      </c>
      <c r="I62" s="1627">
        <f>L61</f>
        <v/>
      </c>
      <c r="J62" s="1627">
        <f>'Daily exchange'!F46</f>
        <v/>
      </c>
      <c r="K62" s="1627">
        <f>+L62-I62-J62</f>
        <v/>
      </c>
      <c r="L62" s="1627">
        <f>(SUMIF(Daily!$3:$3,$B62,Daily!$19:$19)+SUMIF(Daily!$3:$3,$B62,Daily!$21:$21))*'Cash in bank report'!$E$2/'Cash in bank report'!$E$3</f>
        <v/>
      </c>
      <c r="M62" s="1627">
        <f>+$M$2-L62</f>
        <v/>
      </c>
      <c r="O62" s="1627">
        <f>+R61</f>
        <v/>
      </c>
      <c r="P62" s="1627">
        <f>'Daily exchange'!C46</f>
        <v/>
      </c>
      <c r="Q62" s="1627">
        <f>+R62-O62-P62</f>
        <v/>
      </c>
      <c r="R62" s="1627">
        <f>(SUMIF(Daily!$3:$3,$B62,Daily!$15:$15)+SUMIF(Daily!$3:$3,$B62,Daily!$17:$17))</f>
        <v/>
      </c>
      <c r="S62" s="1627">
        <f>+$S$2-R62</f>
        <v/>
      </c>
    </row>
    <row r="63" ht="21" customHeight="1">
      <c r="B63" s="1626" t="n">
        <v>45748</v>
      </c>
      <c r="C63" s="1627">
        <f>F62</f>
        <v/>
      </c>
      <c r="D63" s="1627">
        <f>'Daily exchange'!I47</f>
        <v/>
      </c>
      <c r="E63" s="1627">
        <f>+F63-C63-D63</f>
        <v/>
      </c>
      <c r="F63" s="1627">
        <f>(SUMIF(Daily!$3:$3,$B63,Daily!$23:$23)+SUMIF(Daily!$3:$3,$B63,Daily!$25:$25))*'Cash in bank report'!$E$2/'Cash in bank report'!$E$4</f>
        <v/>
      </c>
      <c r="G63" s="1627">
        <f>+$G$2-F63</f>
        <v/>
      </c>
      <c r="I63" s="1627">
        <f>L62</f>
        <v/>
      </c>
      <c r="J63" s="1627">
        <f>'Daily exchange'!F47</f>
        <v/>
      </c>
      <c r="K63" s="1627">
        <f>+L63-I63-J63</f>
        <v/>
      </c>
      <c r="L63" s="1627">
        <f>(SUMIF(Daily!$3:$3,$B63,Daily!$19:$19)+SUMIF(Daily!$3:$3,$B63,Daily!$21:$21))*'Cash in bank report'!$E$2/'Cash in bank report'!$E$3</f>
        <v/>
      </c>
      <c r="M63" s="1627">
        <f>+$M$2-L63</f>
        <v/>
      </c>
      <c r="O63" s="1627">
        <f>+R62</f>
        <v/>
      </c>
      <c r="P63" s="1627">
        <f>'Daily exchange'!C47</f>
        <v/>
      </c>
      <c r="Q63" s="1627">
        <f>+R63-O63-P63</f>
        <v/>
      </c>
      <c r="R63" s="1627">
        <f>(SUMIF(Daily!$3:$3,$B63,Daily!$15:$15)+SUMIF(Daily!$3:$3,$B63,Daily!$17:$17))</f>
        <v/>
      </c>
      <c r="S63" s="1627">
        <f>+$S$2-R63</f>
        <v/>
      </c>
    </row>
    <row r="64" ht="21" customHeight="1">
      <c r="B64" s="1626" t="n">
        <v>45761</v>
      </c>
      <c r="C64" s="1627">
        <f>F63</f>
        <v/>
      </c>
      <c r="D64" s="1627">
        <f>'Daily exchange'!I48</f>
        <v/>
      </c>
      <c r="E64" s="1627">
        <f>+F64-C64-D64</f>
        <v/>
      </c>
      <c r="F64" s="1627">
        <f>(SUMIF(Daily!$3:$3,$B64,Daily!$23:$23)+SUMIF(Daily!$3:$3,$B64,Daily!$25:$25))*'Cash in bank report'!$E$2/'Cash in bank report'!$E$4</f>
        <v/>
      </c>
      <c r="G64" s="1627">
        <f>+$G$2-F64</f>
        <v/>
      </c>
      <c r="I64" s="1627">
        <f>L63</f>
        <v/>
      </c>
      <c r="J64" s="1627">
        <f>'Daily exchange'!F48</f>
        <v/>
      </c>
      <c r="K64" s="1627">
        <f>+L64-I64-J64</f>
        <v/>
      </c>
      <c r="L64" s="1627">
        <f>(SUMIF(Daily!$3:$3,$B64,Daily!$19:$19)+SUMIF(Daily!$3:$3,$B64,Daily!$21:$21))*'Cash in bank report'!$E$2/'Cash in bank report'!$E$3</f>
        <v/>
      </c>
      <c r="M64" s="1627">
        <f>+$M$2-L64</f>
        <v/>
      </c>
      <c r="O64" s="1627">
        <f>+R63</f>
        <v/>
      </c>
      <c r="P64" s="1627">
        <f>'Daily exchange'!C48</f>
        <v/>
      </c>
      <c r="Q64" s="1627">
        <f>+R64-O64-P64</f>
        <v/>
      </c>
      <c r="R64" s="1627">
        <f>(SUMIF(Daily!$3:$3,$B64,Daily!$15:$15)+SUMIF(Daily!$3:$3,$B64,Daily!$17:$17))</f>
        <v/>
      </c>
      <c r="S64" s="1627">
        <f>+$S$2-R64</f>
        <v/>
      </c>
    </row>
    <row r="65" ht="21" customHeight="1">
      <c r="B65" s="1626" t="n">
        <v>45783</v>
      </c>
      <c r="C65" s="1627">
        <f>F64</f>
        <v/>
      </c>
      <c r="D65" s="1627">
        <f>'Daily exchange'!I49</f>
        <v/>
      </c>
      <c r="E65" s="1627">
        <f>+F65-C65-D65</f>
        <v/>
      </c>
      <c r="F65" s="1627">
        <f>(SUMIF(Daily!$3:$3,$B65,Daily!$23:$23)+SUMIF(Daily!$3:$3,$B65,Daily!$25:$25))*'Cash in bank report'!$E$2/'Cash in bank report'!$E$4</f>
        <v/>
      </c>
      <c r="G65" s="1627">
        <f>+$G$2-F65</f>
        <v/>
      </c>
      <c r="I65" s="1627">
        <f>L64</f>
        <v/>
      </c>
      <c r="J65" s="1627">
        <f>'Daily exchange'!F49</f>
        <v/>
      </c>
      <c r="K65" s="1627">
        <f>+L65-I65-J65</f>
        <v/>
      </c>
      <c r="L65" s="1627">
        <f>(SUMIF(Daily!$3:$3,$B65,Daily!$19:$19)+SUMIF(Daily!$3:$3,$B65,Daily!$21:$21))*'Cash in bank report'!$E$2/'Cash in bank report'!$E$3</f>
        <v/>
      </c>
      <c r="M65" s="1627">
        <f>+$M$2-L65</f>
        <v/>
      </c>
      <c r="O65" s="1627">
        <f>+R64</f>
        <v/>
      </c>
      <c r="P65" s="1627">
        <f>'Daily exchange'!C49</f>
        <v/>
      </c>
      <c r="Q65" s="1627">
        <f>+R65-O65-P65</f>
        <v/>
      </c>
      <c r="R65" s="1627">
        <f>(SUMIF(Daily!$3:$3,$B65,Daily!$15:$15)+SUMIF(Daily!$3:$3,$B65,Daily!$17:$17))</f>
        <v/>
      </c>
      <c r="S65" s="1627">
        <f>+$S$2-R65</f>
        <v/>
      </c>
    </row>
    <row r="66" ht="21" customHeight="1">
      <c r="B66" s="1626" t="n">
        <v>45784</v>
      </c>
      <c r="C66" s="1627">
        <f>F65</f>
        <v/>
      </c>
      <c r="D66" s="1627">
        <f>'Daily exchange'!I50</f>
        <v/>
      </c>
      <c r="E66" s="1627">
        <f>+F66-C66-D66</f>
        <v/>
      </c>
      <c r="F66" s="1627">
        <f>(SUMIF(Daily!$3:$3,$B66,Daily!$23:$23)+SUMIF(Daily!$3:$3,$B66,Daily!$25:$25))*'Cash in bank report'!$E$2/'Cash in bank report'!$E$4</f>
        <v/>
      </c>
      <c r="G66" s="1627">
        <f>+$G$2-F66</f>
        <v/>
      </c>
      <c r="I66" s="1627">
        <f>L65</f>
        <v/>
      </c>
      <c r="J66" s="1627">
        <f>'Daily exchange'!F50</f>
        <v/>
      </c>
      <c r="K66" s="1627">
        <f>+L66-I66-J66</f>
        <v/>
      </c>
      <c r="L66" s="1627">
        <f>(SUMIF(Daily!$3:$3,$B66,Daily!$19:$19)+SUMIF(Daily!$3:$3,$B66,Daily!$21:$21))*'Cash in bank report'!$E$2/'Cash in bank report'!$E$3</f>
        <v/>
      </c>
      <c r="M66" s="1627">
        <f>+$M$2-L66</f>
        <v/>
      </c>
      <c r="O66" s="1627">
        <f>+R65</f>
        <v/>
      </c>
      <c r="P66" s="1627">
        <f>'Daily exchange'!C50</f>
        <v/>
      </c>
      <c r="Q66" s="1627">
        <f>+R66-O66-P66</f>
        <v/>
      </c>
      <c r="R66" s="1627">
        <f>(SUMIF(Daily!$3:$3,$B66,Daily!$15:$15)+SUMIF(Daily!$3:$3,$B66,Daily!$17:$17))</f>
        <v/>
      </c>
      <c r="S66" s="1627">
        <f>+$S$2-R66</f>
        <v/>
      </c>
    </row>
  </sheetData>
  <mergeCells count="3">
    <mergeCell ref="C2:E2"/>
    <mergeCell ref="O2:Q2"/>
    <mergeCell ref="I2:K2"/>
  </mergeCells>
  <printOptions horizontalCentered="1"/>
  <pageMargins left="0.2" right="0.2" top="0.75" bottom="0.75" header="0.3" footer="0.3"/>
  <pageSetup orientation="landscape" scale="35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B2:T23"/>
  <sheetViews>
    <sheetView showGridLines="0" showZeros="0" zoomScaleNormal="100" workbookViewId="0">
      <selection activeCell="A1" sqref="A1:XFD1048576"/>
    </sheetView>
  </sheetViews>
  <sheetFormatPr baseColWidth="8" defaultColWidth="9.21875" defaultRowHeight="14.4"/>
  <cols>
    <col width="3.77734375" customWidth="1" style="763" min="1" max="1"/>
    <col width="12.21875" customWidth="1" style="131" min="2" max="3"/>
    <col width="12.21875" customWidth="1" style="763" min="4" max="13"/>
    <col width="12.77734375" customWidth="1" style="763" min="14" max="15"/>
    <col width="9.21875" customWidth="1" style="763" min="16" max="19"/>
    <col width="9.21875" customWidth="1" style="131" min="20" max="16384"/>
  </cols>
  <sheetData>
    <row r="2">
      <c r="D2" s="131" t="n"/>
      <c r="E2" s="131" t="n"/>
      <c r="F2" s="131" t="n"/>
      <c r="G2" s="131" t="n"/>
      <c r="H2" s="131" t="n"/>
      <c r="I2" s="131" t="n"/>
      <c r="J2" s="131" t="n"/>
      <c r="K2" s="131" t="n"/>
      <c r="L2" s="131" t="n"/>
    </row>
    <row r="3" ht="32.25" customHeight="1">
      <c r="B3" s="783" t="inlineStr">
        <is>
          <t>Unit : Million</t>
        </is>
      </c>
      <c r="C3" s="1425" t="n"/>
      <c r="D3" s="783" t="inlineStr">
        <is>
          <t>Hard currency</t>
        </is>
      </c>
      <c r="E3" s="1424" t="n"/>
      <c r="F3" s="1425" t="n"/>
      <c r="G3" s="783" t="inlineStr">
        <is>
          <t>Equivalent to M.USD</t>
        </is>
      </c>
      <c r="H3" s="1424" t="n"/>
      <c r="I3" s="1425" t="n"/>
      <c r="J3" s="783" t="inlineStr">
        <is>
          <t>Equivalent to M.RUB</t>
        </is>
      </c>
      <c r="K3" s="1424" t="n"/>
      <c r="L3" s="1425" t="n"/>
    </row>
    <row r="4" ht="18.75" customHeight="1">
      <c r="B4" s="781">
        <f>+'Cash in bank report'!B2</f>
        <v/>
      </c>
      <c r="C4" s="782" t="n"/>
      <c r="D4" s="764" t="inlineStr">
        <is>
          <t>On hand</t>
        </is>
      </c>
      <c r="E4" s="765" t="inlineStr">
        <is>
          <t>Target</t>
        </is>
      </c>
      <c r="F4" s="765" t="inlineStr">
        <is>
          <t>Needed</t>
        </is>
      </c>
      <c r="G4" s="764">
        <f>+D4</f>
        <v/>
      </c>
      <c r="H4" s="765">
        <f>+E4</f>
        <v/>
      </c>
      <c r="I4" s="766">
        <f>+F4</f>
        <v/>
      </c>
      <c r="J4" s="764">
        <f>+G4</f>
        <v/>
      </c>
      <c r="K4" s="765">
        <f>+H4</f>
        <v/>
      </c>
      <c r="L4" s="766">
        <f>+I4</f>
        <v/>
      </c>
      <c r="M4" s="773" t="n"/>
      <c r="N4" s="1629" t="n"/>
      <c r="O4" s="1629" t="n"/>
      <c r="P4" s="1629" t="n"/>
      <c r="Q4" s="1629" t="n"/>
      <c r="R4" s="1629" t="n"/>
      <c r="S4" s="1629" t="n"/>
      <c r="T4" s="1629" t="n"/>
    </row>
    <row r="5" ht="18.75" customHeight="1">
      <c r="B5" s="851" t="inlineStr">
        <is>
          <t>USD</t>
        </is>
      </c>
      <c r="C5" s="767" t="n"/>
      <c r="D5" s="1630">
        <f>+G5</f>
        <v/>
      </c>
      <c r="E5" s="1629">
        <f>+'Est payment'!G11</f>
        <v/>
      </c>
      <c r="F5" s="1631">
        <f>+D5-E5</f>
        <v/>
      </c>
      <c r="G5" s="1630">
        <f>+'Cash in bank report'!D13</f>
        <v/>
      </c>
      <c r="H5" s="1629">
        <f>+E5</f>
        <v/>
      </c>
      <c r="I5" s="1632">
        <f>+G5-H5</f>
        <v/>
      </c>
      <c r="J5" s="771">
        <f>+G5*$M$5</f>
        <v/>
      </c>
      <c r="K5" s="772">
        <f>+H5*$M$5</f>
        <v/>
      </c>
      <c r="L5" s="864">
        <f>+I5*$M$5</f>
        <v/>
      </c>
      <c r="M5" s="780">
        <f>'Cash in bank report'!E2</f>
        <v/>
      </c>
      <c r="N5" s="763" t="inlineStr">
        <is>
          <t>Ruble / USD</t>
        </is>
      </c>
    </row>
    <row r="6" ht="18.75" customHeight="1">
      <c r="B6" s="852" t="inlineStr">
        <is>
          <t>EUR</t>
        </is>
      </c>
      <c r="C6" s="767" t="n"/>
      <c r="D6" s="1630">
        <f>+G6*M5/M6</f>
        <v/>
      </c>
      <c r="E6" s="1629">
        <f>+'Est payment'!G21</f>
        <v/>
      </c>
      <c r="F6" s="1631">
        <f>+D6-E6</f>
        <v/>
      </c>
      <c r="G6" s="1630">
        <f>+'Cash in bank report'!D14</f>
        <v/>
      </c>
      <c r="H6" s="1629">
        <f>+E6*M6/M5</f>
        <v/>
      </c>
      <c r="I6" s="1632">
        <f>+G6-H6</f>
        <v/>
      </c>
      <c r="J6" s="771">
        <f>+G6*$M$5</f>
        <v/>
      </c>
      <c r="K6" s="772">
        <f>+H6*$M$5</f>
        <v/>
      </c>
      <c r="L6" s="864">
        <f>+I6*$M$5</f>
        <v/>
      </c>
      <c r="M6" s="780">
        <f>'Cash in bank report'!E3</f>
        <v/>
      </c>
      <c r="N6" s="763" t="inlineStr">
        <is>
          <t>Ruble / EUR</t>
        </is>
      </c>
      <c r="O6" s="1629" t="n"/>
      <c r="P6" s="1629" t="n"/>
      <c r="Q6" s="1629" t="n"/>
      <c r="R6" s="1629" t="n"/>
      <c r="S6" s="1629" t="n"/>
      <c r="T6" s="1629" t="n"/>
    </row>
    <row r="7" ht="18.75" customHeight="1">
      <c r="B7" s="852" t="inlineStr">
        <is>
          <t>CNY</t>
        </is>
      </c>
      <c r="C7" s="767" t="n"/>
      <c r="D7" s="1630">
        <f>+G7/'Cash in bank report'!E4*'Cash in bank report'!E2</f>
        <v/>
      </c>
      <c r="E7" s="1629">
        <f>+'Est payment'!E35</f>
        <v/>
      </c>
      <c r="F7" s="1631">
        <f>+D7-E7</f>
        <v/>
      </c>
      <c r="G7" s="1630">
        <f>+'Cash in bank report'!D15</f>
        <v/>
      </c>
      <c r="H7" s="1629">
        <f>+E7*M7/M5</f>
        <v/>
      </c>
      <c r="I7" s="1632">
        <f>+G7-H7</f>
        <v/>
      </c>
      <c r="J7" s="771">
        <f>+G7*$M$5</f>
        <v/>
      </c>
      <c r="K7" s="772">
        <f>+H7*$M$5</f>
        <v/>
      </c>
      <c r="L7" s="864">
        <f>+I7*$M$5</f>
        <v/>
      </c>
      <c r="M7" s="780">
        <f>'Cash in bank report'!E4</f>
        <v/>
      </c>
      <c r="N7" s="763" t="inlineStr">
        <is>
          <t>Ruble / CNY</t>
        </is>
      </c>
    </row>
    <row r="8" ht="18.75" customHeight="1">
      <c r="B8" s="853" t="inlineStr">
        <is>
          <t>CNY สำรอง</t>
        </is>
      </c>
      <c r="C8" s="774" t="n"/>
      <c r="D8" s="1633" t="n"/>
      <c r="E8" s="1634">
        <f>+'Est payment'!E36</f>
        <v/>
      </c>
      <c r="F8" s="1635">
        <f>+D8-E8</f>
        <v/>
      </c>
      <c r="G8" s="1633" t="n"/>
      <c r="H8" s="1634">
        <f>+E8*M7/M5</f>
        <v/>
      </c>
      <c r="I8" s="1636">
        <f>+G8-H8</f>
        <v/>
      </c>
      <c r="J8" s="778" t="n"/>
      <c r="K8" s="779">
        <f>+H8*M5</f>
        <v/>
      </c>
      <c r="L8" s="865">
        <f>+I8*$M$5</f>
        <v/>
      </c>
    </row>
    <row r="9" ht="18.75" customHeight="1" thickBot="1">
      <c r="J9" s="855" t="inlineStr">
        <is>
          <t>ต้องการแลกเงินเพิ่ม</t>
        </is>
      </c>
      <c r="K9" s="854" t="n"/>
      <c r="L9" s="866">
        <f>SUM(L5:L8)</f>
        <v/>
      </c>
    </row>
    <row r="10" ht="18.75" customHeight="1" thickTop="1">
      <c r="B10" s="131" t="inlineStr">
        <is>
          <t>แผนการซื้อสกุลเงิน Hard currency (หน่วย : ล้าน)</t>
        </is>
      </c>
      <c r="D10" s="131" t="n"/>
      <c r="M10" s="1629" t="n"/>
      <c r="N10" s="1629" t="n"/>
      <c r="O10" s="1629" t="n"/>
      <c r="P10" s="1629" t="n"/>
      <c r="Q10" s="1629" t="n"/>
      <c r="R10" s="1629" t="n"/>
      <c r="S10" s="1629" t="n"/>
      <c r="T10" s="1629" t="n"/>
    </row>
    <row r="11" ht="18.75" customHeight="1">
      <c r="B11" s="783" t="inlineStr">
        <is>
          <t>Month</t>
        </is>
      </c>
      <c r="C11" s="783" t="inlineStr">
        <is>
          <t>March</t>
        </is>
      </c>
      <c r="D11" s="783" t="inlineStr">
        <is>
          <t>April</t>
        </is>
      </c>
      <c r="E11" s="783" t="inlineStr">
        <is>
          <t>May</t>
        </is>
      </c>
      <c r="F11" s="783" t="inlineStr">
        <is>
          <t>June</t>
        </is>
      </c>
      <c r="G11" s="783" t="inlineStr">
        <is>
          <t>July</t>
        </is>
      </c>
      <c r="H11" s="783" t="inlineStr">
        <is>
          <t>August</t>
        </is>
      </c>
      <c r="I11" s="783" t="inlineStr">
        <is>
          <t>September</t>
        </is>
      </c>
      <c r="J11" s="783" t="inlineStr">
        <is>
          <t>October</t>
        </is>
      </c>
      <c r="K11" s="783" t="inlineStr">
        <is>
          <t>November</t>
        </is>
      </c>
      <c r="L11" s="783" t="inlineStr">
        <is>
          <t>December</t>
        </is>
      </c>
      <c r="M11" s="783" t="inlineStr">
        <is>
          <t>Total</t>
        </is>
      </c>
    </row>
    <row r="12" ht="18.75" customHeight="1">
      <c r="B12" s="857">
        <f>+B5</f>
        <v/>
      </c>
      <c r="C12" s="1637" t="n">
        <v>-2</v>
      </c>
      <c r="D12" s="1637" t="n">
        <v>-2</v>
      </c>
      <c r="E12" s="1637" t="n">
        <v>-2</v>
      </c>
      <c r="F12" s="1637" t="n">
        <v>-2</v>
      </c>
      <c r="G12" s="1637">
        <f>+F5-C12-D12-E12-F12</f>
        <v/>
      </c>
      <c r="H12" s="1637" t="n"/>
      <c r="I12" s="1637" t="n"/>
      <c r="J12" s="1637" t="n"/>
      <c r="K12" s="1637" t="n"/>
      <c r="L12" s="1637" t="n"/>
      <c r="M12" s="1638">
        <f>SUM(C12:L12)</f>
        <v/>
      </c>
    </row>
    <row r="13" ht="18.75" customHeight="1">
      <c r="B13" s="784">
        <f>+B6</f>
        <v/>
      </c>
      <c r="C13" s="1639" t="n">
        <v>-2</v>
      </c>
      <c r="D13" s="1639" t="n">
        <v>-2</v>
      </c>
      <c r="E13" s="1640" t="n">
        <v>-2</v>
      </c>
      <c r="F13" s="1639">
        <f>+F6-C13-D13-E13</f>
        <v/>
      </c>
      <c r="G13" s="1639" t="n"/>
      <c r="H13" s="1639" t="n"/>
      <c r="I13" s="1639" t="n"/>
      <c r="J13" s="1639" t="n"/>
      <c r="K13" s="1639" t="n"/>
      <c r="L13" s="1639" t="n"/>
      <c r="M13" s="1641">
        <f>SUM(C13:L13)</f>
        <v/>
      </c>
    </row>
    <row r="14" ht="18.75" customHeight="1">
      <c r="B14" s="785">
        <f>+B7</f>
        <v/>
      </c>
      <c r="C14" s="1642">
        <f>+F7</f>
        <v/>
      </c>
      <c r="D14" s="1642" t="n"/>
      <c r="E14" s="1642" t="n"/>
      <c r="F14" s="1642" t="n"/>
      <c r="G14" s="1642" t="n"/>
      <c r="H14" s="1642" t="n"/>
      <c r="I14" s="1642" t="n"/>
      <c r="J14" s="1642" t="n"/>
      <c r="K14" s="1642" t="n"/>
      <c r="L14" s="1642" t="n"/>
      <c r="M14" s="1643">
        <f>SUM(C14:L14)</f>
        <v/>
      </c>
    </row>
    <row r="15" ht="18.75" customHeight="1">
      <c r="B15" s="785">
        <f>+B8</f>
        <v/>
      </c>
      <c r="C15" s="1642" t="n"/>
      <c r="D15" s="1642" t="n">
        <v>-5</v>
      </c>
      <c r="E15" s="1642">
        <f>+D15</f>
        <v/>
      </c>
      <c r="F15" s="1642">
        <f>+E15</f>
        <v/>
      </c>
      <c r="G15" s="1642">
        <f>+F15</f>
        <v/>
      </c>
      <c r="H15" s="1642">
        <f>+G15</f>
        <v/>
      </c>
      <c r="I15" s="1642">
        <f>+H15</f>
        <v/>
      </c>
      <c r="J15" s="1642">
        <f>+I15</f>
        <v/>
      </c>
      <c r="K15" s="1642">
        <f>+J15</f>
        <v/>
      </c>
      <c r="L15" s="1642">
        <f>+K15</f>
        <v/>
      </c>
      <c r="M15" s="1643">
        <f>SUM(C15:L15)</f>
        <v/>
      </c>
    </row>
    <row r="16" ht="18.75" customHeight="1"/>
    <row r="17" ht="18.75" customHeight="1">
      <c r="B17" s="131" t="inlineStr">
        <is>
          <t>ประมาณเงินรูเบิ้ลที่ต้องใช้แลก  (หน่วย : ล้านรูเบิ้ล)</t>
        </is>
      </c>
    </row>
    <row r="18" ht="18.75" customHeight="1">
      <c r="B18" s="783" t="inlineStr">
        <is>
          <t>Month</t>
        </is>
      </c>
      <c r="C18" s="783" t="inlineStr">
        <is>
          <t>March</t>
        </is>
      </c>
      <c r="D18" s="783" t="inlineStr">
        <is>
          <t>April</t>
        </is>
      </c>
      <c r="E18" s="783" t="inlineStr">
        <is>
          <t>May</t>
        </is>
      </c>
      <c r="F18" s="783" t="inlineStr">
        <is>
          <t>June</t>
        </is>
      </c>
      <c r="G18" s="783" t="inlineStr">
        <is>
          <t>July</t>
        </is>
      </c>
      <c r="H18" s="783" t="inlineStr">
        <is>
          <t>August</t>
        </is>
      </c>
      <c r="I18" s="783" t="inlineStr">
        <is>
          <t>September</t>
        </is>
      </c>
      <c r="J18" s="783" t="inlineStr">
        <is>
          <t>October</t>
        </is>
      </c>
      <c r="K18" s="783" t="inlineStr">
        <is>
          <t>November</t>
        </is>
      </c>
      <c r="L18" s="783" t="inlineStr">
        <is>
          <t>December</t>
        </is>
      </c>
      <c r="M18" s="783" t="inlineStr">
        <is>
          <t>Total</t>
        </is>
      </c>
    </row>
    <row r="19" ht="18.75" customHeight="1">
      <c r="B19" s="857">
        <f>+B12</f>
        <v/>
      </c>
      <c r="C19" s="1644">
        <f>+C12*$M$5</f>
        <v/>
      </c>
      <c r="D19" s="1644">
        <f>+D12*$M$5</f>
        <v/>
      </c>
      <c r="E19" s="1644">
        <f>+E12*$M$5</f>
        <v/>
      </c>
      <c r="F19" s="1644">
        <f>+F12*$M$5</f>
        <v/>
      </c>
      <c r="G19" s="1644">
        <f>+G12*$M$5</f>
        <v/>
      </c>
      <c r="H19" s="1644">
        <f>+H12*$M$5</f>
        <v/>
      </c>
      <c r="I19" s="1644">
        <f>+I12*$M$5</f>
        <v/>
      </c>
      <c r="J19" s="1644">
        <f>+J12*$M$5</f>
        <v/>
      </c>
      <c r="K19" s="1644">
        <f>+K12*$M$5</f>
        <v/>
      </c>
      <c r="L19" s="1644">
        <f>+L12*$M$5</f>
        <v/>
      </c>
      <c r="M19" s="1645">
        <f>SUM(C19:L19)</f>
        <v/>
      </c>
    </row>
    <row r="20" ht="18.75" customHeight="1">
      <c r="B20" s="784">
        <f>+B13</f>
        <v/>
      </c>
      <c r="C20" s="1646">
        <f>+C13*$M$6</f>
        <v/>
      </c>
      <c r="D20" s="1646">
        <f>+D13*$M$6</f>
        <v/>
      </c>
      <c r="E20" s="1647">
        <f>+E13*$M$6</f>
        <v/>
      </c>
      <c r="F20" s="1646">
        <f>+F13*$M$6</f>
        <v/>
      </c>
      <c r="G20" s="1646">
        <f>+G13*$M$6</f>
        <v/>
      </c>
      <c r="H20" s="1646">
        <f>+H13*$M$6</f>
        <v/>
      </c>
      <c r="I20" s="1646">
        <f>+I13*$M$6</f>
        <v/>
      </c>
      <c r="J20" s="1646">
        <f>+J13*$M$6</f>
        <v/>
      </c>
      <c r="K20" s="1646">
        <f>+K13*$M$6</f>
        <v/>
      </c>
      <c r="L20" s="1646">
        <f>+L13*$M$6</f>
        <v/>
      </c>
      <c r="M20" s="1648">
        <f>SUM(C20:L20)</f>
        <v/>
      </c>
    </row>
    <row r="21" ht="18.75" customHeight="1">
      <c r="B21" s="784">
        <f>+B14</f>
        <v/>
      </c>
      <c r="C21" s="1646">
        <f>+C14*$M$7</f>
        <v/>
      </c>
      <c r="D21" s="1646">
        <f>+D14*$M$7</f>
        <v/>
      </c>
      <c r="E21" s="1646">
        <f>+E14*$M$7</f>
        <v/>
      </c>
      <c r="F21" s="1646">
        <f>+F14*$M$7</f>
        <v/>
      </c>
      <c r="G21" s="1646">
        <f>+G14*$M$7</f>
        <v/>
      </c>
      <c r="H21" s="1646">
        <f>+H14*$M$7</f>
        <v/>
      </c>
      <c r="I21" s="1646">
        <f>+I14*$M$7</f>
        <v/>
      </c>
      <c r="J21" s="1646">
        <f>+J14*$M$7</f>
        <v/>
      </c>
      <c r="K21" s="1646">
        <f>+K14*$M$7</f>
        <v/>
      </c>
      <c r="L21" s="1646">
        <f>+L14*$M$7</f>
        <v/>
      </c>
      <c r="M21" s="1648">
        <f>SUM(C21:L21)</f>
        <v/>
      </c>
    </row>
    <row r="22" ht="18.75" customHeight="1">
      <c r="B22" s="785">
        <f>+B15</f>
        <v/>
      </c>
      <c r="C22" s="1649" t="n"/>
      <c r="D22" s="1649">
        <f>+D15*$M$7</f>
        <v/>
      </c>
      <c r="E22" s="1649">
        <f>+D22</f>
        <v/>
      </c>
      <c r="F22" s="1649">
        <f>+E22</f>
        <v/>
      </c>
      <c r="G22" s="1649">
        <f>+F22</f>
        <v/>
      </c>
      <c r="H22" s="1649">
        <f>+G22</f>
        <v/>
      </c>
      <c r="I22" s="1649">
        <f>+H22</f>
        <v/>
      </c>
      <c r="J22" s="1649">
        <f>+I22</f>
        <v/>
      </c>
      <c r="K22" s="1649">
        <f>+J22</f>
        <v/>
      </c>
      <c r="L22" s="1649">
        <f>+K22</f>
        <v/>
      </c>
      <c r="M22" s="1650">
        <f>SUM(C22:L22)</f>
        <v/>
      </c>
    </row>
    <row r="23">
      <c r="B23" s="863" t="inlineStr">
        <is>
          <t>รวม</t>
        </is>
      </c>
      <c r="C23" s="1651">
        <f>SUM(C19:C22)</f>
        <v/>
      </c>
      <c r="D23" s="1651">
        <f>SUM(D19:D22)</f>
        <v/>
      </c>
      <c r="E23" s="1651">
        <f>SUM(E19:E22)</f>
        <v/>
      </c>
      <c r="F23" s="1651">
        <f>SUM(F19:F22)</f>
        <v/>
      </c>
      <c r="G23" s="1651">
        <f>SUM(G19:G22)</f>
        <v/>
      </c>
      <c r="H23" s="1651">
        <f>SUM(H19:H22)</f>
        <v/>
      </c>
      <c r="I23" s="1651">
        <f>SUM(I19:I22)</f>
        <v/>
      </c>
      <c r="J23" s="1651">
        <f>SUM(J19:J22)</f>
        <v/>
      </c>
      <c r="K23" s="1651">
        <f>SUM(K19:K22)</f>
        <v/>
      </c>
      <c r="L23" s="1651">
        <f>SUM(L19:L22)</f>
        <v/>
      </c>
      <c r="M23" s="1650">
        <f>SUM(M19:M22)</f>
        <v/>
      </c>
    </row>
  </sheetData>
  <mergeCells count="4">
    <mergeCell ref="B3:C3"/>
    <mergeCell ref="J3:L3"/>
    <mergeCell ref="D3:F3"/>
    <mergeCell ref="G3:I3"/>
  </mergeCells>
  <pageMargins left="0.45" right="0.45" top="0.75" bottom="0.75" header="0.3" footer="0.3"/>
  <pageSetup orientation="landscape" scale="7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I37"/>
  <sheetViews>
    <sheetView showGridLines="0" zoomScale="80" zoomScaleNormal="80" workbookViewId="0">
      <selection activeCell="A1" sqref="A1:XFD1048576"/>
    </sheetView>
  </sheetViews>
  <sheetFormatPr baseColWidth="8" defaultColWidth="8.77734375" defaultRowHeight="24.6"/>
  <cols>
    <col width="2.21875" customWidth="1" style="679" min="1" max="1"/>
    <col width="14.21875" customWidth="1" style="679" min="2" max="2"/>
    <col width="8.21875" customWidth="1" style="679" min="3" max="3"/>
    <col width="11.21875" bestFit="1" customWidth="1" style="679" min="4" max="4"/>
    <col width="17.21875" customWidth="1" style="679" min="5" max="5"/>
    <col width="16.6640625" customWidth="1" style="679" min="6" max="6"/>
    <col width="16.21875" customWidth="1" style="1652" min="7" max="7"/>
    <col hidden="1" width="16.21875" customWidth="1" style="1652" min="8" max="9"/>
    <col width="8.77734375" customWidth="1" style="679" min="10" max="16384"/>
  </cols>
  <sheetData>
    <row r="1" ht="25.2" customHeight="1" thickBot="1">
      <c r="B1" s="700" t="inlineStr">
        <is>
          <t>Revised 06/03/2023</t>
        </is>
      </c>
    </row>
    <row r="2" customFormat="1" s="700" thickBot="1" thickTop="1">
      <c r="B2" s="823" t="n"/>
      <c r="C2" s="823" t="n"/>
      <c r="D2" s="824" t="n"/>
      <c r="E2" s="824" t="n"/>
      <c r="F2" s="824" t="n"/>
      <c r="G2" s="1653" t="n"/>
      <c r="H2" s="826" t="n"/>
      <c r="I2" s="1653" t="n"/>
    </row>
    <row r="3" hidden="1" ht="25.2" customHeight="1" thickBot="1">
      <c r="B3" s="701" t="inlineStr">
        <is>
          <t>สกุลUSD</t>
        </is>
      </c>
      <c r="C3" s="702" t="n"/>
      <c r="D3" s="702" t="n"/>
      <c r="E3" s="702" t="n"/>
      <c r="F3" s="702" t="n"/>
      <c r="G3" s="1654" t="inlineStr">
        <is>
          <t>M.USD</t>
        </is>
      </c>
      <c r="H3" s="699" t="n"/>
      <c r="I3" s="1655" t="inlineStr">
        <is>
          <t>M.USD</t>
        </is>
      </c>
    </row>
    <row r="4" hidden="1">
      <c r="B4" s="704" t="inlineStr">
        <is>
          <t>เงินกู้ยืม CPFI</t>
        </is>
      </c>
      <c r="C4" s="705" t="n"/>
      <c r="D4" s="705" t="inlineStr">
        <is>
          <t>CPFO</t>
        </is>
      </c>
      <c r="E4" s="705" t="n"/>
      <c r="F4" s="705" t="n"/>
      <c r="G4" s="1656" t="n">
        <v>21.34187</v>
      </c>
      <c r="H4" s="707" t="n">
        <v>1</v>
      </c>
      <c r="I4" s="1657">
        <f>G4*H4</f>
        <v/>
      </c>
    </row>
    <row r="5" hidden="1">
      <c r="B5" s="708" t="n"/>
      <c r="D5" s="679" t="inlineStr">
        <is>
          <t>RBPI</t>
        </is>
      </c>
      <c r="G5" s="1658" t="n">
        <v>26.076</v>
      </c>
      <c r="H5" s="710" t="n">
        <v>1</v>
      </c>
      <c r="I5" s="1659">
        <f>G5*H5</f>
        <v/>
      </c>
    </row>
    <row r="6" hidden="1" ht="25.2" customHeight="1" thickBot="1">
      <c r="B6" s="819" t="inlineStr">
        <is>
          <t>รวม</t>
        </is>
      </c>
      <c r="C6" s="830" t="n"/>
      <c r="D6" s="830" t="n"/>
      <c r="E6" s="830" t="n"/>
      <c r="F6" s="830" t="n"/>
      <c r="G6" s="1660">
        <f>SUM(G4:G5)</f>
        <v/>
      </c>
      <c r="H6" s="822" t="n"/>
      <c r="I6" s="1661">
        <f>SUM(I4:I5)</f>
        <v/>
      </c>
    </row>
    <row r="7" hidden="1" ht="25.8" customHeight="1" thickBot="1" thickTop="1">
      <c r="B7" s="823" t="n"/>
      <c r="C7" s="833" t="n"/>
      <c r="D7" s="833" t="n"/>
      <c r="E7" s="833" t="n"/>
      <c r="F7" s="833" t="n"/>
      <c r="G7" s="1662" t="n"/>
      <c r="H7" s="826" t="n"/>
      <c r="I7" s="1662" t="n"/>
    </row>
    <row r="8" ht="25.2" customHeight="1" thickBot="1">
      <c r="B8" s="701" t="inlineStr">
        <is>
          <t>สกุลUSD</t>
        </is>
      </c>
      <c r="C8" s="702" t="n"/>
      <c r="D8" s="702" t="n"/>
      <c r="E8" s="702" t="n"/>
      <c r="F8" s="702" t="n"/>
      <c r="G8" s="1654" t="inlineStr">
        <is>
          <t>M.USD</t>
        </is>
      </c>
      <c r="H8" s="699" t="n"/>
      <c r="I8" s="1655" t="inlineStr">
        <is>
          <t>M.USD</t>
        </is>
      </c>
    </row>
    <row r="9">
      <c r="B9" s="704" t="inlineStr">
        <is>
          <t>ซื้อ Soybean meal และ Premix</t>
        </is>
      </c>
      <c r="C9" s="705" t="n"/>
      <c r="D9" s="705" t="n"/>
      <c r="E9" s="705" t="n"/>
      <c r="F9" s="705" t="n"/>
      <c r="G9" s="1656" t="n">
        <v>10</v>
      </c>
      <c r="H9" s="707" t="n">
        <v>1</v>
      </c>
      <c r="I9" s="1657">
        <f>G9*H9</f>
        <v/>
      </c>
    </row>
    <row r="10">
      <c r="B10" s="708" t="n"/>
      <c r="G10" s="1658" t="n"/>
      <c r="H10" s="710" t="n"/>
      <c r="I10" s="1659" t="n"/>
    </row>
    <row r="11" ht="25.2" customHeight="1" thickBot="1">
      <c r="B11" s="819" t="inlineStr">
        <is>
          <t>รวม</t>
        </is>
      </c>
      <c r="C11" s="830" t="n"/>
      <c r="D11" s="830" t="n"/>
      <c r="E11" s="830" t="n"/>
      <c r="F11" s="830" t="n"/>
      <c r="G11" s="1660">
        <f>SUM(G9:G10)</f>
        <v/>
      </c>
      <c r="H11" s="822" t="n"/>
      <c r="I11" s="1661">
        <f>SUM(I9:I10)</f>
        <v/>
      </c>
    </row>
    <row r="12" hidden="1" ht="25.8" customHeight="1" thickBot="1" thickTop="1">
      <c r="B12" s="823" t="n"/>
      <c r="C12" s="833" t="n"/>
      <c r="D12" s="833" t="n"/>
      <c r="E12" s="833" t="n"/>
      <c r="F12" s="833" t="n"/>
      <c r="G12" s="1662" t="n"/>
      <c r="H12" s="826" t="n"/>
      <c r="I12" s="1662" t="n"/>
    </row>
    <row r="13" hidden="1" ht="70.8" customFormat="1" customHeight="1" s="684" thickBot="1">
      <c r="B13" s="681" t="inlineStr">
        <is>
          <t>รายการ</t>
        </is>
      </c>
      <c r="C13" s="1557" t="n"/>
      <c r="D13" s="681" t="inlineStr">
        <is>
          <t>เที่ยวละ</t>
        </is>
      </c>
      <c r="E13" s="682" t="inlineStr">
        <is>
          <t>รวมปริมาณที่ต้องการซื้อ
ปี 2023</t>
        </is>
      </c>
      <c r="F13" s="683" t="inlineStr">
        <is>
          <t>@EUR</t>
        </is>
      </c>
      <c r="G13" s="1663" t="inlineStr">
        <is>
          <t>ประมาณการ
M.EUR</t>
        </is>
      </c>
      <c r="H13" s="1664" t="inlineStr">
        <is>
          <t>แลกเงิน
เพื่อสำรอง
M.EUR</t>
        </is>
      </c>
      <c r="I13" s="1557" t="n"/>
    </row>
    <row r="14" hidden="1" ht="19.95" customHeight="1">
      <c r="B14" s="1665" t="inlineStr">
        <is>
          <t>ลูกไก่พันธุ์</t>
        </is>
      </c>
      <c r="C14" s="1666" t="inlineStr">
        <is>
          <t>ตัว</t>
        </is>
      </c>
      <c r="D14" s="687" t="n">
        <v>45000</v>
      </c>
      <c r="E14" s="688">
        <f>D14*16</f>
        <v/>
      </c>
      <c r="F14" s="1667" t="n">
        <v>5.5</v>
      </c>
      <c r="G14" s="1668">
        <f>E14*F14/10^6</f>
        <v/>
      </c>
      <c r="H14" s="691" t="n">
        <v>1</v>
      </c>
      <c r="I14" s="1668">
        <f>G14*H14</f>
        <v/>
      </c>
    </row>
    <row r="15" hidden="1" ht="19.95" customHeight="1">
      <c r="B15" s="1669" t="inlineStr">
        <is>
          <t>ไข่ฟัก</t>
        </is>
      </c>
      <c r="C15" s="1670" t="inlineStr">
        <is>
          <t>ฟอง</t>
        </is>
      </c>
      <c r="D15" s="694" t="n">
        <v>280000</v>
      </c>
      <c r="E15" s="695" t="n">
        <v>25000000</v>
      </c>
      <c r="F15" s="1671" t="n">
        <v>0.3</v>
      </c>
      <c r="G15" s="1672">
        <f>E15*F15/10^6</f>
        <v/>
      </c>
      <c r="H15" s="698" t="n">
        <v>1</v>
      </c>
      <c r="I15" s="1672">
        <f>G15*H15</f>
        <v/>
      </c>
    </row>
    <row r="16" hidden="1" ht="19.95" customFormat="1" customHeight="1" s="700" thickBot="1">
      <c r="B16" s="819" t="inlineStr">
        <is>
          <t>รวม</t>
        </is>
      </c>
      <c r="C16" s="711" t="n"/>
      <c r="D16" s="820" t="n"/>
      <c r="E16" s="820" t="n"/>
      <c r="F16" s="820" t="n"/>
      <c r="G16" s="1673">
        <f>SUM(G14:G15)</f>
        <v/>
      </c>
      <c r="H16" s="822" t="n"/>
      <c r="I16" s="1673">
        <f>SUM(I14:I15)</f>
        <v/>
      </c>
    </row>
    <row r="17" customFormat="1" s="700" thickBot="1" thickTop="1">
      <c r="B17" s="823" t="n"/>
      <c r="C17" s="823" t="n"/>
      <c r="D17" s="824" t="n"/>
      <c r="E17" s="824" t="n"/>
      <c r="F17" s="824" t="n"/>
      <c r="G17" s="1653" t="n"/>
      <c r="H17" s="826" t="n"/>
      <c r="I17" s="1653" t="n"/>
    </row>
    <row r="18" ht="25.2" customHeight="1" thickBot="1">
      <c r="B18" s="701" t="inlineStr">
        <is>
          <t>สกุลEUR</t>
        </is>
      </c>
      <c r="C18" s="702" t="n"/>
      <c r="D18" s="702" t="n"/>
      <c r="E18" s="702" t="n"/>
      <c r="F18" s="702" t="n"/>
      <c r="G18" s="1654" t="inlineStr">
        <is>
          <t>M.EUR</t>
        </is>
      </c>
      <c r="H18" s="699" t="n"/>
      <c r="I18" s="1655" t="inlineStr">
        <is>
          <t>M.USD</t>
        </is>
      </c>
    </row>
    <row r="19">
      <c r="B19" s="704" t="inlineStr">
        <is>
          <t>ลูกไก่พันธุ์</t>
        </is>
      </c>
      <c r="C19" s="705" t="n"/>
      <c r="D19" s="705" t="n"/>
      <c r="E19" s="705" t="n"/>
      <c r="F19" s="705" t="n"/>
      <c r="G19" s="1656">
        <f>+G14</f>
        <v/>
      </c>
      <c r="H19" s="707" t="n">
        <v>1</v>
      </c>
      <c r="I19" s="1657">
        <f>G19*H19</f>
        <v/>
      </c>
    </row>
    <row r="20">
      <c r="B20" s="708" t="inlineStr">
        <is>
          <t>ไข่ฟัก</t>
        </is>
      </c>
      <c r="G20" s="1658">
        <f>+G15</f>
        <v/>
      </c>
      <c r="H20" s="710" t="n">
        <v>1</v>
      </c>
      <c r="I20" s="1659">
        <f>G20*H20</f>
        <v/>
      </c>
    </row>
    <row r="21" ht="25.2" customHeight="1" thickBot="1">
      <c r="B21" s="819" t="inlineStr">
        <is>
          <t>รวม</t>
        </is>
      </c>
      <c r="C21" s="830" t="n"/>
      <c r="D21" s="830" t="n"/>
      <c r="E21" s="830" t="n"/>
      <c r="F21" s="830" t="n"/>
      <c r="G21" s="1660">
        <f>SUM(G19:G20)</f>
        <v/>
      </c>
      <c r="H21" s="822" t="n"/>
      <c r="I21" s="1661">
        <f>SUM(I19:I20)</f>
        <v/>
      </c>
    </row>
    <row r="22" ht="25.8" customHeight="1" thickBot="1" thickTop="1">
      <c r="B22" s="700" t="n"/>
      <c r="G22" s="1674" t="n"/>
      <c r="H22" s="848" t="n"/>
      <c r="I22" s="1674" t="n"/>
    </row>
    <row r="23" ht="25.2" customHeight="1" thickBot="1">
      <c r="B23" s="701" t="inlineStr">
        <is>
          <t>สกุล CNY</t>
        </is>
      </c>
      <c r="C23" s="702" t="n"/>
      <c r="D23" s="702" t="n"/>
      <c r="E23" s="702" t="n"/>
      <c r="F23" s="702" t="n"/>
      <c r="G23" s="1654" t="inlineStr">
        <is>
          <t>M.CNY</t>
        </is>
      </c>
      <c r="H23" s="1675" t="n"/>
      <c r="I23" s="1655">
        <f>G23</f>
        <v/>
      </c>
    </row>
    <row r="24">
      <c r="B24" s="704" t="inlineStr">
        <is>
          <t>Spare parts + Premix</t>
        </is>
      </c>
      <c r="C24" s="705" t="n"/>
      <c r="D24" s="705" t="n"/>
      <c r="E24" s="705" t="n"/>
      <c r="F24" s="705" t="n"/>
      <c r="G24" s="1656" t="n">
        <v>20</v>
      </c>
      <c r="H24" s="707" t="n">
        <v>1</v>
      </c>
      <c r="I24" s="1657">
        <f>G24*H24</f>
        <v/>
      </c>
    </row>
    <row r="25">
      <c r="B25" s="708" t="inlineStr">
        <is>
          <t>สำรองเดือนละ 5ล้าน CNY เมย.-ธค.</t>
        </is>
      </c>
      <c r="G25" s="1658">
        <f>5*9</f>
        <v/>
      </c>
      <c r="H25" s="710" t="n"/>
      <c r="I25" s="1659" t="n"/>
    </row>
    <row r="26" ht="25.2" customHeight="1" thickBot="1">
      <c r="B26" s="819" t="inlineStr">
        <is>
          <t>รวม</t>
        </is>
      </c>
      <c r="C26" s="830" t="n"/>
      <c r="D26" s="830" t="n"/>
      <c r="E26" s="830" t="n"/>
      <c r="F26" s="830" t="n"/>
      <c r="G26" s="1660">
        <f>SUM(G24:G25)</f>
        <v/>
      </c>
      <c r="H26" s="822" t="n"/>
      <c r="I26" s="1661">
        <f>SUM(I24:I24)</f>
        <v/>
      </c>
    </row>
    <row r="27" customFormat="1" s="700" thickBot="1" thickTop="1">
      <c r="G27" s="1676" t="n"/>
      <c r="H27" s="1676" t="n"/>
      <c r="I27" s="1676" t="n"/>
    </row>
    <row r="28" ht="25.2" customHeight="1" thickBot="1">
      <c r="B28" s="1360" t="inlineStr">
        <is>
          <t>รายการ</t>
        </is>
      </c>
      <c r="C28" s="1556" t="n"/>
      <c r="D28" s="1556" t="n"/>
      <c r="E28" s="836" t="n"/>
      <c r="F28" s="836" t="n"/>
      <c r="G28" s="837" t="inlineStr">
        <is>
          <t>M.RUB</t>
        </is>
      </c>
      <c r="H28" s="679" t="n"/>
      <c r="I28" s="679" t="n"/>
    </row>
    <row r="29">
      <c r="B29" s="679" t="inlineStr">
        <is>
          <t>Overnight deposit</t>
        </is>
      </c>
      <c r="E29" s="838" t="n"/>
      <c r="F29" s="838" t="n"/>
      <c r="G29" s="839">
        <f>+Daily!#REF!</f>
        <v/>
      </c>
      <c r="H29" s="679" t="n"/>
      <c r="I29" s="679" t="n"/>
    </row>
    <row r="30">
      <c r="B30" s="679" t="inlineStr">
        <is>
          <t>Minimum cash</t>
        </is>
      </c>
      <c r="E30" s="838" t="n"/>
      <c r="F30" s="838" t="n"/>
      <c r="G30" s="839" t="n">
        <v>-3000</v>
      </c>
      <c r="H30" s="679" t="n"/>
      <c r="I30" s="679" t="n"/>
    </row>
    <row r="31" ht="25.2" customHeight="1" thickBot="1">
      <c r="B31" s="711" t="inlineStr">
        <is>
          <t>Free cash flow</t>
        </is>
      </c>
      <c r="C31" s="711" t="n"/>
      <c r="D31" s="711" t="n"/>
      <c r="E31" s="840" t="n"/>
      <c r="F31" s="840" t="n"/>
      <c r="G31" s="841">
        <f>G29+G30</f>
        <v/>
      </c>
      <c r="H31" s="679" t="n"/>
      <c r="I31" s="679" t="n"/>
    </row>
    <row r="32" ht="25.2" customHeight="1" thickTop="1">
      <c r="B32" s="700" t="n"/>
      <c r="C32" s="700" t="n"/>
      <c r="D32" s="700" t="n"/>
      <c r="E32" s="842" t="inlineStr">
        <is>
          <t>หน่วย ล้าน</t>
        </is>
      </c>
      <c r="F32" s="843" t="inlineStr">
        <is>
          <t>รูเบิ้ล ต่อ 1</t>
        </is>
      </c>
      <c r="G32" s="838" t="n"/>
      <c r="H32" s="679" t="n"/>
      <c r="I32" s="679" t="n"/>
    </row>
    <row r="33">
      <c r="B33" s="700" t="inlineStr">
        <is>
          <t>แลกสกุลเงิน</t>
        </is>
      </c>
      <c r="C33" s="700" t="n"/>
      <c r="D33" s="679" t="inlineStr">
        <is>
          <t>USD</t>
        </is>
      </c>
      <c r="E33" s="1677">
        <f>+G11</f>
        <v/>
      </c>
      <c r="F33" s="1677">
        <f>+'Cash in bank report'!E2</f>
        <v/>
      </c>
      <c r="G33" s="845">
        <f>-E33*F33</f>
        <v/>
      </c>
      <c r="H33" s="679" t="n"/>
      <c r="I33" s="679" t="n"/>
    </row>
    <row r="34">
      <c r="D34" s="679" t="inlineStr">
        <is>
          <t>EUR</t>
        </is>
      </c>
      <c r="E34" s="1677">
        <f>I16</f>
        <v/>
      </c>
      <c r="F34" s="1677">
        <f>+'Cash in bank report'!E3</f>
        <v/>
      </c>
      <c r="G34" s="845">
        <f>-E34*F34</f>
        <v/>
      </c>
      <c r="H34" s="679" t="n"/>
      <c r="I34" s="679" t="n"/>
    </row>
    <row r="35">
      <c r="D35" s="679" t="inlineStr">
        <is>
          <t>CNY</t>
        </is>
      </c>
      <c r="E35" s="1677">
        <f>I26</f>
        <v/>
      </c>
      <c r="F35" s="1677">
        <f>+'Cash in bank report'!E4</f>
        <v/>
      </c>
      <c r="G35" s="845">
        <f>-E35*F35</f>
        <v/>
      </c>
      <c r="H35" s="679" t="n"/>
      <c r="I35" s="679" t="n"/>
    </row>
    <row r="36">
      <c r="B36" s="846" t="n"/>
      <c r="C36" s="846" t="n"/>
      <c r="D36" s="846" t="inlineStr">
        <is>
          <t>CNYสำรอง</t>
        </is>
      </c>
      <c r="E36" s="1678">
        <f>+G25</f>
        <v/>
      </c>
      <c r="F36" s="1678">
        <f>+F35</f>
        <v/>
      </c>
      <c r="G36" s="850">
        <f>-E36*F36</f>
        <v/>
      </c>
      <c r="H36" s="679" t="n"/>
      <c r="I36" s="679" t="n"/>
    </row>
    <row r="37" ht="24" customFormat="1" customHeight="1" s="700" thickBot="1">
      <c r="B37" s="711" t="inlineStr">
        <is>
          <t>เงินสดคงเหลือ</t>
        </is>
      </c>
      <c r="C37" s="711" t="n"/>
      <c r="D37" s="711" t="n"/>
      <c r="E37" s="847" t="n"/>
      <c r="F37" s="847" t="n"/>
      <c r="G37" s="841">
        <f>SUM(G31:I36)</f>
        <v/>
      </c>
    </row>
    <row r="38" ht="25.2" customHeight="1" thickTop="1"/>
  </sheetData>
  <mergeCells count="3">
    <mergeCell ref="B13:C13"/>
    <mergeCell ref="B28:D28"/>
    <mergeCell ref="H13:I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"/>
  <sheetViews>
    <sheetView showGridLines="0" showZeros="0" zoomScale="90" zoomScaleNormal="90" workbookViewId="0">
      <selection activeCell="A2" sqref="A2"/>
    </sheetView>
  </sheetViews>
  <sheetFormatPr baseColWidth="8" defaultColWidth="29" defaultRowHeight="20.4"/>
  <cols>
    <col width="63.21875" customWidth="1" style="882" min="1" max="1"/>
    <col width="29" customWidth="1" style="882" min="2" max="16384"/>
  </cols>
  <sheetData>
    <row r="1" ht="21" customHeight="1">
      <c r="A1" s="877" t="inlineStr">
        <is>
          <t>Cash balance as end of year 2023</t>
        </is>
      </c>
      <c r="B1" s="878" t="n"/>
      <c r="C1" s="879" t="n"/>
      <c r="D1" s="880" t="n"/>
      <c r="E1" s="881" t="n"/>
      <c r="F1" s="881" t="n"/>
    </row>
    <row r="2" ht="21" customHeight="1">
      <c r="A2" s="883">
        <f>+'Cash in bank report'!B2</f>
        <v/>
      </c>
      <c r="B2" s="884" t="n"/>
      <c r="C2" s="885" t="n"/>
      <c r="D2" s="886" t="n"/>
      <c r="E2" s="881" t="n"/>
      <c r="F2" s="881" t="n"/>
    </row>
    <row r="3" ht="21" customHeight="1">
      <c r="A3" s="877" t="n"/>
      <c r="B3" s="881" t="n"/>
      <c r="C3" s="885" t="n"/>
      <c r="D3" s="886" t="n"/>
      <c r="E3" s="881" t="n"/>
      <c r="F3" s="878" t="inlineStr">
        <is>
          <t>Unit : M.Ruble</t>
        </is>
      </c>
    </row>
    <row r="4" ht="36" customHeight="1">
      <c r="A4" s="887" t="inlineStr">
        <is>
          <t>Cash on hand</t>
        </is>
      </c>
      <c r="B4" s="887" t="inlineStr">
        <is>
          <t>Total</t>
        </is>
      </c>
      <c r="C4" s="887" t="inlineStr">
        <is>
          <t>CPFO</t>
        </is>
      </c>
      <c r="D4" s="887" t="inlineStr">
        <is>
          <t>APK DON</t>
        </is>
      </c>
      <c r="E4" s="887" t="inlineStr">
        <is>
          <t>RBPI</t>
        </is>
      </c>
      <c r="F4" s="887" t="inlineStr">
        <is>
          <t>S&amp;W</t>
        </is>
      </c>
    </row>
    <row r="5" ht="36" customHeight="1">
      <c r="A5" s="888">
        <f>+'Cash in bank report'!B7</f>
        <v/>
      </c>
      <c r="B5" s="889">
        <f>SUM(C5:F5)</f>
        <v/>
      </c>
      <c r="C5" s="890">
        <f>+'Cash in bank report'!E7</f>
        <v/>
      </c>
      <c r="D5" s="890">
        <f>+'Cash in bank report'!F7</f>
        <v/>
      </c>
      <c r="E5" s="890">
        <f>+'Cash in bank report'!G7</f>
        <v/>
      </c>
      <c r="F5" s="890">
        <f>+'Cash in bank report'!H7</f>
        <v/>
      </c>
    </row>
    <row r="6" ht="36" customHeight="1">
      <c r="A6" s="891">
        <f>+'Cash in bank report'!B8</f>
        <v/>
      </c>
      <c r="B6" s="892">
        <f>SUM(C6:F6)</f>
        <v/>
      </c>
      <c r="C6" s="893">
        <f>+'Cash in bank report'!E8</f>
        <v/>
      </c>
      <c r="D6" s="893">
        <f>+'Cash in bank report'!F8</f>
        <v/>
      </c>
      <c r="E6" s="893">
        <f>+'Cash in bank report'!G8</f>
        <v/>
      </c>
      <c r="F6" s="893">
        <f>+'Cash in bank report'!H8</f>
        <v/>
      </c>
    </row>
    <row r="7" ht="36" customHeight="1">
      <c r="A7" s="891">
        <f>+'Cash in bank report'!B9</f>
        <v/>
      </c>
      <c r="B7" s="892">
        <f>SUM(C7:F7)</f>
        <v/>
      </c>
      <c r="C7" s="893">
        <f>+'Cash in bank report'!E9</f>
        <v/>
      </c>
      <c r="D7" s="893">
        <f>+'Cash in bank report'!F9</f>
        <v/>
      </c>
      <c r="E7" s="893">
        <f>+'Cash in bank report'!G9</f>
        <v/>
      </c>
      <c r="F7" s="893">
        <f>+'Cash in bank report'!H9</f>
        <v/>
      </c>
    </row>
    <row r="8" ht="36" customHeight="1">
      <c r="A8" s="894">
        <f>+'Cash in bank report'!B10</f>
        <v/>
      </c>
      <c r="B8" s="895">
        <f>SUM(C8:F8)</f>
        <v/>
      </c>
      <c r="C8" s="896">
        <f>+'Cash in bank report'!E10</f>
        <v/>
      </c>
      <c r="D8" s="896">
        <f>+'Cash in bank report'!F10</f>
        <v/>
      </c>
      <c r="E8" s="896">
        <f>+'Cash in bank report'!G10</f>
        <v/>
      </c>
      <c r="F8" s="896">
        <f>+'Cash in bank report'!H10</f>
        <v/>
      </c>
    </row>
    <row r="9" ht="36" customHeight="1">
      <c r="A9" s="897" t="inlineStr">
        <is>
          <t>Total Cash on hand (1)</t>
        </is>
      </c>
      <c r="B9" s="898">
        <f>SUM(C9:F9)</f>
        <v/>
      </c>
      <c r="C9" s="898">
        <f>SUM(C5:C8)</f>
        <v/>
      </c>
      <c r="D9" s="898">
        <f>SUM(D5:D8)</f>
        <v/>
      </c>
      <c r="E9" s="898">
        <f>SUM(E5:E8)</f>
        <v/>
      </c>
      <c r="F9" s="898">
        <f>SUM(F5:F8)</f>
        <v/>
      </c>
    </row>
    <row r="10" ht="52.95" customHeight="1" thickBot="1">
      <c r="A10" s="899" t="inlineStr">
        <is>
          <t>Cash from operating 
 excluding Revolving loan , Repay loan  (2)</t>
        </is>
      </c>
      <c r="B10" s="900">
        <f>SUM(C10:F10)</f>
        <v/>
      </c>
      <c r="C10" s="900">
        <f>+#REF!/1000000</f>
        <v/>
      </c>
      <c r="D10" s="900">
        <f>+#REF!/1000000</f>
        <v/>
      </c>
      <c r="E10" s="900">
        <f>+#REF!/1000000</f>
        <v/>
      </c>
      <c r="F10" s="900">
        <f>+#REF!/1000000</f>
        <v/>
      </c>
    </row>
    <row r="11" ht="36" customHeight="1" thickTop="1">
      <c r="A11" s="901" t="inlineStr">
        <is>
          <t>Due date 2023</t>
        </is>
      </c>
      <c r="B11" s="902" t="n"/>
      <c r="C11" s="902" t="n"/>
      <c r="D11" s="902" t="n"/>
      <c r="E11" s="902" t="n"/>
      <c r="F11" s="902" t="n"/>
    </row>
    <row r="12" ht="36" customHeight="1">
      <c r="A12" s="903" t="inlineStr">
        <is>
          <t xml:space="preserve"> - Short tem loan*</t>
        </is>
      </c>
      <c r="B12" s="904">
        <f>SUM(C12:F12)</f>
        <v/>
      </c>
      <c r="C12" s="905" t="n">
        <v>950</v>
      </c>
      <c r="D12" s="905" t="n">
        <v>2590.974</v>
      </c>
      <c r="E12" s="905" t="n">
        <v>4869.423</v>
      </c>
      <c r="F12" s="905">
        <f>'Cash in bank report'!#REF!</f>
        <v/>
      </c>
    </row>
    <row r="13" ht="36" customHeight="1">
      <c r="A13" s="903" t="inlineStr">
        <is>
          <t xml:space="preserve"> - Long term loan</t>
        </is>
      </c>
      <c r="B13" s="904">
        <f>SUM(C13:F13)</f>
        <v/>
      </c>
      <c r="C13" s="905" t="n">
        <v>514.0589234</v>
      </c>
      <c r="D13" s="905" t="n">
        <v>2113</v>
      </c>
      <c r="E13" s="905" t="n">
        <v>2734.06</v>
      </c>
      <c r="F13" s="905" t="n"/>
    </row>
    <row r="14" ht="36" customHeight="1" thickBot="1">
      <c r="A14" s="906" t="inlineStr">
        <is>
          <t>Total repayment due 2023   (3)</t>
        </is>
      </c>
      <c r="B14" s="907">
        <f>SUM(C14:F14)</f>
        <v/>
      </c>
      <c r="C14" s="908">
        <f>SUM(C12:C13)</f>
        <v/>
      </c>
      <c r="D14" s="908">
        <f>SUM(D12:D13)</f>
        <v/>
      </c>
      <c r="E14" s="908">
        <f>SUM(E12:E13)</f>
        <v/>
      </c>
      <c r="F14" s="908">
        <f>SUM(F12:F13)</f>
        <v/>
      </c>
    </row>
    <row r="15" ht="36" customHeight="1" thickBot="1" thickTop="1">
      <c r="A15" s="909" t="inlineStr">
        <is>
          <t>Balance (1) + (2) - (3)</t>
        </is>
      </c>
      <c r="B15" s="910">
        <f>+B9+B10-B14</f>
        <v/>
      </c>
      <c r="C15" s="911">
        <f>+C9+C10-C14</f>
        <v/>
      </c>
      <c r="D15" s="911">
        <f>+D9+D10-D14</f>
        <v/>
      </c>
      <c r="E15" s="911">
        <f>+E9+E10-E14</f>
        <v/>
      </c>
      <c r="F15" s="911">
        <f>+F9+F10-F14</f>
        <v/>
      </c>
    </row>
    <row r="16" ht="21" customHeight="1" thickTop="1">
      <c r="A16" s="912" t="inlineStr">
        <is>
          <t>*STL excluded CPFI loan repayment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70"/>
  <sheetViews>
    <sheetView showGridLines="0" showZeros="0" zoomScale="70" zoomScaleNormal="70" workbookViewId="0">
      <selection activeCell="A1" sqref="A1:XFD1048576"/>
    </sheetView>
  </sheetViews>
  <sheetFormatPr baseColWidth="8" defaultColWidth="9.109375" defaultRowHeight="14.4"/>
  <cols>
    <col width="13.109375" customWidth="1" style="1077" min="1" max="1"/>
    <col width="10.109375" customWidth="1" style="1077" min="2" max="2"/>
    <col width="31.88671875" customWidth="1" style="1077" min="3" max="3"/>
    <col width="18.109375" customWidth="1" style="1077" min="4" max="4"/>
    <col width="14.21875" bestFit="1" customWidth="1" style="1077" min="5" max="5"/>
    <col width="15.109375" bestFit="1" customWidth="1" style="1593" min="6" max="6"/>
    <col width="15" bestFit="1" customWidth="1" style="1089" min="7" max="7"/>
    <col width="15" bestFit="1" customWidth="1" style="1107" min="8" max="8"/>
    <col width="12.109375" bestFit="1" customWidth="1" style="1086" min="9" max="9"/>
    <col width="13.109375" bestFit="1" customWidth="1" style="1086" min="10" max="10"/>
    <col width="10" bestFit="1" customWidth="1" style="1086" min="11" max="11"/>
    <col hidden="1" width="14.88671875" customWidth="1" style="1081" min="12" max="12"/>
    <col width="2.109375" customWidth="1" style="1287" min="13" max="13"/>
    <col width="12.21875" customWidth="1" style="1077" min="14" max="14"/>
    <col width="13" customWidth="1" style="1077" min="15" max="15"/>
    <col width="12.6640625" customWidth="1" style="1077" min="16" max="16"/>
    <col width="9.109375" customWidth="1" style="1077" min="17" max="17"/>
    <col width="12.6640625" customWidth="1" style="1077" min="18" max="21"/>
    <col width="9.109375" customWidth="1" style="1089" min="22" max="16384"/>
  </cols>
  <sheetData>
    <row r="1">
      <c r="A1" s="1149" t="inlineStr">
        <is>
          <t>CPF RUSSIA Intercompany loan</t>
        </is>
      </c>
    </row>
    <row r="2">
      <c r="A2" s="1149">
        <f>+#REF!</f>
        <v/>
      </c>
    </row>
    <row r="3" ht="15" customFormat="1" customHeight="1" s="1075" thickBot="1">
      <c r="A3" s="1067" t="n"/>
      <c r="B3" s="1067" t="inlineStr">
        <is>
          <t>Borrower</t>
        </is>
      </c>
      <c r="C3" s="1067" t="inlineStr">
        <is>
          <t>Company</t>
        </is>
      </c>
      <c r="D3" s="1067" t="inlineStr">
        <is>
          <t>Lender</t>
        </is>
      </c>
      <c r="E3" s="1067" t="n"/>
      <c r="F3" s="1596" t="inlineStr">
        <is>
          <t>Credit</t>
        </is>
      </c>
      <c r="G3" s="1069" t="inlineStr">
        <is>
          <t>Loan</t>
        </is>
      </c>
      <c r="H3" s="1070" t="inlineStr">
        <is>
          <t>Available credit</t>
        </is>
      </c>
      <c r="I3" s="1071" t="inlineStr">
        <is>
          <t>Interest rate</t>
        </is>
      </c>
      <c r="J3" s="1071" t="inlineStr">
        <is>
          <t>Potential rate</t>
        </is>
      </c>
      <c r="K3" s="1071" t="inlineStr">
        <is>
          <t>Condition</t>
        </is>
      </c>
      <c r="L3" s="1072" t="n"/>
      <c r="M3" s="1073" t="n"/>
      <c r="N3" s="1074" t="n"/>
      <c r="O3" s="1074" t="n"/>
      <c r="Q3" s="1074" t="n"/>
      <c r="R3" s="1074" t="n"/>
      <c r="S3" s="1074" t="n"/>
      <c r="T3" s="1074" t="inlineStr">
        <is>
          <t>Unit : M.Rub</t>
        </is>
      </c>
      <c r="U3" s="1074" t="n"/>
      <c r="V3" s="1679" t="n"/>
      <c r="W3" s="1679" t="n"/>
    </row>
    <row r="4" ht="15" customFormat="1" customHeight="1" s="1077" thickBot="1">
      <c r="A4" s="1077" t="inlineStr">
        <is>
          <t>STL</t>
        </is>
      </c>
      <c r="B4" s="1077" t="inlineStr">
        <is>
          <t>CPFO</t>
        </is>
      </c>
      <c r="C4" s="1077" t="inlineStr">
        <is>
          <t>CPFO</t>
        </is>
      </c>
      <c r="D4" s="1077" t="inlineStr">
        <is>
          <t>Stesha</t>
        </is>
      </c>
      <c r="F4" s="1593" t="n">
        <v>1299</v>
      </c>
      <c r="G4" s="1593" t="n">
        <v>1299</v>
      </c>
      <c r="H4" s="1079">
        <f>+F4-G4</f>
        <v/>
      </c>
      <c r="I4" s="1086" t="n">
        <v>0.105</v>
      </c>
      <c r="J4" s="1086" t="n"/>
      <c r="K4" s="1086" t="inlineStr">
        <is>
          <t>Fixed</t>
        </is>
      </c>
      <c r="L4" s="1081">
        <f>+F4*I4</f>
        <v/>
      </c>
      <c r="M4" s="1287" t="n"/>
      <c r="N4" s="1083" t="inlineStr">
        <is>
          <t>Table 2</t>
        </is>
      </c>
      <c r="O4" s="653" t="inlineStr">
        <is>
          <t>Condition</t>
        </is>
      </c>
      <c r="P4" s="653" t="inlineStr">
        <is>
          <t>Interest rate</t>
        </is>
      </c>
      <c r="Q4" s="653" t="n"/>
      <c r="R4" s="653" t="inlineStr">
        <is>
          <t>Credit</t>
        </is>
      </c>
      <c r="S4" s="653" t="inlineStr">
        <is>
          <t>Loan</t>
        </is>
      </c>
      <c r="T4" s="1084" t="inlineStr">
        <is>
          <t>Available</t>
        </is>
      </c>
      <c r="V4" s="1679" t="n"/>
      <c r="W4" s="1679" t="n"/>
    </row>
    <row r="5">
      <c r="G5" s="1593" t="n"/>
      <c r="H5" s="1079" t="n"/>
      <c r="L5" s="1081">
        <f>+F5*I5</f>
        <v/>
      </c>
      <c r="N5" s="1085" t="inlineStr">
        <is>
          <t>CPFO</t>
        </is>
      </c>
      <c r="O5" s="1077" t="inlineStr">
        <is>
          <t>Fixed</t>
        </is>
      </c>
      <c r="P5" s="1086">
        <f>IF(S5=0,0,SUMIFS(L:L,$B:$B,$N$5,$K:$K,$O5,$A:$A,$Q5)/S5)</f>
        <v/>
      </c>
      <c r="Q5" s="1077" t="inlineStr">
        <is>
          <t>STL</t>
        </is>
      </c>
      <c r="R5" s="1087">
        <f>SUMIFS(F:F,$B:$B,$N$5,$K:$K,$O5,$A:$A,$Q5)</f>
        <v/>
      </c>
      <c r="S5" s="1087">
        <f>SUMIFS(G:G,$B:$B,$N$5,$K:$K,$O5,$A:$A,$Q5)</f>
        <v/>
      </c>
      <c r="T5" s="1088">
        <f>+R5-S5</f>
        <v/>
      </c>
      <c r="V5" s="1679" t="n"/>
      <c r="W5" s="1679" t="n"/>
    </row>
    <row r="6">
      <c r="A6" s="1077" t="inlineStr">
        <is>
          <t>STL</t>
        </is>
      </c>
      <c r="B6" s="1077" t="inlineStr">
        <is>
          <t>RBPI</t>
        </is>
      </c>
      <c r="C6" s="1077" t="inlineStr">
        <is>
          <t>PPP</t>
        </is>
      </c>
      <c r="D6" s="1077" t="inlineStr">
        <is>
          <t>Severnaya</t>
        </is>
      </c>
      <c r="F6" s="1593" t="n">
        <v>1250</v>
      </c>
      <c r="G6" s="1593" t="n">
        <v>1250</v>
      </c>
      <c r="H6" s="1079">
        <f>+F6-G6</f>
        <v/>
      </c>
      <c r="I6" s="1086" t="n">
        <v>0.105</v>
      </c>
      <c r="K6" s="1086" t="inlineStr">
        <is>
          <t>Fixed</t>
        </is>
      </c>
      <c r="L6" s="1081">
        <f>+F6*I6</f>
        <v/>
      </c>
      <c r="N6" s="1085" t="n"/>
      <c r="O6" s="1077" t="inlineStr">
        <is>
          <t>Fixed</t>
        </is>
      </c>
      <c r="P6" s="1086">
        <f>IF(S6=0,0,SUMIFS(L:L,$B:$B,$N$5,$K:$K,$O6,$A:$A,$Q6)/S6)</f>
        <v/>
      </c>
      <c r="Q6" s="1077" t="inlineStr">
        <is>
          <t>LTL</t>
        </is>
      </c>
      <c r="R6" s="1087">
        <f>SUMIFS(F:F,$B:$B,$N$5,$K:$K,$O6,$A:$A,$Q6)</f>
        <v/>
      </c>
      <c r="S6" s="1087">
        <f>SUMIFS(G:G,$B:$B,$N$5,$K:$K,$O6,$A:$A,$Q6)</f>
        <v/>
      </c>
      <c r="T6" s="1088">
        <f>+R6-S6</f>
        <v/>
      </c>
      <c r="V6" s="1679" t="n"/>
      <c r="W6" s="1679" t="n"/>
    </row>
    <row r="7">
      <c r="A7" s="1077" t="inlineStr">
        <is>
          <t>LTL</t>
        </is>
      </c>
      <c r="B7" s="1077" t="inlineStr">
        <is>
          <t>RBPI</t>
        </is>
      </c>
      <c r="C7" s="1077" t="inlineStr">
        <is>
          <t>NNPP</t>
        </is>
      </c>
      <c r="D7" s="1077" t="inlineStr">
        <is>
          <t>Severnaya</t>
        </is>
      </c>
      <c r="F7" s="1593" t="n">
        <v>200</v>
      </c>
      <c r="G7" s="1593" t="n">
        <v>200</v>
      </c>
      <c r="H7" s="1079">
        <f>+F7-G7</f>
        <v/>
      </c>
      <c r="I7" s="1086" t="n">
        <v>0.105</v>
      </c>
      <c r="K7" s="1086" t="inlineStr">
        <is>
          <t>Fixed</t>
        </is>
      </c>
      <c r="N7" s="1085" t="n"/>
      <c r="O7" s="1077" t="inlineStr">
        <is>
          <t>Non Fixed</t>
        </is>
      </c>
      <c r="P7" s="1086">
        <f>IF(S7=0,0,SUMIFS(L:L,$B:$B,$N$5,$K:$K,$O7,$A:$A,$Q7)/S7)</f>
        <v/>
      </c>
      <c r="Q7" s="1077" t="inlineStr">
        <is>
          <t>STL</t>
        </is>
      </c>
      <c r="R7" s="1087">
        <f>SUMIFS(F:F,$B:$B,$N$5,$K:$K,$O7,$A:$A,$Q7)</f>
        <v/>
      </c>
      <c r="S7" s="1087">
        <f>SUMIFS(G:G,$B:$B,$N$5,$K:$K,$O7,$A:$A,$Q7)</f>
        <v/>
      </c>
      <c r="T7" s="1088">
        <f>+R7-S7</f>
        <v/>
      </c>
      <c r="V7" s="1679" t="n"/>
      <c r="W7" s="1679" t="n"/>
    </row>
    <row r="8">
      <c r="A8" s="1077" t="inlineStr">
        <is>
          <t>STL</t>
        </is>
      </c>
      <c r="B8" s="1077" t="inlineStr">
        <is>
          <t>RBPI</t>
        </is>
      </c>
      <c r="C8" s="1077" t="inlineStr">
        <is>
          <t>PPP</t>
        </is>
      </c>
      <c r="D8" s="1077" t="inlineStr">
        <is>
          <t>Severnaya</t>
        </is>
      </c>
      <c r="F8" s="1593" t="n">
        <v>150</v>
      </c>
      <c r="G8" s="1593" t="n">
        <v>150</v>
      </c>
      <c r="H8" s="1079">
        <f>+F8-G8</f>
        <v/>
      </c>
      <c r="I8" s="1086" t="n">
        <v>0.105</v>
      </c>
      <c r="K8" s="1086" t="inlineStr">
        <is>
          <t>Fixed</t>
        </is>
      </c>
      <c r="L8" s="1081">
        <f>+F8*I8</f>
        <v/>
      </c>
      <c r="N8" s="1090" t="n"/>
      <c r="O8" s="1091" t="inlineStr">
        <is>
          <t>Non Fixed</t>
        </is>
      </c>
      <c r="P8" s="1092">
        <f>IF(S8=0,0,SUMIFS(L:L,$B:$B,$N$5,$K:$K,$O8,$A:$A,$Q8)/S8)</f>
        <v/>
      </c>
      <c r="Q8" s="1091" t="inlineStr">
        <is>
          <t>LTL</t>
        </is>
      </c>
      <c r="R8" s="1093">
        <f>SUMIFS(F:F,$B:$B,$N$5,$K:$K,$O8,$A:$A,$Q8)</f>
        <v/>
      </c>
      <c r="S8" s="1093">
        <f>SUMIFS(G:G,$B:$B,$N$5,$K:$K,$O8,$A:$A,$Q8)</f>
        <v/>
      </c>
      <c r="T8" s="1094">
        <f>+R8-S8</f>
        <v/>
      </c>
      <c r="V8" s="1679" t="n"/>
      <c r="W8" s="1679" t="n"/>
    </row>
    <row r="9">
      <c r="A9" s="1077" t="inlineStr">
        <is>
          <t>LTL</t>
        </is>
      </c>
      <c r="B9" s="1077" t="inlineStr">
        <is>
          <t>RBPI</t>
        </is>
      </c>
      <c r="C9" s="1077" t="inlineStr">
        <is>
          <t>NNPP</t>
        </is>
      </c>
      <c r="D9" s="1077" t="inlineStr">
        <is>
          <t>Stesha</t>
        </is>
      </c>
      <c r="F9" s="1593" t="n">
        <v>370</v>
      </c>
      <c r="G9" s="1593" t="n">
        <v>370</v>
      </c>
      <c r="H9" s="1079" t="n"/>
      <c r="I9" s="1086" t="n">
        <v>0.105</v>
      </c>
      <c r="K9" s="1086" t="inlineStr">
        <is>
          <t>Fixed</t>
        </is>
      </c>
      <c r="L9" s="1081">
        <f>+F9*I9</f>
        <v/>
      </c>
      <c r="N9" s="1085" t="n"/>
      <c r="O9" s="1074" t="n"/>
      <c r="P9" s="1095">
        <f>IF(S9=0,0,SUMIFS(L:L,$B:$B,$N$5)/S9)</f>
        <v/>
      </c>
      <c r="Q9" s="1074" t="n"/>
      <c r="R9" s="1096">
        <f>SUM(R5:R8)</f>
        <v/>
      </c>
      <c r="S9" s="1096">
        <f>SUM(S5:S8)</f>
        <v/>
      </c>
      <c r="T9" s="1097">
        <f>+R9-S9</f>
        <v/>
      </c>
      <c r="V9" s="1679" t="n"/>
      <c r="W9" s="1679" t="n"/>
    </row>
    <row r="10">
      <c r="A10" s="1077" t="inlineStr">
        <is>
          <t>LTL</t>
        </is>
      </c>
      <c r="B10" s="1077" t="inlineStr">
        <is>
          <t>RBPI</t>
        </is>
      </c>
      <c r="C10" s="1077" t="inlineStr">
        <is>
          <t>NNPP-2</t>
        </is>
      </c>
      <c r="D10" s="1077" t="inlineStr">
        <is>
          <t>Severnaya</t>
        </is>
      </c>
      <c r="F10" s="1593" t="n">
        <v>200</v>
      </c>
      <c r="G10" s="1593" t="n">
        <v>200</v>
      </c>
      <c r="H10" s="1079">
        <f>+F10-G10</f>
        <v/>
      </c>
      <c r="I10" s="1086" t="n">
        <v>0.105</v>
      </c>
      <c r="K10" s="1086" t="inlineStr">
        <is>
          <t>Fixed</t>
        </is>
      </c>
      <c r="L10" s="1081">
        <f>+F10*I10</f>
        <v/>
      </c>
      <c r="N10" s="1098" t="inlineStr">
        <is>
          <t>RBPI</t>
        </is>
      </c>
      <c r="O10" s="1099" t="inlineStr">
        <is>
          <t>Fixed</t>
        </is>
      </c>
      <c r="P10" s="1100">
        <f>IF(S10=0,0,SUMIFS(L:L,$B:$B,$N$10,$K:$K,$O10,$A:$A,$Q10)/S10)</f>
        <v/>
      </c>
      <c r="Q10" s="1099" t="inlineStr">
        <is>
          <t>STL</t>
        </is>
      </c>
      <c r="R10" s="1101">
        <f>SUMIFS(F:F,$B:$B,$N$10,$K:$K,$O10,$A:$A,$Q10)</f>
        <v/>
      </c>
      <c r="S10" s="1101">
        <f>SUMIFS(G:G,$B:$B,$N$10,$K:$K,$O10,$A:$A,$Q10)</f>
        <v/>
      </c>
      <c r="T10" s="1102">
        <f>+R10-S10</f>
        <v/>
      </c>
    </row>
    <row r="11">
      <c r="A11" s="1077" t="inlineStr">
        <is>
          <t>LTL</t>
        </is>
      </c>
      <c r="B11" s="1077" t="inlineStr">
        <is>
          <t>RBPI</t>
        </is>
      </c>
      <c r="C11" s="1077" t="inlineStr">
        <is>
          <t>NNPP-2</t>
        </is>
      </c>
      <c r="D11" s="1077" t="inlineStr">
        <is>
          <t>Stesha</t>
        </is>
      </c>
      <c r="F11" s="1593" t="n">
        <v>300</v>
      </c>
      <c r="G11" s="1593" t="n">
        <v>300</v>
      </c>
      <c r="H11" s="1079">
        <f>+F11-G11</f>
        <v/>
      </c>
      <c r="I11" s="1086" t="n">
        <v>0.105</v>
      </c>
      <c r="K11" s="1086" t="inlineStr">
        <is>
          <t>Fixed</t>
        </is>
      </c>
      <c r="L11" s="1081">
        <f>+F11*I11</f>
        <v/>
      </c>
      <c r="N11" s="1085" t="n"/>
      <c r="O11" s="1077" t="inlineStr">
        <is>
          <t>Fixed</t>
        </is>
      </c>
      <c r="P11" s="1086">
        <f>IF(S11=0,0,SUMIFS(L:L,$B:$B,$N$10,$K:$K,$O11,$A:$A,$Q11)/S11)</f>
        <v/>
      </c>
      <c r="Q11" s="1077" t="inlineStr">
        <is>
          <t>LTL</t>
        </is>
      </c>
      <c r="R11" s="1087">
        <f>SUMIFS(F:F,$B:$B,$N$10,$K:$K,$O11,$A:$A,$Q11)</f>
        <v/>
      </c>
      <c r="S11" s="1087">
        <f>SUMIFS(G:G,$B:$B,$N$10,$K:$K,$O11,$A:$A,$Q11)</f>
        <v/>
      </c>
      <c r="T11" s="1088">
        <f>+R11-S11</f>
        <v/>
      </c>
    </row>
    <row r="12">
      <c r="A12" s="1077" t="inlineStr">
        <is>
          <t>LTL</t>
        </is>
      </c>
      <c r="B12" s="1077" t="inlineStr">
        <is>
          <t>RBPI</t>
        </is>
      </c>
      <c r="C12" s="1077" t="inlineStr">
        <is>
          <t>NNPP-2</t>
        </is>
      </c>
      <c r="D12" s="1077" t="inlineStr">
        <is>
          <t>Stesha</t>
        </is>
      </c>
      <c r="F12" s="1593" t="n">
        <v>1040</v>
      </c>
      <c r="G12" s="1593" t="n">
        <v>1040</v>
      </c>
      <c r="H12" s="1079">
        <f>+F12-G12</f>
        <v/>
      </c>
      <c r="I12" s="1086" t="n">
        <v>0.105</v>
      </c>
      <c r="K12" s="1086" t="inlineStr">
        <is>
          <t>Fixed</t>
        </is>
      </c>
      <c r="L12" s="1081">
        <f>+F12*I12</f>
        <v/>
      </c>
      <c r="N12" s="1085" t="n"/>
      <c r="O12" s="1077" t="inlineStr">
        <is>
          <t>Non Fixed</t>
        </is>
      </c>
      <c r="P12" s="1086">
        <f>IF(S12=0,0,SUMIFS(L:L,$B:$B,$N$10,$K:$K,$O12,$A:$A,$Q12)/S12)</f>
        <v/>
      </c>
      <c r="Q12" s="1077" t="inlineStr">
        <is>
          <t>STL</t>
        </is>
      </c>
      <c r="R12" s="1087">
        <f>SUMIFS(F:F,$B:$B,$N$10,$K:$K,$O12,$A:$A,$Q12)</f>
        <v/>
      </c>
      <c r="S12" s="1087">
        <f>SUMIFS(G:G,$B:$B,$N$10,$K:$K,$O12,$A:$A,$Q12)</f>
        <v/>
      </c>
      <c r="T12" s="1088">
        <f>+R12-S12</f>
        <v/>
      </c>
    </row>
    <row r="13" customFormat="1" s="1075">
      <c r="A13" s="1077" t="inlineStr">
        <is>
          <t>LTL</t>
        </is>
      </c>
      <c r="B13" s="1077" t="inlineStr">
        <is>
          <t>RBPI</t>
        </is>
      </c>
      <c r="C13" s="1077" t="inlineStr">
        <is>
          <t>PPP</t>
        </is>
      </c>
      <c r="D13" s="1077" t="inlineStr">
        <is>
          <t>Stesha</t>
        </is>
      </c>
      <c r="E13" s="1077" t="n"/>
      <c r="F13" s="1593" t="n">
        <v>500</v>
      </c>
      <c r="G13" s="1593" t="n">
        <v>500</v>
      </c>
      <c r="H13" s="1079">
        <f>+F13-G13</f>
        <v/>
      </c>
      <c r="I13" s="1086" t="n">
        <v>0.105</v>
      </c>
      <c r="J13" s="1086" t="n"/>
      <c r="K13" s="1086" t="inlineStr">
        <is>
          <t>Fixed</t>
        </is>
      </c>
      <c r="L13" s="1081">
        <f>+F13*I13</f>
        <v/>
      </c>
      <c r="M13" s="1073" t="n"/>
      <c r="N13" s="1090" t="n"/>
      <c r="O13" s="1091" t="inlineStr">
        <is>
          <t>Non Fixed</t>
        </is>
      </c>
      <c r="P13" s="1092">
        <f>IF(S13=0,0,SUMIFS(L:L,$B:$B,$N$10,$K:$K,$O13,$A:$A,$Q13)/S13)</f>
        <v/>
      </c>
      <c r="Q13" s="1091" t="inlineStr">
        <is>
          <t>LTL</t>
        </is>
      </c>
      <c r="R13" s="1093">
        <f>SUMIFS(F:F,$B:$B,$N$10,$K:$K,$O13,$A:$A,$Q13)</f>
        <v/>
      </c>
      <c r="S13" s="1093">
        <f>SUMIFS(G:G,$B:$B,$N$10,$K:$K,$O13,$A:$A,$Q13)</f>
        <v/>
      </c>
      <c r="T13" s="1094">
        <f>+R13-S13</f>
        <v/>
      </c>
      <c r="U13" s="1074" t="n"/>
    </row>
    <row r="14" customFormat="1" s="1075">
      <c r="A14" s="1077" t="inlineStr">
        <is>
          <t>LTL</t>
        </is>
      </c>
      <c r="B14" s="1077" t="inlineStr">
        <is>
          <t>RBPI</t>
        </is>
      </c>
      <c r="C14" s="1077" t="inlineStr">
        <is>
          <t>PPP</t>
        </is>
      </c>
      <c r="D14" s="1077" t="inlineStr">
        <is>
          <t>Severnaya</t>
        </is>
      </c>
      <c r="E14" s="1077" t="n"/>
      <c r="F14" s="1593" t="n">
        <v>1000</v>
      </c>
      <c r="G14" s="1593" t="n">
        <v>1000</v>
      </c>
      <c r="H14" s="1079">
        <f>+F14-G14</f>
        <v/>
      </c>
      <c r="I14" s="1086" t="n">
        <v>0.105</v>
      </c>
      <c r="J14" s="1086" t="n"/>
      <c r="K14" s="1086" t="inlineStr">
        <is>
          <t>Fixed</t>
        </is>
      </c>
      <c r="L14" s="1081">
        <f>+F14*I14</f>
        <v/>
      </c>
      <c r="M14" s="1073" t="n"/>
      <c r="N14" s="1085" t="n"/>
      <c r="O14" s="1074" t="n"/>
      <c r="P14" s="1103">
        <f>IF(S14=0,0,SUMIFS(L:L,$B:$B,N10)/S14)</f>
        <v/>
      </c>
      <c r="Q14" s="1074" t="n"/>
      <c r="R14" s="1096">
        <f>SUM(R10:R13)</f>
        <v/>
      </c>
      <c r="S14" s="1096">
        <f>SUM(S10:S13)</f>
        <v/>
      </c>
      <c r="T14" s="1104">
        <f>+R14-S14</f>
        <v/>
      </c>
      <c r="U14" s="1074" t="n"/>
    </row>
    <row r="15" customFormat="1" s="1075">
      <c r="A15" s="1077" t="inlineStr">
        <is>
          <t>STL</t>
        </is>
      </c>
      <c r="B15" s="1077" t="inlineStr">
        <is>
          <t>RBPI</t>
        </is>
      </c>
      <c r="C15" s="1077" t="inlineStr">
        <is>
          <t>PPP</t>
        </is>
      </c>
      <c r="D15" s="1077" t="inlineStr">
        <is>
          <t>Severnaya</t>
        </is>
      </c>
      <c r="E15" s="1077" t="n"/>
      <c r="F15" s="1593" t="n">
        <v>600</v>
      </c>
      <c r="G15" s="1593" t="n">
        <v>600</v>
      </c>
      <c r="H15" s="1079">
        <f>+F15-G15</f>
        <v/>
      </c>
      <c r="I15" s="1086" t="n">
        <v>0.11</v>
      </c>
      <c r="J15" s="1086" t="n"/>
      <c r="K15" s="1086" t="inlineStr">
        <is>
          <t>Fixed</t>
        </is>
      </c>
      <c r="L15" s="1081">
        <f>+F15*I15</f>
        <v/>
      </c>
      <c r="M15" s="1073" t="n"/>
      <c r="N15" s="1098" t="inlineStr">
        <is>
          <t>APK</t>
        </is>
      </c>
      <c r="O15" s="1099" t="inlineStr">
        <is>
          <t>Fixed</t>
        </is>
      </c>
      <c r="P15" s="1100">
        <f>IF(S15=0,0,SUMIFS(L:L,$B:$B,$N$15,$K:$K,$O15,$A:$A,$Q15)/S15)</f>
        <v/>
      </c>
      <c r="Q15" s="1099" t="inlineStr">
        <is>
          <t>STL</t>
        </is>
      </c>
      <c r="R15" s="1101">
        <f>SUMIFS(F:F,$B:$B,$N$15,$K:$K,$O15,$A:$A,$Q15)</f>
        <v/>
      </c>
      <c r="S15" s="1101">
        <f>SUMIFS(G:G,$B:$B,$N$15,$K:$K,$O15,$A:$A,$Q15)</f>
        <v/>
      </c>
      <c r="T15" s="1102">
        <f>+R15-S15</f>
        <v/>
      </c>
      <c r="U15" s="1074" t="n"/>
    </row>
    <row r="16" customFormat="1" s="1075">
      <c r="A16" s="1077" t="n"/>
      <c r="B16" s="1077" t="n"/>
      <c r="C16" s="1077" t="n"/>
      <c r="D16" s="1077" t="n"/>
      <c r="E16" s="1077" t="n"/>
      <c r="F16" s="1593" t="n"/>
      <c r="G16" s="1593" t="n"/>
      <c r="H16" s="1079" t="n"/>
      <c r="I16" s="1086" t="n"/>
      <c r="J16" s="1086" t="n"/>
      <c r="K16" s="1086" t="n"/>
      <c r="L16" s="1081">
        <f>+F16*I16</f>
        <v/>
      </c>
      <c r="M16" s="1073" t="n"/>
      <c r="N16" s="1085" t="n"/>
      <c r="O16" s="1077" t="inlineStr">
        <is>
          <t>Fixed</t>
        </is>
      </c>
      <c r="P16" s="1086">
        <f>IF(S16=0,0,SUMIFS(L:L,$B:$B,$N$15,$K:$K,$O16,$A:$A,$Q16)/S16)</f>
        <v/>
      </c>
      <c r="Q16" s="1077" t="inlineStr">
        <is>
          <t>LTL</t>
        </is>
      </c>
      <c r="R16" s="1087">
        <f>SUMIFS(F:F,$B:$B,$N$15,$K:$K,$O16,$A:$A,$Q16)</f>
        <v/>
      </c>
      <c r="S16" s="1087">
        <f>SUMIFS(G:G,$B:$B,$N$15,$K:$K,$O16,$A:$A,$Q16)</f>
        <v/>
      </c>
      <c r="T16" s="1088">
        <f>+R16-S16</f>
        <v/>
      </c>
      <c r="U16" s="1074" t="n"/>
    </row>
    <row r="17">
      <c r="A17" s="1077" t="inlineStr">
        <is>
          <t>LTL</t>
        </is>
      </c>
      <c r="B17" s="1077" t="inlineStr">
        <is>
          <t>APK</t>
        </is>
      </c>
      <c r="C17" s="1077" t="inlineStr">
        <is>
          <t>Agro Soyuz</t>
        </is>
      </c>
      <c r="D17" s="1077" t="inlineStr">
        <is>
          <t>Severnaya</t>
        </is>
      </c>
      <c r="F17" s="1593" t="n">
        <v>700</v>
      </c>
      <c r="G17" s="1593" t="n">
        <v>700</v>
      </c>
      <c r="H17" s="1079">
        <f>+F17-G17</f>
        <v/>
      </c>
      <c r="I17" s="1086" t="n">
        <v>0.105</v>
      </c>
      <c r="K17" s="1086" t="inlineStr">
        <is>
          <t>Fixed</t>
        </is>
      </c>
      <c r="L17" s="1081">
        <f>+F17*I17</f>
        <v/>
      </c>
      <c r="N17" s="1085" t="n"/>
      <c r="P17" s="1086" t="n"/>
      <c r="R17" s="1087" t="n"/>
      <c r="S17" s="1087" t="n"/>
      <c r="T17" s="1088" t="n"/>
    </row>
    <row r="18" customFormat="1" s="1075">
      <c r="A18" s="1077" t="inlineStr">
        <is>
          <t>LTL</t>
        </is>
      </c>
      <c r="B18" s="1077" t="inlineStr">
        <is>
          <t>APK</t>
        </is>
      </c>
      <c r="C18" s="1077" t="inlineStr">
        <is>
          <t>Myaso Soyuz</t>
        </is>
      </c>
      <c r="D18" s="1077" t="inlineStr">
        <is>
          <t>Severnaya</t>
        </is>
      </c>
      <c r="E18" s="1077" t="n"/>
      <c r="F18" s="1593" t="n">
        <v>650</v>
      </c>
      <c r="G18" s="1593" t="n">
        <v>650</v>
      </c>
      <c r="H18" s="1079">
        <f>+F18-G18</f>
        <v/>
      </c>
      <c r="I18" s="1086" t="n">
        <v>0.105</v>
      </c>
      <c r="J18" s="1086" t="n"/>
      <c r="K18" s="1086" t="inlineStr">
        <is>
          <t>Fixed</t>
        </is>
      </c>
      <c r="L18" s="1081">
        <f>+F18*I18</f>
        <v/>
      </c>
      <c r="M18" s="1073" t="n"/>
      <c r="N18" s="1085" t="n"/>
      <c r="O18" s="1077" t="inlineStr">
        <is>
          <t>Non Fixed</t>
        </is>
      </c>
      <c r="P18" s="1086">
        <f>IF(S18=0,0,SUMIFS(L:L,$B:$B,$N$15,$K:$K,$O18,$A:$A,$Q18)/S18)</f>
        <v/>
      </c>
      <c r="Q18" s="1077" t="inlineStr">
        <is>
          <t>STL</t>
        </is>
      </c>
      <c r="R18" s="1087">
        <f>SUMIFS(F:F,$B:$B,$N$15,$K:$K,$O18,$A:$A,$Q18)</f>
        <v/>
      </c>
      <c r="S18" s="1087">
        <f>SUMIFS(G:G,$B:$B,$N$15,$K:$K,$O18,$A:$A,$Q18)</f>
        <v/>
      </c>
      <c r="T18" s="1088">
        <f>+R18-S18</f>
        <v/>
      </c>
      <c r="U18" s="1074" t="n"/>
    </row>
    <row r="19" customFormat="1" s="1075">
      <c r="A19" s="1077" t="inlineStr">
        <is>
          <t>LTL</t>
        </is>
      </c>
      <c r="B19" s="1077" t="inlineStr">
        <is>
          <t>APK</t>
        </is>
      </c>
      <c r="C19" s="1077" t="inlineStr">
        <is>
          <t>Agro Soyuz</t>
        </is>
      </c>
      <c r="D19" s="1077" t="inlineStr">
        <is>
          <t>Stesha</t>
        </is>
      </c>
      <c r="E19" s="1077" t="n"/>
      <c r="F19" s="1593" t="n">
        <v>500</v>
      </c>
      <c r="G19" s="1593" t="n">
        <v>500</v>
      </c>
      <c r="H19" s="1079">
        <f>+F19-G19</f>
        <v/>
      </c>
      <c r="I19" s="1086" t="n">
        <v>0.11</v>
      </c>
      <c r="J19" s="1086" t="n"/>
      <c r="K19" s="1086" t="inlineStr">
        <is>
          <t>Fixed</t>
        </is>
      </c>
      <c r="L19" s="1081">
        <f>+F19*I19</f>
        <v/>
      </c>
      <c r="M19" s="1073" t="n"/>
      <c r="N19" s="1090" t="n"/>
      <c r="O19" s="1091" t="inlineStr">
        <is>
          <t>Non Fixed</t>
        </is>
      </c>
      <c r="P19" s="1092">
        <f>IF(S19=0,0,SUMIFS(L:L,$B:$B,$N$15,$K:$K,$O19,$A:$A,$Q19)/S19)</f>
        <v/>
      </c>
      <c r="Q19" s="1091" t="inlineStr">
        <is>
          <t>LTL</t>
        </is>
      </c>
      <c r="R19" s="1093">
        <f>SUMIFS(F:F,$B:$B,$N$15,$K:$K,$O19,$A:$A,$Q19)</f>
        <v/>
      </c>
      <c r="S19" s="1093">
        <f>SUMIFS(G:G,$B:$B,$N$15,$K:$K,$O19,$A:$A,$Q19)</f>
        <v/>
      </c>
      <c r="T19" s="1094">
        <f>+R19-S19</f>
        <v/>
      </c>
      <c r="U19" s="1074" t="n"/>
    </row>
    <row r="20" ht="15" customHeight="1">
      <c r="A20" s="1077" t="inlineStr">
        <is>
          <t>LTL</t>
        </is>
      </c>
      <c r="B20" s="1077" t="inlineStr">
        <is>
          <t>APK</t>
        </is>
      </c>
      <c r="C20" s="1077" t="inlineStr">
        <is>
          <t>Agro Soyuz</t>
        </is>
      </c>
      <c r="D20" s="1077" t="inlineStr">
        <is>
          <t>Stesha</t>
        </is>
      </c>
      <c r="F20" s="1593" t="n">
        <v>650</v>
      </c>
      <c r="G20" s="1593" t="n">
        <v>650</v>
      </c>
      <c r="H20" s="1079">
        <f>+F20-G20</f>
        <v/>
      </c>
      <c r="I20" s="1086" t="n">
        <v>0.105</v>
      </c>
      <c r="K20" s="1086" t="inlineStr">
        <is>
          <t>Fixed</t>
        </is>
      </c>
      <c r="L20" s="1081">
        <f>+F20*I20</f>
        <v/>
      </c>
      <c r="N20" s="1085" t="n"/>
      <c r="O20" s="1074" t="n"/>
      <c r="P20" s="1105">
        <f>IF(S20=0,0,SUMIFS(L:L,$B:$B,N15)/S20)</f>
        <v/>
      </c>
      <c r="Q20" s="1074" t="n"/>
      <c r="R20" s="1096">
        <f>SUM(R15:R19)</f>
        <v/>
      </c>
      <c r="S20" s="1096">
        <f>SUM(S15:S19)</f>
        <v/>
      </c>
      <c r="T20" s="1106">
        <f>+R20-S20</f>
        <v/>
      </c>
    </row>
    <row r="21" ht="15" customHeight="1" thickBot="1">
      <c r="A21" s="1077" t="inlineStr">
        <is>
          <t>LTL</t>
        </is>
      </c>
      <c r="B21" s="1077" t="inlineStr">
        <is>
          <t>APK</t>
        </is>
      </c>
      <c r="C21" s="1077" t="inlineStr">
        <is>
          <t>Myaso Soyuz</t>
        </is>
      </c>
      <c r="D21" s="1077" t="inlineStr">
        <is>
          <t>Stesha</t>
        </is>
      </c>
      <c r="F21" s="1593" t="n">
        <v>600</v>
      </c>
      <c r="G21" s="1593" t="n">
        <v>600</v>
      </c>
      <c r="H21" s="1079">
        <f>+F21-G21</f>
        <v/>
      </c>
      <c r="I21" s="1086" t="n">
        <v>0.105</v>
      </c>
      <c r="K21" s="1086" t="inlineStr">
        <is>
          <t>Fixed</t>
        </is>
      </c>
      <c r="L21" s="1081">
        <f>+F21*I21</f>
        <v/>
      </c>
      <c r="N21" s="1108" t="inlineStr">
        <is>
          <t>SUM RUSSIA</t>
        </is>
      </c>
      <c r="O21" s="1109" t="n"/>
      <c r="P21" s="1110">
        <f>+I63</f>
        <v/>
      </c>
      <c r="Q21" s="1109" t="n"/>
      <c r="R21" s="1111">
        <f>R9+R14+R20</f>
        <v/>
      </c>
      <c r="S21" s="1111">
        <f>S9+S14+S20</f>
        <v/>
      </c>
      <c r="T21" s="1112">
        <f>+R21-S21</f>
        <v/>
      </c>
    </row>
    <row r="22">
      <c r="A22" s="1077" t="inlineStr">
        <is>
          <t>LTL</t>
        </is>
      </c>
      <c r="B22" s="1077" t="inlineStr">
        <is>
          <t>APK</t>
        </is>
      </c>
      <c r="C22" s="1077" t="inlineStr">
        <is>
          <t>Myaso Soyuz</t>
        </is>
      </c>
      <c r="D22" s="1077" t="inlineStr">
        <is>
          <t>Stesha</t>
        </is>
      </c>
      <c r="F22" s="1593" t="n">
        <v>600</v>
      </c>
      <c r="G22" s="1593" t="n">
        <v>600</v>
      </c>
      <c r="H22" s="1079">
        <f>+F22-G22</f>
        <v/>
      </c>
      <c r="I22" s="1086" t="n">
        <v>0.105</v>
      </c>
      <c r="K22" s="1086" t="inlineStr">
        <is>
          <t>Fixed</t>
        </is>
      </c>
      <c r="L22" s="1081">
        <f>+F22*I22</f>
        <v/>
      </c>
      <c r="N22" s="1113" t="n"/>
      <c r="O22" s="1074" t="n"/>
      <c r="P22" s="1095" t="n"/>
      <c r="Q22" s="1074" t="n"/>
      <c r="R22" s="1096" t="n"/>
      <c r="S22" s="1096" t="n"/>
      <c r="T22" s="1096" t="n"/>
    </row>
    <row r="23">
      <c r="A23" s="1077" t="inlineStr">
        <is>
          <t>STL</t>
        </is>
      </c>
      <c r="B23" s="1077" t="inlineStr">
        <is>
          <t>APK</t>
        </is>
      </c>
      <c r="C23" s="1077" t="inlineStr">
        <is>
          <t>Myaso Soyuz</t>
        </is>
      </c>
      <c r="D23" s="1077" t="inlineStr">
        <is>
          <t>Stesha</t>
        </is>
      </c>
      <c r="F23" s="1593" t="n">
        <v>420</v>
      </c>
      <c r="G23" s="1593" t="n">
        <v>420</v>
      </c>
      <c r="H23" s="1079">
        <f>+F23-G23</f>
        <v/>
      </c>
      <c r="I23" s="1086" t="n">
        <v>0.11</v>
      </c>
      <c r="K23" s="1086" t="inlineStr">
        <is>
          <t>Fixed</t>
        </is>
      </c>
      <c r="L23" s="1081">
        <f>+F23*I23</f>
        <v/>
      </c>
      <c r="N23" s="1113" t="inlineStr">
        <is>
          <t>Lender</t>
        </is>
      </c>
      <c r="O23" s="1113" t="inlineStr">
        <is>
          <t>Borrower</t>
        </is>
      </c>
      <c r="P23" s="1095" t="inlineStr">
        <is>
          <t>M.RUB</t>
        </is>
      </c>
      <c r="R23" s="1087" t="n"/>
      <c r="S23" s="1087" t="n"/>
      <c r="T23" s="1087" t="n"/>
    </row>
    <row r="24">
      <c r="A24" s="1077" t="inlineStr">
        <is>
          <t>STL</t>
        </is>
      </c>
      <c r="B24" s="1077" t="inlineStr">
        <is>
          <t>APK</t>
        </is>
      </c>
      <c r="C24" s="1077" t="inlineStr">
        <is>
          <t>Agro Soyuz</t>
        </is>
      </c>
      <c r="D24" s="1077" t="inlineStr">
        <is>
          <t>CPFO</t>
        </is>
      </c>
      <c r="F24" s="1593" t="n">
        <v>300</v>
      </c>
      <c r="G24" s="1593" t="n">
        <v>300</v>
      </c>
      <c r="H24" s="1079" t="n"/>
      <c r="I24" s="1086" t="n">
        <v>0.105</v>
      </c>
      <c r="K24" s="1086" t="inlineStr">
        <is>
          <t>Fixed</t>
        </is>
      </c>
      <c r="L24" s="1081">
        <f>+F24*I24</f>
        <v/>
      </c>
      <c r="N24" s="1149" t="inlineStr">
        <is>
          <t>Stesha</t>
        </is>
      </c>
      <c r="O24" s="1077" t="inlineStr">
        <is>
          <t>CPFO</t>
        </is>
      </c>
      <c r="P24" s="1310">
        <f>SUMIFS(G:G,D:D,N24,B:B,O24)</f>
        <v/>
      </c>
      <c r="R24" s="1087" t="n"/>
      <c r="S24" s="1087" t="n"/>
      <c r="T24" s="1087" t="n"/>
    </row>
    <row r="25">
      <c r="G25" s="1593" t="n"/>
      <c r="H25" s="1079" t="n"/>
      <c r="L25" s="1081">
        <f>+F25*I25</f>
        <v/>
      </c>
      <c r="N25" s="1149" t="inlineStr">
        <is>
          <t>Stesha</t>
        </is>
      </c>
      <c r="O25" s="1077" t="inlineStr">
        <is>
          <t>RBPI</t>
        </is>
      </c>
      <c r="P25" s="1310">
        <f>SUMIFS(G:G,D:D,N25,B:B,O25)</f>
        <v/>
      </c>
      <c r="R25" s="1087" t="n"/>
      <c r="S25" s="1087" t="n"/>
      <c r="T25" s="1087" t="n"/>
      <c r="V25" s="1679" t="n"/>
      <c r="W25" s="1679" t="n"/>
    </row>
    <row r="26">
      <c r="G26" s="1593" t="n"/>
      <c r="H26" s="1079" t="n"/>
      <c r="L26" s="1081">
        <f>+F26*I26</f>
        <v/>
      </c>
      <c r="N26" s="1149" t="inlineStr">
        <is>
          <t>Stesha</t>
        </is>
      </c>
      <c r="O26" s="1077" t="inlineStr">
        <is>
          <t>APK</t>
        </is>
      </c>
      <c r="P26" s="1310">
        <f>SUMIFS(G:G,D:D,N26,B:B,O26)</f>
        <v/>
      </c>
      <c r="R26" s="1087" t="n"/>
      <c r="S26" s="1087" t="n"/>
      <c r="T26" s="1087" t="n"/>
      <c r="V26" s="1679" t="n"/>
      <c r="W26" s="1679" t="n"/>
    </row>
    <row r="27" ht="15" customHeight="1" thickBot="1">
      <c r="A27" s="1077" t="inlineStr">
        <is>
          <t>LTL</t>
        </is>
      </c>
      <c r="B27" s="1077" t="inlineStr">
        <is>
          <t>RBPI</t>
        </is>
      </c>
      <c r="C27" s="1077" t="inlineStr">
        <is>
          <t>MC RBPI Group</t>
        </is>
      </c>
      <c r="D27" s="1077" t="inlineStr">
        <is>
          <t>Finagro ApS</t>
        </is>
      </c>
      <c r="F27" s="1593" t="n">
        <v>169.44342028</v>
      </c>
      <c r="G27" s="1593">
        <f>+F27</f>
        <v/>
      </c>
      <c r="H27" s="1079" t="n">
        <v>0</v>
      </c>
      <c r="I27" s="1086" t="n">
        <v>0.09</v>
      </c>
      <c r="K27" s="1086" t="inlineStr">
        <is>
          <t>Fixed</t>
        </is>
      </c>
      <c r="L27" s="1081">
        <f>+F27*I27</f>
        <v/>
      </c>
      <c r="N27" s="1268" t="n"/>
      <c r="O27" s="1269" t="n"/>
      <c r="P27" s="1270">
        <f>SUM(P24:P26)</f>
        <v/>
      </c>
      <c r="Q27" s="1074" t="n"/>
      <c r="R27" s="1096" t="n"/>
      <c r="S27" s="1096" t="n"/>
      <c r="T27" s="1096" t="n"/>
      <c r="V27" s="1679" t="n"/>
      <c r="W27" s="1679" t="n"/>
    </row>
    <row r="28" ht="15" customHeight="1" thickTop="1">
      <c r="A28" s="1077" t="inlineStr">
        <is>
          <t>LTL</t>
        </is>
      </c>
      <c r="B28" s="1077" t="inlineStr">
        <is>
          <t>RBPI</t>
        </is>
      </c>
      <c r="C28" s="1077" t="inlineStr">
        <is>
          <t>MC RBPI Group</t>
        </is>
      </c>
      <c r="D28" s="1077" t="inlineStr">
        <is>
          <t>NNPP-2</t>
        </is>
      </c>
      <c r="F28" s="1593" t="n">
        <v>100</v>
      </c>
      <c r="G28" s="1593">
        <f>+F28</f>
        <v/>
      </c>
      <c r="H28" s="1079" t="n">
        <v>0</v>
      </c>
      <c r="I28" s="1086" t="n">
        <v>0.1</v>
      </c>
      <c r="K28" s="1086" t="inlineStr">
        <is>
          <t>Fixed</t>
        </is>
      </c>
      <c r="L28" s="1081">
        <f>+F28*I28</f>
        <v/>
      </c>
      <c r="N28" s="1113" t="n"/>
      <c r="O28" s="1074" t="n"/>
      <c r="P28" s="1095" t="n"/>
      <c r="Q28" s="1074" t="n"/>
      <c r="R28" s="1096" t="n"/>
      <c r="S28" s="1096" t="n"/>
      <c r="T28" s="1096" t="n"/>
      <c r="V28" s="1679" t="n"/>
      <c r="W28" s="1679" t="n"/>
    </row>
    <row r="29">
      <c r="A29" s="1077" t="inlineStr">
        <is>
          <t>LTL</t>
        </is>
      </c>
      <c r="B29" s="1077" t="inlineStr">
        <is>
          <t>RBPI</t>
        </is>
      </c>
      <c r="C29" s="1077" t="inlineStr">
        <is>
          <t>MC RBPI Group</t>
        </is>
      </c>
      <c r="D29" s="1077" t="inlineStr">
        <is>
          <t>NNPP</t>
        </is>
      </c>
      <c r="F29" s="1593" t="n">
        <v>233.88933111</v>
      </c>
      <c r="G29" s="1593">
        <f>+F29</f>
        <v/>
      </c>
      <c r="H29" s="1079" t="n"/>
      <c r="I29" s="1086" t="n">
        <v>0.09</v>
      </c>
      <c r="K29" s="1086" t="inlineStr">
        <is>
          <t>Fixed</t>
        </is>
      </c>
      <c r="L29" s="1081">
        <f>+F29*I29</f>
        <v/>
      </c>
      <c r="N29" s="1113" t="inlineStr">
        <is>
          <t>Lender</t>
        </is>
      </c>
      <c r="O29" s="1113" t="inlineStr">
        <is>
          <t>Borrower</t>
        </is>
      </c>
      <c r="P29" s="1095" t="inlineStr">
        <is>
          <t>M.RUB</t>
        </is>
      </c>
      <c r="Q29" s="1074" t="n"/>
      <c r="R29" s="1096" t="n"/>
      <c r="S29" s="1096" t="n"/>
      <c r="T29" s="1096" t="n"/>
      <c r="V29" s="1679" t="n"/>
      <c r="W29" s="1679" t="n"/>
    </row>
    <row r="30">
      <c r="A30" s="1077" t="inlineStr">
        <is>
          <t>LTL</t>
        </is>
      </c>
      <c r="B30" s="1077" t="inlineStr">
        <is>
          <t>RBPI</t>
        </is>
      </c>
      <c r="C30" s="1077" t="inlineStr">
        <is>
          <t>NNPP-2</t>
        </is>
      </c>
      <c r="D30" s="1077" t="inlineStr">
        <is>
          <t>NNPP</t>
        </is>
      </c>
      <c r="F30" s="1593" t="n">
        <v>658.09201145</v>
      </c>
      <c r="G30" s="1593">
        <f>+F30</f>
        <v/>
      </c>
      <c r="H30" s="1079" t="n"/>
      <c r="I30" s="1086" t="n">
        <v>0.1</v>
      </c>
      <c r="K30" s="1086" t="inlineStr">
        <is>
          <t>Fixed</t>
        </is>
      </c>
      <c r="L30" s="1081">
        <f>+F30*I30</f>
        <v/>
      </c>
      <c r="N30" s="1149" t="inlineStr">
        <is>
          <t>Severnaya</t>
        </is>
      </c>
      <c r="O30" s="1077" t="inlineStr">
        <is>
          <t>CPFO</t>
        </is>
      </c>
      <c r="P30" s="1310">
        <f>SUMIFS(G:G,D:D,N30,B:B,O30)</f>
        <v/>
      </c>
      <c r="V30" s="1679" t="n"/>
      <c r="W30" s="1679" t="n"/>
    </row>
    <row r="31">
      <c r="A31" s="1077" t="inlineStr">
        <is>
          <t>LTL</t>
        </is>
      </c>
      <c r="B31" s="1077" t="inlineStr">
        <is>
          <t>RBPI</t>
        </is>
      </c>
      <c r="C31" s="1077" t="inlineStr">
        <is>
          <t>NNPP-2</t>
        </is>
      </c>
      <c r="D31" s="1077" t="inlineStr">
        <is>
          <t>NNPP</t>
        </is>
      </c>
      <c r="F31" s="1593" t="n">
        <v>300</v>
      </c>
      <c r="G31" s="1593">
        <f>+F31</f>
        <v/>
      </c>
      <c r="H31" s="1079" t="n"/>
      <c r="I31" s="1086" t="n">
        <v>0.08</v>
      </c>
      <c r="K31" s="1086" t="inlineStr">
        <is>
          <t>Fixed</t>
        </is>
      </c>
      <c r="L31" s="1081">
        <f>+F31*I31</f>
        <v/>
      </c>
      <c r="N31" s="1149" t="inlineStr">
        <is>
          <t>Severnaya</t>
        </is>
      </c>
      <c r="O31" s="1077" t="inlineStr">
        <is>
          <t>RBPI</t>
        </is>
      </c>
      <c r="P31" s="1310">
        <f>SUMIFS(G:G,D:D,N31,B:B,O31)</f>
        <v/>
      </c>
      <c r="V31" s="1679" t="n"/>
      <c r="W31" s="1679" t="n"/>
    </row>
    <row r="32">
      <c r="A32" s="1077" t="inlineStr">
        <is>
          <t>LTL</t>
        </is>
      </c>
      <c r="B32" s="1077" t="inlineStr">
        <is>
          <t>RBPI</t>
        </is>
      </c>
      <c r="C32" s="1077" t="inlineStr">
        <is>
          <t>PPP-2</t>
        </is>
      </c>
      <c r="D32" s="1077" t="inlineStr">
        <is>
          <t>NNPP</t>
        </is>
      </c>
      <c r="F32" s="1593" t="n">
        <v>90.89649316000001</v>
      </c>
      <c r="G32" s="1593">
        <f>+F32</f>
        <v/>
      </c>
      <c r="H32" s="1079" t="n"/>
      <c r="I32" s="1086" t="n">
        <v>0.1</v>
      </c>
      <c r="K32" s="1086" t="inlineStr">
        <is>
          <t>Fixed</t>
        </is>
      </c>
      <c r="L32" s="1081">
        <f>+F32*I32</f>
        <v/>
      </c>
      <c r="N32" s="1149" t="inlineStr">
        <is>
          <t>Severnaya</t>
        </is>
      </c>
      <c r="O32" s="1077" t="inlineStr">
        <is>
          <t>APK</t>
        </is>
      </c>
      <c r="P32" s="1310">
        <f>SUMIFS(G:G,D:D,N32,B:B,O32)</f>
        <v/>
      </c>
      <c r="V32" s="1679" t="n"/>
      <c r="W32" s="1679" t="n"/>
    </row>
    <row r="33" ht="15" customHeight="1" thickBot="1">
      <c r="A33" s="1077" t="inlineStr">
        <is>
          <t>LTL</t>
        </is>
      </c>
      <c r="B33" s="1077" t="inlineStr">
        <is>
          <t>RBPI</t>
        </is>
      </c>
      <c r="C33" s="1077" t="inlineStr">
        <is>
          <t>RBPI Partner East</t>
        </is>
      </c>
      <c r="D33" s="1077" t="inlineStr">
        <is>
          <t>NNPP</t>
        </is>
      </c>
      <c r="F33" s="1593" t="n">
        <v>156</v>
      </c>
      <c r="G33" s="1593">
        <f>+F33</f>
        <v/>
      </c>
      <c r="H33" s="1079" t="n"/>
      <c r="I33" s="1086" t="n">
        <v>0.09</v>
      </c>
      <c r="K33" s="1086" t="inlineStr">
        <is>
          <t>Fixed</t>
        </is>
      </c>
      <c r="L33" s="1081">
        <f>+F33*I33</f>
        <v/>
      </c>
      <c r="N33" s="1268" t="n"/>
      <c r="O33" s="1269" t="n"/>
      <c r="P33" s="1270">
        <f>SUM(P30:P32)</f>
        <v/>
      </c>
      <c r="V33" s="1679" t="n"/>
      <c r="W33" s="1679" t="n"/>
    </row>
    <row r="34" ht="15" customHeight="1" thickTop="1">
      <c r="A34" s="1077" t="inlineStr">
        <is>
          <t>LTL</t>
        </is>
      </c>
      <c r="B34" s="1077" t="inlineStr">
        <is>
          <t>RBPI</t>
        </is>
      </c>
      <c r="C34" s="1077" t="inlineStr">
        <is>
          <t>PPP-2</t>
        </is>
      </c>
      <c r="D34" s="1077" t="inlineStr">
        <is>
          <t>PPP</t>
        </is>
      </c>
      <c r="F34" s="1593" t="n">
        <v>1925.65091434</v>
      </c>
      <c r="G34" s="1593">
        <f>+F34</f>
        <v/>
      </c>
      <c r="H34" s="1079" t="n"/>
      <c r="I34" s="1086" t="n">
        <v>0.08</v>
      </c>
      <c r="K34" s="1086" t="inlineStr">
        <is>
          <t>Fixed</t>
        </is>
      </c>
      <c r="L34" s="1081">
        <f>+F34*I34</f>
        <v/>
      </c>
      <c r="V34" s="1679" t="n"/>
      <c r="W34" s="1679" t="n"/>
    </row>
    <row r="35">
      <c r="A35" s="1077" t="inlineStr">
        <is>
          <t>LTL</t>
        </is>
      </c>
      <c r="B35" s="1077" t="inlineStr">
        <is>
          <t>RBPI</t>
        </is>
      </c>
      <c r="C35" s="1077" t="inlineStr">
        <is>
          <t>PPP-2</t>
        </is>
      </c>
      <c r="D35" s="1077" t="inlineStr">
        <is>
          <t>PPP</t>
        </is>
      </c>
      <c r="F35" s="1593">
        <f>1291.45453837</f>
        <v/>
      </c>
      <c r="G35" s="1593">
        <f>+F35</f>
        <v/>
      </c>
      <c r="H35" s="1079" t="n"/>
      <c r="I35" s="1086" t="n">
        <v>0.1</v>
      </c>
      <c r="K35" s="1086" t="inlineStr">
        <is>
          <t>Fixed</t>
        </is>
      </c>
      <c r="L35" s="1081">
        <f>+F35*I35</f>
        <v/>
      </c>
      <c r="V35" s="1679" t="n"/>
      <c r="W35" s="1679" t="n"/>
    </row>
    <row r="36">
      <c r="A36" s="1077" t="inlineStr">
        <is>
          <t>LTL</t>
        </is>
      </c>
      <c r="B36" s="1077" t="inlineStr">
        <is>
          <t>RBPI</t>
        </is>
      </c>
      <c r="C36" s="1077" t="inlineStr">
        <is>
          <t>Rechnoe</t>
        </is>
      </c>
      <c r="D36" s="1077" t="inlineStr">
        <is>
          <t>PPP</t>
        </is>
      </c>
      <c r="F36" s="1593" t="n">
        <v>719.214457</v>
      </c>
      <c r="G36" s="1593">
        <f>+F36</f>
        <v/>
      </c>
      <c r="H36" s="1079" t="n"/>
      <c r="I36" s="1086" t="n">
        <v>0.08327553726725211</v>
      </c>
      <c r="K36" s="1086" t="inlineStr">
        <is>
          <t>Fixed</t>
        </is>
      </c>
      <c r="L36" s="1081">
        <f>+F36*I36</f>
        <v/>
      </c>
      <c r="V36" s="1679" t="n"/>
      <c r="W36" s="1679" t="n"/>
    </row>
    <row r="37">
      <c r="A37" s="1077" t="inlineStr">
        <is>
          <t>LTL</t>
        </is>
      </c>
      <c r="B37" s="1077" t="inlineStr">
        <is>
          <t>RBPI</t>
        </is>
      </c>
      <c r="C37" s="1077" t="inlineStr">
        <is>
          <t>RBPI Elite Seeds</t>
        </is>
      </c>
      <c r="D37" s="1077" t="inlineStr">
        <is>
          <t>PPP</t>
        </is>
      </c>
      <c r="F37" s="1593" t="n">
        <v>296.57683341</v>
      </c>
      <c r="G37" s="1593">
        <f>+F37</f>
        <v/>
      </c>
      <c r="H37" s="1079" t="n"/>
      <c r="I37" s="1086" t="n">
        <v>0.09</v>
      </c>
      <c r="K37" s="1086" t="inlineStr">
        <is>
          <t>Fixed</t>
        </is>
      </c>
      <c r="L37" s="1081">
        <f>+F37*I37</f>
        <v/>
      </c>
      <c r="V37" s="1679" t="n"/>
      <c r="W37" s="1679" t="n"/>
    </row>
    <row r="38">
      <c r="A38" s="1077" t="inlineStr">
        <is>
          <t>LTL</t>
        </is>
      </c>
      <c r="B38" s="1077" t="inlineStr">
        <is>
          <t>APK</t>
        </is>
      </c>
      <c r="C38" s="1077" t="inlineStr">
        <is>
          <t>Agro Soyuz</t>
        </is>
      </c>
      <c r="D38" s="1077" t="inlineStr">
        <is>
          <t>RBPI Voronezh</t>
        </is>
      </c>
      <c r="F38" s="1593" t="n">
        <v>622.64148039</v>
      </c>
      <c r="G38" s="1593">
        <f>+F38</f>
        <v/>
      </c>
      <c r="H38" s="1079" t="n"/>
      <c r="I38" s="1086" t="n">
        <v>0.19</v>
      </c>
      <c r="K38" s="1086" t="inlineStr">
        <is>
          <t>Fixed</t>
        </is>
      </c>
      <c r="L38" s="1081">
        <f>+F38*I38</f>
        <v/>
      </c>
      <c r="V38" s="1679" t="n"/>
      <c r="W38" s="1679" t="n"/>
    </row>
    <row r="39">
      <c r="A39" s="1077" t="inlineStr">
        <is>
          <t>STL</t>
        </is>
      </c>
      <c r="B39" s="1077" t="inlineStr">
        <is>
          <t>APK</t>
        </is>
      </c>
      <c r="C39" s="1077" t="inlineStr">
        <is>
          <t>Agro Soyuz</t>
        </is>
      </c>
      <c r="D39" s="1077" t="inlineStr">
        <is>
          <t>RBPI Partner East</t>
        </is>
      </c>
      <c r="F39" s="1593" t="n">
        <v>60</v>
      </c>
      <c r="G39" s="1593">
        <f>+F39</f>
        <v/>
      </c>
      <c r="H39" s="1079" t="n"/>
      <c r="I39" s="1086" t="n">
        <v>0.14</v>
      </c>
      <c r="K39" s="1086" t="inlineStr">
        <is>
          <t>Fixed</t>
        </is>
      </c>
      <c r="L39" s="1081">
        <f>+F39*I39</f>
        <v/>
      </c>
      <c r="V39" s="1679" t="n"/>
      <c r="W39" s="1679" t="n"/>
    </row>
    <row r="40">
      <c r="A40" s="1077" t="inlineStr">
        <is>
          <t>LTL</t>
        </is>
      </c>
      <c r="B40" s="1077" t="inlineStr">
        <is>
          <t>APK</t>
        </is>
      </c>
      <c r="C40" s="1077" t="inlineStr">
        <is>
          <t>Myaso Soyuz</t>
        </is>
      </c>
      <c r="D40" s="1077" t="inlineStr">
        <is>
          <t>RBPI Voronezh</t>
        </is>
      </c>
      <c r="F40" s="1593" t="n">
        <v>501.78335487</v>
      </c>
      <c r="G40" s="1593">
        <f>+F40</f>
        <v/>
      </c>
      <c r="I40" s="1086" t="n">
        <v>0.19</v>
      </c>
      <c r="K40" s="1086" t="inlineStr">
        <is>
          <t>Fixed</t>
        </is>
      </c>
      <c r="L40" s="1081">
        <f>+F40*I40</f>
        <v/>
      </c>
      <c r="V40" s="1679" t="n"/>
      <c r="W40" s="1679" t="n"/>
    </row>
    <row r="41">
      <c r="A41" s="1077" t="inlineStr">
        <is>
          <t>STL</t>
        </is>
      </c>
      <c r="B41" s="1077" t="inlineStr">
        <is>
          <t>APK</t>
        </is>
      </c>
      <c r="C41" s="1077" t="inlineStr">
        <is>
          <t>Alekseevsky Bekon</t>
        </is>
      </c>
      <c r="D41" s="1077" t="inlineStr">
        <is>
          <t>Agro Soyuz</t>
        </is>
      </c>
      <c r="F41" s="1593" t="n">
        <v>100</v>
      </c>
      <c r="G41" s="1593">
        <f>+F41</f>
        <v/>
      </c>
      <c r="I41" s="1086" t="n">
        <v>0.15</v>
      </c>
      <c r="K41" s="1086" t="inlineStr">
        <is>
          <t>Fixed</t>
        </is>
      </c>
      <c r="L41" s="1081">
        <f>+F41*I41</f>
        <v/>
      </c>
      <c r="V41" s="1679" t="n"/>
      <c r="W41" s="1679" t="n"/>
    </row>
    <row r="42">
      <c r="A42" s="1077" t="inlineStr">
        <is>
          <t>LTL</t>
        </is>
      </c>
      <c r="B42" s="1077" t="inlineStr">
        <is>
          <t>APK</t>
        </is>
      </c>
      <c r="C42" s="1077" t="inlineStr">
        <is>
          <t>Alekseevsky Bekon</t>
        </is>
      </c>
      <c r="D42" s="763" t="inlineStr">
        <is>
          <t>Myaso Soyuz</t>
        </is>
      </c>
      <c r="E42" s="1089" t="n"/>
      <c r="F42" s="1114" t="n">
        <v>200</v>
      </c>
      <c r="G42" s="1593">
        <f>+F42</f>
        <v/>
      </c>
      <c r="I42" s="1086" t="n">
        <v>0.19</v>
      </c>
      <c r="K42" s="1086" t="inlineStr">
        <is>
          <t>Fixed</t>
        </is>
      </c>
      <c r="L42" s="1081">
        <f>+F42*I42</f>
        <v/>
      </c>
      <c r="V42" s="1679" t="n"/>
      <c r="W42" s="1679" t="n"/>
    </row>
    <row r="43">
      <c r="A43" s="1077" t="inlineStr">
        <is>
          <t>STL</t>
        </is>
      </c>
      <c r="B43" s="1077" t="inlineStr">
        <is>
          <t>APK</t>
        </is>
      </c>
      <c r="C43" s="1077" t="inlineStr">
        <is>
          <t>Agro-Oskol</t>
        </is>
      </c>
      <c r="D43" s="1077" t="inlineStr">
        <is>
          <t>Alekseevsky Bekon</t>
        </is>
      </c>
      <c r="F43" s="1593" t="n">
        <v>575.55</v>
      </c>
      <c r="G43" s="1593">
        <f>+F43</f>
        <v/>
      </c>
      <c r="I43" s="1086" t="n">
        <v>0.15</v>
      </c>
      <c r="K43" s="1086" t="inlineStr">
        <is>
          <t>Fixed</t>
        </is>
      </c>
      <c r="L43" s="1081">
        <f>+F43*I43</f>
        <v/>
      </c>
      <c r="V43" s="1679" t="n"/>
      <c r="W43" s="1679" t="n"/>
    </row>
    <row r="44">
      <c r="A44" s="1077" t="inlineStr">
        <is>
          <t>STL</t>
        </is>
      </c>
      <c r="B44" s="1077" t="inlineStr">
        <is>
          <t>APK</t>
        </is>
      </c>
      <c r="C44" s="1077" t="inlineStr">
        <is>
          <t>Agro-Oskol</t>
        </is>
      </c>
      <c r="D44" s="1077" t="inlineStr">
        <is>
          <t>Alekseevsky Bekon</t>
        </is>
      </c>
      <c r="F44" s="1593" t="n">
        <v>21.25</v>
      </c>
      <c r="G44" s="1593">
        <f>+F44</f>
        <v/>
      </c>
      <c r="I44" s="1086" t="n">
        <v>0.03</v>
      </c>
      <c r="K44" s="1086" t="inlineStr">
        <is>
          <t>Fixed</t>
        </is>
      </c>
      <c r="V44" s="1679" t="n"/>
      <c r="W44" s="1679" t="n"/>
    </row>
    <row r="45">
      <c r="A45" s="1077" t="inlineStr">
        <is>
          <t>STL</t>
        </is>
      </c>
      <c r="B45" s="1077" t="inlineStr">
        <is>
          <t>APK</t>
        </is>
      </c>
      <c r="C45" s="1077" t="inlineStr">
        <is>
          <t>Agro-Oskol</t>
        </is>
      </c>
      <c r="D45" s="1077" t="inlineStr">
        <is>
          <t>Agro Soyuz</t>
        </is>
      </c>
      <c r="F45" s="1593" t="n">
        <v>150</v>
      </c>
      <c r="G45" s="1593">
        <f>+F45</f>
        <v/>
      </c>
      <c r="I45" s="1086" t="n">
        <v>0.15</v>
      </c>
      <c r="K45" s="1086" t="inlineStr">
        <is>
          <t>Fixed</t>
        </is>
      </c>
      <c r="L45" s="1081">
        <f>+F45*I45</f>
        <v/>
      </c>
      <c r="V45" s="1679" t="n"/>
      <c r="W45" s="1679" t="n"/>
    </row>
    <row r="46">
      <c r="A46" s="1077" t="inlineStr">
        <is>
          <t>LTL</t>
        </is>
      </c>
      <c r="B46" s="1077" t="inlineStr">
        <is>
          <t>APK</t>
        </is>
      </c>
      <c r="C46" s="1077" t="inlineStr">
        <is>
          <t>Agro-Oskol</t>
        </is>
      </c>
      <c r="D46" s="1077" t="inlineStr">
        <is>
          <t>Agro Soyuz</t>
        </is>
      </c>
      <c r="F46" s="1593" t="n">
        <v>334.84001916</v>
      </c>
      <c r="G46" s="1593">
        <f>+F46</f>
        <v/>
      </c>
      <c r="I46" s="1086" t="n">
        <v>0.19</v>
      </c>
      <c r="K46" s="1086" t="inlineStr">
        <is>
          <t>Fixed</t>
        </is>
      </c>
      <c r="L46" s="1081">
        <f>+F46*I46</f>
        <v/>
      </c>
      <c r="V46" s="1679" t="n"/>
      <c r="W46" s="1679" t="n"/>
    </row>
    <row r="47">
      <c r="A47" s="1077" t="inlineStr">
        <is>
          <t>STL</t>
        </is>
      </c>
      <c r="B47" s="1077" t="inlineStr">
        <is>
          <t>APK</t>
        </is>
      </c>
      <c r="C47" s="1077" t="inlineStr">
        <is>
          <t>Donskoy Bekon</t>
        </is>
      </c>
      <c r="D47" s="1077" t="inlineStr">
        <is>
          <t>Alekseevsky Bekon</t>
        </is>
      </c>
      <c r="F47" s="1593" t="n">
        <v>179.25492253</v>
      </c>
      <c r="G47" s="1593">
        <f>+F47</f>
        <v/>
      </c>
      <c r="I47" s="1086" t="n">
        <v>0.15</v>
      </c>
      <c r="K47" s="1086" t="inlineStr">
        <is>
          <t>Fixed</t>
        </is>
      </c>
      <c r="L47" s="1081">
        <f>+F47*I47</f>
        <v/>
      </c>
      <c r="V47" s="1679" t="n"/>
      <c r="W47" s="1679" t="n"/>
    </row>
    <row r="48">
      <c r="A48" s="1077" t="inlineStr">
        <is>
          <t>STL</t>
        </is>
      </c>
      <c r="B48" s="1077" t="inlineStr">
        <is>
          <t>APK</t>
        </is>
      </c>
      <c r="C48" s="1077" t="inlineStr">
        <is>
          <t>Donskoy Bekon</t>
        </is>
      </c>
      <c r="D48" s="1077" t="inlineStr">
        <is>
          <t>Agro Soyuz</t>
        </is>
      </c>
      <c r="F48" s="1593" t="n">
        <v>32</v>
      </c>
      <c r="G48" s="1593">
        <f>+F48</f>
        <v/>
      </c>
      <c r="I48" s="1086" t="n">
        <v>0.0001</v>
      </c>
      <c r="K48" s="1086" t="inlineStr">
        <is>
          <t>Fixed</t>
        </is>
      </c>
      <c r="L48" s="1081">
        <f>+F48*I48</f>
        <v/>
      </c>
      <c r="V48" s="1679" t="n"/>
      <c r="W48" s="1679" t="n"/>
    </row>
    <row r="49">
      <c r="A49" s="1077" t="inlineStr">
        <is>
          <t>LTL</t>
        </is>
      </c>
      <c r="B49" s="1077" t="inlineStr">
        <is>
          <t>APK</t>
        </is>
      </c>
      <c r="C49" s="1077" t="inlineStr">
        <is>
          <t>Alekseevskiy Kombikormovy Zavod</t>
        </is>
      </c>
      <c r="D49" s="1077" t="inlineStr">
        <is>
          <t>Alekseevsky Bekon</t>
        </is>
      </c>
      <c r="F49" s="1593" t="n">
        <v>218.38780611</v>
      </c>
      <c r="G49" s="1593">
        <f>+F49</f>
        <v/>
      </c>
      <c r="H49" s="1079" t="n"/>
      <c r="I49" s="1086" t="n">
        <v>0.15</v>
      </c>
      <c r="K49" s="1086" t="inlineStr">
        <is>
          <t>Fixed</t>
        </is>
      </c>
      <c r="L49" s="1081">
        <f>+F49*I49</f>
        <v/>
      </c>
      <c r="V49" s="1679" t="n"/>
      <c r="W49" s="1679" t="n"/>
    </row>
    <row r="50">
      <c r="A50" s="1077" t="inlineStr">
        <is>
          <t>LTL</t>
        </is>
      </c>
      <c r="B50" s="1077" t="inlineStr">
        <is>
          <t>APK</t>
        </is>
      </c>
      <c r="C50" s="1077" t="inlineStr">
        <is>
          <t>Alekseevskiy Kombikormovy Zavod</t>
        </is>
      </c>
      <c r="D50" s="1077" t="inlineStr">
        <is>
          <t>Agro Soyuz</t>
        </is>
      </c>
      <c r="F50" s="1593" t="n">
        <v>360</v>
      </c>
      <c r="G50" s="1593">
        <f>+F50</f>
        <v/>
      </c>
      <c r="H50" s="1079" t="n"/>
      <c r="I50" s="1086" t="n">
        <v>0.19</v>
      </c>
      <c r="K50" s="1086" t="inlineStr">
        <is>
          <t>Fixed</t>
        </is>
      </c>
      <c r="L50" s="1081">
        <f>+F50*I50</f>
        <v/>
      </c>
      <c r="V50" s="1679" t="n"/>
      <c r="W50" s="1679" t="n"/>
    </row>
    <row r="51">
      <c r="A51" s="1077" t="inlineStr">
        <is>
          <t>LTL</t>
        </is>
      </c>
      <c r="B51" s="1077" t="inlineStr">
        <is>
          <t>APK</t>
        </is>
      </c>
      <c r="C51" s="1077" t="inlineStr">
        <is>
          <t>MPK Belgorod</t>
        </is>
      </c>
      <c r="D51" s="1077" t="inlineStr">
        <is>
          <t>Agro Soyuz</t>
        </is>
      </c>
      <c r="E51" s="1089" t="n"/>
      <c r="F51" s="1593" t="n">
        <v>100</v>
      </c>
      <c r="G51" s="1593">
        <f>+F51</f>
        <v/>
      </c>
      <c r="H51" s="1079" t="n"/>
      <c r="I51" s="1086" t="n">
        <v>0.0001</v>
      </c>
      <c r="K51" s="1086" t="inlineStr">
        <is>
          <t>Fixed</t>
        </is>
      </c>
      <c r="L51" s="1081">
        <f>+F51*I51</f>
        <v/>
      </c>
      <c r="V51" s="1679" t="n"/>
      <c r="W51" s="1679" t="n"/>
    </row>
    <row r="52">
      <c r="A52" s="1077" t="inlineStr">
        <is>
          <t>LTL</t>
        </is>
      </c>
      <c r="B52" s="1077" t="inlineStr">
        <is>
          <t>APK</t>
        </is>
      </c>
      <c r="C52" s="1077" t="inlineStr">
        <is>
          <t>MPK Belgorod</t>
        </is>
      </c>
      <c r="D52" s="1077" t="inlineStr">
        <is>
          <t>Agro Soyuz</t>
        </is>
      </c>
      <c r="E52" s="1089" t="n"/>
      <c r="F52" s="1593" t="n">
        <v>344.7</v>
      </c>
      <c r="G52" s="1593">
        <f>+F52</f>
        <v/>
      </c>
      <c r="H52" s="1079" t="n"/>
      <c r="I52" s="1086" t="n">
        <v>0.001</v>
      </c>
      <c r="K52" s="1086" t="inlineStr">
        <is>
          <t>Fixed</t>
        </is>
      </c>
      <c r="L52" s="1081">
        <f>+F52*I52</f>
        <v/>
      </c>
      <c r="V52" s="1679" t="n"/>
      <c r="W52" s="1679" t="n"/>
    </row>
    <row r="53">
      <c r="A53" s="1077" t="inlineStr">
        <is>
          <t>LTL</t>
        </is>
      </c>
      <c r="B53" s="1077" t="inlineStr">
        <is>
          <t>APK</t>
        </is>
      </c>
      <c r="C53" s="1077" t="inlineStr">
        <is>
          <t>MPK Belgorod</t>
        </is>
      </c>
      <c r="D53" s="1077" t="inlineStr">
        <is>
          <t>Myaso Soyuz</t>
        </is>
      </c>
      <c r="E53" s="1089" t="n"/>
      <c r="F53" s="1593" t="n">
        <v>158.6</v>
      </c>
      <c r="G53" s="1593">
        <f>+F53</f>
        <v/>
      </c>
      <c r="H53" s="1079" t="n"/>
      <c r="I53" s="1086" t="n">
        <v>0.0001</v>
      </c>
      <c r="K53" s="1086" t="inlineStr">
        <is>
          <t>Fixed</t>
        </is>
      </c>
      <c r="L53" s="1081">
        <f>+F53*I53</f>
        <v/>
      </c>
      <c r="V53" s="1679" t="n"/>
      <c r="W53" s="1679" t="n"/>
    </row>
    <row r="54">
      <c r="A54" s="1077" t="inlineStr">
        <is>
          <t>STL</t>
        </is>
      </c>
      <c r="B54" s="1077" t="inlineStr">
        <is>
          <t>APK</t>
        </is>
      </c>
      <c r="C54" s="1077" t="inlineStr">
        <is>
          <t>Agro-Oskol</t>
        </is>
      </c>
      <c r="D54" s="1077" t="inlineStr">
        <is>
          <t>Myaso Soyuz</t>
        </is>
      </c>
      <c r="E54" s="1089" t="n"/>
      <c r="F54" s="1593" t="n">
        <v>520</v>
      </c>
      <c r="G54" s="1593">
        <f>+F54</f>
        <v/>
      </c>
      <c r="H54" s="1079" t="n"/>
      <c r="I54" s="1086" t="n">
        <v>0.15</v>
      </c>
      <c r="K54" s="1086" t="inlineStr">
        <is>
          <t>Fixed</t>
        </is>
      </c>
      <c r="L54" s="1081">
        <f>+F54*I54</f>
        <v/>
      </c>
      <c r="V54" s="1679" t="n"/>
      <c r="W54" s="1679" t="n"/>
    </row>
    <row r="55">
      <c r="A55" s="1077" t="inlineStr">
        <is>
          <t>STL</t>
        </is>
      </c>
      <c r="B55" s="1077" t="inlineStr">
        <is>
          <t>APK</t>
        </is>
      </c>
      <c r="C55" s="1077" t="inlineStr">
        <is>
          <t>Agro-Ostrogorzhsk</t>
        </is>
      </c>
      <c r="D55" s="1077" t="inlineStr">
        <is>
          <t>Myaso Soyuz</t>
        </is>
      </c>
      <c r="E55" s="1089" t="n"/>
      <c r="F55" s="1593" t="n">
        <v>150</v>
      </c>
      <c r="G55" s="1593">
        <f>+F55</f>
        <v/>
      </c>
      <c r="H55" s="1079" t="n"/>
      <c r="I55" s="1086" t="n">
        <v>0.15</v>
      </c>
      <c r="K55" s="1086" t="inlineStr">
        <is>
          <t>Fixed</t>
        </is>
      </c>
      <c r="L55" s="1081">
        <f>+F55*I55</f>
        <v/>
      </c>
      <c r="V55" s="1679" t="n"/>
      <c r="W55" s="1679" t="n"/>
    </row>
    <row r="56">
      <c r="A56" s="1077" t="inlineStr">
        <is>
          <t>LTL</t>
        </is>
      </c>
      <c r="B56" s="1077" t="inlineStr">
        <is>
          <t>APK</t>
        </is>
      </c>
      <c r="C56" s="1077" t="inlineStr">
        <is>
          <t>Donskoy Bekon</t>
        </is>
      </c>
      <c r="D56" s="1077" t="inlineStr">
        <is>
          <t>Agro Soyuz</t>
        </is>
      </c>
      <c r="E56" s="1089" t="n"/>
      <c r="F56" s="1593" t="n">
        <v>20.41</v>
      </c>
      <c r="G56" s="1593">
        <f>+F56</f>
        <v/>
      </c>
      <c r="H56" s="1079" t="n"/>
      <c r="I56" s="1086" t="n">
        <v>0.0001</v>
      </c>
      <c r="K56" s="1086" t="inlineStr">
        <is>
          <t>Fixed</t>
        </is>
      </c>
      <c r="L56" s="1081">
        <f>+F56*I56</f>
        <v/>
      </c>
      <c r="V56" s="1679" t="n"/>
      <c r="W56" s="1679" t="n"/>
    </row>
    <row r="57">
      <c r="A57" s="1077" t="inlineStr">
        <is>
          <t>LTL</t>
        </is>
      </c>
      <c r="B57" s="1077" t="inlineStr">
        <is>
          <t>APK</t>
        </is>
      </c>
      <c r="C57" s="1077" t="inlineStr">
        <is>
          <t>Donskoy Bekon</t>
        </is>
      </c>
      <c r="D57" s="1077" t="inlineStr">
        <is>
          <t>Alekseevsky Bekon</t>
        </is>
      </c>
      <c r="E57" s="1089" t="n"/>
      <c r="F57" s="1593" t="n">
        <v>570.562</v>
      </c>
      <c r="G57" s="1593">
        <f>+F57</f>
        <v/>
      </c>
      <c r="H57" s="1079" t="n"/>
      <c r="I57" s="1086" t="n">
        <v>0.0001</v>
      </c>
      <c r="K57" s="1086" t="inlineStr">
        <is>
          <t>Fixed</t>
        </is>
      </c>
      <c r="V57" s="1679" t="n"/>
      <c r="W57" s="1679" t="n"/>
    </row>
    <row r="58">
      <c r="A58" s="1077" t="inlineStr">
        <is>
          <t>LTL</t>
        </is>
      </c>
      <c r="B58" s="1077" t="inlineStr">
        <is>
          <t>APK</t>
        </is>
      </c>
      <c r="C58" s="1077" t="inlineStr">
        <is>
          <t>Donskoy Bekon</t>
        </is>
      </c>
      <c r="D58" s="1077" t="inlineStr">
        <is>
          <t>Modern Solutions</t>
        </is>
      </c>
      <c r="E58" s="1089" t="n"/>
      <c r="F58" s="1593" t="n">
        <v>90</v>
      </c>
      <c r="G58" s="1593">
        <f>+F58</f>
        <v/>
      </c>
      <c r="H58" s="1079" t="n"/>
      <c r="I58" s="1086" t="n">
        <v>0.0001</v>
      </c>
      <c r="K58" s="1086" t="inlineStr">
        <is>
          <t>Fixed</t>
        </is>
      </c>
      <c r="V58" s="1679" t="n"/>
      <c r="W58" s="1679" t="n"/>
    </row>
    <row r="59">
      <c r="A59" s="1077" t="inlineStr">
        <is>
          <t>STL</t>
        </is>
      </c>
      <c r="B59" s="1077" t="inlineStr">
        <is>
          <t>APK</t>
        </is>
      </c>
      <c r="C59" s="1077" t="inlineStr">
        <is>
          <t>Donskoy Bekon</t>
        </is>
      </c>
      <c r="D59" s="1077" t="inlineStr">
        <is>
          <t>Myaso Soyuz</t>
        </is>
      </c>
      <c r="E59" s="1089" t="n"/>
      <c r="F59" s="1593" t="n">
        <v>222</v>
      </c>
      <c r="G59" s="1593">
        <f>+F59</f>
        <v/>
      </c>
      <c r="H59" s="1079" t="n"/>
      <c r="I59" s="1086" t="n">
        <v>0.15</v>
      </c>
      <c r="K59" s="1086" t="inlineStr">
        <is>
          <t>Fixed</t>
        </is>
      </c>
      <c r="L59" s="1081">
        <f>+F59*I59</f>
        <v/>
      </c>
      <c r="V59" s="1679" t="n"/>
      <c r="W59" s="1679" t="n"/>
    </row>
    <row r="60">
      <c r="A60" s="1077" t="inlineStr">
        <is>
          <t>STL</t>
        </is>
      </c>
      <c r="B60" s="1077" t="inlineStr">
        <is>
          <t>APK</t>
        </is>
      </c>
      <c r="C60" s="1077" t="inlineStr">
        <is>
          <t>Donskoy Bekon</t>
        </is>
      </c>
      <c r="D60" s="1077" t="inlineStr">
        <is>
          <t>Chochol-Trostjanka</t>
        </is>
      </c>
      <c r="E60" s="1089" t="n"/>
      <c r="F60" s="1593" t="n">
        <v>10</v>
      </c>
      <c r="G60" s="1593">
        <f>+F60</f>
        <v/>
      </c>
      <c r="H60" s="1079" t="n"/>
      <c r="I60" s="1086" t="n">
        <v>0.15</v>
      </c>
      <c r="K60" s="1086" t="inlineStr">
        <is>
          <t>Fixed</t>
        </is>
      </c>
      <c r="L60" s="1081">
        <f>+F60*I60</f>
        <v/>
      </c>
      <c r="V60" s="1679" t="n"/>
      <c r="W60" s="1679" t="n"/>
    </row>
    <row r="61">
      <c r="A61" s="1077" t="inlineStr">
        <is>
          <t>LTL</t>
        </is>
      </c>
      <c r="B61" s="1077" t="inlineStr">
        <is>
          <t>RBPI</t>
        </is>
      </c>
      <c r="C61" s="1077" t="inlineStr">
        <is>
          <t>RBPI TH</t>
        </is>
      </c>
      <c r="D61" s="1077" t="inlineStr">
        <is>
          <t>CPF PLC</t>
        </is>
      </c>
      <c r="E61" s="1089" t="inlineStr">
        <is>
          <t>241.5 M.BHT</t>
        </is>
      </c>
      <c r="F61" s="1593" t="n">
        <v>582.345855</v>
      </c>
      <c r="G61" s="1079">
        <f>+F61</f>
        <v/>
      </c>
      <c r="H61" s="1079" t="n"/>
      <c r="I61" s="1086" t="n">
        <v>0.0755</v>
      </c>
      <c r="K61" s="1086" t="inlineStr">
        <is>
          <t>Fixed</t>
        </is>
      </c>
      <c r="L61" s="1081">
        <f>+F61*I61</f>
        <v/>
      </c>
      <c r="V61" s="1679" t="n"/>
      <c r="W61" s="1679" t="n"/>
    </row>
    <row r="62">
      <c r="A62" s="1077" t="inlineStr">
        <is>
          <t>STL</t>
        </is>
      </c>
      <c r="B62" s="1077" t="inlineStr">
        <is>
          <t>RBPI</t>
        </is>
      </c>
      <c r="C62" s="1077" t="inlineStr">
        <is>
          <t>PPP</t>
        </is>
      </c>
      <c r="D62" s="1077" t="inlineStr">
        <is>
          <t>CPFI</t>
        </is>
      </c>
      <c r="E62" s="1089" t="inlineStr">
        <is>
          <t>26 M.EURO</t>
        </is>
      </c>
      <c r="F62" s="1593" t="n">
        <v>2046.152756</v>
      </c>
      <c r="G62" s="1079">
        <f>+F62</f>
        <v/>
      </c>
      <c r="H62" s="1079" t="n"/>
      <c r="I62" s="1086" t="n">
        <v>0.0809406</v>
      </c>
      <c r="K62" s="1086" t="inlineStr">
        <is>
          <t>Fixed</t>
        </is>
      </c>
      <c r="L62" s="1081">
        <f>+F62*I62</f>
        <v/>
      </c>
      <c r="V62" s="1679" t="n"/>
      <c r="W62" s="1679" t="n"/>
    </row>
    <row r="63" ht="15" customHeight="1" thickBot="1">
      <c r="F63" s="1606">
        <f>SUM(F4:F62)</f>
        <v/>
      </c>
      <c r="G63" s="1606">
        <f>SUM(G4:G62)</f>
        <v/>
      </c>
      <c r="H63" s="1606">
        <f>+F63-G63</f>
        <v/>
      </c>
      <c r="I63" s="1116">
        <f>L63/G63</f>
        <v/>
      </c>
      <c r="J63" s="1116" t="n"/>
      <c r="K63" s="1116" t="n"/>
      <c r="L63" s="1117">
        <f>SUM(L4:L62)</f>
        <v/>
      </c>
      <c r="M63" s="1074" t="n"/>
    </row>
    <row r="64" ht="15" customHeight="1" thickTop="1">
      <c r="L64" s="1074" t="n"/>
      <c r="M64" s="1074" t="n"/>
    </row>
    <row r="65">
      <c r="I65" s="1074" t="n"/>
      <c r="J65" s="1074" t="n"/>
      <c r="K65" s="1074" t="n"/>
      <c r="L65" s="1074" t="n"/>
      <c r="M65" s="1074" t="n"/>
    </row>
    <row r="66">
      <c r="I66" s="1074" t="n"/>
      <c r="J66" s="1074" t="n"/>
      <c r="K66" s="1074" t="n"/>
      <c r="L66" s="1074" t="n"/>
      <c r="M66" s="1074" t="n"/>
    </row>
    <row r="67">
      <c r="I67" s="1074" t="n"/>
      <c r="J67" s="1074" t="n"/>
      <c r="K67" s="1074" t="n"/>
    </row>
    <row r="68">
      <c r="I68" s="1074" t="n"/>
      <c r="J68" s="1074" t="n"/>
      <c r="K68" s="1074" t="n"/>
    </row>
    <row r="69">
      <c r="I69" s="1074" t="n"/>
      <c r="J69" s="1074" t="n"/>
      <c r="K69" s="1074" t="n"/>
    </row>
    <row r="70">
      <c r="I70" s="1074" t="n"/>
      <c r="J70" s="1074" t="n"/>
      <c r="K70" s="1074" t="n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B1:O38"/>
  <sheetViews>
    <sheetView showGridLines="0" showZeros="0" zoomScale="80" zoomScaleNormal="80" workbookViewId="0">
      <pane xSplit="2" ySplit="4" topLeftCell="C5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H1" sqref="H1:H1048576"/>
    </sheetView>
  </sheetViews>
  <sheetFormatPr baseColWidth="8" defaultColWidth="9.21875" defaultRowHeight="15" customHeight="1"/>
  <cols>
    <col width="0.77734375" customWidth="1" min="1" max="1"/>
    <col width="32.21875" customWidth="1" min="2" max="2"/>
    <col width="17.44140625" bestFit="1" customWidth="1" min="3" max="4"/>
    <col width="16.44140625" bestFit="1" customWidth="1" min="5" max="5"/>
    <col width="16.6640625" bestFit="1" customWidth="1" min="6" max="6"/>
    <col width="17.21875" bestFit="1" customWidth="1" min="7" max="8"/>
    <col width="17.44140625" bestFit="1" customWidth="1" min="9" max="9"/>
    <col width="16.6640625" bestFit="1" customWidth="1" min="10" max="12"/>
    <col width="17.21875" bestFit="1" customWidth="1" min="13" max="13"/>
    <col width="17.44140625" bestFit="1" customWidth="1" min="14" max="14"/>
    <col width="17" customWidth="1" min="15" max="15"/>
    <col width="15.77734375" bestFit="1" customWidth="1" min="16" max="16"/>
    <col width="12.77734375" bestFit="1" customWidth="1" min="17" max="17"/>
    <col width="13.21875" bestFit="1" customWidth="1" min="18" max="19"/>
  </cols>
  <sheetData>
    <row r="1" ht="15" customHeight="1">
      <c r="B1" s="1680" t="inlineStr">
        <is>
          <t>RUSSIA</t>
        </is>
      </c>
      <c r="C1" s="1681" t="n"/>
      <c r="D1" s="1681" t="n"/>
      <c r="E1" s="1681" t="n"/>
      <c r="F1" s="1681" t="n"/>
      <c r="G1" s="1681" t="n"/>
      <c r="H1" s="1681" t="n"/>
      <c r="I1" s="1681" t="n"/>
      <c r="J1" s="1681" t="n"/>
      <c r="K1" s="1681" t="n"/>
      <c r="L1" s="1681" t="n"/>
      <c r="M1" s="1681" t="n"/>
      <c r="N1" s="1682" t="n"/>
      <c r="O1" s="592" t="n"/>
    </row>
    <row r="2" ht="15" customHeight="1" thickBot="1">
      <c r="B2" s="1680" t="inlineStr">
        <is>
          <t>Monthly Cash Flow Report 2025</t>
        </is>
      </c>
      <c r="C2" s="1681" t="n"/>
      <c r="D2" s="1681" t="n"/>
      <c r="E2" s="1681" t="n"/>
      <c r="F2" s="1681" t="n"/>
      <c r="G2" s="1681" t="n"/>
      <c r="H2" s="1681" t="n"/>
      <c r="I2" s="1681" t="n"/>
      <c r="J2" s="1681" t="n"/>
      <c r="K2" s="1681" t="n"/>
      <c r="L2" s="1681" t="n"/>
      <c r="M2" s="1681" t="n"/>
      <c r="N2" s="1683" t="inlineStr">
        <is>
          <t>Unit : Ruble</t>
        </is>
      </c>
      <c r="O2" s="592" t="n"/>
    </row>
    <row r="3" ht="15" customHeight="1">
      <c r="B3" s="1684" t="inlineStr">
        <is>
          <t>Criteria</t>
        </is>
      </c>
      <c r="C3" s="1685" t="inlineStr">
        <is>
          <t>ACT</t>
        </is>
      </c>
      <c r="D3" s="1685" t="inlineStr">
        <is>
          <t>ACT</t>
        </is>
      </c>
      <c r="E3" s="1686" t="inlineStr">
        <is>
          <t>ACT</t>
        </is>
      </c>
      <c r="F3" s="1686" t="inlineStr">
        <is>
          <t>ACT</t>
        </is>
      </c>
      <c r="G3" s="1686" t="inlineStr">
        <is>
          <t>ACT</t>
        </is>
      </c>
      <c r="H3" s="1686" t="inlineStr">
        <is>
          <t>ACT</t>
        </is>
      </c>
      <c r="I3" s="1686" t="inlineStr">
        <is>
          <t>EST</t>
        </is>
      </c>
      <c r="J3" s="1686" t="inlineStr">
        <is>
          <t>EST</t>
        </is>
      </c>
      <c r="K3" s="1686" t="inlineStr">
        <is>
          <t>EST</t>
        </is>
      </c>
      <c r="L3" s="1686" t="inlineStr">
        <is>
          <t>EST</t>
        </is>
      </c>
      <c r="M3" s="1686" t="inlineStr">
        <is>
          <t>EST</t>
        </is>
      </c>
      <c r="N3" s="1687" t="inlineStr">
        <is>
          <t>EST</t>
        </is>
      </c>
      <c r="O3" s="592" t="n"/>
    </row>
    <row r="4" ht="15" customHeight="1" thickBot="1">
      <c r="B4" s="1688" t="n"/>
      <c r="C4" s="1689" t="inlineStr">
        <is>
          <t>Jan</t>
        </is>
      </c>
      <c r="D4" s="1690" t="inlineStr">
        <is>
          <t>Feb</t>
        </is>
      </c>
      <c r="E4" s="1690" t="inlineStr">
        <is>
          <t>Mar</t>
        </is>
      </c>
      <c r="F4" s="1690" t="inlineStr">
        <is>
          <t>Apr</t>
        </is>
      </c>
      <c r="G4" s="1690" t="inlineStr">
        <is>
          <t>May</t>
        </is>
      </c>
      <c r="H4" s="1690" t="inlineStr">
        <is>
          <t>Jun</t>
        </is>
      </c>
      <c r="I4" s="1690" t="inlineStr">
        <is>
          <t>Jul</t>
        </is>
      </c>
      <c r="J4" s="1690" t="inlineStr">
        <is>
          <t>Aug</t>
        </is>
      </c>
      <c r="K4" s="1690" t="inlineStr">
        <is>
          <t>Sep</t>
        </is>
      </c>
      <c r="L4" s="1690" t="inlineStr">
        <is>
          <t>Oct</t>
        </is>
      </c>
      <c r="M4" s="1690" t="inlineStr">
        <is>
          <t>Nov</t>
        </is>
      </c>
      <c r="N4" s="1691" t="inlineStr">
        <is>
          <t>Dec</t>
        </is>
      </c>
      <c r="O4" s="1692" t="n"/>
    </row>
    <row r="5" ht="15" customHeight="1">
      <c r="B5" s="1693" t="inlineStr">
        <is>
          <t>Net Operational Income</t>
        </is>
      </c>
      <c r="C5" s="597">
        <f>'SW CF'!C5+'CPFO CF'!C5+'APK CF'!C5+'RBPI CF'!C5</f>
        <v/>
      </c>
      <c r="D5" s="598">
        <f>'SW CF'!D5+'CPFO CF'!D5+'APK CF'!D5+'RBPI CF'!D5</f>
        <v/>
      </c>
      <c r="E5" s="598">
        <f>'SW CF'!E5+'CPFO CF'!E5+'APK CF'!E5+'RBPI CF'!E5</f>
        <v/>
      </c>
      <c r="F5" s="598">
        <f>'SW CF'!F5+'CPFO CF'!F5+'APK CF'!F5+'RBPI CF'!F5</f>
        <v/>
      </c>
      <c r="G5" s="598">
        <f>'SW CF'!G5+'CPFO CF'!G5+'APK CF'!G5+'RBPI CF'!G5</f>
        <v/>
      </c>
      <c r="H5" s="598">
        <f>'SW CF'!H5+'CPFO CF'!H5+'APK CF'!H5+'RBPI CF'!H5</f>
        <v/>
      </c>
      <c r="I5" s="598">
        <f>'SW CF'!I5+'CPFO CF'!I5+'APK CF'!I5+'RBPI CF'!I5</f>
        <v/>
      </c>
      <c r="J5" s="598">
        <f>'SW CF'!J5+'CPFO CF'!J5+'APK CF'!J5+'RBPI CF'!J5</f>
        <v/>
      </c>
      <c r="K5" s="598">
        <f>'SW CF'!K5+'CPFO CF'!K5+'APK CF'!K5+'RBPI CF'!K5</f>
        <v/>
      </c>
      <c r="L5" s="598">
        <f>'SW CF'!L5+'CPFO CF'!L5+'APK CF'!L5+'RBPI CF'!L5</f>
        <v/>
      </c>
      <c r="M5" s="598">
        <f>'SW CF'!M5+'CPFO CF'!M5+'APK CF'!M5+'RBPI CF'!M5</f>
        <v/>
      </c>
      <c r="N5" s="953">
        <f>'SW CF'!N5+'CPFO CF'!N5+'APK CF'!N5+'RBPI CF'!N5</f>
        <v/>
      </c>
      <c r="O5" s="599" t="n"/>
    </row>
    <row r="6" ht="15" customHeight="1">
      <c r="B6" s="1693" t="inlineStr">
        <is>
          <t>Correction on prior year income</t>
        </is>
      </c>
      <c r="C6" s="607">
        <f>'SW CF'!C6+'CPFO CF'!C6+'APK CF'!C6+'RBPI CF'!C6</f>
        <v/>
      </c>
      <c r="D6" s="608">
        <f>'SW CF'!D6+'CPFO CF'!D6+'APK CF'!D6+'RBPI CF'!D6</f>
        <v/>
      </c>
      <c r="E6" s="608">
        <f>'SW CF'!E6+'CPFO CF'!E6+'APK CF'!E6+'RBPI CF'!E6</f>
        <v/>
      </c>
      <c r="F6" s="608">
        <f>'SW CF'!F6+'CPFO CF'!F6+'APK CF'!F6+'RBPI CF'!F6</f>
        <v/>
      </c>
      <c r="G6" s="608">
        <f>'SW CF'!G6+'CPFO CF'!G6+'APK CF'!G6+'RBPI CF'!G6</f>
        <v/>
      </c>
      <c r="H6" s="608">
        <f>'SW CF'!H6+'CPFO CF'!H6+'APK CF'!H6+'RBPI CF'!H6</f>
        <v/>
      </c>
      <c r="I6" s="608">
        <f>'SW CF'!I6+'CPFO CF'!I6+'APK CF'!I6+'RBPI CF'!I6</f>
        <v/>
      </c>
      <c r="J6" s="608">
        <f>'SW CF'!J6+'CPFO CF'!J6+'APK CF'!J6+'RBPI CF'!J6</f>
        <v/>
      </c>
      <c r="K6" s="608">
        <f>'SW CF'!K6+'CPFO CF'!K6+'APK CF'!K6+'RBPI CF'!K6</f>
        <v/>
      </c>
      <c r="L6" s="608">
        <f>'SW CF'!L6+'CPFO CF'!L6+'APK CF'!L6+'RBPI CF'!L6</f>
        <v/>
      </c>
      <c r="M6" s="608">
        <f>'SW CF'!M6+'CPFO CF'!M6+'APK CF'!M6+'RBPI CF'!M6</f>
        <v/>
      </c>
      <c r="N6" s="957">
        <f>'SW CF'!N6+'CPFO CF'!N6+'APK CF'!N6+'RBPI CF'!N6</f>
        <v/>
      </c>
      <c r="O6" s="599" t="n"/>
    </row>
    <row r="7" ht="15" customHeight="1">
      <c r="B7" s="1693" t="inlineStr">
        <is>
          <t>Allowance for Bad Debt</t>
        </is>
      </c>
      <c r="C7" s="607">
        <f>'SW CF'!C7+'CPFO CF'!C7+'APK CF'!C7+'RBPI CF'!C7</f>
        <v/>
      </c>
      <c r="D7" s="608">
        <f>'SW CF'!D7+'CPFO CF'!D7+'APK CF'!D7+'RBPI CF'!D7</f>
        <v/>
      </c>
      <c r="E7" s="608">
        <f>'SW CF'!E7+'CPFO CF'!E7+'APK CF'!E7+'RBPI CF'!E7</f>
        <v/>
      </c>
      <c r="F7" s="608">
        <f>'SW CF'!F7+'CPFO CF'!F7+'APK CF'!F7+'RBPI CF'!F7</f>
        <v/>
      </c>
      <c r="G7" s="608">
        <f>'SW CF'!G7+'CPFO CF'!G7+'APK CF'!G7+'RBPI CF'!G7</f>
        <v/>
      </c>
      <c r="H7" s="608">
        <f>'SW CF'!H7+'CPFO CF'!H7+'APK CF'!H7+'RBPI CF'!H7</f>
        <v/>
      </c>
      <c r="I7" s="608">
        <f>'SW CF'!I7+'CPFO CF'!I7+'APK CF'!I7+'RBPI CF'!I7</f>
        <v/>
      </c>
      <c r="J7" s="608">
        <f>'SW CF'!J7+'CPFO CF'!J7+'APK CF'!J7+'RBPI CF'!J7</f>
        <v/>
      </c>
      <c r="K7" s="608">
        <f>'SW CF'!K7+'CPFO CF'!K7+'APK CF'!K7+'RBPI CF'!K7</f>
        <v/>
      </c>
      <c r="L7" s="608">
        <f>'SW CF'!L7+'CPFO CF'!L7+'APK CF'!L7+'RBPI CF'!L7</f>
        <v/>
      </c>
      <c r="M7" s="608">
        <f>'SW CF'!M7+'CPFO CF'!M7+'APK CF'!M7+'RBPI CF'!M7</f>
        <v/>
      </c>
      <c r="N7" s="957">
        <f>'SW CF'!N7+'CPFO CF'!N7+'APK CF'!N7+'RBPI CF'!N7</f>
        <v/>
      </c>
      <c r="O7" s="599" t="n"/>
    </row>
    <row r="8" ht="15" customHeight="1">
      <c r="B8" s="1693" t="inlineStr">
        <is>
          <t>Provision for retirement fund</t>
        </is>
      </c>
      <c r="C8" s="607">
        <f>'SW CF'!C8+'CPFO CF'!C8+'APK CF'!C8+'RBPI CF'!C8</f>
        <v/>
      </c>
      <c r="D8" s="608">
        <f>'SW CF'!D8+'CPFO CF'!D8+'APK CF'!D8+'RBPI CF'!D8</f>
        <v/>
      </c>
      <c r="E8" s="608">
        <f>'SW CF'!E8+'CPFO CF'!E8+'APK CF'!E8+'RBPI CF'!E8</f>
        <v/>
      </c>
      <c r="F8" s="608">
        <f>'SW CF'!F8+'CPFO CF'!F8+'APK CF'!F8+'RBPI CF'!F8</f>
        <v/>
      </c>
      <c r="G8" s="608">
        <f>'SW CF'!G8+'CPFO CF'!G8+'APK CF'!G8+'RBPI CF'!G8</f>
        <v/>
      </c>
      <c r="H8" s="608">
        <f>'SW CF'!H8+'CPFO CF'!H8+'APK CF'!H8+'RBPI CF'!H8</f>
        <v/>
      </c>
      <c r="I8" s="608">
        <f>'SW CF'!I8+'CPFO CF'!I8+'APK CF'!I8+'RBPI CF'!I8</f>
        <v/>
      </c>
      <c r="J8" s="608">
        <f>'SW CF'!J8+'CPFO CF'!J8+'APK CF'!J8+'RBPI CF'!J8</f>
        <v/>
      </c>
      <c r="K8" s="608">
        <f>'SW CF'!K8+'CPFO CF'!K8+'APK CF'!K8+'RBPI CF'!K8</f>
        <v/>
      </c>
      <c r="L8" s="608">
        <f>'SW CF'!L8+'CPFO CF'!L8+'APK CF'!L8+'RBPI CF'!L8</f>
        <v/>
      </c>
      <c r="M8" s="608">
        <f>'SW CF'!M8+'CPFO CF'!M8+'APK CF'!M8+'RBPI CF'!M8</f>
        <v/>
      </c>
      <c r="N8" s="957">
        <f>'SW CF'!N8+'CPFO CF'!N8+'APK CF'!N8+'RBPI CF'!N8</f>
        <v/>
      </c>
      <c r="O8" s="599" t="n"/>
    </row>
    <row r="9" ht="15" customHeight="1">
      <c r="B9" s="1693" t="inlineStr">
        <is>
          <t>Income Tax payable</t>
        </is>
      </c>
      <c r="C9" s="607">
        <f>'SW CF'!C9+'CPFO CF'!C9+'APK CF'!C9+'RBPI CF'!C9</f>
        <v/>
      </c>
      <c r="D9" s="608">
        <f>'SW CF'!D9+'CPFO CF'!D9+'APK CF'!D9+'RBPI CF'!D9</f>
        <v/>
      </c>
      <c r="E9" s="608">
        <f>'SW CF'!E9+'CPFO CF'!E9+'APK CF'!E9+'RBPI CF'!E9</f>
        <v/>
      </c>
      <c r="F9" s="608">
        <f>'SW CF'!F9+'CPFO CF'!F9+'APK CF'!F9+'RBPI CF'!F9</f>
        <v/>
      </c>
      <c r="G9" s="608">
        <f>'SW CF'!G9+'CPFO CF'!G9+'APK CF'!G9+'RBPI CF'!G9</f>
        <v/>
      </c>
      <c r="H9" s="608">
        <f>'SW CF'!H9+'CPFO CF'!H9+'APK CF'!H9+'RBPI CF'!H9</f>
        <v/>
      </c>
      <c r="I9" s="608">
        <f>'SW CF'!I9+'CPFO CF'!I9+'APK CF'!I9+'RBPI CF'!I9</f>
        <v/>
      </c>
      <c r="J9" s="608">
        <f>'SW CF'!J9+'CPFO CF'!J9+'APK CF'!J9+'RBPI CF'!J9</f>
        <v/>
      </c>
      <c r="K9" s="608">
        <f>'SW CF'!K9+'CPFO CF'!K9+'APK CF'!K9+'RBPI CF'!K9</f>
        <v/>
      </c>
      <c r="L9" s="608">
        <f>'SW CF'!L9+'CPFO CF'!L9+'APK CF'!L9+'RBPI CF'!L9</f>
        <v/>
      </c>
      <c r="M9" s="608">
        <f>'SW CF'!M9+'CPFO CF'!M9+'APK CF'!M9+'RBPI CF'!M9</f>
        <v/>
      </c>
      <c r="N9" s="957">
        <f>'SW CF'!N9+'CPFO CF'!N9+'APK CF'!N9+'RBPI CF'!N9</f>
        <v/>
      </c>
      <c r="O9" s="599" t="n"/>
    </row>
    <row r="10" ht="15" customHeight="1">
      <c r="B10" s="1693" t="inlineStr">
        <is>
          <t>Accumulated Depreciation</t>
        </is>
      </c>
      <c r="C10" s="609">
        <f>'SW CF'!C10+'CPFO CF'!C10+'APK CF'!C10+'RBPI CF'!C10</f>
        <v/>
      </c>
      <c r="D10" s="610">
        <f>'SW CF'!D10+'CPFO CF'!D10+'APK CF'!D10+'RBPI CF'!D10</f>
        <v/>
      </c>
      <c r="E10" s="610">
        <f>'SW CF'!E10+'CPFO CF'!E10+'APK CF'!E10+'RBPI CF'!E10</f>
        <v/>
      </c>
      <c r="F10" s="610">
        <f>'SW CF'!F10+'CPFO CF'!F10+'APK CF'!F10+'RBPI CF'!F10</f>
        <v/>
      </c>
      <c r="G10" s="610">
        <f>'SW CF'!G10+'CPFO CF'!G10+'APK CF'!G10+'RBPI CF'!G10</f>
        <v/>
      </c>
      <c r="H10" s="610">
        <f>'SW CF'!H10+'CPFO CF'!H10+'APK CF'!H10+'RBPI CF'!H10</f>
        <v/>
      </c>
      <c r="I10" s="610">
        <f>'SW CF'!I10+'CPFO CF'!I10+'APK CF'!I10+'RBPI CF'!I10</f>
        <v/>
      </c>
      <c r="J10" s="610">
        <f>'SW CF'!J10+'CPFO CF'!J10+'APK CF'!J10+'RBPI CF'!J10</f>
        <v/>
      </c>
      <c r="K10" s="610">
        <f>'SW CF'!K10+'CPFO CF'!K10+'APK CF'!K10+'RBPI CF'!K10</f>
        <v/>
      </c>
      <c r="L10" s="610">
        <f>'SW CF'!L10+'CPFO CF'!L10+'APK CF'!L10+'RBPI CF'!L10</f>
        <v/>
      </c>
      <c r="M10" s="610">
        <f>'SW CF'!M10+'CPFO CF'!M10+'APK CF'!M10+'RBPI CF'!M10</f>
        <v/>
      </c>
      <c r="N10" s="958">
        <f>'SW CF'!N10+'CPFO CF'!N10+'APK CF'!N10+'RBPI CF'!N10</f>
        <v/>
      </c>
      <c r="O10" s="599" t="n"/>
    </row>
    <row r="11" ht="15" customHeight="1">
      <c r="B11" s="1694" t="inlineStr">
        <is>
          <t>Cash in (out) from operation</t>
        </is>
      </c>
      <c r="C11" s="612">
        <f>'SW CF'!C11+'CPFO CF'!C11+'APK CF'!C11+'RBPI CF'!C11</f>
        <v/>
      </c>
      <c r="D11" s="613">
        <f>'SW CF'!D11+'CPFO CF'!D11+'APK CF'!D11+'RBPI CF'!D11</f>
        <v/>
      </c>
      <c r="E11" s="613">
        <f>'SW CF'!E11+'CPFO CF'!E11+'APK CF'!E11+'RBPI CF'!E11</f>
        <v/>
      </c>
      <c r="F11" s="613">
        <f>'SW CF'!F11+'CPFO CF'!F11+'APK CF'!F11+'RBPI CF'!F11</f>
        <v/>
      </c>
      <c r="G11" s="613">
        <f>'SW CF'!G11+'CPFO CF'!G11+'APK CF'!G11+'RBPI CF'!G11</f>
        <v/>
      </c>
      <c r="H11" s="613">
        <f>'SW CF'!H11+'CPFO CF'!H11+'APK CF'!H11+'RBPI CF'!H11</f>
        <v/>
      </c>
      <c r="I11" s="613">
        <f>'SW CF'!I11+'CPFO CF'!I11+'APK CF'!I11+'RBPI CF'!I11</f>
        <v/>
      </c>
      <c r="J11" s="613">
        <f>'SW CF'!J11+'CPFO CF'!J11+'APK CF'!J11+'RBPI CF'!J11</f>
        <v/>
      </c>
      <c r="K11" s="613">
        <f>'SW CF'!K11+'CPFO CF'!K11+'APK CF'!K11+'RBPI CF'!K11</f>
        <v/>
      </c>
      <c r="L11" s="613">
        <f>'SW CF'!L11+'CPFO CF'!L11+'APK CF'!L11+'RBPI CF'!L11</f>
        <v/>
      </c>
      <c r="M11" s="613">
        <f>'SW CF'!M11+'CPFO CF'!M11+'APK CF'!M11+'RBPI CF'!M11</f>
        <v/>
      </c>
      <c r="N11" s="959">
        <f>'SW CF'!N11+'CPFO CF'!N11+'APK CF'!N11+'RBPI CF'!N11</f>
        <v/>
      </c>
      <c r="O11" s="599" t="n"/>
    </row>
    <row r="12" ht="15" customHeight="1">
      <c r="B12" s="1693" t="inlineStr">
        <is>
          <t xml:space="preserve">Payable </t>
        </is>
      </c>
      <c r="C12" s="607">
        <f>'SW CF'!C12+'CPFO CF'!C12+'APK CF'!C12+'RBPI CF'!C12</f>
        <v/>
      </c>
      <c r="D12" s="608">
        <f>'SW CF'!D12+'CPFO CF'!D12+'APK CF'!D12+'RBPI CF'!D12</f>
        <v/>
      </c>
      <c r="E12" s="608">
        <f>'SW CF'!E12+'CPFO CF'!E12+'APK CF'!E12+'RBPI CF'!E12</f>
        <v/>
      </c>
      <c r="F12" s="608">
        <f>'SW CF'!F12+'CPFO CF'!F12+'APK CF'!F12+'RBPI CF'!F12</f>
        <v/>
      </c>
      <c r="G12" s="608">
        <f>'SW CF'!G12+'CPFO CF'!G12+'APK CF'!G12+'RBPI CF'!G12</f>
        <v/>
      </c>
      <c r="H12" s="608">
        <f>'SW CF'!H12+'CPFO CF'!H12+'APK CF'!H12+'RBPI CF'!H12</f>
        <v/>
      </c>
      <c r="I12" s="608">
        <f>'SW CF'!I12+'CPFO CF'!I12+'APK CF'!I12+'RBPI CF'!I12</f>
        <v/>
      </c>
      <c r="J12" s="608">
        <f>'SW CF'!J12+'CPFO CF'!J12+'APK CF'!J12+'RBPI CF'!J12</f>
        <v/>
      </c>
      <c r="K12" s="608">
        <f>'SW CF'!K12+'CPFO CF'!K12+'APK CF'!K12+'RBPI CF'!K12</f>
        <v/>
      </c>
      <c r="L12" s="608">
        <f>'SW CF'!L12+'CPFO CF'!L12+'APK CF'!L12+'RBPI CF'!L12</f>
        <v/>
      </c>
      <c r="M12" s="608">
        <f>'SW CF'!M12+'CPFO CF'!M12+'APK CF'!M12+'RBPI CF'!M12</f>
        <v/>
      </c>
      <c r="N12" s="957">
        <f>'SW CF'!N12+'CPFO CF'!N12+'APK CF'!N12+'RBPI CF'!N12</f>
        <v/>
      </c>
      <c r="O12" s="599" t="n"/>
    </row>
    <row r="13" ht="15" customHeight="1">
      <c r="B13" s="1693" t="inlineStr">
        <is>
          <t>Current Account</t>
        </is>
      </c>
      <c r="C13" s="607">
        <f>'SW CF'!C13+'CPFO CF'!C13+'APK CF'!C13+'RBPI CF'!C13</f>
        <v/>
      </c>
      <c r="D13" s="608">
        <f>'SW CF'!D13+'CPFO CF'!D13+'APK CF'!D13+'RBPI CF'!D13</f>
        <v/>
      </c>
      <c r="E13" s="608">
        <f>'SW CF'!E13+'CPFO CF'!E13+'APK CF'!E13+'RBPI CF'!E13</f>
        <v/>
      </c>
      <c r="F13" s="608">
        <f>'SW CF'!F13+'CPFO CF'!F13+'APK CF'!F13+'RBPI CF'!F13</f>
        <v/>
      </c>
      <c r="G13" s="608">
        <f>'SW CF'!G13+'CPFO CF'!G13+'APK CF'!G13+'RBPI CF'!G13</f>
        <v/>
      </c>
      <c r="H13" s="608">
        <f>'SW CF'!H13+'CPFO CF'!H13+'APK CF'!H13+'RBPI CF'!H13</f>
        <v/>
      </c>
      <c r="I13" s="608">
        <f>'SW CF'!I13+'CPFO CF'!I13+'APK CF'!I13+'RBPI CF'!I13</f>
        <v/>
      </c>
      <c r="J13" s="608">
        <f>'SW CF'!J13+'CPFO CF'!J13+'APK CF'!J13+'RBPI CF'!J13</f>
        <v/>
      </c>
      <c r="K13" s="608">
        <f>'SW CF'!K13+'CPFO CF'!K13+'APK CF'!K13+'RBPI CF'!K13</f>
        <v/>
      </c>
      <c r="L13" s="608">
        <f>'SW CF'!L13+'CPFO CF'!L13+'APK CF'!L13+'RBPI CF'!L13</f>
        <v/>
      </c>
      <c r="M13" s="608">
        <f>'SW CF'!M13+'CPFO CF'!M13+'APK CF'!M13+'RBPI CF'!M13</f>
        <v/>
      </c>
      <c r="N13" s="957">
        <f>'SW CF'!N13+'CPFO CF'!N13+'APK CF'!N13+'RBPI CF'!N13</f>
        <v/>
      </c>
      <c r="O13" s="599" t="n"/>
    </row>
    <row r="14" ht="15" customHeight="1">
      <c r="B14" s="1693" t="inlineStr">
        <is>
          <t>Dividend Payable</t>
        </is>
      </c>
      <c r="C14" s="607">
        <f>'SW CF'!C14+'CPFO CF'!C14+'APK CF'!C14+'RBPI CF'!C14</f>
        <v/>
      </c>
      <c r="D14" s="608">
        <f>'SW CF'!D14+'CPFO CF'!D14+'APK CF'!D14+'RBPI CF'!D14</f>
        <v/>
      </c>
      <c r="E14" s="608">
        <f>'SW CF'!E14+'CPFO CF'!E14+'APK CF'!E14+'RBPI CF'!E14</f>
        <v/>
      </c>
      <c r="F14" s="608">
        <f>'SW CF'!F14+'CPFO CF'!F14+'APK CF'!F14+'RBPI CF'!F14</f>
        <v/>
      </c>
      <c r="G14" s="608">
        <f>'SW CF'!G14+'CPFO CF'!G14+'APK CF'!G14+'RBPI CF'!G14</f>
        <v/>
      </c>
      <c r="H14" s="608">
        <f>'SW CF'!H14+'CPFO CF'!H14+'APK CF'!H14+'RBPI CF'!H14</f>
        <v/>
      </c>
      <c r="I14" s="608">
        <f>'SW CF'!I14+'CPFO CF'!I14+'APK CF'!I14+'RBPI CF'!I14</f>
        <v/>
      </c>
      <c r="J14" s="608">
        <f>'SW CF'!J14+'CPFO CF'!J14+'APK CF'!J14+'RBPI CF'!J14</f>
        <v/>
      </c>
      <c r="K14" s="608">
        <f>'SW CF'!K14+'CPFO CF'!K14+'APK CF'!K14+'RBPI CF'!K14</f>
        <v/>
      </c>
      <c r="L14" s="608">
        <f>'SW CF'!L14+'CPFO CF'!L14+'APK CF'!L14+'RBPI CF'!L14</f>
        <v/>
      </c>
      <c r="M14" s="608">
        <f>'SW CF'!M14+'CPFO CF'!M14+'APK CF'!M14+'RBPI CF'!M14</f>
        <v/>
      </c>
      <c r="N14" s="957">
        <f>'SW CF'!N14+'CPFO CF'!N14+'APK CF'!N14+'RBPI CF'!N14</f>
        <v/>
      </c>
      <c r="O14" s="599" t="n"/>
    </row>
    <row r="15" ht="15" customHeight="1">
      <c r="B15" s="1693" t="inlineStr">
        <is>
          <t>Other current and None Current liabilities</t>
        </is>
      </c>
      <c r="C15" s="609">
        <f>'SW CF'!C15+'CPFO CF'!C15+'APK CF'!C15+'RBPI CF'!C15</f>
        <v/>
      </c>
      <c r="D15" s="610">
        <f>'SW CF'!D15+'CPFO CF'!D15+'APK CF'!D15+'RBPI CF'!D15</f>
        <v/>
      </c>
      <c r="E15" s="610">
        <f>'SW CF'!E15+'CPFO CF'!E15+'APK CF'!E15+'RBPI CF'!E15</f>
        <v/>
      </c>
      <c r="F15" s="610">
        <f>'SW CF'!F15+'CPFO CF'!F15+'APK CF'!F15+'RBPI CF'!F15</f>
        <v/>
      </c>
      <c r="G15" s="610">
        <f>'SW CF'!G15+'CPFO CF'!G15+'APK CF'!G15+'RBPI CF'!G15</f>
        <v/>
      </c>
      <c r="H15" s="610">
        <f>'SW CF'!H15+'CPFO CF'!H15+'APK CF'!H15+'RBPI CF'!H15</f>
        <v/>
      </c>
      <c r="I15" s="610">
        <f>'SW CF'!I15+'CPFO CF'!I15+'APK CF'!I15+'RBPI CF'!I15</f>
        <v/>
      </c>
      <c r="J15" s="610">
        <f>'SW CF'!J15+'CPFO CF'!J15+'APK CF'!J15+'RBPI CF'!J15</f>
        <v/>
      </c>
      <c r="K15" s="610">
        <f>'SW CF'!K15+'CPFO CF'!K15+'APK CF'!K15+'RBPI CF'!K15</f>
        <v/>
      </c>
      <c r="L15" s="610">
        <f>'SW CF'!L15+'CPFO CF'!L15+'APK CF'!L15+'RBPI CF'!L15</f>
        <v/>
      </c>
      <c r="M15" s="610">
        <f>'SW CF'!M15+'CPFO CF'!M15+'APK CF'!M15+'RBPI CF'!M15</f>
        <v/>
      </c>
      <c r="N15" s="958">
        <f>'SW CF'!N15+'CPFO CF'!N15+'APK CF'!N15+'RBPI CF'!N15</f>
        <v/>
      </c>
      <c r="O15" s="599" t="n"/>
    </row>
    <row r="16" ht="15" customHeight="1">
      <c r="B16" s="1694" t="inlineStr">
        <is>
          <t>Cash in (out) from liabilities</t>
        </is>
      </c>
      <c r="C16" s="612">
        <f>'SW CF'!C16+'CPFO CF'!C16+'APK CF'!C16+'RBPI CF'!C16</f>
        <v/>
      </c>
      <c r="D16" s="613">
        <f>'SW CF'!D16+'CPFO CF'!D16+'APK CF'!D16+'RBPI CF'!D16</f>
        <v/>
      </c>
      <c r="E16" s="613">
        <f>'SW CF'!E16+'CPFO CF'!E16+'APK CF'!E16+'RBPI CF'!E16</f>
        <v/>
      </c>
      <c r="F16" s="613">
        <f>'SW CF'!F16+'CPFO CF'!F16+'APK CF'!F16+'RBPI CF'!F16</f>
        <v/>
      </c>
      <c r="G16" s="613">
        <f>'SW CF'!G16+'CPFO CF'!G16+'APK CF'!G16+'RBPI CF'!G16</f>
        <v/>
      </c>
      <c r="H16" s="613">
        <f>'SW CF'!H16+'CPFO CF'!H16+'APK CF'!H16+'RBPI CF'!H16</f>
        <v/>
      </c>
      <c r="I16" s="613">
        <f>'SW CF'!I16+'CPFO CF'!I16+'APK CF'!I16+'RBPI CF'!I16</f>
        <v/>
      </c>
      <c r="J16" s="613">
        <f>'SW CF'!J16+'CPFO CF'!J16+'APK CF'!J16+'RBPI CF'!J16</f>
        <v/>
      </c>
      <c r="K16" s="613">
        <f>'SW CF'!K16+'CPFO CF'!K16+'APK CF'!K16+'RBPI CF'!K16</f>
        <v/>
      </c>
      <c r="L16" s="613">
        <f>'SW CF'!L16+'CPFO CF'!L16+'APK CF'!L16+'RBPI CF'!L16</f>
        <v/>
      </c>
      <c r="M16" s="613">
        <f>'SW CF'!M16+'CPFO CF'!M16+'APK CF'!M16+'RBPI CF'!M16</f>
        <v/>
      </c>
      <c r="N16" s="959">
        <f>'SW CF'!N16+'CPFO CF'!N16+'APK CF'!N16+'RBPI CF'!N16</f>
        <v/>
      </c>
      <c r="O16" s="599" t="n"/>
    </row>
    <row r="17" ht="15" customHeight="1">
      <c r="B17" s="1693" t="inlineStr">
        <is>
          <t>Accounts receivable &amp; checks on hand-trade</t>
        </is>
      </c>
      <c r="C17" s="607">
        <f>'SW CF'!C17+'CPFO CF'!C17+'APK CF'!C17+'RBPI CF'!C17</f>
        <v/>
      </c>
      <c r="D17" s="608">
        <f>'SW CF'!D17+'CPFO CF'!D17+'APK CF'!D17+'RBPI CF'!D17</f>
        <v/>
      </c>
      <c r="E17" s="608">
        <f>'SW CF'!E17+'CPFO CF'!E17+'APK CF'!E17+'RBPI CF'!E17</f>
        <v/>
      </c>
      <c r="F17" s="608">
        <f>'SW CF'!F17+'CPFO CF'!F17+'APK CF'!F17+'RBPI CF'!F17</f>
        <v/>
      </c>
      <c r="G17" s="608">
        <f>'SW CF'!G17+'CPFO CF'!G17+'APK CF'!G17+'RBPI CF'!G17</f>
        <v/>
      </c>
      <c r="H17" s="608">
        <f>'SW CF'!H17+'CPFO CF'!H17+'APK CF'!H17+'RBPI CF'!H17</f>
        <v/>
      </c>
      <c r="I17" s="608">
        <f>'SW CF'!I17+'CPFO CF'!I17+'APK CF'!I17+'RBPI CF'!I17</f>
        <v/>
      </c>
      <c r="J17" s="608">
        <f>'SW CF'!J17+'CPFO CF'!J17+'APK CF'!J17+'RBPI CF'!J17</f>
        <v/>
      </c>
      <c r="K17" s="608">
        <f>'SW CF'!K17+'CPFO CF'!K17+'APK CF'!K17+'RBPI CF'!K17</f>
        <v/>
      </c>
      <c r="L17" s="608">
        <f>'SW CF'!L17+'CPFO CF'!L17+'APK CF'!L17+'RBPI CF'!L17</f>
        <v/>
      </c>
      <c r="M17" s="608">
        <f>'SW CF'!M17+'CPFO CF'!M17+'APK CF'!M17+'RBPI CF'!M17</f>
        <v/>
      </c>
      <c r="N17" s="957">
        <f>'SW CF'!N17+'CPFO CF'!N17+'APK CF'!N17+'RBPI CF'!N17</f>
        <v/>
      </c>
      <c r="O17" s="599" t="n"/>
    </row>
    <row r="18" ht="15" customHeight="1">
      <c r="B18" s="1693" t="inlineStr">
        <is>
          <t>Short-term Loan Receivable</t>
        </is>
      </c>
      <c r="C18" s="607">
        <f>'SW CF'!C18+'CPFO CF'!C18+'APK CF'!C18+'RBPI CF'!C18</f>
        <v/>
      </c>
      <c r="D18" s="608">
        <f>'SW CF'!D18+'CPFO CF'!D18+'APK CF'!D18+'RBPI CF'!D18</f>
        <v/>
      </c>
      <c r="E18" s="608">
        <f>'SW CF'!E18+'CPFO CF'!E18+'APK CF'!E18+'RBPI CF'!E18</f>
        <v/>
      </c>
      <c r="F18" s="608">
        <f>'SW CF'!F18+'CPFO CF'!F18+'APK CF'!F18+'RBPI CF'!F18</f>
        <v/>
      </c>
      <c r="G18" s="608">
        <f>'SW CF'!G18+'CPFO CF'!G18+'APK CF'!G18+'RBPI CF'!G18</f>
        <v/>
      </c>
      <c r="H18" s="608">
        <f>'SW CF'!H18+'CPFO CF'!H18+'APK CF'!H18+'RBPI CF'!H18</f>
        <v/>
      </c>
      <c r="I18" s="608">
        <f>'SW CF'!I18+'CPFO CF'!I18+'APK CF'!I18+'RBPI CF'!I18</f>
        <v/>
      </c>
      <c r="J18" s="608">
        <f>'SW CF'!J18+'CPFO CF'!J18+'APK CF'!J18+'RBPI CF'!J18</f>
        <v/>
      </c>
      <c r="K18" s="608">
        <f>'SW CF'!K18+'CPFO CF'!K18+'APK CF'!K18+'RBPI CF'!K18</f>
        <v/>
      </c>
      <c r="L18" s="608">
        <f>'SW CF'!L18+'CPFO CF'!L18+'APK CF'!L18+'RBPI CF'!L18</f>
        <v/>
      </c>
      <c r="M18" s="608">
        <f>'SW CF'!M18+'CPFO CF'!M18+'APK CF'!M18+'RBPI CF'!M18</f>
        <v/>
      </c>
      <c r="N18" s="957">
        <f>'SW CF'!N18+'CPFO CF'!N18+'APK CF'!N18+'RBPI CF'!N18</f>
        <v/>
      </c>
      <c r="O18" s="599" t="n"/>
    </row>
    <row r="19" ht="15" customHeight="1">
      <c r="B19" s="1693" t="inlineStr">
        <is>
          <t>Inventories</t>
        </is>
      </c>
      <c r="C19" s="607">
        <f>'SW CF'!C19+'CPFO CF'!C19+'APK CF'!C19+'RBPI CF'!C19</f>
        <v/>
      </c>
      <c r="D19" s="608">
        <f>'SW CF'!D19+'CPFO CF'!D19+'APK CF'!D19+'RBPI CF'!D19</f>
        <v/>
      </c>
      <c r="E19" s="608">
        <f>'SW CF'!E19+'CPFO CF'!E19+'APK CF'!E19+'RBPI CF'!E19</f>
        <v/>
      </c>
      <c r="F19" s="608">
        <f>'SW CF'!F19+'CPFO CF'!F19+'APK CF'!F19+'RBPI CF'!F19</f>
        <v/>
      </c>
      <c r="G19" s="608">
        <f>'SW CF'!G19+'CPFO CF'!G19+'APK CF'!G19+'RBPI CF'!G19</f>
        <v/>
      </c>
      <c r="H19" s="608">
        <f>'SW CF'!H19+'CPFO CF'!H19+'APK CF'!H19+'RBPI CF'!H19</f>
        <v/>
      </c>
      <c r="I19" s="608">
        <f>'SW CF'!I19+'CPFO CF'!I19+'APK CF'!I19+'RBPI CF'!I19</f>
        <v/>
      </c>
      <c r="J19" s="608">
        <f>'SW CF'!J19+'CPFO CF'!J19+'APK CF'!J19+'RBPI CF'!J19</f>
        <v/>
      </c>
      <c r="K19" s="608">
        <f>'SW CF'!K19+'CPFO CF'!K19+'APK CF'!K19+'RBPI CF'!K19</f>
        <v/>
      </c>
      <c r="L19" s="608">
        <f>'SW CF'!L19+'CPFO CF'!L19+'APK CF'!L19+'RBPI CF'!L19</f>
        <v/>
      </c>
      <c r="M19" s="608">
        <f>'SW CF'!M19+'CPFO CF'!M19+'APK CF'!M19+'RBPI CF'!M19</f>
        <v/>
      </c>
      <c r="N19" s="957">
        <f>'SW CF'!N19+'CPFO CF'!N19+'APK CF'!N19+'RBPI CF'!N19</f>
        <v/>
      </c>
      <c r="O19" s="599" t="n"/>
    </row>
    <row r="20" ht="15" customHeight="1">
      <c r="B20" s="1693" t="inlineStr">
        <is>
          <t>Other Current and None Current Assets</t>
        </is>
      </c>
      <c r="C20" s="609">
        <f>'SW CF'!C20+'CPFO CF'!C20+'APK CF'!C20+'RBPI CF'!C20</f>
        <v/>
      </c>
      <c r="D20" s="610">
        <f>'SW CF'!D20+'CPFO CF'!D20+'APK CF'!D20+'RBPI CF'!D20</f>
        <v/>
      </c>
      <c r="E20" s="610">
        <f>'SW CF'!E20+'CPFO CF'!E20+'APK CF'!E20+'RBPI CF'!E20</f>
        <v/>
      </c>
      <c r="F20" s="610">
        <f>'SW CF'!F20+'CPFO CF'!F20+'APK CF'!F20+'RBPI CF'!F20</f>
        <v/>
      </c>
      <c r="G20" s="610">
        <f>'SW CF'!G20+'CPFO CF'!G20+'APK CF'!G20+'RBPI CF'!G20</f>
        <v/>
      </c>
      <c r="H20" s="610">
        <f>'SW CF'!H20+'CPFO CF'!H20+'APK CF'!H20+'RBPI CF'!H20</f>
        <v/>
      </c>
      <c r="I20" s="610">
        <f>'SW CF'!I20+'CPFO CF'!I20+'APK CF'!I20+'RBPI CF'!I20</f>
        <v/>
      </c>
      <c r="J20" s="610">
        <f>'SW CF'!J20+'CPFO CF'!J20+'APK CF'!J20+'RBPI CF'!J20</f>
        <v/>
      </c>
      <c r="K20" s="610">
        <f>'SW CF'!K20+'CPFO CF'!K20+'APK CF'!K20+'RBPI CF'!K20</f>
        <v/>
      </c>
      <c r="L20" s="610">
        <f>'SW CF'!L20+'CPFO CF'!L20+'APK CF'!L20+'RBPI CF'!L20</f>
        <v/>
      </c>
      <c r="M20" s="610">
        <f>'SW CF'!M20+'CPFO CF'!M20+'APK CF'!M20+'RBPI CF'!M20</f>
        <v/>
      </c>
      <c r="N20" s="958">
        <f>'SW CF'!N20+'CPFO CF'!N20+'APK CF'!N20+'RBPI CF'!N20</f>
        <v/>
      </c>
      <c r="O20" s="599" t="n"/>
    </row>
    <row r="21" ht="15" customHeight="1">
      <c r="B21" s="1694" t="inlineStr">
        <is>
          <t>Cash out ( in ) from current assets</t>
        </is>
      </c>
      <c r="C21" s="612">
        <f>'SW CF'!C21+'CPFO CF'!C21+'APK CF'!C21+'RBPI CF'!C21</f>
        <v/>
      </c>
      <c r="D21" s="613">
        <f>'SW CF'!D21+'CPFO CF'!D21+'APK CF'!D21+'RBPI CF'!D21</f>
        <v/>
      </c>
      <c r="E21" s="613">
        <f>'SW CF'!E21+'CPFO CF'!E21+'APK CF'!E21+'RBPI CF'!E21</f>
        <v/>
      </c>
      <c r="F21" s="613">
        <f>'SW CF'!F21+'CPFO CF'!F21+'APK CF'!F21+'RBPI CF'!F21</f>
        <v/>
      </c>
      <c r="G21" s="613">
        <f>'SW CF'!G21+'CPFO CF'!G21+'APK CF'!G21+'RBPI CF'!G21</f>
        <v/>
      </c>
      <c r="H21" s="613">
        <f>'SW CF'!H21+'CPFO CF'!H21+'APK CF'!H21+'RBPI CF'!H21</f>
        <v/>
      </c>
      <c r="I21" s="613">
        <f>'SW CF'!I21+'CPFO CF'!I21+'APK CF'!I21+'RBPI CF'!I21</f>
        <v/>
      </c>
      <c r="J21" s="613">
        <f>'SW CF'!J21+'CPFO CF'!J21+'APK CF'!J21+'RBPI CF'!J21</f>
        <v/>
      </c>
      <c r="K21" s="613">
        <f>'SW CF'!K21+'CPFO CF'!K21+'APK CF'!K21+'RBPI CF'!K21</f>
        <v/>
      </c>
      <c r="L21" s="613">
        <f>'SW CF'!L21+'CPFO CF'!L21+'APK CF'!L21+'RBPI CF'!L21</f>
        <v/>
      </c>
      <c r="M21" s="613">
        <f>'SW CF'!M21+'CPFO CF'!M21+'APK CF'!M21+'RBPI CF'!M21</f>
        <v/>
      </c>
      <c r="N21" s="959">
        <f>'SW CF'!N21+'CPFO CF'!N21+'APK CF'!N21+'RBPI CF'!N21</f>
        <v/>
      </c>
      <c r="O21" s="599" t="n"/>
    </row>
    <row r="22" ht="15" customHeight="1">
      <c r="B22" s="1693" t="inlineStr">
        <is>
          <t>Property , plant and equipment</t>
        </is>
      </c>
      <c r="C22" s="607">
        <f>'SW CF'!C22+'CPFO CF'!C22+'APK CF'!C22+'RBPI CF'!C22</f>
        <v/>
      </c>
      <c r="D22" s="608">
        <f>'SW CF'!D22+'CPFO CF'!D22+'APK CF'!D22+'RBPI CF'!D22</f>
        <v/>
      </c>
      <c r="E22" s="608">
        <f>'SW CF'!E22+'CPFO CF'!E22+'APK CF'!E22+'RBPI CF'!E22</f>
        <v/>
      </c>
      <c r="F22" s="608">
        <f>'SW CF'!F22+'CPFO CF'!F22+'APK CF'!F22+'RBPI CF'!F22</f>
        <v/>
      </c>
      <c r="G22" s="608">
        <f>'SW CF'!G22+'CPFO CF'!G22+'APK CF'!G22+'RBPI CF'!G22</f>
        <v/>
      </c>
      <c r="H22" s="608">
        <f>'SW CF'!H22+'CPFO CF'!H22+'APK CF'!H22+'RBPI CF'!H22</f>
        <v/>
      </c>
      <c r="I22" s="608">
        <f>'SW CF'!I22+'CPFO CF'!I22+'APK CF'!I22+'RBPI CF'!I22</f>
        <v/>
      </c>
      <c r="J22" s="608">
        <f>'SW CF'!J22+'CPFO CF'!J22+'APK CF'!J22+'RBPI CF'!J22</f>
        <v/>
      </c>
      <c r="K22" s="608">
        <f>'SW CF'!K22+'CPFO CF'!K22+'APK CF'!K22+'RBPI CF'!K22</f>
        <v/>
      </c>
      <c r="L22" s="608">
        <f>'SW CF'!L22+'CPFO CF'!L22+'APK CF'!L22+'RBPI CF'!L22</f>
        <v/>
      </c>
      <c r="M22" s="608">
        <f>'SW CF'!M22+'CPFO CF'!M22+'APK CF'!M22+'RBPI CF'!M22</f>
        <v/>
      </c>
      <c r="N22" s="957">
        <f>'SW CF'!N22+'CPFO CF'!N22+'APK CF'!N22+'RBPI CF'!N22</f>
        <v/>
      </c>
      <c r="O22" s="599" t="n"/>
    </row>
    <row r="23" ht="15" customHeight="1">
      <c r="B23" s="1693" t="inlineStr">
        <is>
          <t>Other Assets</t>
        </is>
      </c>
      <c r="C23" s="607">
        <f>'SW CF'!C23+'CPFO CF'!C23+'APK CF'!C23+'RBPI CF'!C23</f>
        <v/>
      </c>
      <c r="D23" s="608">
        <f>'SW CF'!D23+'CPFO CF'!D23+'APK CF'!D23+'RBPI CF'!D23</f>
        <v/>
      </c>
      <c r="E23" s="608">
        <f>'SW CF'!E23+'CPFO CF'!E23+'APK CF'!E23+'RBPI CF'!E23</f>
        <v/>
      </c>
      <c r="F23" s="608">
        <f>'SW CF'!F23+'CPFO CF'!F23+'APK CF'!F23+'RBPI CF'!F23</f>
        <v/>
      </c>
      <c r="G23" s="608">
        <f>'SW CF'!G23+'CPFO CF'!G23+'APK CF'!G23+'RBPI CF'!G23</f>
        <v/>
      </c>
      <c r="H23" s="608">
        <f>'SW CF'!H23+'CPFO CF'!H23+'APK CF'!H23+'RBPI CF'!H23</f>
        <v/>
      </c>
      <c r="I23" s="608">
        <f>'SW CF'!I23+'CPFO CF'!I23+'APK CF'!I23+'RBPI CF'!I23</f>
        <v/>
      </c>
      <c r="J23" s="608">
        <f>'SW CF'!J23+'CPFO CF'!J23+'APK CF'!J23+'RBPI CF'!J23</f>
        <v/>
      </c>
      <c r="K23" s="608">
        <f>'SW CF'!K23+'CPFO CF'!K23+'APK CF'!K23+'RBPI CF'!K23</f>
        <v/>
      </c>
      <c r="L23" s="608">
        <f>'SW CF'!L23+'CPFO CF'!L23+'APK CF'!L23+'RBPI CF'!L23</f>
        <v/>
      </c>
      <c r="M23" s="608">
        <f>'SW CF'!M23+'CPFO CF'!M23+'APK CF'!M23+'RBPI CF'!M23</f>
        <v/>
      </c>
      <c r="N23" s="957">
        <f>'SW CF'!N23+'CPFO CF'!N23+'APK CF'!N23+'RBPI CF'!N23</f>
        <v/>
      </c>
      <c r="O23" s="599" t="n"/>
    </row>
    <row r="24" ht="15" customHeight="1">
      <c r="B24" s="1693" t="inlineStr">
        <is>
          <t>Investment</t>
        </is>
      </c>
      <c r="C24" s="609">
        <f>'SW CF'!C24+'CPFO CF'!C24+'APK CF'!C24+'RBPI CF'!C24</f>
        <v/>
      </c>
      <c r="D24" s="610">
        <f>'SW CF'!D24+'CPFO CF'!D24+'APK CF'!D24+'RBPI CF'!D24</f>
        <v/>
      </c>
      <c r="E24" s="610">
        <f>'SW CF'!E24+'CPFO CF'!E24+'APK CF'!E24+'RBPI CF'!E24</f>
        <v/>
      </c>
      <c r="F24" s="610">
        <f>'SW CF'!F24+'CPFO CF'!F24+'APK CF'!F24+'RBPI CF'!F24</f>
        <v/>
      </c>
      <c r="G24" s="610">
        <f>'SW CF'!G24+'CPFO CF'!G24+'APK CF'!G24+'RBPI CF'!G24</f>
        <v/>
      </c>
      <c r="H24" s="610">
        <f>'SW CF'!H24+'CPFO CF'!H24+'APK CF'!H24+'RBPI CF'!H24</f>
        <v/>
      </c>
      <c r="I24" s="610">
        <f>'SW CF'!I24+'CPFO CF'!I24+'APK CF'!I24+'RBPI CF'!I24</f>
        <v/>
      </c>
      <c r="J24" s="610">
        <f>'SW CF'!J24+'CPFO CF'!J24+'APK CF'!J24+'RBPI CF'!J24</f>
        <v/>
      </c>
      <c r="K24" s="610">
        <f>'SW CF'!K24+'CPFO CF'!K24+'APK CF'!K24+'RBPI CF'!K24</f>
        <v/>
      </c>
      <c r="L24" s="610">
        <f>'SW CF'!L24+'CPFO CF'!L24+'APK CF'!L24+'RBPI CF'!L24</f>
        <v/>
      </c>
      <c r="M24" s="610">
        <f>'SW CF'!M24+'CPFO CF'!M24+'APK CF'!M24+'RBPI CF'!M24</f>
        <v/>
      </c>
      <c r="N24" s="958">
        <f>'SW CF'!N24+'CPFO CF'!N24+'APK CF'!N24+'RBPI CF'!N24</f>
        <v/>
      </c>
      <c r="O24" s="599" t="n"/>
    </row>
    <row r="25" ht="15" customHeight="1">
      <c r="B25" s="1695" t="inlineStr">
        <is>
          <t>Cash out ( in ) from investing</t>
        </is>
      </c>
      <c r="C25" s="612">
        <f>'SW CF'!C25+'CPFO CF'!C25+'APK CF'!C25+'RBPI CF'!C25</f>
        <v/>
      </c>
      <c r="D25" s="613">
        <f>'SW CF'!D25+'CPFO CF'!D25+'APK CF'!D25+'RBPI CF'!D25</f>
        <v/>
      </c>
      <c r="E25" s="613">
        <f>'SW CF'!E25+'CPFO CF'!E25+'APK CF'!E25+'RBPI CF'!E25</f>
        <v/>
      </c>
      <c r="F25" s="613">
        <f>'SW CF'!F25+'CPFO CF'!F25+'APK CF'!F25+'RBPI CF'!F25</f>
        <v/>
      </c>
      <c r="G25" s="613">
        <f>'SW CF'!G25+'CPFO CF'!G25+'APK CF'!G25+'RBPI CF'!G25</f>
        <v/>
      </c>
      <c r="H25" s="613">
        <f>'SW CF'!H25+'CPFO CF'!H25+'APK CF'!H25+'RBPI CF'!H25</f>
        <v/>
      </c>
      <c r="I25" s="613">
        <f>'SW CF'!I25+'CPFO CF'!I25+'APK CF'!I25+'RBPI CF'!I25</f>
        <v/>
      </c>
      <c r="J25" s="613">
        <f>'SW CF'!J25+'CPFO CF'!J25+'APK CF'!J25+'RBPI CF'!J25</f>
        <v/>
      </c>
      <c r="K25" s="613">
        <f>'SW CF'!K25+'CPFO CF'!K25+'APK CF'!K25+'RBPI CF'!K25</f>
        <v/>
      </c>
      <c r="L25" s="613">
        <f>'SW CF'!L25+'CPFO CF'!L25+'APK CF'!L25+'RBPI CF'!L25</f>
        <v/>
      </c>
      <c r="M25" s="613">
        <f>'SW CF'!M25+'CPFO CF'!M25+'APK CF'!M25+'RBPI CF'!M25</f>
        <v/>
      </c>
      <c r="N25" s="959">
        <f>'SW CF'!N25+'CPFO CF'!N25+'APK CF'!N25+'RBPI CF'!N25</f>
        <v/>
      </c>
      <c r="O25" s="599" t="n"/>
    </row>
    <row r="26" ht="15" customHeight="1">
      <c r="B26" s="1693" t="inlineStr">
        <is>
          <t>Financial Institutions</t>
        </is>
      </c>
      <c r="C26" s="607">
        <f>'SW CF'!C26+'CPFO CF'!C26+'APK CF'!C26+'RBPI CF'!C26</f>
        <v/>
      </c>
      <c r="D26" s="608">
        <f>'SW CF'!D26+'CPFO CF'!D26+'APK CF'!D26+'RBPI CF'!D26</f>
        <v/>
      </c>
      <c r="E26" s="608">
        <f>'SW CF'!E26+'CPFO CF'!E26+'APK CF'!E26+'RBPI CF'!E26</f>
        <v/>
      </c>
      <c r="F26" s="608">
        <f>'SW CF'!F26+'CPFO CF'!F26+'APK CF'!F26+'RBPI CF'!F26</f>
        <v/>
      </c>
      <c r="G26" s="608">
        <f>'SW CF'!G26+'CPFO CF'!G26+'APK CF'!G26+'RBPI CF'!G26</f>
        <v/>
      </c>
      <c r="H26" s="608">
        <f>'SW CF'!H26+'CPFO CF'!H26+'APK CF'!H26+'RBPI CF'!H26</f>
        <v/>
      </c>
      <c r="I26" s="608">
        <f>'SW CF'!I26+'CPFO CF'!I26+'APK CF'!I26+'RBPI CF'!I26</f>
        <v/>
      </c>
      <c r="J26" s="608">
        <f>'SW CF'!J26+'CPFO CF'!J26+'APK CF'!J26+'RBPI CF'!J26</f>
        <v/>
      </c>
      <c r="K26" s="608">
        <f>'SW CF'!K26+'CPFO CF'!K26+'APK CF'!K26+'RBPI CF'!K26</f>
        <v/>
      </c>
      <c r="L26" s="608">
        <f>'SW CF'!L26+'CPFO CF'!L26+'APK CF'!L26+'RBPI CF'!L26</f>
        <v/>
      </c>
      <c r="M26" s="608">
        <f>'SW CF'!M26+'CPFO CF'!M26+'APK CF'!M26+'RBPI CF'!M26</f>
        <v/>
      </c>
      <c r="N26" s="957">
        <f>'SW CF'!N26+'CPFO CF'!N26+'APK CF'!N26+'RBPI CF'!N26</f>
        <v/>
      </c>
      <c r="O26" s="599" t="n"/>
    </row>
    <row r="27" ht="15" customHeight="1">
      <c r="B27" s="1693" t="inlineStr">
        <is>
          <t>Short-term Loans</t>
        </is>
      </c>
      <c r="C27" s="607">
        <f>'SW CF'!C27+'CPFO CF'!C27+'APK CF'!C27+'RBPI CF'!C27</f>
        <v/>
      </c>
      <c r="D27" s="608">
        <f>'SW CF'!D27+'CPFO CF'!D27+'APK CF'!D27+'RBPI CF'!D27</f>
        <v/>
      </c>
      <c r="E27" s="608">
        <f>'SW CF'!E27+'CPFO CF'!E27+'APK CF'!E27+'RBPI CF'!E27</f>
        <v/>
      </c>
      <c r="F27" s="608">
        <f>'SW CF'!F27+'CPFO CF'!F27+'APK CF'!F27+'RBPI CF'!F27</f>
        <v/>
      </c>
      <c r="G27" s="608">
        <f>'SW CF'!G27+'CPFO CF'!G27+'APK CF'!G27+'RBPI CF'!G27</f>
        <v/>
      </c>
      <c r="H27" s="608">
        <f>'SW CF'!H27+'CPFO CF'!H27+'APK CF'!H27+'RBPI CF'!H27</f>
        <v/>
      </c>
      <c r="I27" s="608">
        <f>'SW CF'!I27+'CPFO CF'!I27+'APK CF'!I27+'RBPI CF'!I27</f>
        <v/>
      </c>
      <c r="J27" s="608">
        <f>'SW CF'!J27+'CPFO CF'!J27+'APK CF'!J27+'RBPI CF'!J27</f>
        <v/>
      </c>
      <c r="K27" s="608">
        <f>'SW CF'!K27+'CPFO CF'!K27+'APK CF'!K27+'RBPI CF'!K27</f>
        <v/>
      </c>
      <c r="L27" s="608">
        <f>'SW CF'!L27+'CPFO CF'!L27+'APK CF'!L27+'RBPI CF'!L27</f>
        <v/>
      </c>
      <c r="M27" s="608">
        <f>'SW CF'!M27+'CPFO CF'!M27+'APK CF'!M27+'RBPI CF'!M27</f>
        <v/>
      </c>
      <c r="N27" s="957">
        <f>'SW CF'!N27+'CPFO CF'!N27+'APK CF'!N27+'RBPI CF'!N27</f>
        <v/>
      </c>
      <c r="O27" s="599" t="n"/>
    </row>
    <row r="28" ht="15" customHeight="1">
      <c r="B28" s="1693" t="inlineStr">
        <is>
          <t>Legal reserves</t>
        </is>
      </c>
      <c r="C28" s="607">
        <f>'SW CF'!C28+'CPFO CF'!C28+'APK CF'!C28+'RBPI CF'!C28</f>
        <v/>
      </c>
      <c r="D28" s="608">
        <f>'SW CF'!D28+'CPFO CF'!D28+'APK CF'!D28+'RBPI CF'!D28</f>
        <v/>
      </c>
      <c r="E28" s="608">
        <f>'SW CF'!E28+'CPFO CF'!E28+'APK CF'!E28+'RBPI CF'!E28</f>
        <v/>
      </c>
      <c r="F28" s="608">
        <f>'SW CF'!F28+'CPFO CF'!F28+'APK CF'!F28+'RBPI CF'!F28</f>
        <v/>
      </c>
      <c r="G28" s="608">
        <f>'SW CF'!G28+'CPFO CF'!G28+'APK CF'!G28+'RBPI CF'!G28</f>
        <v/>
      </c>
      <c r="H28" s="608">
        <f>'SW CF'!H28+'CPFO CF'!H28+'APK CF'!H28+'RBPI CF'!H28</f>
        <v/>
      </c>
      <c r="I28" s="608">
        <f>'SW CF'!I28+'CPFO CF'!I28+'APK CF'!I28+'RBPI CF'!I28</f>
        <v/>
      </c>
      <c r="J28" s="608">
        <f>'SW CF'!J28+'CPFO CF'!J28+'APK CF'!J28+'RBPI CF'!J28</f>
        <v/>
      </c>
      <c r="K28" s="608">
        <f>'SW CF'!K28+'CPFO CF'!K28+'APK CF'!K28+'RBPI CF'!K28</f>
        <v/>
      </c>
      <c r="L28" s="608">
        <f>'SW CF'!L28+'CPFO CF'!L28+'APK CF'!L28+'RBPI CF'!L28</f>
        <v/>
      </c>
      <c r="M28" s="608">
        <f>'SW CF'!M28+'CPFO CF'!M28+'APK CF'!M28+'RBPI CF'!M28</f>
        <v/>
      </c>
      <c r="N28" s="957">
        <f>'SW CF'!N28+'CPFO CF'!N28+'APK CF'!N28+'RBPI CF'!N28</f>
        <v/>
      </c>
      <c r="O28" s="599" t="n"/>
    </row>
    <row r="29" ht="15" customHeight="1">
      <c r="B29" s="1693" t="inlineStr">
        <is>
          <t>Share capital increase in cash</t>
        </is>
      </c>
      <c r="C29" s="609">
        <f>'SW CF'!C29+'CPFO CF'!C29+'APK CF'!C29+'RBPI CF'!C29</f>
        <v/>
      </c>
      <c r="D29" s="610">
        <f>'SW CF'!D29+'CPFO CF'!D29+'APK CF'!D29+'RBPI CF'!D29</f>
        <v/>
      </c>
      <c r="E29" s="610">
        <f>'SW CF'!E29+'CPFO CF'!E29+'APK CF'!E29+'RBPI CF'!E29</f>
        <v/>
      </c>
      <c r="F29" s="610">
        <f>'SW CF'!F29+'CPFO CF'!F29+'APK CF'!F29+'RBPI CF'!F29</f>
        <v/>
      </c>
      <c r="G29" s="610">
        <f>'SW CF'!G29+'CPFO CF'!G29+'APK CF'!G29+'RBPI CF'!G29</f>
        <v/>
      </c>
      <c r="H29" s="610">
        <f>'SW CF'!H29+'CPFO CF'!H29+'APK CF'!H29+'RBPI CF'!H29</f>
        <v/>
      </c>
      <c r="I29" s="610">
        <f>'SW CF'!I29+'CPFO CF'!I29+'APK CF'!I29+'RBPI CF'!I29</f>
        <v/>
      </c>
      <c r="J29" s="610">
        <f>'SW CF'!J29+'CPFO CF'!J29+'APK CF'!J29+'RBPI CF'!J29</f>
        <v/>
      </c>
      <c r="K29" s="610">
        <f>'SW CF'!K29+'CPFO CF'!K29+'APK CF'!K29+'RBPI CF'!K29</f>
        <v/>
      </c>
      <c r="L29" s="610">
        <f>'SW CF'!L29+'CPFO CF'!L29+'APK CF'!L29+'RBPI CF'!L29</f>
        <v/>
      </c>
      <c r="M29" s="610">
        <f>'SW CF'!M29+'CPFO CF'!M29+'APK CF'!M29+'RBPI CF'!M29</f>
        <v/>
      </c>
      <c r="N29" s="958">
        <f>'SW CF'!N29+'CPFO CF'!N29+'APK CF'!N29+'RBPI CF'!N29</f>
        <v/>
      </c>
      <c r="O29" s="599" t="n"/>
    </row>
    <row r="30" ht="15" customHeight="1">
      <c r="B30" s="1696" t="inlineStr">
        <is>
          <t>Cash in (out) from financing</t>
        </is>
      </c>
      <c r="C30" s="615">
        <f>'SW CF'!C30+'CPFO CF'!C30+'APK CF'!C30+'RBPI CF'!C30</f>
        <v/>
      </c>
      <c r="D30" s="616">
        <f>'SW CF'!D30+'CPFO CF'!D30+'APK CF'!D30+'RBPI CF'!D30</f>
        <v/>
      </c>
      <c r="E30" s="616">
        <f>'SW CF'!E30+'CPFO CF'!E30+'APK CF'!E30+'RBPI CF'!E30</f>
        <v/>
      </c>
      <c r="F30" s="616">
        <f>'SW CF'!F30+'CPFO CF'!F30+'APK CF'!F30+'RBPI CF'!F30</f>
        <v/>
      </c>
      <c r="G30" s="616">
        <f>'SW CF'!G30+'CPFO CF'!G30+'APK CF'!G30+'RBPI CF'!G30</f>
        <v/>
      </c>
      <c r="H30" s="616">
        <f>'SW CF'!H30+'CPFO CF'!H30+'APK CF'!H30+'RBPI CF'!H30</f>
        <v/>
      </c>
      <c r="I30" s="616">
        <f>'SW CF'!I30+'CPFO CF'!I30+'APK CF'!I30+'RBPI CF'!I30</f>
        <v/>
      </c>
      <c r="J30" s="616">
        <f>'SW CF'!J30+'CPFO CF'!J30+'APK CF'!J30+'RBPI CF'!J30</f>
        <v/>
      </c>
      <c r="K30" s="616">
        <f>'SW CF'!K30+'CPFO CF'!K30+'APK CF'!K30+'RBPI CF'!K30</f>
        <v/>
      </c>
      <c r="L30" s="616">
        <f>'SW CF'!L30+'CPFO CF'!L30+'APK CF'!L30+'RBPI CF'!L30</f>
        <v/>
      </c>
      <c r="M30" s="616">
        <f>'SW CF'!M30+'CPFO CF'!M30+'APK CF'!M30+'RBPI CF'!M30</f>
        <v/>
      </c>
      <c r="N30" s="960">
        <f>'SW CF'!N30+'CPFO CF'!N30+'APK CF'!N30+'RBPI CF'!N30</f>
        <v/>
      </c>
      <c r="O30" s="599" t="n"/>
    </row>
    <row r="31" ht="15" customHeight="1" thickBot="1">
      <c r="B31" s="1697" t="inlineStr">
        <is>
          <t>Net Cash in (out)</t>
        </is>
      </c>
      <c r="C31" s="618">
        <f>'SW CF'!C31+'CPFO CF'!C31+'APK CF'!C31+'RBPI CF'!C31</f>
        <v/>
      </c>
      <c r="D31" s="619">
        <f>'SW CF'!D31+'CPFO CF'!D31+'APK CF'!D31+'RBPI CF'!D31</f>
        <v/>
      </c>
      <c r="E31" s="619">
        <f>'SW CF'!E31+'CPFO CF'!E31+'APK CF'!E31+'RBPI CF'!E31</f>
        <v/>
      </c>
      <c r="F31" s="619">
        <f>'SW CF'!F31+'CPFO CF'!F31+'APK CF'!F31+'RBPI CF'!F31</f>
        <v/>
      </c>
      <c r="G31" s="619">
        <f>'SW CF'!G31+'CPFO CF'!G31+'APK CF'!G31+'RBPI CF'!G31</f>
        <v/>
      </c>
      <c r="H31" s="619">
        <f>'SW CF'!H31+'CPFO CF'!H31+'APK CF'!H31+'RBPI CF'!H31</f>
        <v/>
      </c>
      <c r="I31" s="619">
        <f>'SW CF'!I31+'CPFO CF'!I31+'APK CF'!I31+'RBPI CF'!I31</f>
        <v/>
      </c>
      <c r="J31" s="619">
        <f>'SW CF'!J31+'CPFO CF'!J31+'APK CF'!J31+'RBPI CF'!J31</f>
        <v/>
      </c>
      <c r="K31" s="619">
        <f>'SW CF'!K31+'CPFO CF'!K31+'APK CF'!K31+'RBPI CF'!K31</f>
        <v/>
      </c>
      <c r="L31" s="619">
        <f>'SW CF'!L31+'CPFO CF'!L31+'APK CF'!L31+'RBPI CF'!L31</f>
        <v/>
      </c>
      <c r="M31" s="619">
        <f>'SW CF'!M31+'CPFO CF'!M31+'APK CF'!M31+'RBPI CF'!M31</f>
        <v/>
      </c>
      <c r="N31" s="961">
        <f>'SW CF'!N31+'CPFO CF'!N31+'APK CF'!N31+'RBPI CF'!N31</f>
        <v/>
      </c>
      <c r="O31" s="599" t="n"/>
    </row>
    <row r="32" ht="15" customFormat="1" customHeight="1" s="592">
      <c r="B32" s="620" t="n"/>
    </row>
    <row r="33" ht="15" customHeight="1">
      <c r="B33" s="621" t="inlineStr">
        <is>
          <t>Cash on Hand at the beginning</t>
        </is>
      </c>
      <c r="C33" s="622">
        <f>'SW CF'!C33+'CPFO CF'!C33+'APK CF'!C33+'RBPI CF'!C33</f>
        <v/>
      </c>
      <c r="D33" s="622">
        <f>'SW CF'!D33+'CPFO CF'!D33+'APK CF'!D33+'RBPI CF'!D33</f>
        <v/>
      </c>
      <c r="E33" s="622">
        <f>'SW CF'!E33+'CPFO CF'!E33+'APK CF'!E33+'RBPI CF'!E33</f>
        <v/>
      </c>
      <c r="F33" s="622">
        <f>'SW CF'!F33+'CPFO CF'!F33+'APK CF'!F33+'RBPI CF'!F33</f>
        <v/>
      </c>
      <c r="G33" s="622">
        <f>'SW CF'!G33+'CPFO CF'!G33+'APK CF'!G33+'RBPI CF'!G33</f>
        <v/>
      </c>
      <c r="H33" s="622">
        <f>'SW CF'!H33+'CPFO CF'!H33+'APK CF'!H33+'RBPI CF'!H33</f>
        <v/>
      </c>
      <c r="I33" s="622">
        <f>'SW CF'!I33+'CPFO CF'!I33+'APK CF'!I33+'RBPI CF'!I33</f>
        <v/>
      </c>
      <c r="J33" s="622">
        <f>'SW CF'!J33+'CPFO CF'!J33+'APK CF'!J33+'RBPI CF'!J33</f>
        <v/>
      </c>
      <c r="K33" s="622">
        <f>'SW CF'!K33+'CPFO CF'!K33+'APK CF'!K33+'RBPI CF'!K33</f>
        <v/>
      </c>
      <c r="L33" s="622">
        <f>'SW CF'!L33+'CPFO CF'!L33+'APK CF'!L33+'RBPI CF'!L33</f>
        <v/>
      </c>
      <c r="M33" s="622">
        <f>'SW CF'!M33+'CPFO CF'!M33+'APK CF'!M33+'RBPI CF'!M33</f>
        <v/>
      </c>
      <c r="N33" s="622">
        <f>'SW CF'!N33+'CPFO CF'!N33+'APK CF'!N33+'RBPI CF'!N33</f>
        <v/>
      </c>
      <c r="O33" s="592" t="n"/>
    </row>
    <row r="34" ht="15" customHeight="1">
      <c r="B34" s="623" t="inlineStr">
        <is>
          <t>Cash In (out) this month</t>
        </is>
      </c>
      <c r="C34" s="624">
        <f>C31</f>
        <v/>
      </c>
      <c r="D34" s="624">
        <f>D31</f>
        <v/>
      </c>
      <c r="E34" s="624">
        <f>E31</f>
        <v/>
      </c>
      <c r="F34" s="624">
        <f>F31</f>
        <v/>
      </c>
      <c r="G34" s="624">
        <f>G31</f>
        <v/>
      </c>
      <c r="H34" s="624">
        <f>H31</f>
        <v/>
      </c>
      <c r="I34" s="624">
        <f>I31</f>
        <v/>
      </c>
      <c r="J34" s="624">
        <f>J31</f>
        <v/>
      </c>
      <c r="K34" s="624">
        <f>K31</f>
        <v/>
      </c>
      <c r="L34" s="624">
        <f>L31</f>
        <v/>
      </c>
      <c r="M34" s="624">
        <f>M31</f>
        <v/>
      </c>
      <c r="N34" s="624">
        <f>N31</f>
        <v/>
      </c>
      <c r="O34" s="592" t="n"/>
    </row>
    <row r="35" ht="15" customHeight="1">
      <c r="B35" s="625" t="inlineStr">
        <is>
          <t>Cash on Hand at the end</t>
        </is>
      </c>
      <c r="C35" s="626">
        <f>C33+C34</f>
        <v/>
      </c>
      <c r="D35" s="626">
        <f>D33+D34</f>
        <v/>
      </c>
      <c r="E35" s="626">
        <f>E33+E34</f>
        <v/>
      </c>
      <c r="F35" s="626">
        <f>F33+F34</f>
        <v/>
      </c>
      <c r="G35" s="626">
        <f>G33+G34</f>
        <v/>
      </c>
      <c r="H35" s="626">
        <f>H33+H34</f>
        <v/>
      </c>
      <c r="I35" s="626">
        <f>I33+I34</f>
        <v/>
      </c>
      <c r="J35" s="626">
        <f>J33+J34</f>
        <v/>
      </c>
      <c r="K35" s="626">
        <f>K33+K34</f>
        <v/>
      </c>
      <c r="L35" s="626">
        <f>L33+L34</f>
        <v/>
      </c>
      <c r="M35" s="626">
        <f>M33+M34</f>
        <v/>
      </c>
      <c r="N35" s="626">
        <f>N33+N34</f>
        <v/>
      </c>
      <c r="O35" s="592" t="n"/>
    </row>
    <row r="36" hidden="1" ht="15" customHeight="1">
      <c r="B36" s="627" t="inlineStr">
        <is>
          <t>Check -&gt;</t>
        </is>
      </c>
      <c r="C36" s="1698">
        <f>+'CPFO CF'!C35+'RBPI CF'!C35+'APK CF'!C35+'SW CF'!C35-C35</f>
        <v/>
      </c>
      <c r="D36" s="1698">
        <f>+'CPFO CF'!D35+'RBPI CF'!D35+'APK CF'!D35+'SW CF'!D35-D35</f>
        <v/>
      </c>
      <c r="E36" s="1698">
        <f>+'CPFO CF'!E35+'RBPI CF'!E35+'APK CF'!E35+'SW CF'!E35-E35</f>
        <v/>
      </c>
      <c r="F36" s="1698">
        <f>+'CPFO CF'!F35+'RBPI CF'!F35+'APK CF'!F35+'SW CF'!F35-F35</f>
        <v/>
      </c>
      <c r="G36" s="1698">
        <f>+'CPFO CF'!G35+'RBPI CF'!G35+'APK CF'!G35+'SW CF'!G35-G35</f>
        <v/>
      </c>
      <c r="H36" s="1698">
        <f>+'CPFO CF'!H35+'RBPI CF'!H35+'APK CF'!H35+'SW CF'!H35-H35</f>
        <v/>
      </c>
      <c r="I36" s="1698">
        <f>+'CPFO CF'!I35+'RBPI CF'!I35+'APK CF'!I35+'SW CF'!I35-I35</f>
        <v/>
      </c>
      <c r="J36" s="1698">
        <f>+'CPFO CF'!J35+'RBPI CF'!J35+'APK CF'!J35+'SW CF'!J35-J35</f>
        <v/>
      </c>
      <c r="K36" s="1698">
        <f>+'CPFO CF'!K35+'RBPI CF'!K35+'APK CF'!K35+'SW CF'!K35-K35</f>
        <v/>
      </c>
      <c r="L36" s="1698">
        <f>+'CPFO CF'!L35+'RBPI CF'!L35+'APK CF'!L35+'SW CF'!L35-L35</f>
        <v/>
      </c>
      <c r="M36" s="1698">
        <f>+'CPFO CF'!M35+'RBPI CF'!M35+'APK CF'!M35+'SW CF'!M35-M35</f>
        <v/>
      </c>
      <c r="N36" s="1698">
        <f>+'CPFO CF'!N35+'RBPI CF'!N35+'APK CF'!N35+'SW CF'!N35-N35</f>
        <v/>
      </c>
      <c r="O36" s="592" t="n"/>
    </row>
    <row r="37" ht="15" customHeight="1">
      <c r="B37" s="592" t="n"/>
      <c r="C37" s="1245">
        <f>+'CPFO CF'!C35+'RBPI CF'!C35+'APK CF'!C35+'SW CF'!C35-C35</f>
        <v/>
      </c>
      <c r="D37" s="1245">
        <f>+'CPFO CF'!D35+'RBPI CF'!D35+'APK CF'!D35+'SW CF'!D35-D35</f>
        <v/>
      </c>
      <c r="E37" s="1245">
        <f>+'CPFO CF'!E35+'RBPI CF'!E35+'APK CF'!E35+'SW CF'!E35-E35</f>
        <v/>
      </c>
      <c r="F37" s="1245">
        <f>+'CPFO CF'!F35+'RBPI CF'!F35+'APK CF'!F35+'SW CF'!F35-F35</f>
        <v/>
      </c>
      <c r="G37" s="1245">
        <f>+'CPFO CF'!G35+'RBPI CF'!G35+'APK CF'!G35+'SW CF'!G35-G35</f>
        <v/>
      </c>
      <c r="H37" s="1245">
        <f>+'CPFO CF'!H35+'RBPI CF'!H35+'APK CF'!H35+'SW CF'!H35-H35</f>
        <v/>
      </c>
      <c r="I37" s="1245">
        <f>+'CPFO CF'!I35+'RBPI CF'!I35+'APK CF'!I35+'SW CF'!I35-I35</f>
        <v/>
      </c>
      <c r="J37" s="1245">
        <f>+'CPFO CF'!J35+'RBPI CF'!J35+'APK CF'!J35+'SW CF'!J35-J35</f>
        <v/>
      </c>
      <c r="K37" s="1245">
        <f>+'CPFO CF'!K35+'RBPI CF'!K35+'APK CF'!K35+'SW CF'!K35-K35</f>
        <v/>
      </c>
      <c r="L37" s="1245">
        <f>+'CPFO CF'!L35+'RBPI CF'!L35+'APK CF'!L35+'SW CF'!L35-L35</f>
        <v/>
      </c>
      <c r="M37" s="1245">
        <f>+'CPFO CF'!M35+'RBPI CF'!M35+'APK CF'!M35+'SW CF'!M35-M35</f>
        <v/>
      </c>
      <c r="N37" s="1245">
        <f>+'CPFO CF'!N35+'RBPI CF'!N35+'APK CF'!N35+'SW CF'!N35-N35</f>
        <v/>
      </c>
      <c r="O37" s="592" t="n"/>
    </row>
    <row r="38" ht="15" customHeight="1">
      <c r="K38" s="592" t="n"/>
      <c r="L38" s="592" t="n"/>
      <c r="M38" s="592" t="n"/>
      <c r="N38" s="592" t="n"/>
    </row>
  </sheetData>
  <mergeCells count="1">
    <mergeCell ref="B3:B4"/>
  </mergeCells>
  <pageMargins left="0" right="0" top="0.7480314960629921" bottom="0.7480314960629921" header="0.3149606299212598" footer="0.3149606299212598"/>
  <pageSetup orientation="landscape" paperSize="9" scale="57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B1:Q46"/>
  <sheetViews>
    <sheetView showGridLines="0" showZeros="0" zoomScale="80" zoomScaleNormal="80" workbookViewId="0">
      <pane xSplit="2" ySplit="4" topLeftCell="C5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H5" sqref="H5:N35"/>
    </sheetView>
  </sheetViews>
  <sheetFormatPr baseColWidth="8" defaultColWidth="9.21875" defaultRowHeight="15" customHeight="1"/>
  <cols>
    <col width="0.77734375" customWidth="1" min="1" max="1"/>
    <col width="32.21875" customWidth="1" min="2" max="2"/>
    <col width="16.6640625" bestFit="1" customWidth="1" min="3" max="3"/>
    <col width="16" bestFit="1" customWidth="1" min="4" max="4"/>
    <col width="15.77734375" bestFit="1" customWidth="1" min="5" max="5"/>
    <col width="15.21875" bestFit="1" customWidth="1" min="6" max="6"/>
    <col width="15.44140625" bestFit="1" customWidth="1" min="7" max="7"/>
    <col width="15.21875" bestFit="1" customWidth="1" min="8" max="8"/>
    <col width="15.77734375" bestFit="1" customWidth="1" min="9" max="9"/>
    <col width="14.77734375" bestFit="1" customWidth="1" min="10" max="10"/>
    <col width="16" bestFit="1" customWidth="1" min="11" max="11"/>
    <col width="16.44140625" bestFit="1" customWidth="1" min="12" max="12"/>
    <col width="15.6640625" bestFit="1" customWidth="1" min="13" max="13"/>
    <col width="15.44140625" bestFit="1" customWidth="1" min="14" max="14"/>
    <col width="13.21875" bestFit="1" customWidth="1" min="15" max="17"/>
  </cols>
  <sheetData>
    <row r="1" ht="15" customHeight="1">
      <c r="B1" s="1680" t="inlineStr">
        <is>
          <t>CPFO group</t>
        </is>
      </c>
      <c r="C1" s="1681" t="n"/>
      <c r="D1" s="1681" t="n"/>
      <c r="E1" s="1681" t="n"/>
      <c r="F1" s="1681" t="n"/>
      <c r="G1" s="1681" t="n"/>
      <c r="H1" s="1681" t="n"/>
      <c r="I1" s="1681" t="n"/>
      <c r="J1" s="1681" t="n"/>
      <c r="K1" s="1681" t="n"/>
      <c r="L1" s="1681" t="n"/>
      <c r="M1" s="1681" t="n"/>
      <c r="N1" s="1682" t="n"/>
      <c r="O1" s="592" t="n"/>
      <c r="P1" s="592" t="n"/>
      <c r="Q1" s="592" t="n"/>
    </row>
    <row r="2" ht="15" customHeight="1" thickBot="1">
      <c r="B2" s="1680">
        <f>'RUS CF'!B2</f>
        <v/>
      </c>
      <c r="C2" s="1681" t="n"/>
      <c r="D2" s="1681" t="n"/>
      <c r="E2" s="1681" t="n"/>
      <c r="F2" s="1681" t="n"/>
      <c r="G2" s="1681" t="n"/>
      <c r="H2" s="1681" t="n"/>
      <c r="I2" s="1681" t="n"/>
      <c r="J2" s="1681" t="n"/>
      <c r="K2" s="1681" t="n"/>
      <c r="L2" s="1681" t="n"/>
      <c r="M2" s="1681" t="n"/>
      <c r="N2" s="1683" t="inlineStr">
        <is>
          <t>Unit : Ruble</t>
        </is>
      </c>
      <c r="O2" s="592" t="n"/>
      <c r="P2" s="592" t="n"/>
      <c r="Q2" s="592" t="n"/>
    </row>
    <row r="3" ht="15" customHeight="1">
      <c r="B3" s="1684" t="inlineStr">
        <is>
          <t>Criteria</t>
        </is>
      </c>
      <c r="C3" s="1686" t="inlineStr">
        <is>
          <t>ACT</t>
        </is>
      </c>
      <c r="D3" s="1686">
        <f>+'RUS CF'!D3</f>
        <v/>
      </c>
      <c r="E3" s="1686">
        <f>+'RUS CF'!E3</f>
        <v/>
      </c>
      <c r="F3" s="1686">
        <f>+'RUS CF'!F3</f>
        <v/>
      </c>
      <c r="G3" s="1686">
        <f>+'RUS CF'!G3</f>
        <v/>
      </c>
      <c r="H3" s="1686">
        <f>+'RUS CF'!H3</f>
        <v/>
      </c>
      <c r="I3" s="1686">
        <f>+'RUS CF'!I3</f>
        <v/>
      </c>
      <c r="J3" s="1686">
        <f>+'RUS CF'!J3</f>
        <v/>
      </c>
      <c r="K3" s="1686">
        <f>+'RUS CF'!K3</f>
        <v/>
      </c>
      <c r="L3" s="1686">
        <f>+'RUS CF'!L3</f>
        <v/>
      </c>
      <c r="M3" s="1686">
        <f>+'RUS CF'!M3</f>
        <v/>
      </c>
      <c r="N3" s="1687">
        <f>+'RUS CF'!N3</f>
        <v/>
      </c>
      <c r="O3" s="592" t="n"/>
      <c r="P3" s="592" t="n"/>
      <c r="Q3" s="592" t="n"/>
    </row>
    <row r="4" ht="15" customHeight="1" thickBot="1">
      <c r="B4" s="1688" t="n"/>
      <c r="C4" s="1689">
        <f>+'RUS CF'!C4</f>
        <v/>
      </c>
      <c r="D4" s="1690">
        <f>+'RUS CF'!D4</f>
        <v/>
      </c>
      <c r="E4" s="1690">
        <f>+'RUS CF'!E4</f>
        <v/>
      </c>
      <c r="F4" s="1690">
        <f>+'RUS CF'!F4</f>
        <v/>
      </c>
      <c r="G4" s="1690">
        <f>+'RUS CF'!G4</f>
        <v/>
      </c>
      <c r="H4" s="1690">
        <f>+'RUS CF'!H4</f>
        <v/>
      </c>
      <c r="I4" s="1690">
        <f>+'RUS CF'!I4</f>
        <v/>
      </c>
      <c r="J4" s="1690">
        <f>+'RUS CF'!J4</f>
        <v/>
      </c>
      <c r="K4" s="1690">
        <f>+'RUS CF'!K4</f>
        <v/>
      </c>
      <c r="L4" s="1690">
        <f>+'RUS CF'!L4</f>
        <v/>
      </c>
      <c r="M4" s="1690">
        <f>+'RUS CF'!M4</f>
        <v/>
      </c>
      <c r="N4" s="1691">
        <f>+'RUS CF'!N4</f>
        <v/>
      </c>
      <c r="O4" s="1699" t="n"/>
      <c r="P4" s="1699" t="n"/>
      <c r="Q4" s="1699" t="n"/>
    </row>
    <row r="5" ht="15" customHeight="1">
      <c r="B5" s="1693" t="inlineStr">
        <is>
          <t>Net Operational Income</t>
        </is>
      </c>
      <c r="C5" s="607" t="n">
        <v>-10943668.96000001</v>
      </c>
      <c r="D5" s="608" t="n">
        <v>276353959.16</v>
      </c>
      <c r="E5" s="608" t="n">
        <v>143930558.6290001</v>
      </c>
      <c r="F5" s="608" t="n">
        <v>116091130.3099999</v>
      </c>
      <c r="G5" s="608" t="n">
        <v>108809395.1099999</v>
      </c>
      <c r="H5" s="608" t="n">
        <v>207312080.33</v>
      </c>
      <c r="I5" s="598" t="n">
        <v>62378089.28312457</v>
      </c>
      <c r="J5" s="598" t="n">
        <v>-20965337.14408004</v>
      </c>
      <c r="K5" s="598" t="n">
        <v>491524412.3370434</v>
      </c>
      <c r="L5" s="598" t="n">
        <v>26083012.6208272</v>
      </c>
      <c r="M5" s="598" t="n">
        <v>4085946.229374886</v>
      </c>
      <c r="N5" s="953" t="n">
        <v>-16943154.68638921</v>
      </c>
      <c r="O5" s="1700" t="n"/>
      <c r="P5" s="1700" t="n"/>
      <c r="Q5" s="1700" t="n"/>
    </row>
    <row r="6" ht="15" customHeight="1">
      <c r="B6" s="1693" t="inlineStr">
        <is>
          <t>Correction on prior year income</t>
        </is>
      </c>
      <c r="C6" s="607" t="n"/>
      <c r="D6" s="608" t="n">
        <v>0</v>
      </c>
      <c r="E6" s="608" t="n">
        <v>0</v>
      </c>
      <c r="F6" s="608" t="n">
        <v>0</v>
      </c>
      <c r="G6" s="608" t="n">
        <v>0</v>
      </c>
      <c r="H6" s="608" t="n">
        <v>0</v>
      </c>
      <c r="I6" s="608" t="n">
        <v>0</v>
      </c>
      <c r="J6" s="608" t="n">
        <v>0</v>
      </c>
      <c r="K6" s="608" t="n">
        <v>0</v>
      </c>
      <c r="L6" s="608" t="n">
        <v>0</v>
      </c>
      <c r="M6" s="608" t="n">
        <v>0</v>
      </c>
      <c r="N6" s="957" t="n">
        <v>0</v>
      </c>
      <c r="O6" s="1700" t="n"/>
      <c r="P6" s="592" t="n"/>
      <c r="Q6" s="592" t="n"/>
    </row>
    <row r="7" ht="15" customHeight="1">
      <c r="B7" s="1693" t="inlineStr">
        <is>
          <t>Allowance for Bad Debt</t>
        </is>
      </c>
      <c r="C7" s="607" t="n">
        <v>0</v>
      </c>
      <c r="D7" s="608" t="n">
        <v>0</v>
      </c>
      <c r="E7" s="608" t="n">
        <v>0</v>
      </c>
      <c r="F7" s="608" t="n">
        <v>0</v>
      </c>
      <c r="G7" s="608" t="n">
        <v>0</v>
      </c>
      <c r="H7" s="608" t="n">
        <v>0</v>
      </c>
      <c r="I7" s="608" t="n">
        <v>0</v>
      </c>
      <c r="J7" s="608" t="n">
        <v>0</v>
      </c>
      <c r="K7" s="608" t="n">
        <v>0</v>
      </c>
      <c r="L7" s="608" t="n">
        <v>0</v>
      </c>
      <c r="M7" s="608" t="n">
        <v>0</v>
      </c>
      <c r="N7" s="957" t="n">
        <v>0</v>
      </c>
      <c r="O7" s="1700" t="n"/>
      <c r="P7" s="592" t="n"/>
      <c r="Q7" s="592" t="n"/>
    </row>
    <row r="8" ht="15" customHeight="1">
      <c r="B8" s="1693" t="inlineStr">
        <is>
          <t>Provision for retirement fund</t>
        </is>
      </c>
      <c r="C8" s="607" t="n">
        <v>0</v>
      </c>
      <c r="D8" s="608" t="n">
        <v>0</v>
      </c>
      <c r="E8" s="608" t="n">
        <v>0</v>
      </c>
      <c r="F8" s="608" t="n">
        <v>0</v>
      </c>
      <c r="G8" s="608" t="n">
        <v>0</v>
      </c>
      <c r="H8" s="608" t="n">
        <v>0</v>
      </c>
      <c r="I8" s="608" t="n">
        <v>0</v>
      </c>
      <c r="J8" s="608" t="n">
        <v>0</v>
      </c>
      <c r="K8" s="608" t="n">
        <v>0</v>
      </c>
      <c r="L8" s="608" t="n">
        <v>0</v>
      </c>
      <c r="M8" s="608" t="n">
        <v>0</v>
      </c>
      <c r="N8" s="957" t="n">
        <v>0</v>
      </c>
      <c r="O8" s="1700" t="n"/>
      <c r="P8" s="592" t="n"/>
      <c r="Q8" s="592" t="n"/>
    </row>
    <row r="9" ht="15" customHeight="1">
      <c r="B9" s="1693" t="inlineStr">
        <is>
          <t>Income Tax payable</t>
        </is>
      </c>
      <c r="C9" s="607" t="n">
        <v>0</v>
      </c>
      <c r="D9" s="608" t="n">
        <v>0</v>
      </c>
      <c r="E9" s="608" t="n">
        <v>0</v>
      </c>
      <c r="F9" s="608" t="n">
        <v>0</v>
      </c>
      <c r="G9" s="608" t="n">
        <v>0</v>
      </c>
      <c r="H9" s="608" t="n">
        <v>0</v>
      </c>
      <c r="I9" s="608" t="n">
        <v>0</v>
      </c>
      <c r="J9" s="608" t="n">
        <v>0</v>
      </c>
      <c r="K9" s="608" t="n">
        <v>0</v>
      </c>
      <c r="L9" s="608" t="n">
        <v>0</v>
      </c>
      <c r="M9" s="608" t="n">
        <v>0</v>
      </c>
      <c r="N9" s="957" t="n">
        <v>0</v>
      </c>
      <c r="O9" s="1700" t="n"/>
      <c r="P9" s="592" t="n"/>
      <c r="Q9" s="592" t="n"/>
    </row>
    <row r="10" ht="15" customHeight="1">
      <c r="B10" s="1693" t="inlineStr">
        <is>
          <t>Accumulated Depreciation</t>
        </is>
      </c>
      <c r="C10" s="609" t="n">
        <v>34079997.46412754</v>
      </c>
      <c r="D10" s="610" t="n">
        <v>57431488.28000021</v>
      </c>
      <c r="E10" s="610" t="n">
        <v>46732429.15999985</v>
      </c>
      <c r="F10" s="610" t="n">
        <v>12502969.9199996</v>
      </c>
      <c r="G10" s="610" t="n">
        <v>56504288.86999941</v>
      </c>
      <c r="H10" s="610" t="n">
        <v>56507629.13000011</v>
      </c>
      <c r="I10" s="610" t="n">
        <v>57509000</v>
      </c>
      <c r="J10" s="610" t="n">
        <v>57509000</v>
      </c>
      <c r="K10" s="610" t="n">
        <v>57509000</v>
      </c>
      <c r="L10" s="610" t="n">
        <v>57509000</v>
      </c>
      <c r="M10" s="610" t="n">
        <v>57509000</v>
      </c>
      <c r="N10" s="958" t="n">
        <v>57509000</v>
      </c>
      <c r="O10" s="1700" t="n"/>
      <c r="P10" s="592" t="n"/>
      <c r="Q10" s="592" t="n"/>
    </row>
    <row r="11" ht="15" customHeight="1">
      <c r="B11" s="1694" t="inlineStr">
        <is>
          <t>Cash in (out) from operation</t>
        </is>
      </c>
      <c r="C11" s="612" t="n">
        <v>23136328.50412753</v>
      </c>
      <c r="D11" s="613" t="n">
        <v>333785447.4400002</v>
      </c>
      <c r="E11" s="613" t="n">
        <v>190662987.7889999</v>
      </c>
      <c r="F11" s="613" t="n">
        <v>128594100.2299995</v>
      </c>
      <c r="G11" s="613" t="n">
        <v>165313683.9799993</v>
      </c>
      <c r="H11" s="613" t="n">
        <v>263819709.4600002</v>
      </c>
      <c r="I11" s="613" t="n">
        <v>119887089.2831246</v>
      </c>
      <c r="J11" s="613" t="n">
        <v>36543662.85591996</v>
      </c>
      <c r="K11" s="613" t="n">
        <v>549033412.3370434</v>
      </c>
      <c r="L11" s="613" t="n">
        <v>83592012.6208272</v>
      </c>
      <c r="M11" s="613" t="n">
        <v>61594946.22937489</v>
      </c>
      <c r="N11" s="959" t="n">
        <v>40565845.31361079</v>
      </c>
      <c r="O11" s="1700" t="n"/>
      <c r="P11" s="1700" t="n"/>
      <c r="Q11" s="1700" t="n"/>
    </row>
    <row r="12" ht="15" customHeight="1">
      <c r="B12" s="1693" t="inlineStr">
        <is>
          <t xml:space="preserve">Payable </t>
        </is>
      </c>
      <c r="C12" s="607" t="n">
        <v>-60939830.62000018</v>
      </c>
      <c r="D12" s="608" t="n">
        <v>14578629.64999998</v>
      </c>
      <c r="E12" s="608" t="n">
        <v>-262680128.2099997</v>
      </c>
      <c r="F12" s="608" t="n">
        <v>-33780960.38999972</v>
      </c>
      <c r="G12" s="608" t="n">
        <v>1371793.299999386</v>
      </c>
      <c r="H12" s="608" t="n">
        <v>-18072127.44999936</v>
      </c>
      <c r="I12" s="608" t="n">
        <v>50108573.18599999</v>
      </c>
      <c r="J12" s="608" t="n">
        <v>50108979.71600002</v>
      </c>
      <c r="K12" s="608" t="n">
        <v>50098979.71599972</v>
      </c>
      <c r="L12" s="608" t="n">
        <v>49792040.56799996</v>
      </c>
      <c r="M12" s="608" t="n">
        <v>50108979.71600002</v>
      </c>
      <c r="N12" s="957" t="n">
        <v>50100579.71600002</v>
      </c>
      <c r="O12" s="1700" t="n"/>
      <c r="P12" s="1701" t="n"/>
      <c r="Q12" s="1701" t="n"/>
    </row>
    <row r="13" ht="15" customHeight="1">
      <c r="B13" s="1693" t="inlineStr">
        <is>
          <t>Current Account</t>
        </is>
      </c>
      <c r="C13" s="607" t="n">
        <v>0</v>
      </c>
      <c r="D13" s="608" t="n">
        <v>0</v>
      </c>
      <c r="E13" s="608" t="n">
        <v>0</v>
      </c>
      <c r="F13" s="608" t="n">
        <v>0</v>
      </c>
      <c r="G13" s="608" t="n">
        <v>0</v>
      </c>
      <c r="H13" s="608" t="n">
        <v>0</v>
      </c>
      <c r="I13" s="608" t="n">
        <v>0</v>
      </c>
      <c r="J13" s="608" t="n">
        <v>0</v>
      </c>
      <c r="K13" s="608" t="n">
        <v>0</v>
      </c>
      <c r="L13" s="608" t="n">
        <v>0</v>
      </c>
      <c r="M13" s="608" t="n">
        <v>0</v>
      </c>
      <c r="N13" s="957" t="n">
        <v>0</v>
      </c>
      <c r="O13" s="1700" t="n"/>
      <c r="P13" s="1700" t="n"/>
      <c r="Q13" s="1700" t="n"/>
    </row>
    <row r="14" ht="15" customHeight="1">
      <c r="B14" s="1693" t="inlineStr">
        <is>
          <t>Dividend Payable</t>
        </is>
      </c>
      <c r="C14" s="607" t="n">
        <v>0</v>
      </c>
      <c r="D14" s="608" t="n">
        <v>0</v>
      </c>
      <c r="E14" s="608" t="n">
        <v>0</v>
      </c>
      <c r="F14" s="608" t="n">
        <v>0</v>
      </c>
      <c r="G14" s="608" t="n">
        <v>0</v>
      </c>
      <c r="H14" s="608" t="n">
        <v>0</v>
      </c>
      <c r="I14" s="608" t="n">
        <v>0</v>
      </c>
      <c r="J14" s="608" t="n">
        <v>0</v>
      </c>
      <c r="K14" s="608" t="n">
        <v>0</v>
      </c>
      <c r="L14" s="608" t="n">
        <v>0</v>
      </c>
      <c r="M14" s="608" t="n">
        <v>0</v>
      </c>
      <c r="N14" s="957" t="n">
        <v>0</v>
      </c>
      <c r="O14" s="1700" t="n"/>
      <c r="P14" s="1700" t="n"/>
      <c r="Q14" s="1700" t="n"/>
    </row>
    <row r="15" ht="15" customHeight="1">
      <c r="B15" s="1693" t="inlineStr">
        <is>
          <t>Other current  liabilities</t>
        </is>
      </c>
      <c r="C15" s="609" t="n">
        <v>9796560.590000033</v>
      </c>
      <c r="D15" s="610" t="n">
        <v>-7845756.620000005</v>
      </c>
      <c r="E15" s="610" t="n">
        <v>-50695906.90899992</v>
      </c>
      <c r="F15" s="610" t="n">
        <v>326202857.1499998</v>
      </c>
      <c r="G15" s="610" t="n">
        <v>-6387871.610000074</v>
      </c>
      <c r="H15" s="610" t="n">
        <v>38327384.09000021</v>
      </c>
      <c r="I15" s="610" t="n">
        <v>0</v>
      </c>
      <c r="J15" s="610" t="n">
        <v>0</v>
      </c>
      <c r="K15" s="610" t="n">
        <v>0</v>
      </c>
      <c r="L15" s="610" t="n">
        <v>0</v>
      </c>
      <c r="M15" s="610" t="n">
        <v>0</v>
      </c>
      <c r="N15" s="958" t="n">
        <v>0</v>
      </c>
      <c r="O15" s="1700" t="n"/>
      <c r="P15" s="1701" t="n"/>
      <c r="Q15" s="1701" t="n"/>
    </row>
    <row r="16" ht="15" customHeight="1">
      <c r="B16" s="1694" t="inlineStr">
        <is>
          <t>Cash in (out) from liabilities</t>
        </is>
      </c>
      <c r="C16" s="612" t="n">
        <v>-51143270.03000015</v>
      </c>
      <c r="D16" s="613" t="n">
        <v>6732873.029999971</v>
      </c>
      <c r="E16" s="613" t="n">
        <v>-313376035.1189996</v>
      </c>
      <c r="F16" s="613" t="n">
        <v>292421896.7600001</v>
      </c>
      <c r="G16" s="613" t="n">
        <v>-5016078.310000688</v>
      </c>
      <c r="H16" s="613" t="n">
        <v>20255256.64000085</v>
      </c>
      <c r="I16" s="613" t="n">
        <v>50108573.18599999</v>
      </c>
      <c r="J16" s="613" t="n">
        <v>50108979.71600002</v>
      </c>
      <c r="K16" s="613" t="n">
        <v>50098979.71599972</v>
      </c>
      <c r="L16" s="613" t="n">
        <v>49792040.56799996</v>
      </c>
      <c r="M16" s="613" t="n">
        <v>50108979.71600002</v>
      </c>
      <c r="N16" s="959" t="n">
        <v>50100579.71600002</v>
      </c>
      <c r="O16" s="1700" t="n"/>
      <c r="P16" s="1700" t="n"/>
      <c r="Q16" s="1700" t="n"/>
    </row>
    <row r="17" ht="15" customHeight="1">
      <c r="B17" s="1693" t="inlineStr">
        <is>
          <t>Accounts receivable</t>
        </is>
      </c>
      <c r="C17" s="607" t="n">
        <v>-372088323.8100003</v>
      </c>
      <c r="D17" s="608" t="n">
        <v>7787057.710000724</v>
      </c>
      <c r="E17" s="608" t="n">
        <v>-47361259.92999998</v>
      </c>
      <c r="F17" s="608" t="n">
        <v>14873869.73999986</v>
      </c>
      <c r="G17" s="608" t="n">
        <v>52806921.55999959</v>
      </c>
      <c r="H17" s="608" t="n">
        <v>51453713.5300006</v>
      </c>
      <c r="I17" s="608" t="n">
        <v>0</v>
      </c>
      <c r="J17" s="608" t="n">
        <v>0</v>
      </c>
      <c r="K17" s="608" t="n">
        <v>-5.960464477539062e-08</v>
      </c>
      <c r="L17" s="608" t="n">
        <v>0</v>
      </c>
      <c r="M17" s="608" t="n">
        <v>0</v>
      </c>
      <c r="N17" s="957" t="n">
        <v>0</v>
      </c>
      <c r="O17" s="1700" t="n"/>
      <c r="P17" s="1701" t="n"/>
      <c r="Q17" s="1701" t="n"/>
    </row>
    <row r="18" ht="15" customHeight="1">
      <c r="B18" s="1693" t="inlineStr">
        <is>
          <t>Short-term Loan Receivable</t>
        </is>
      </c>
      <c r="C18" s="607" t="n">
        <v>0</v>
      </c>
      <c r="D18" s="608" t="n">
        <v>0</v>
      </c>
      <c r="E18" s="608" t="n">
        <v>300000000</v>
      </c>
      <c r="F18" s="608" t="n">
        <v>0</v>
      </c>
      <c r="G18" s="608" t="n">
        <v>0</v>
      </c>
      <c r="H18" s="608" t="n">
        <v>0</v>
      </c>
      <c r="I18" s="608" t="n">
        <v>0</v>
      </c>
      <c r="J18" s="608" t="n">
        <v>0</v>
      </c>
      <c r="K18" s="608" t="n">
        <v>0</v>
      </c>
      <c r="L18" s="608" t="n">
        <v>0</v>
      </c>
      <c r="M18" s="608" t="n">
        <v>0</v>
      </c>
      <c r="N18" s="957" t="n">
        <v>0</v>
      </c>
      <c r="O18" s="1700" t="n"/>
      <c r="P18" s="1701" t="n"/>
      <c r="Q18" s="1701" t="n"/>
    </row>
    <row r="19" ht="15" customHeight="1">
      <c r="B19" s="1693" t="inlineStr">
        <is>
          <t>Inventories</t>
        </is>
      </c>
      <c r="C19" s="607" t="n">
        <v>-219548307.6599994</v>
      </c>
      <c r="D19" s="608" t="n">
        <v>-19224525.96000051</v>
      </c>
      <c r="E19" s="608" t="n">
        <v>-10562219.86999941</v>
      </c>
      <c r="F19" s="608" t="n">
        <v>60761995.29999971</v>
      </c>
      <c r="G19" s="608" t="n">
        <v>43337251.75999928</v>
      </c>
      <c r="H19" s="608" t="n">
        <v>213938930.5000005</v>
      </c>
      <c r="I19" s="608" t="n">
        <v>-81190549.22810555</v>
      </c>
      <c r="J19" s="608" t="n">
        <v>110809582.1109605</v>
      </c>
      <c r="K19" s="608" t="n">
        <v>183611072.2591424</v>
      </c>
      <c r="L19" s="608" t="n">
        <v>46300356.96118736</v>
      </c>
      <c r="M19" s="608" t="n">
        <v>-48800000</v>
      </c>
      <c r="N19" s="957" t="n">
        <v>-49800000</v>
      </c>
      <c r="O19" s="1700" t="n"/>
      <c r="P19" s="1700" t="n"/>
      <c r="Q19" s="1700" t="n"/>
    </row>
    <row r="20" ht="15" customHeight="1">
      <c r="B20" s="1693" t="inlineStr">
        <is>
          <t>Other Current and None Current Assets</t>
        </is>
      </c>
      <c r="C20" s="609" t="n">
        <v>9940386.500000119</v>
      </c>
      <c r="D20" s="610" t="n">
        <v>87513875.05000007</v>
      </c>
      <c r="E20" s="610" t="n">
        <v>-102988980.1500001</v>
      </c>
      <c r="F20" s="610" t="n">
        <v>-120735454.1199999</v>
      </c>
      <c r="G20" s="610" t="n">
        <v>119788425.2899998</v>
      </c>
      <c r="H20" s="610" t="n">
        <v>-93816457.82000005</v>
      </c>
      <c r="I20" s="610" t="n">
        <v>-25065036.28643024</v>
      </c>
      <c r="J20" s="610" t="n">
        <v>7014593.333569884</v>
      </c>
      <c r="K20" s="610" t="n">
        <v>6841193.333569765</v>
      </c>
      <c r="L20" s="610" t="n">
        <v>-15302063.36713958</v>
      </c>
      <c r="M20" s="610" t="n">
        <v>5476487.333569884</v>
      </c>
      <c r="N20" s="958" t="n">
        <v>2937768.633569717</v>
      </c>
      <c r="O20" s="1700" t="n"/>
      <c r="P20" s="1701" t="n"/>
      <c r="Q20" s="1701" t="n"/>
    </row>
    <row r="21" ht="15" customHeight="1">
      <c r="B21" s="1694" t="inlineStr">
        <is>
          <t>Cash out ( in ) from current assets</t>
        </is>
      </c>
      <c r="C21" s="612" t="n">
        <v>-581696244.9699996</v>
      </c>
      <c r="D21" s="613" t="n">
        <v>76076406.80000028</v>
      </c>
      <c r="E21" s="613" t="n">
        <v>139087540.0500005</v>
      </c>
      <c r="F21" s="613" t="n">
        <v>-45099589.08000031</v>
      </c>
      <c r="G21" s="613" t="n">
        <v>215932598.6099987</v>
      </c>
      <c r="H21" s="613" t="n">
        <v>171576186.210001</v>
      </c>
      <c r="I21" s="613" t="n">
        <v>-106255585.5145358</v>
      </c>
      <c r="J21" s="613" t="n">
        <v>117824175.4445304</v>
      </c>
      <c r="K21" s="613" t="n">
        <v>190452265.5927121</v>
      </c>
      <c r="L21" s="613" t="n">
        <v>30998293.59404778</v>
      </c>
      <c r="M21" s="613" t="n">
        <v>-43323512.66643012</v>
      </c>
      <c r="N21" s="959" t="n">
        <v>-46862231.36643028</v>
      </c>
      <c r="O21" s="1700" t="n"/>
      <c r="P21" s="1700" t="n"/>
      <c r="Q21" s="1700" t="n"/>
    </row>
    <row r="22" ht="15" customHeight="1">
      <c r="B22" s="1693" t="inlineStr">
        <is>
          <t>Property , plant and equipment</t>
        </is>
      </c>
      <c r="C22" s="607" t="n">
        <v>1694450.470000148</v>
      </c>
      <c r="D22" s="608" t="n">
        <v>601597.5</v>
      </c>
      <c r="E22" s="608" t="n">
        <v>-5266411.75</v>
      </c>
      <c r="F22" s="608" t="n">
        <v>-32403765.86999893</v>
      </c>
      <c r="G22" s="608" t="n">
        <v>3440528.450000763</v>
      </c>
      <c r="H22" s="608" t="n">
        <v>5241170.430000305</v>
      </c>
      <c r="I22" s="608" t="n">
        <v>392143989.3998413</v>
      </c>
      <c r="J22" s="608" t="n">
        <v>21175178.33368683</v>
      </c>
      <c r="K22" s="608" t="n">
        <v>11608702.61622047</v>
      </c>
      <c r="L22" s="608" t="n">
        <v>870895.5289478302</v>
      </c>
      <c r="M22" s="608" t="n">
        <v>951527.5284156799</v>
      </c>
      <c r="N22" s="957" t="n">
        <v>67436202.31900787</v>
      </c>
      <c r="O22" s="1700" t="n"/>
      <c r="P22" s="1700" t="n"/>
      <c r="Q22" s="1700" t="n"/>
    </row>
    <row r="23" ht="15" customHeight="1">
      <c r="B23" s="1693" t="inlineStr">
        <is>
          <t>Other Assets</t>
        </is>
      </c>
      <c r="C23" s="607" t="n">
        <v>0</v>
      </c>
      <c r="D23" s="608" t="n">
        <v>0</v>
      </c>
      <c r="E23" s="608" t="n">
        <v>0</v>
      </c>
      <c r="F23" s="608" t="n">
        <v>0</v>
      </c>
      <c r="G23" s="608" t="n">
        <v>0</v>
      </c>
      <c r="H23" s="608" t="n">
        <v>0</v>
      </c>
      <c r="I23" s="608" t="n">
        <v>0</v>
      </c>
      <c r="J23" s="608" t="n">
        <v>0</v>
      </c>
      <c r="K23" s="608" t="n">
        <v>0</v>
      </c>
      <c r="L23" s="608" t="n">
        <v>0</v>
      </c>
      <c r="M23" s="608" t="n">
        <v>0</v>
      </c>
      <c r="N23" s="957" t="n">
        <v>0</v>
      </c>
      <c r="O23" s="1700" t="n"/>
      <c r="P23" s="1700" t="n"/>
      <c r="Q23" s="1700" t="n"/>
    </row>
    <row r="24" ht="15" customHeight="1">
      <c r="B24" s="1693" t="inlineStr">
        <is>
          <t>Investment</t>
        </is>
      </c>
      <c r="C24" s="609" t="n">
        <v>0</v>
      </c>
      <c r="D24" s="610" t="n">
        <v>0</v>
      </c>
      <c r="E24" s="610" t="n">
        <v>0</v>
      </c>
      <c r="F24" s="610" t="n">
        <v>0</v>
      </c>
      <c r="G24" s="610" t="n">
        <v>0</v>
      </c>
      <c r="H24" s="610" t="n">
        <v>0</v>
      </c>
      <c r="I24" s="610" t="n">
        <v>0</v>
      </c>
      <c r="J24" s="610" t="n">
        <v>0</v>
      </c>
      <c r="K24" s="610" t="n">
        <v>0</v>
      </c>
      <c r="L24" s="610" t="n">
        <v>0</v>
      </c>
      <c r="M24" s="610" t="n">
        <v>0</v>
      </c>
      <c r="N24" s="958" t="n">
        <v>0</v>
      </c>
      <c r="O24" s="1700" t="n"/>
      <c r="P24" s="1700" t="n"/>
      <c r="Q24" s="1700" t="n"/>
    </row>
    <row r="25" ht="15" customHeight="1">
      <c r="B25" s="1695" t="inlineStr">
        <is>
          <t>Cash out ( in ) from investing</t>
        </is>
      </c>
      <c r="C25" s="612" t="n">
        <v>1694450.470000148</v>
      </c>
      <c r="D25" s="613" t="n">
        <v>601597.5</v>
      </c>
      <c r="E25" s="613" t="n">
        <v>-5266411.75</v>
      </c>
      <c r="F25" s="613" t="n">
        <v>-32403765.86999893</v>
      </c>
      <c r="G25" s="613" t="n">
        <v>3440528.450000763</v>
      </c>
      <c r="H25" s="613" t="n">
        <v>5241170.430000305</v>
      </c>
      <c r="I25" s="613" t="n">
        <v>392143989.3998413</v>
      </c>
      <c r="J25" s="613" t="n">
        <v>21175178.33368683</v>
      </c>
      <c r="K25" s="613" t="n">
        <v>11608702.61622047</v>
      </c>
      <c r="L25" s="613" t="n">
        <v>870895.5289478302</v>
      </c>
      <c r="M25" s="613" t="n">
        <v>951527.5284156799</v>
      </c>
      <c r="N25" s="959" t="n">
        <v>67436202.31900787</v>
      </c>
      <c r="O25" s="1700" t="n"/>
      <c r="P25" s="1700" t="n"/>
      <c r="Q25" s="1700" t="n"/>
    </row>
    <row r="26" ht="15" customHeight="1">
      <c r="B26" s="1693" t="inlineStr">
        <is>
          <t>Financial Institutions</t>
        </is>
      </c>
      <c r="C26" s="607" t="n">
        <v>0</v>
      </c>
      <c r="D26" s="608" t="n">
        <v>-25000000</v>
      </c>
      <c r="E26" s="608" t="n">
        <v>-903514730.7</v>
      </c>
      <c r="F26" s="608" t="n">
        <v>0</v>
      </c>
      <c r="G26" s="608" t="n">
        <v>0</v>
      </c>
      <c r="H26" s="608" t="n">
        <v>-164897121.47</v>
      </c>
      <c r="I26" s="608" t="n">
        <v>0</v>
      </c>
      <c r="J26" s="608" t="n">
        <v>0</v>
      </c>
      <c r="K26" s="608" t="n">
        <v>-128514730.82</v>
      </c>
      <c r="L26" s="608" t="n">
        <v>0</v>
      </c>
      <c r="M26" s="608" t="n">
        <v>0</v>
      </c>
      <c r="N26" s="957" t="n">
        <v>-128514730.8199999</v>
      </c>
      <c r="O26" s="1700" t="n"/>
      <c r="P26" s="1700" t="n"/>
      <c r="Q26" s="1700" t="n"/>
    </row>
    <row r="27" ht="15" customHeight="1">
      <c r="B27" s="1693" t="inlineStr">
        <is>
          <t>Short-term Loans</t>
        </is>
      </c>
      <c r="C27" s="607" t="n">
        <v>-32756702.61000013</v>
      </c>
      <c r="D27" s="608" t="n">
        <v>-220024009.5899997</v>
      </c>
      <c r="E27" s="608" t="n">
        <v>663303854.77</v>
      </c>
      <c r="F27" s="608" t="n">
        <v>-340238362.0099998</v>
      </c>
      <c r="G27" s="608" t="n">
        <v>-62841136.45000029</v>
      </c>
      <c r="H27" s="608" t="n">
        <v>46828598.0999999</v>
      </c>
      <c r="I27" s="608" t="n">
        <v>0</v>
      </c>
      <c r="J27" s="608" t="n">
        <v>0</v>
      </c>
      <c r="K27" s="608" t="n">
        <v>0</v>
      </c>
      <c r="L27" s="608" t="n">
        <v>0</v>
      </c>
      <c r="M27" s="608" t="n">
        <v>0</v>
      </c>
      <c r="N27" s="957" t="n">
        <v>0</v>
      </c>
      <c r="O27" s="1700" t="n"/>
      <c r="P27" s="1700" t="n"/>
      <c r="Q27" s="1700" t="n"/>
    </row>
    <row r="28" ht="15" customHeight="1">
      <c r="B28" s="1693" t="inlineStr">
        <is>
          <t>Legal reserves</t>
        </is>
      </c>
      <c r="C28" s="607" t="n">
        <v>0</v>
      </c>
      <c r="D28" s="608" t="n">
        <v>0</v>
      </c>
      <c r="E28" s="608" t="n">
        <v>0</v>
      </c>
      <c r="F28" s="608" t="n">
        <v>0</v>
      </c>
      <c r="G28" s="608" t="n">
        <v>0</v>
      </c>
      <c r="H28" s="608" t="n">
        <v>0</v>
      </c>
      <c r="I28" s="608" t="n">
        <v>0</v>
      </c>
      <c r="J28" s="608" t="n">
        <v>0</v>
      </c>
      <c r="K28" s="608" t="n">
        <v>0</v>
      </c>
      <c r="L28" s="608" t="n">
        <v>0</v>
      </c>
      <c r="M28" s="608" t="n">
        <v>0</v>
      </c>
      <c r="N28" s="957" t="n">
        <v>0</v>
      </c>
      <c r="O28" s="1700" t="n"/>
      <c r="P28" s="592" t="n"/>
      <c r="Q28" s="592" t="n"/>
    </row>
    <row r="29" ht="15" customHeight="1">
      <c r="B29" s="1693" t="inlineStr">
        <is>
          <t>Share capital increase in cash</t>
        </is>
      </c>
      <c r="C29" s="609" t="n">
        <v>0</v>
      </c>
      <c r="D29" s="610" t="n">
        <v>0</v>
      </c>
      <c r="E29" s="610" t="n">
        <v>0</v>
      </c>
      <c r="F29" s="610" t="n">
        <v>0</v>
      </c>
      <c r="G29" s="610" t="n">
        <v>0</v>
      </c>
      <c r="H29" s="610" t="n">
        <v>0</v>
      </c>
      <c r="I29" s="610" t="n">
        <v>0</v>
      </c>
      <c r="J29" s="610" t="n">
        <v>0</v>
      </c>
      <c r="K29" s="610" t="n">
        <v>0</v>
      </c>
      <c r="L29" s="610" t="n">
        <v>0</v>
      </c>
      <c r="M29" s="610" t="n">
        <v>0</v>
      </c>
      <c r="N29" s="958" t="n">
        <v>0</v>
      </c>
      <c r="O29" s="1700" t="n"/>
      <c r="P29" s="592" t="n"/>
      <c r="Q29" s="592" t="n"/>
    </row>
    <row r="30" ht="15" customHeight="1">
      <c r="B30" s="1696" t="inlineStr">
        <is>
          <t>Cash in (out) from financing</t>
        </is>
      </c>
      <c r="C30" s="615" t="n">
        <v>-32756702.61000013</v>
      </c>
      <c r="D30" s="616" t="n">
        <v>-245024009.5899997</v>
      </c>
      <c r="E30" s="616" t="n">
        <v>-240210875.9300001</v>
      </c>
      <c r="F30" s="616" t="n">
        <v>-340238362.0099998</v>
      </c>
      <c r="G30" s="616" t="n">
        <v>-62841136.45000029</v>
      </c>
      <c r="H30" s="616" t="n">
        <v>-118068523.3700001</v>
      </c>
      <c r="I30" s="616" t="n">
        <v>0</v>
      </c>
      <c r="J30" s="616" t="n">
        <v>0</v>
      </c>
      <c r="K30" s="616" t="n">
        <v>-128514730.82</v>
      </c>
      <c r="L30" s="616" t="n">
        <v>0</v>
      </c>
      <c r="M30" s="616" t="n">
        <v>0</v>
      </c>
      <c r="N30" s="960" t="n">
        <v>-128514730.8199999</v>
      </c>
      <c r="O30" s="1700" t="n"/>
      <c r="P30" s="599" t="n"/>
      <c r="Q30" s="599" t="n"/>
    </row>
    <row r="31" ht="15" customHeight="1" thickBot="1">
      <c r="B31" s="1697" t="inlineStr">
        <is>
          <t>Net Cash in (out)</t>
        </is>
      </c>
      <c r="C31" s="618" t="n">
        <v>519238150.3641267</v>
      </c>
      <c r="D31" s="619" t="n">
        <v>18816306.58000019</v>
      </c>
      <c r="E31" s="619" t="n">
        <v>-496745051.5600003</v>
      </c>
      <c r="F31" s="619" t="n">
        <v>158280989.9299991</v>
      </c>
      <c r="G31" s="619" t="n">
        <v>-121916657.8400011</v>
      </c>
      <c r="H31" s="619" t="n">
        <v>-10810913.91000047</v>
      </c>
      <c r="I31" s="619" t="n">
        <v>-115892741.416181</v>
      </c>
      <c r="J31" s="619" t="n">
        <v>-52346711.20629722</v>
      </c>
      <c r="K31" s="619" t="n">
        <v>268556693.0241106</v>
      </c>
      <c r="L31" s="619" t="n">
        <v>101514864.0658315</v>
      </c>
      <c r="M31" s="619" t="n">
        <v>154075911.0833893</v>
      </c>
      <c r="N31" s="961" t="n">
        <v>-58422276.74296671</v>
      </c>
      <c r="O31" s="1700" t="n"/>
      <c r="P31" s="599" t="n"/>
      <c r="Q31" s="599" t="n"/>
    </row>
    <row r="32" ht="15" customFormat="1" customHeight="1" s="592">
      <c r="B32" s="620" t="n"/>
      <c r="C32" s="599" t="n"/>
      <c r="D32" s="599" t="n">
        <v>0</v>
      </c>
      <c r="E32" s="599" t="n"/>
      <c r="F32" s="599" t="n"/>
      <c r="G32" s="599" t="n"/>
      <c r="H32" s="599" t="n"/>
      <c r="I32" s="599" t="n"/>
      <c r="J32" s="599" t="n"/>
      <c r="K32" s="599" t="n"/>
      <c r="L32" s="599" t="n"/>
      <c r="M32" s="599" t="n"/>
      <c r="N32" s="599" t="n"/>
    </row>
    <row r="33" ht="15" customHeight="1">
      <c r="B33" s="621" t="inlineStr">
        <is>
          <t>Cash on Hand at the beginning</t>
        </is>
      </c>
      <c r="C33" s="622" t="n">
        <v>561756452.8958731</v>
      </c>
      <c r="D33" s="622" t="n">
        <v>1080997934.63</v>
      </c>
      <c r="E33" s="622" t="n">
        <v>1099814240.97</v>
      </c>
      <c r="F33" s="622" t="n">
        <v>603069189.41</v>
      </c>
      <c r="G33" s="622" t="n">
        <v>761350179.3399991</v>
      </c>
      <c r="H33" s="622" t="n">
        <v>639433521.499998</v>
      </c>
      <c r="I33" s="622" t="n">
        <v>628622607.5899975</v>
      </c>
      <c r="J33" s="622" t="n">
        <v>512729866.1738166</v>
      </c>
      <c r="K33" s="622" t="n">
        <v>460383154.9675193</v>
      </c>
      <c r="L33" s="622" t="n">
        <v>728939847.9916298</v>
      </c>
      <c r="M33" s="622" t="n">
        <v>830454712.0574614</v>
      </c>
      <c r="N33" s="622" t="n">
        <v>984530623.1408508</v>
      </c>
    </row>
    <row r="34" ht="15" customHeight="1">
      <c r="B34" s="623" t="inlineStr">
        <is>
          <t>Cash In (out) this month</t>
        </is>
      </c>
      <c r="C34" s="624" t="n">
        <v>519238150.3641267</v>
      </c>
      <c r="D34" s="624" t="n">
        <v>18816306.58000019</v>
      </c>
      <c r="E34" s="624" t="n">
        <v>-496745051.5600003</v>
      </c>
      <c r="F34" s="624" t="n">
        <v>158280989.9299991</v>
      </c>
      <c r="G34" s="624" t="n">
        <v>-121916657.8400011</v>
      </c>
      <c r="H34" s="624" t="n">
        <v>-10810913.91000047</v>
      </c>
      <c r="I34" s="624" t="n">
        <v>-115892741.416181</v>
      </c>
      <c r="J34" s="624" t="n">
        <v>-52346711.20629722</v>
      </c>
      <c r="K34" s="624" t="n">
        <v>268556693.0241106</v>
      </c>
      <c r="L34" s="624" t="n">
        <v>101514864.0658315</v>
      </c>
      <c r="M34" s="624" t="n">
        <v>154075911.0833893</v>
      </c>
      <c r="N34" s="624" t="n">
        <v>-58422276.74296671</v>
      </c>
    </row>
    <row r="35" ht="15" customHeight="1">
      <c r="B35" s="625" t="inlineStr">
        <is>
          <t>Cash on Hand at the end</t>
        </is>
      </c>
      <c r="C35" s="626" t="n">
        <v>1080994603.26</v>
      </c>
      <c r="D35" s="626" t="n">
        <v>1099814241.21</v>
      </c>
      <c r="E35" s="626" t="n">
        <v>603069189.4099997</v>
      </c>
      <c r="F35" s="626" t="n">
        <v>761350179.3399991</v>
      </c>
      <c r="G35" s="626" t="n">
        <v>639433521.499998</v>
      </c>
      <c r="H35" s="626" t="n">
        <v>628622607.5899975</v>
      </c>
      <c r="I35" s="626" t="n">
        <v>512729866.1738166</v>
      </c>
      <c r="J35" s="626" t="n">
        <v>460383154.9675193</v>
      </c>
      <c r="K35" s="626" t="n">
        <v>728939847.9916298</v>
      </c>
      <c r="L35" s="626" t="n">
        <v>830454712.0574614</v>
      </c>
      <c r="M35" s="626" t="n">
        <v>984530623.1408508</v>
      </c>
      <c r="N35" s="626" t="n">
        <v>926108346.3978841</v>
      </c>
    </row>
    <row r="36" hidden="1" ht="15" customHeight="1">
      <c r="B36" s="627" t="n"/>
      <c r="C36" s="1698" t="n"/>
      <c r="D36" s="1698" t="n"/>
      <c r="E36" s="1698" t="n">
        <v>0</v>
      </c>
      <c r="F36" s="1698" t="n">
        <v>118820794.4103351</v>
      </c>
      <c r="G36" s="1698" t="n">
        <v>73900541.52790475</v>
      </c>
      <c r="H36" s="1698" t="n">
        <v>33484475.14547491</v>
      </c>
      <c r="I36" s="1698" t="n">
        <v>-30397078.13966507</v>
      </c>
      <c r="J36" s="1698" t="n">
        <v>156508535.4779055</v>
      </c>
      <c r="K36" s="1698" t="n">
        <v>343250749.0954742</v>
      </c>
      <c r="L36" s="1698" t="n">
        <v>278156645.1603358</v>
      </c>
      <c r="M36" s="1698" t="n">
        <v>233524152.7779055</v>
      </c>
      <c r="N36" s="1698" t="n">
        <v>186361341.6954743</v>
      </c>
    </row>
    <row r="37" ht="15" customHeight="1">
      <c r="G37" s="592" t="n"/>
      <c r="H37" s="592" t="n"/>
      <c r="I37" s="592" t="n"/>
      <c r="J37" s="592" t="n"/>
      <c r="K37" s="592" t="n"/>
      <c r="L37" s="592" t="n"/>
      <c r="M37" s="592" t="n"/>
      <c r="N37" s="592" t="n"/>
    </row>
    <row r="39" ht="15" customHeight="1">
      <c r="C39" s="1049" t="n"/>
    </row>
    <row r="40" ht="15" customHeight="1">
      <c r="C40" s="1049" t="n"/>
    </row>
    <row r="41" ht="15" customHeight="1">
      <c r="C41" s="1049" t="n"/>
    </row>
    <row r="42" ht="15" customHeight="1">
      <c r="C42" s="1049" t="n"/>
    </row>
    <row r="44" ht="15" customHeight="1">
      <c r="C44" s="1049" t="n"/>
    </row>
    <row r="46" ht="15" customHeight="1">
      <c r="C46" s="1049" t="n"/>
    </row>
  </sheetData>
  <mergeCells count="1">
    <mergeCell ref="B3:B4"/>
  </mergeCells>
  <pageMargins left="0.2" right="0.2" top="0.75" bottom="0.75" header="0.3" footer="0.3"/>
  <pageSetup orientation="landscape" paperSize="9" scale="6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B1:Q36"/>
  <sheetViews>
    <sheetView showGridLines="0" showZeros="0" zoomScale="80" zoomScaleNormal="80" workbookViewId="0">
      <pane xSplit="2" ySplit="4" topLeftCell="C5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H1" sqref="H1:H1048576"/>
    </sheetView>
  </sheetViews>
  <sheetFormatPr baseColWidth="8" defaultColWidth="8.21875" defaultRowHeight="15" customHeight="1"/>
  <cols>
    <col width="0.77734375" customWidth="1" min="1" max="1"/>
    <col width="32.21875" customWidth="1" min="2" max="2"/>
    <col width="15.44140625" bestFit="1" customWidth="1" min="3" max="4"/>
    <col width="16.6640625" bestFit="1" customWidth="1" min="5" max="6"/>
    <col width="16.44140625" bestFit="1" customWidth="1" min="7" max="7"/>
    <col width="15.44140625" bestFit="1" customWidth="1" min="8" max="10"/>
    <col width="16.6640625" bestFit="1" customWidth="1" min="11" max="12"/>
    <col width="16" bestFit="1" customWidth="1" min="13" max="13"/>
    <col width="16.6640625" bestFit="1" customWidth="1" min="14" max="14"/>
    <col width="14.77734375" bestFit="1" customWidth="1" style="1702" min="15" max="15"/>
    <col width="18.21875" bestFit="1" customWidth="1" style="1702" min="16" max="16"/>
    <col width="17.21875" bestFit="1" customWidth="1" style="1702" min="17" max="17"/>
  </cols>
  <sheetData>
    <row r="1" ht="15" customHeight="1">
      <c r="B1" s="1680" t="inlineStr">
        <is>
          <t>RBPI group</t>
        </is>
      </c>
      <c r="C1" s="1681" t="n"/>
      <c r="D1" s="1681" t="n"/>
      <c r="E1" s="1681" t="n"/>
      <c r="F1" s="1681" t="n"/>
      <c r="G1" s="1681" t="n"/>
      <c r="H1" s="1681" t="n"/>
      <c r="I1" s="1681" t="n"/>
      <c r="J1" s="1681" t="n"/>
      <c r="K1" s="1681" t="n"/>
      <c r="L1" s="1681" t="n"/>
      <c r="M1" s="1681" t="n"/>
      <c r="N1" s="1703" t="n"/>
      <c r="O1" s="1704" t="n"/>
    </row>
    <row r="2" ht="15" customHeight="1" thickBot="1">
      <c r="B2" s="1680">
        <f>'RUS CF'!B2</f>
        <v/>
      </c>
      <c r="C2" s="1681" t="n"/>
      <c r="D2" s="1681" t="n"/>
      <c r="E2" s="1681" t="n"/>
      <c r="F2" s="1681" t="n"/>
      <c r="G2" s="1681" t="n"/>
      <c r="H2" s="1681" t="n"/>
      <c r="I2" s="1681" t="n"/>
      <c r="J2" s="1681" t="n"/>
      <c r="K2" s="1681" t="n"/>
      <c r="L2" s="1681" t="n"/>
      <c r="M2" s="1681" t="n"/>
      <c r="N2" s="1683" t="inlineStr">
        <is>
          <t>Unit : Ruble</t>
        </is>
      </c>
      <c r="O2" s="1704" t="n"/>
    </row>
    <row r="3" ht="15" customHeight="1">
      <c r="B3" s="1684" t="inlineStr">
        <is>
          <t>Criteria</t>
        </is>
      </c>
      <c r="C3" s="1685">
        <f>+'RUS CF'!C3</f>
        <v/>
      </c>
      <c r="D3" s="1686">
        <f>+'RUS CF'!D3</f>
        <v/>
      </c>
      <c r="E3" s="1686">
        <f>+'RUS CF'!E3</f>
        <v/>
      </c>
      <c r="F3" s="1686">
        <f>+'RUS CF'!F3</f>
        <v/>
      </c>
      <c r="G3" s="1686">
        <f>+'RUS CF'!G3</f>
        <v/>
      </c>
      <c r="H3" s="1686">
        <f>+'RUS CF'!H3</f>
        <v/>
      </c>
      <c r="I3" s="1686">
        <f>+'RUS CF'!I3</f>
        <v/>
      </c>
      <c r="J3" s="1686">
        <f>+'RUS CF'!J3</f>
        <v/>
      </c>
      <c r="K3" s="1686">
        <f>+'RUS CF'!K3</f>
        <v/>
      </c>
      <c r="L3" s="1686">
        <f>+'RUS CF'!L3</f>
        <v/>
      </c>
      <c r="M3" s="1686">
        <f>+'RUS CF'!M3</f>
        <v/>
      </c>
      <c r="N3" s="1687">
        <f>+'RUS CF'!N3</f>
        <v/>
      </c>
      <c r="O3" s="1704" t="n"/>
    </row>
    <row r="4" ht="15" customHeight="1" thickBot="1">
      <c r="B4" s="1688" t="n"/>
      <c r="C4" s="1689">
        <f>+'RUS CF'!C4</f>
        <v/>
      </c>
      <c r="D4" s="1690">
        <f>+'RUS CF'!D4</f>
        <v/>
      </c>
      <c r="E4" s="1690">
        <f>+'RUS CF'!E4</f>
        <v/>
      </c>
      <c r="F4" s="1690">
        <f>+'RUS CF'!F4</f>
        <v/>
      </c>
      <c r="G4" s="1690">
        <f>+'RUS CF'!G4</f>
        <v/>
      </c>
      <c r="H4" s="1690">
        <f>+'RUS CF'!H4</f>
        <v/>
      </c>
      <c r="I4" s="1690">
        <f>+'RUS CF'!I4</f>
        <v/>
      </c>
      <c r="J4" s="1690">
        <f>+'RUS CF'!J4</f>
        <v/>
      </c>
      <c r="K4" s="1690">
        <f>+'RUS CF'!K4</f>
        <v/>
      </c>
      <c r="L4" s="1690">
        <f>+'RUS CF'!L4</f>
        <v/>
      </c>
      <c r="M4" s="1690">
        <f>+'RUS CF'!M4</f>
        <v/>
      </c>
      <c r="N4" s="1691">
        <f>+'RUS CF'!N4</f>
        <v/>
      </c>
      <c r="O4" s="1705" t="n"/>
    </row>
    <row r="5" ht="15" customHeight="1">
      <c r="B5" s="1693" t="inlineStr">
        <is>
          <t>Net Operational Income</t>
        </is>
      </c>
      <c r="C5" s="607" t="n">
        <v>-185490290.9569867</v>
      </c>
      <c r="D5" s="608" t="n">
        <v>519857575.8499912</v>
      </c>
      <c r="E5" s="608" t="n">
        <v>382340883.9936885</v>
      </c>
      <c r="F5" s="608" t="n">
        <v>406516755.9100149</v>
      </c>
      <c r="G5" s="608" t="n">
        <v>174759882.8000042</v>
      </c>
      <c r="H5" s="608" t="n">
        <v>520837126.2799997</v>
      </c>
      <c r="I5" s="598" t="n">
        <v>80105776.36884069</v>
      </c>
      <c r="J5" s="598" t="n">
        <v>72664634.98451471</v>
      </c>
      <c r="K5" s="598" t="n">
        <v>1675218211.489547</v>
      </c>
      <c r="L5" s="598" t="n">
        <v>86650441.98344421</v>
      </c>
      <c r="M5" s="598" t="n">
        <v>187982807.4979172</v>
      </c>
      <c r="N5" s="953" t="n">
        <v>291429402.1459932</v>
      </c>
      <c r="O5" s="1704" t="n"/>
    </row>
    <row r="6" ht="15" customHeight="1">
      <c r="B6" s="1693" t="inlineStr">
        <is>
          <t>Correction on prior year income</t>
        </is>
      </c>
      <c r="C6" s="607" t="n">
        <v>0</v>
      </c>
      <c r="D6" s="608" t="n">
        <v>0</v>
      </c>
      <c r="E6" s="608" t="n">
        <v>0</v>
      </c>
      <c r="F6" s="608" t="n">
        <v>0</v>
      </c>
      <c r="G6" s="608" t="n">
        <v>0</v>
      </c>
      <c r="H6" s="608" t="n">
        <v>0</v>
      </c>
      <c r="I6" s="608" t="n">
        <v>0</v>
      </c>
      <c r="J6" s="608" t="n">
        <v>0</v>
      </c>
      <c r="K6" s="608" t="n">
        <v>0</v>
      </c>
      <c r="L6" s="608" t="n">
        <v>0</v>
      </c>
      <c r="M6" s="608" t="n">
        <v>0</v>
      </c>
      <c r="N6" s="957" t="n">
        <v>0</v>
      </c>
      <c r="O6" s="1704" t="n"/>
    </row>
    <row r="7" ht="15" customHeight="1">
      <c r="B7" s="1693" t="inlineStr">
        <is>
          <t>Allowance for Bad Debt</t>
        </is>
      </c>
      <c r="C7" s="607" t="n">
        <v>0</v>
      </c>
      <c r="D7" s="608" t="n">
        <v>0</v>
      </c>
      <c r="E7" s="608" t="n">
        <v>0</v>
      </c>
      <c r="F7" s="608" t="n">
        <v>0</v>
      </c>
      <c r="G7" s="608" t="n">
        <v>0</v>
      </c>
      <c r="H7" s="608" t="n">
        <v>0</v>
      </c>
      <c r="I7" s="608" t="n">
        <v>0</v>
      </c>
      <c r="J7" s="608" t="n">
        <v>0</v>
      </c>
      <c r="K7" s="608" t="n">
        <v>0</v>
      </c>
      <c r="L7" s="608" t="n">
        <v>0</v>
      </c>
      <c r="M7" s="608" t="n">
        <v>0</v>
      </c>
      <c r="N7" s="957" t="n">
        <v>0</v>
      </c>
      <c r="O7" s="1704" t="n"/>
    </row>
    <row r="8" ht="15" customHeight="1">
      <c r="B8" s="1693" t="inlineStr">
        <is>
          <t>Provision for retirement fund</t>
        </is>
      </c>
      <c r="C8" s="607" t="n">
        <v>0</v>
      </c>
      <c r="D8" s="608" t="n">
        <v>0</v>
      </c>
      <c r="E8" s="608" t="n">
        <v>0</v>
      </c>
      <c r="F8" s="608" t="n">
        <v>0</v>
      </c>
      <c r="G8" s="608" t="n">
        <v>0</v>
      </c>
      <c r="H8" s="608" t="n">
        <v>0</v>
      </c>
      <c r="I8" s="608" t="n">
        <v>0</v>
      </c>
      <c r="J8" s="608" t="n">
        <v>0</v>
      </c>
      <c r="K8" s="608" t="n">
        <v>0</v>
      </c>
      <c r="L8" s="608" t="n">
        <v>0</v>
      </c>
      <c r="M8" s="608" t="n">
        <v>0</v>
      </c>
      <c r="N8" s="957" t="n">
        <v>0</v>
      </c>
      <c r="O8" s="1704" t="n"/>
    </row>
    <row r="9" ht="15" customHeight="1">
      <c r="B9" s="1693" t="inlineStr">
        <is>
          <t>Income Tax payable</t>
        </is>
      </c>
      <c r="C9" s="607" t="n">
        <v>0</v>
      </c>
      <c r="D9" s="608" t="n">
        <v>0</v>
      </c>
      <c r="E9" s="608" t="n">
        <v>0</v>
      </c>
      <c r="F9" s="608" t="n">
        <v>0</v>
      </c>
      <c r="G9" s="608" t="n">
        <v>0</v>
      </c>
      <c r="H9" s="608" t="n">
        <v>0</v>
      </c>
      <c r="I9" s="608" t="n">
        <v>0</v>
      </c>
      <c r="J9" s="608" t="n">
        <v>0</v>
      </c>
      <c r="K9" s="608" t="n">
        <v>0</v>
      </c>
      <c r="L9" s="608" t="n">
        <v>0</v>
      </c>
      <c r="M9" s="608" t="n">
        <v>0</v>
      </c>
      <c r="N9" s="957" t="n">
        <v>0</v>
      </c>
      <c r="O9" s="1704" t="n"/>
    </row>
    <row r="10" ht="15" customHeight="1">
      <c r="B10" s="1693" t="inlineStr">
        <is>
          <t>Accumulated Depreciation</t>
        </is>
      </c>
      <c r="C10" s="609" t="n">
        <v>151241634.1299992</v>
      </c>
      <c r="D10" s="610" t="n">
        <v>151183432.9500008</v>
      </c>
      <c r="E10" s="610" t="n">
        <v>177485793.9306145</v>
      </c>
      <c r="F10" s="610" t="n">
        <v>149590842.1599998</v>
      </c>
      <c r="G10" s="610" t="n">
        <v>148617347.3600006</v>
      </c>
      <c r="H10" s="610" t="n">
        <v>152230314.6299992</v>
      </c>
      <c r="I10" s="610" t="n">
        <v>167607895.6243382</v>
      </c>
      <c r="J10" s="610" t="n">
        <v>167885157.5291004</v>
      </c>
      <c r="K10" s="610" t="n">
        <v>168129657.5291004</v>
      </c>
      <c r="L10" s="610" t="n">
        <v>168232395.6243382</v>
      </c>
      <c r="M10" s="610" t="n">
        <v>168242514.671957</v>
      </c>
      <c r="N10" s="958" t="n">
        <v>168294300.3862438</v>
      </c>
      <c r="O10" s="1704" t="n"/>
    </row>
    <row r="11" ht="15" customHeight="1">
      <c r="B11" s="1694" t="inlineStr">
        <is>
          <t>Cash in (out) from operation</t>
        </is>
      </c>
      <c r="C11" s="612" t="n">
        <v>-34248656.8269875</v>
      </c>
      <c r="D11" s="613" t="n">
        <v>671041008.799992</v>
      </c>
      <c r="E11" s="613" t="n">
        <v>559826677.9243029</v>
      </c>
      <c r="F11" s="613" t="n">
        <v>556107598.0700147</v>
      </c>
      <c r="G11" s="613" t="n">
        <v>323377230.1600049</v>
      </c>
      <c r="H11" s="613" t="n">
        <v>673067440.9099989</v>
      </c>
      <c r="I11" s="613" t="n">
        <v>247713671.9931788</v>
      </c>
      <c r="J11" s="613" t="n">
        <v>240549792.5136151</v>
      </c>
      <c r="K11" s="613" t="n">
        <v>1843347869.018647</v>
      </c>
      <c r="L11" s="613" t="n">
        <v>254882837.6077824</v>
      </c>
      <c r="M11" s="613" t="n">
        <v>356225322.1698742</v>
      </c>
      <c r="N11" s="959" t="n">
        <v>459723702.5322371</v>
      </c>
      <c r="O11" s="1704" t="n"/>
    </row>
    <row r="12" ht="15" customHeight="1">
      <c r="B12" s="1693" t="inlineStr">
        <is>
          <t xml:space="preserve">Payable </t>
        </is>
      </c>
      <c r="C12" s="607" t="n">
        <v>138648870.8499998</v>
      </c>
      <c r="D12" s="608" t="n">
        <v>27748244.82000017</v>
      </c>
      <c r="E12" s="608" t="n">
        <v>-50686428.2900002</v>
      </c>
      <c r="F12" s="608" t="n">
        <v>-199659465.1899999</v>
      </c>
      <c r="G12" s="608" t="n">
        <v>-114416858.67</v>
      </c>
      <c r="H12" s="608" t="n">
        <v>156049026.9799999</v>
      </c>
      <c r="I12" s="608" t="n">
        <v>-20654845.73694724</v>
      </c>
      <c r="J12" s="608" t="n">
        <v>-3811749.952959776</v>
      </c>
      <c r="K12" s="608" t="n">
        <v>-8950312.816907525</v>
      </c>
      <c r="L12" s="608" t="n">
        <v>-21673050.49471796</v>
      </c>
      <c r="M12" s="608" t="n">
        <v>-6882721.498849332</v>
      </c>
      <c r="N12" s="957" t="n">
        <v>17579799.17829072</v>
      </c>
      <c r="O12" s="1706" t="n"/>
    </row>
    <row r="13" ht="15" customHeight="1">
      <c r="B13" s="1693" t="inlineStr">
        <is>
          <t>Current Account</t>
        </is>
      </c>
      <c r="C13" s="607" t="n">
        <v>0</v>
      </c>
      <c r="D13" s="608" t="n">
        <v>0</v>
      </c>
      <c r="E13" s="608" t="n">
        <v>0</v>
      </c>
      <c r="F13" s="608" t="n">
        <v>0</v>
      </c>
      <c r="G13" s="608" t="n">
        <v>0</v>
      </c>
      <c r="H13" s="608" t="n">
        <v>0</v>
      </c>
      <c r="I13" s="608" t="n">
        <v>0</v>
      </c>
      <c r="J13" s="608" t="n">
        <v>0</v>
      </c>
      <c r="K13" s="608" t="n">
        <v>0</v>
      </c>
      <c r="L13" s="608" t="n">
        <v>0</v>
      </c>
      <c r="M13" s="608" t="n">
        <v>0</v>
      </c>
      <c r="N13" s="957" t="n">
        <v>0</v>
      </c>
      <c r="O13" s="1704" t="n"/>
    </row>
    <row r="14" ht="15" customHeight="1">
      <c r="B14" s="1693" t="inlineStr">
        <is>
          <t>Dividend Payable</t>
        </is>
      </c>
      <c r="C14" s="607" t="n">
        <v>0</v>
      </c>
      <c r="D14" s="608" t="n">
        <v>0</v>
      </c>
      <c r="E14" s="608" t="n">
        <v>0</v>
      </c>
      <c r="F14" s="608" t="n">
        <v>0</v>
      </c>
      <c r="G14" s="608" t="n">
        <v>0</v>
      </c>
      <c r="H14" s="608" t="n">
        <v>0</v>
      </c>
      <c r="I14" s="608" t="n">
        <v>0</v>
      </c>
      <c r="J14" s="608" t="n">
        <v>0</v>
      </c>
      <c r="K14" s="608" t="n">
        <v>0</v>
      </c>
      <c r="L14" s="608" t="n">
        <v>0</v>
      </c>
      <c r="M14" s="608" t="n">
        <v>0</v>
      </c>
      <c r="N14" s="957" t="n">
        <v>0</v>
      </c>
      <c r="O14" s="1704" t="n"/>
    </row>
    <row r="15" ht="15" customHeight="1">
      <c r="B15" s="1693" t="inlineStr">
        <is>
          <t>Other current and None Current liabilities</t>
        </is>
      </c>
      <c r="C15" s="609" t="n">
        <v>126978668.9052289</v>
      </c>
      <c r="D15" s="610" t="n">
        <v>-100161010.2200034</v>
      </c>
      <c r="E15" s="610" t="n">
        <v>-269200252.055104</v>
      </c>
      <c r="F15" s="610" t="n">
        <v>-89039543.01388979</v>
      </c>
      <c r="G15" s="610" t="n">
        <v>344905581.2057993</v>
      </c>
      <c r="H15" s="610" t="n">
        <v>95550909.22118616</v>
      </c>
      <c r="I15" s="610" t="n">
        <v>-148132730.5861645</v>
      </c>
      <c r="J15" s="610" t="n">
        <v>-150452150.1275344</v>
      </c>
      <c r="K15" s="610" t="n">
        <v>-144872647.6424656</v>
      </c>
      <c r="L15" s="610" t="n">
        <v>-150645516.169178</v>
      </c>
      <c r="M15" s="610" t="n">
        <v>-146953627.5767121</v>
      </c>
      <c r="N15" s="958" t="n">
        <v>-151728299.7286301</v>
      </c>
      <c r="O15" s="1706" t="n"/>
    </row>
    <row r="16" ht="15" customHeight="1">
      <c r="B16" s="1694" t="inlineStr">
        <is>
          <t>Cash in (out) from liabilities</t>
        </is>
      </c>
      <c r="C16" s="612" t="n">
        <v>265627539.7552287</v>
      </c>
      <c r="D16" s="613" t="n">
        <v>-72412765.40000319</v>
      </c>
      <c r="E16" s="613" t="n">
        <v>-319886680.3451042</v>
      </c>
      <c r="F16" s="613" t="n">
        <v>-288699008.2038897</v>
      </c>
      <c r="G16" s="613" t="n">
        <v>230488722.5357994</v>
      </c>
      <c r="H16" s="613" t="n">
        <v>251599936.2011861</v>
      </c>
      <c r="I16" s="613" t="n">
        <v>-168787576.3231117</v>
      </c>
      <c r="J16" s="613" t="n">
        <v>-154263900.0804942</v>
      </c>
      <c r="K16" s="613" t="n">
        <v>-153822960.4593731</v>
      </c>
      <c r="L16" s="613" t="n">
        <v>-172318566.663896</v>
      </c>
      <c r="M16" s="613" t="n">
        <v>-153836349.0755615</v>
      </c>
      <c r="N16" s="959" t="n">
        <v>-134148500.5503393</v>
      </c>
      <c r="O16" s="1704" t="n"/>
    </row>
    <row r="17" ht="15" customHeight="1">
      <c r="B17" s="1693" t="inlineStr">
        <is>
          <t>Accounts receivable &amp; checks on hand-trade</t>
        </is>
      </c>
      <c r="C17" s="607" t="n">
        <v>119596471.21</v>
      </c>
      <c r="D17" s="608" t="n">
        <v>49260997.24000007</v>
      </c>
      <c r="E17" s="608" t="n">
        <v>-77634781.64000005</v>
      </c>
      <c r="F17" s="608" t="n">
        <v>73182996.74999994</v>
      </c>
      <c r="G17" s="608" t="n">
        <v>27430190.05000007</v>
      </c>
      <c r="H17" s="608" t="n">
        <v>-152110198.0700001</v>
      </c>
      <c r="I17" s="608" t="n">
        <v>166722212.0672379</v>
      </c>
      <c r="J17" s="608" t="n">
        <v>97129657.04111338</v>
      </c>
      <c r="K17" s="608" t="n">
        <v>-5861446.4332757</v>
      </c>
      <c r="L17" s="608" t="n">
        <v>129517011.6021973</v>
      </c>
      <c r="M17" s="608" t="n">
        <v>8984519.111063957</v>
      </c>
      <c r="N17" s="957" t="n">
        <v>-188430.8542362452</v>
      </c>
      <c r="O17" s="1706" t="n"/>
    </row>
    <row r="18" ht="15" customHeight="1">
      <c r="B18" s="1693" t="inlineStr">
        <is>
          <t>Short-term Loan Receivable</t>
        </is>
      </c>
      <c r="C18" s="607" t="n">
        <v>0</v>
      </c>
      <c r="D18" s="608" t="n">
        <v>0</v>
      </c>
      <c r="E18" s="608" t="n">
        <v>0</v>
      </c>
      <c r="F18" s="608" t="n">
        <v>0</v>
      </c>
      <c r="G18" s="608" t="n">
        <v>0</v>
      </c>
      <c r="H18" s="608" t="n">
        <v>0</v>
      </c>
      <c r="I18" s="608" t="n">
        <v>0</v>
      </c>
      <c r="J18" s="608" t="n">
        <v>0</v>
      </c>
      <c r="K18" s="608" t="n">
        <v>0</v>
      </c>
      <c r="L18" s="608" t="n">
        <v>0</v>
      </c>
      <c r="M18" s="608" t="n">
        <v>0</v>
      </c>
      <c r="N18" s="957" t="n">
        <v>0</v>
      </c>
      <c r="O18" s="1706" t="n"/>
    </row>
    <row r="19" ht="15" customHeight="1">
      <c r="B19" s="1693" t="inlineStr">
        <is>
          <t>Inventories</t>
        </is>
      </c>
      <c r="C19" s="607" t="n">
        <v>-325130095.2999992</v>
      </c>
      <c r="D19" s="608" t="n">
        <v>-39209562.88999939</v>
      </c>
      <c r="E19" s="608" t="n">
        <v>456660039.0200005</v>
      </c>
      <c r="F19" s="608" t="n">
        <v>261405066.3499985</v>
      </c>
      <c r="G19" s="608" t="n">
        <v>-265515975.2399998</v>
      </c>
      <c r="H19" s="608" t="n">
        <v>289064931.460001</v>
      </c>
      <c r="I19" s="608" t="n">
        <v>350749864.987669</v>
      </c>
      <c r="J19" s="608" t="n">
        <v>375906348.7210026</v>
      </c>
      <c r="K19" s="608" t="n">
        <v>852500848.9640789</v>
      </c>
      <c r="L19" s="608" t="n">
        <v>-52471568.827425</v>
      </c>
      <c r="M19" s="608" t="n">
        <v>-59821670.44408989</v>
      </c>
      <c r="N19" s="957" t="n">
        <v>-54175735.72249222</v>
      </c>
      <c r="O19" s="1704" t="n"/>
    </row>
    <row r="20" ht="15" customHeight="1">
      <c r="B20" s="1693" t="inlineStr">
        <is>
          <t>Other Current and None Current Assets</t>
        </is>
      </c>
      <c r="C20" s="609" t="n">
        <v>19592132.7982316</v>
      </c>
      <c r="D20" s="610" t="n">
        <v>67058598.28000021</v>
      </c>
      <c r="E20" s="610" t="n">
        <v>-403415309.8560719</v>
      </c>
      <c r="F20" s="610" t="n">
        <v>-104731878.0838928</v>
      </c>
      <c r="G20" s="610" t="n">
        <v>-3698269.31412816</v>
      </c>
      <c r="H20" s="610" t="n">
        <v>121128281.9092124</v>
      </c>
      <c r="I20" s="610" t="n">
        <v>0</v>
      </c>
      <c r="J20" s="610" t="n">
        <v>0</v>
      </c>
      <c r="K20" s="610" t="n">
        <v>0</v>
      </c>
      <c r="L20" s="610" t="n">
        <v>0</v>
      </c>
      <c r="M20" s="610" t="n">
        <v>0</v>
      </c>
      <c r="N20" s="958" t="n">
        <v>0</v>
      </c>
      <c r="O20" s="1706" t="n"/>
    </row>
    <row r="21" ht="15" customHeight="1">
      <c r="B21" s="1694" t="inlineStr">
        <is>
          <t>Cash out ( in ) from current assets</t>
        </is>
      </c>
      <c r="C21" s="612" t="n">
        <v>-185941491.2917677</v>
      </c>
      <c r="D21" s="613" t="n">
        <v>77110032.63000089</v>
      </c>
      <c r="E21" s="613" t="n">
        <v>-24390052.47607154</v>
      </c>
      <c r="F21" s="613" t="n">
        <v>229856185.0161056</v>
      </c>
      <c r="G21" s="613" t="n">
        <v>-241784054.5041279</v>
      </c>
      <c r="H21" s="613" t="n">
        <v>258083015.2992133</v>
      </c>
      <c r="I21" s="613" t="n">
        <v>517472077.0549068</v>
      </c>
      <c r="J21" s="613" t="n">
        <v>473036005.762116</v>
      </c>
      <c r="K21" s="613" t="n">
        <v>846639402.5308032</v>
      </c>
      <c r="L21" s="613" t="n">
        <v>77045442.77477229</v>
      </c>
      <c r="M21" s="613" t="n">
        <v>-50837151.33302593</v>
      </c>
      <c r="N21" s="959" t="n">
        <v>-54364166.57672846</v>
      </c>
      <c r="O21" s="1704" t="n"/>
    </row>
    <row r="22" ht="15" customHeight="1">
      <c r="B22" s="1693" t="inlineStr">
        <is>
          <t>Property , plant and equipment</t>
        </is>
      </c>
      <c r="C22" s="607" t="n">
        <v>16277661.02000427</v>
      </c>
      <c r="D22" s="608" t="n">
        <v>26314142.45999908</v>
      </c>
      <c r="E22" s="608" t="n">
        <v>33284715.8006134</v>
      </c>
      <c r="F22" s="608" t="n">
        <v>58362309.25999451</v>
      </c>
      <c r="G22" s="608" t="n">
        <v>21461479.05000305</v>
      </c>
      <c r="H22" s="608" t="n">
        <v>168942495.9699936</v>
      </c>
      <c r="I22" s="608" t="n">
        <v>16000081.46666718</v>
      </c>
      <c r="J22" s="608" t="n">
        <v>36916000</v>
      </c>
      <c r="K22" s="608" t="n">
        <v>25452000</v>
      </c>
      <c r="L22" s="608" t="n">
        <v>-10368933.33333588</v>
      </c>
      <c r="M22" s="608" t="n">
        <v>1020000</v>
      </c>
      <c r="N22" s="957" t="n">
        <v>5220000</v>
      </c>
      <c r="O22" s="1704" t="n"/>
    </row>
    <row r="23" ht="15" customHeight="1">
      <c r="B23" s="1693" t="inlineStr">
        <is>
          <t>Other Assets</t>
        </is>
      </c>
      <c r="C23" s="607" t="n">
        <v>0</v>
      </c>
      <c r="D23" s="608" t="n">
        <v>0</v>
      </c>
      <c r="E23" s="608" t="n">
        <v>0</v>
      </c>
      <c r="F23" s="608" t="n">
        <v>0</v>
      </c>
      <c r="G23" s="608" t="n">
        <v>0</v>
      </c>
      <c r="H23" s="608" t="n">
        <v>0</v>
      </c>
      <c r="I23" s="608" t="n">
        <v>0</v>
      </c>
      <c r="J23" s="608" t="n">
        <v>0</v>
      </c>
      <c r="K23" s="608" t="n">
        <v>0</v>
      </c>
      <c r="L23" s="608" t="n">
        <v>0</v>
      </c>
      <c r="M23" s="608" t="n">
        <v>0</v>
      </c>
      <c r="N23" s="957" t="n">
        <v>0</v>
      </c>
      <c r="O23" s="1704" t="n"/>
    </row>
    <row r="24" ht="15" customHeight="1">
      <c r="B24" s="1693" t="inlineStr">
        <is>
          <t>Investment</t>
        </is>
      </c>
      <c r="C24" s="609" t="n">
        <v>0</v>
      </c>
      <c r="D24" s="610" t="n">
        <v>0</v>
      </c>
      <c r="E24" s="610" t="n">
        <v>0</v>
      </c>
      <c r="F24" s="610" t="n">
        <v>0</v>
      </c>
      <c r="G24" s="610" t="n">
        <v>0</v>
      </c>
      <c r="H24" s="610" t="n">
        <v>0</v>
      </c>
      <c r="I24" s="610" t="n">
        <v>0</v>
      </c>
      <c r="J24" s="610" t="n">
        <v>0</v>
      </c>
      <c r="K24" s="610" t="n">
        <v>0</v>
      </c>
      <c r="L24" s="610" t="n">
        <v>0</v>
      </c>
      <c r="M24" s="610" t="n">
        <v>0</v>
      </c>
      <c r="N24" s="958" t="n">
        <v>0</v>
      </c>
      <c r="O24" s="1704" t="n"/>
    </row>
    <row r="25" ht="15" customHeight="1">
      <c r="B25" s="1695" t="inlineStr">
        <is>
          <t>Cash out ( in ) from investing</t>
        </is>
      </c>
      <c r="C25" s="612" t="n">
        <v>16277661.02000427</v>
      </c>
      <c r="D25" s="613" t="n">
        <v>26314142.45999908</v>
      </c>
      <c r="E25" s="613" t="n">
        <v>33284715.8006134</v>
      </c>
      <c r="F25" s="613" t="n">
        <v>58362309.25999451</v>
      </c>
      <c r="G25" s="613" t="n">
        <v>21461479.05000305</v>
      </c>
      <c r="H25" s="613" t="n">
        <v>168942495.9699936</v>
      </c>
      <c r="I25" s="613" t="n">
        <v>16000081.46666718</v>
      </c>
      <c r="J25" s="613" t="n">
        <v>36916000</v>
      </c>
      <c r="K25" s="613" t="n">
        <v>25452000</v>
      </c>
      <c r="L25" s="613" t="n">
        <v>-10368933.33333588</v>
      </c>
      <c r="M25" s="613" t="n">
        <v>1020000</v>
      </c>
      <c r="N25" s="959" t="n">
        <v>5220000</v>
      </c>
      <c r="O25" s="1704" t="n"/>
    </row>
    <row r="26" ht="15" customHeight="1">
      <c r="B26" s="1693" t="inlineStr">
        <is>
          <t>Financial Institutions</t>
        </is>
      </c>
      <c r="C26" s="607" t="n">
        <v>-140112128.7600002</v>
      </c>
      <c r="D26" s="608" t="n">
        <v>-84360393.26000023</v>
      </c>
      <c r="E26" s="608" t="n">
        <v>-325870958.2846413</v>
      </c>
      <c r="F26" s="608" t="n">
        <v>-137449052.1299992</v>
      </c>
      <c r="G26" s="608" t="n">
        <v>-86433662.90999985</v>
      </c>
      <c r="H26" s="608" t="n">
        <v>-405049741.8719349</v>
      </c>
      <c r="I26" s="608" t="n">
        <v>-81903000.00000048</v>
      </c>
      <c r="J26" s="608" t="n">
        <v>131391000.0000005</v>
      </c>
      <c r="K26" s="608" t="n">
        <v>-432673000.0000005</v>
      </c>
      <c r="L26" s="608" t="n">
        <v>-23609000</v>
      </c>
      <c r="M26" s="608" t="n">
        <v>-23609000</v>
      </c>
      <c r="N26" s="957" t="n">
        <v>-387673000</v>
      </c>
      <c r="O26" s="1704" t="n"/>
    </row>
    <row r="27" ht="15" customHeight="1">
      <c r="B27" s="1693" t="inlineStr">
        <is>
          <t>Short-term Loans</t>
        </is>
      </c>
      <c r="C27" s="607" t="n">
        <v>-378929873.4299984</v>
      </c>
      <c r="D27" s="608" t="n">
        <v>-337218506.7399998</v>
      </c>
      <c r="E27" s="608" t="n">
        <v>491698093.5200005</v>
      </c>
      <c r="F27" s="608" t="n">
        <v>-142808534.7400007</v>
      </c>
      <c r="G27" s="608" t="n">
        <v>-387507867.9000006</v>
      </c>
      <c r="H27" s="608" t="n">
        <v>-74913149.89000034</v>
      </c>
      <c r="I27" s="608" t="n">
        <v>100000000</v>
      </c>
      <c r="J27" s="608" t="n">
        <v>150000000</v>
      </c>
      <c r="K27" s="608" t="n">
        <v>100000000</v>
      </c>
      <c r="L27" s="608" t="n">
        <v>110000000</v>
      </c>
      <c r="M27" s="608" t="n">
        <v>210000000</v>
      </c>
      <c r="N27" s="957" t="n">
        <v>110000000</v>
      </c>
      <c r="O27" s="1704" t="n"/>
    </row>
    <row r="28" ht="15" customHeight="1">
      <c r="B28" s="1693" t="inlineStr">
        <is>
          <t>Legal reserves</t>
        </is>
      </c>
      <c r="C28" s="607" t="n">
        <v>0</v>
      </c>
      <c r="D28" s="608" t="n">
        <v>0</v>
      </c>
      <c r="E28" s="608" t="n">
        <v>0</v>
      </c>
      <c r="F28" s="608" t="n">
        <v>0</v>
      </c>
      <c r="G28" s="608" t="n">
        <v>0</v>
      </c>
      <c r="H28" s="608" t="n">
        <v>0</v>
      </c>
      <c r="I28" s="608" t="n">
        <v>0</v>
      </c>
      <c r="J28" s="608" t="n">
        <v>0</v>
      </c>
      <c r="K28" s="608" t="n">
        <v>0</v>
      </c>
      <c r="L28" s="608" t="n">
        <v>0</v>
      </c>
      <c r="M28" s="608" t="n">
        <v>0</v>
      </c>
      <c r="N28" s="957" t="n">
        <v>0</v>
      </c>
      <c r="O28" s="1704" t="n"/>
    </row>
    <row r="29" ht="15" customHeight="1">
      <c r="B29" s="1693" t="inlineStr">
        <is>
          <t>Share capital increase in cash</t>
        </is>
      </c>
      <c r="C29" s="609" t="n">
        <v>0</v>
      </c>
      <c r="D29" s="610" t="n">
        <v>0</v>
      </c>
      <c r="E29" s="610" t="n">
        <v>0</v>
      </c>
      <c r="F29" s="610" t="n">
        <v>0</v>
      </c>
      <c r="G29" s="610" t="n">
        <v>0</v>
      </c>
      <c r="H29" s="610" t="n">
        <v>0</v>
      </c>
      <c r="I29" s="610" t="n">
        <v>0</v>
      </c>
      <c r="J29" s="610" t="n">
        <v>0</v>
      </c>
      <c r="K29" s="610" t="n">
        <v>0</v>
      </c>
      <c r="L29" s="610" t="n">
        <v>0</v>
      </c>
      <c r="M29" s="610" t="n">
        <v>0</v>
      </c>
      <c r="N29" s="958" t="n">
        <v>0</v>
      </c>
      <c r="O29" s="1704" t="n"/>
    </row>
    <row r="30" ht="15" customHeight="1">
      <c r="B30" s="1696" t="inlineStr">
        <is>
          <t>Cash in (out) from financing</t>
        </is>
      </c>
      <c r="C30" s="615" t="n">
        <v>-519042002.1899986</v>
      </c>
      <c r="D30" s="616" t="n">
        <v>-421578900</v>
      </c>
      <c r="E30" s="616" t="n">
        <v>165827135.2353592</v>
      </c>
      <c r="F30" s="616" t="n">
        <v>-280257586.8699999</v>
      </c>
      <c r="G30" s="616" t="n">
        <v>-473941530.8100004</v>
      </c>
      <c r="H30" s="616" t="n">
        <v>-479962891.7619352</v>
      </c>
      <c r="I30" s="616" t="n">
        <v>18096999.99999952</v>
      </c>
      <c r="J30" s="616" t="n">
        <v>281391000.0000005</v>
      </c>
      <c r="K30" s="616" t="n">
        <v>-332673000.0000005</v>
      </c>
      <c r="L30" s="616" t="n">
        <v>86391000</v>
      </c>
      <c r="M30" s="616" t="n">
        <v>186391000</v>
      </c>
      <c r="N30" s="960" t="n">
        <v>-277673000</v>
      </c>
      <c r="O30" s="1704" t="n"/>
    </row>
    <row r="31" ht="15" customHeight="1" thickBot="1">
      <c r="B31" s="1697" t="inlineStr">
        <is>
          <t>Net Cash in (out)</t>
        </is>
      </c>
      <c r="C31" s="618" t="n">
        <v>-117999288.989994</v>
      </c>
      <c r="D31" s="619" t="n">
        <v>73625168.3099888</v>
      </c>
      <c r="E31" s="619" t="n">
        <v>396872469.490016</v>
      </c>
      <c r="F31" s="619" t="n">
        <v>-301067491.2799749</v>
      </c>
      <c r="G31" s="619" t="n">
        <v>300246997.3399286</v>
      </c>
      <c r="H31" s="619" t="n">
        <v>17678974.08004284</v>
      </c>
      <c r="I31" s="619" t="n">
        <v>-436449062.8515074</v>
      </c>
      <c r="J31" s="619" t="n">
        <v>-142275113.3289945</v>
      </c>
      <c r="K31" s="619" t="n">
        <v>484760506.0284705</v>
      </c>
      <c r="L31" s="619" t="n">
        <v>102278761.50245</v>
      </c>
      <c r="M31" s="619" t="n">
        <v>438597124.4273387</v>
      </c>
      <c r="N31" s="961" t="n">
        <v>97046368.55862617</v>
      </c>
      <c r="O31" s="1704" t="n"/>
    </row>
    <row r="32" ht="15" customFormat="1" customHeight="1" s="592">
      <c r="B32" s="620" t="n"/>
      <c r="C32" s="599" t="n"/>
      <c r="D32" s="599" t="n"/>
      <c r="E32" s="599" t="n"/>
      <c r="F32" s="599" t="n"/>
      <c r="G32" s="599" t="n"/>
      <c r="H32" s="599" t="n"/>
      <c r="I32" s="599" t="n"/>
      <c r="J32" s="599" t="n"/>
      <c r="K32" s="599" t="n"/>
      <c r="L32" s="599" t="n"/>
      <c r="M32" s="599" t="n"/>
      <c r="N32" s="599" t="n"/>
      <c r="O32" s="1704" t="n"/>
      <c r="P32" s="1704" t="n"/>
      <c r="Q32" s="1704" t="n"/>
    </row>
    <row r="33" ht="15" customHeight="1">
      <c r="B33" s="621" t="inlineStr">
        <is>
          <t>Cash on Hand at the beginning</t>
        </is>
      </c>
      <c r="C33" s="622" t="n">
        <v>900579031.46</v>
      </c>
      <c r="D33" s="622" t="n">
        <v>782579742.47</v>
      </c>
      <c r="E33" s="622" t="n">
        <v>856204910.7800001</v>
      </c>
      <c r="F33" s="622" t="n">
        <v>1253077380.27</v>
      </c>
      <c r="G33" s="622" t="n">
        <v>952009888.99</v>
      </c>
      <c r="H33" s="622" t="n">
        <v>1252256886.33</v>
      </c>
      <c r="I33" s="622" t="n">
        <v>1269935860.41</v>
      </c>
      <c r="J33" s="622" t="n">
        <v>833486797.5584986</v>
      </c>
      <c r="K33" s="622" t="n">
        <v>691211684.2295039</v>
      </c>
      <c r="L33" s="622" t="n">
        <v>1175972190.257962</v>
      </c>
      <c r="M33" s="622" t="n">
        <v>1278250951.760418</v>
      </c>
      <c r="N33" s="622" t="n">
        <v>1716848076.187756</v>
      </c>
    </row>
    <row r="34" ht="15" customHeight="1">
      <c r="B34" s="623" t="inlineStr">
        <is>
          <t>Cash In (out) this month</t>
        </is>
      </c>
      <c r="C34" s="624" t="n">
        <v>-117999288.989994</v>
      </c>
      <c r="D34" s="624" t="n">
        <v>73625168.3099888</v>
      </c>
      <c r="E34" s="624" t="n">
        <v>396872469.490016</v>
      </c>
      <c r="F34" s="624" t="n">
        <v>-301067491.2799749</v>
      </c>
      <c r="G34" s="624" t="n">
        <v>300246997.3399286</v>
      </c>
      <c r="H34" s="624" t="n">
        <v>17678974.08004284</v>
      </c>
      <c r="I34" s="624" t="n">
        <v>-436449062.8515074</v>
      </c>
      <c r="J34" s="624" t="n">
        <v>-142275113.3289945</v>
      </c>
      <c r="K34" s="624" t="n">
        <v>484760506.0284705</v>
      </c>
      <c r="L34" s="624" t="n">
        <v>102278761.50245</v>
      </c>
      <c r="M34" s="624" t="n">
        <v>438597124.4273387</v>
      </c>
      <c r="N34" s="624" t="n">
        <v>97046368.55862617</v>
      </c>
    </row>
    <row r="35" ht="15" customHeight="1">
      <c r="B35" s="625" t="inlineStr">
        <is>
          <t>Cash on Hand at the end</t>
        </is>
      </c>
      <c r="C35" s="626" t="n">
        <v>782579742.470006</v>
      </c>
      <c r="D35" s="626" t="n">
        <v>856204910.7799888</v>
      </c>
      <c r="E35" s="626" t="n">
        <v>1253077380.270016</v>
      </c>
      <c r="F35" s="626" t="n">
        <v>952009888.990025</v>
      </c>
      <c r="G35" s="626" t="n">
        <v>1252256886.329929</v>
      </c>
      <c r="H35" s="626" t="n">
        <v>1269935860.410043</v>
      </c>
      <c r="I35" s="626" t="n">
        <v>833486797.5584927</v>
      </c>
      <c r="J35" s="626" t="n">
        <v>691211684.2295041</v>
      </c>
      <c r="K35" s="626" t="n">
        <v>1175972190.257974</v>
      </c>
      <c r="L35" s="626" t="n">
        <v>1278250951.760412</v>
      </c>
      <c r="M35" s="626" t="n">
        <v>1716848076.187757</v>
      </c>
      <c r="N35" s="626" t="n">
        <v>1813894444.746382</v>
      </c>
    </row>
    <row r="36" ht="15" customHeight="1">
      <c r="G36" s="592" t="n"/>
      <c r="H36" s="592" t="n"/>
      <c r="I36" s="592" t="n"/>
      <c r="J36" s="592" t="n"/>
      <c r="K36" s="592" t="n"/>
      <c r="L36" s="592" t="n"/>
      <c r="M36" s="592" t="n"/>
      <c r="N36" s="592" t="n"/>
    </row>
  </sheetData>
  <mergeCells count="1">
    <mergeCell ref="B3:B4"/>
  </mergeCells>
  <pageMargins left="0.2" right="0.2" top="0.75" bottom="0.75" header="0.3" footer="0.3"/>
  <pageSetup orientation="landscape" paperSize="9" scale="59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B1:Q38"/>
  <sheetViews>
    <sheetView showGridLines="0" showZeros="0" zoomScale="80" zoomScaleNormal="80" workbookViewId="0">
      <pane xSplit="2" ySplit="4" topLeftCell="C5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H1" sqref="H1:H1048576"/>
    </sheetView>
  </sheetViews>
  <sheetFormatPr baseColWidth="8" defaultColWidth="9.21875" defaultRowHeight="15" customHeight="1"/>
  <cols>
    <col width="0.77734375" customWidth="1" min="1" max="1"/>
    <col width="32.21875" customWidth="1" min="2" max="2"/>
    <col width="15.44140625" bestFit="1" customWidth="1" min="3" max="3"/>
    <col width="15.77734375" bestFit="1" customWidth="1" min="4" max="4"/>
    <col width="15.21875" bestFit="1" customWidth="1" min="5" max="5"/>
    <col width="15.44140625" bestFit="1" customWidth="1" min="6" max="6"/>
    <col width="15.77734375" bestFit="1" customWidth="1" min="7" max="8"/>
    <col width="17.44140625" bestFit="1" customWidth="1" min="9" max="9"/>
    <col width="16.6640625" bestFit="1" customWidth="1" min="10" max="10"/>
    <col width="16.44140625" bestFit="1" customWidth="1" min="11" max="11"/>
    <col width="15.44140625" bestFit="1" customWidth="1" min="12" max="13"/>
    <col width="15.77734375" bestFit="1" customWidth="1" min="14" max="14"/>
    <col width="14.77734375" bestFit="1" customWidth="1" min="15" max="15"/>
    <col width="16.6640625" bestFit="1" customWidth="1" min="16" max="17"/>
  </cols>
  <sheetData>
    <row r="1" ht="15" customHeight="1">
      <c r="B1" s="1680" t="inlineStr">
        <is>
          <t>APK DON Group</t>
        </is>
      </c>
      <c r="C1" s="1681" t="n"/>
      <c r="D1" s="1681" t="n"/>
      <c r="E1" s="1681" t="n"/>
      <c r="F1" s="1681" t="n"/>
      <c r="G1" s="1681" t="n"/>
      <c r="H1" s="1681" t="n"/>
      <c r="I1" s="1681" t="n"/>
      <c r="J1" s="1681" t="n"/>
      <c r="K1" s="1681" t="n"/>
      <c r="L1" s="1681" t="n"/>
      <c r="M1" s="1681" t="n"/>
      <c r="N1" s="1682" t="n"/>
      <c r="O1" s="592" t="n"/>
    </row>
    <row r="2" ht="15" customHeight="1" thickBot="1">
      <c r="B2" s="1680">
        <f>'RUS CF'!B2</f>
        <v/>
      </c>
      <c r="C2" s="1681" t="n"/>
      <c r="D2" s="1681" t="n"/>
      <c r="E2" s="1681" t="n"/>
      <c r="F2" s="1681" t="n"/>
      <c r="G2" s="1681" t="n"/>
      <c r="H2" s="1681" t="n"/>
      <c r="I2" s="1681" t="n"/>
      <c r="J2" s="1681" t="n"/>
      <c r="K2" s="1681" t="n"/>
      <c r="L2" s="1681" t="n"/>
      <c r="M2" s="1681" t="n"/>
      <c r="N2" s="1683" t="inlineStr">
        <is>
          <t>Unit : Ruble</t>
        </is>
      </c>
      <c r="O2" s="592" t="n"/>
    </row>
    <row r="3" ht="15" customHeight="1">
      <c r="B3" s="1684" t="inlineStr">
        <is>
          <t>Criteria</t>
        </is>
      </c>
      <c r="C3" s="1685">
        <f>+'RUS CF'!C3</f>
        <v/>
      </c>
      <c r="D3" s="1686">
        <f>+'RUS CF'!D3</f>
        <v/>
      </c>
      <c r="E3" s="1686">
        <f>+'RUS CF'!E3</f>
        <v/>
      </c>
      <c r="F3" s="1686">
        <f>+'RUS CF'!F3</f>
        <v/>
      </c>
      <c r="G3" s="1686">
        <f>+'RUS CF'!G3</f>
        <v/>
      </c>
      <c r="H3" s="1686">
        <f>+'RUS CF'!H3</f>
        <v/>
      </c>
      <c r="I3" s="1686">
        <f>+'RUS CF'!I3</f>
        <v/>
      </c>
      <c r="J3" s="1686">
        <f>+'RUS CF'!J3</f>
        <v/>
      </c>
      <c r="K3" s="1686">
        <f>+'RUS CF'!K3</f>
        <v/>
      </c>
      <c r="L3" s="1686">
        <f>+'RUS CF'!L3</f>
        <v/>
      </c>
      <c r="M3" s="1686">
        <f>+'RUS CF'!M3</f>
        <v/>
      </c>
      <c r="N3" s="1687">
        <f>+'RUS CF'!N3</f>
        <v/>
      </c>
      <c r="O3" s="592" t="n"/>
    </row>
    <row r="4" ht="15" customHeight="1" thickBot="1">
      <c r="B4" s="1688" t="n"/>
      <c r="C4" s="1689">
        <f>+'RUS CF'!C4</f>
        <v/>
      </c>
      <c r="D4" s="1690">
        <f>+'RUS CF'!D4</f>
        <v/>
      </c>
      <c r="E4" s="1690">
        <f>+'RUS CF'!E4</f>
        <v/>
      </c>
      <c r="F4" s="1690">
        <f>+'RUS CF'!F4</f>
        <v/>
      </c>
      <c r="G4" s="1690">
        <f>+'RUS CF'!G4</f>
        <v/>
      </c>
      <c r="H4" s="1690">
        <f>+'RUS CF'!H4</f>
        <v/>
      </c>
      <c r="I4" s="1690">
        <f>+'RUS CF'!I4</f>
        <v/>
      </c>
      <c r="J4" s="1690">
        <f>+'RUS CF'!J4</f>
        <v/>
      </c>
      <c r="K4" s="1690">
        <f>+'RUS CF'!K4</f>
        <v/>
      </c>
      <c r="L4" s="1690">
        <f>+'RUS CF'!L4</f>
        <v/>
      </c>
      <c r="M4" s="1690">
        <f>+'RUS CF'!M4</f>
        <v/>
      </c>
      <c r="N4" s="1691">
        <f>+'RUS CF'!N4</f>
        <v/>
      </c>
      <c r="O4" s="1699" t="n"/>
    </row>
    <row r="5" ht="15" customHeight="1">
      <c r="B5" s="1693" t="inlineStr">
        <is>
          <t>Net Operational Income</t>
        </is>
      </c>
      <c r="C5" s="607" t="n">
        <v>-177007303.5048399</v>
      </c>
      <c r="D5" s="608" t="n">
        <v>-98570830.67980886</v>
      </c>
      <c r="E5" s="608" t="n">
        <v>-113767734.5349354</v>
      </c>
      <c r="F5" s="608" t="n">
        <v>-9501946.496156216</v>
      </c>
      <c r="G5" s="608" t="n">
        <v>-26768871.48999834</v>
      </c>
      <c r="H5" s="608" t="n">
        <v>28607602.28999555</v>
      </c>
      <c r="I5" s="598" t="n">
        <v>-89531708.21464515</v>
      </c>
      <c r="J5" s="598" t="n">
        <v>-18638083.93388915</v>
      </c>
      <c r="K5" s="598" t="n">
        <v>1282203916.356286</v>
      </c>
      <c r="L5" s="598" t="n">
        <v>10449196.52256632</v>
      </c>
      <c r="M5" s="598" t="n">
        <v>-32925182.38172174</v>
      </c>
      <c r="N5" s="953" t="n">
        <v>279699204.0584533</v>
      </c>
      <c r="O5" s="1704">
        <f>SUM(C5:N5)</f>
        <v/>
      </c>
    </row>
    <row r="6" ht="15" customHeight="1">
      <c r="B6" s="1693" t="inlineStr">
        <is>
          <t>Correction on prior year income</t>
        </is>
      </c>
      <c r="C6" s="607" t="n">
        <v>0</v>
      </c>
      <c r="D6" s="608" t="n">
        <v>0</v>
      </c>
      <c r="E6" s="608" t="n">
        <v>0</v>
      </c>
      <c r="F6" s="608" t="n">
        <v>0</v>
      </c>
      <c r="G6" s="608" t="n">
        <v>0</v>
      </c>
      <c r="H6" s="608" t="n">
        <v>0</v>
      </c>
      <c r="I6" s="608" t="n">
        <v>0</v>
      </c>
      <c r="J6" s="608" t="n">
        <v>0</v>
      </c>
      <c r="K6" s="608" t="n">
        <v>0</v>
      </c>
      <c r="L6" s="608" t="n">
        <v>0</v>
      </c>
      <c r="M6" s="608" t="n">
        <v>0</v>
      </c>
      <c r="N6" s="957" t="n">
        <v>0</v>
      </c>
      <c r="O6" s="1704">
        <f>SUM(C6:N6)</f>
        <v/>
      </c>
    </row>
    <row r="7" ht="15" customHeight="1">
      <c r="B7" s="1693" t="inlineStr">
        <is>
          <t>Allowance for Bad Debt</t>
        </is>
      </c>
      <c r="C7" s="607" t="n">
        <v>-12426729.52</v>
      </c>
      <c r="D7" s="608" t="n">
        <v>-43127</v>
      </c>
      <c r="E7" s="608" t="n">
        <v>-57332.76999999955</v>
      </c>
      <c r="F7" s="608" t="n">
        <v>-40378.06000000238</v>
      </c>
      <c r="G7" s="608" t="n">
        <v>-35664.28999999911</v>
      </c>
      <c r="H7" s="608" t="n">
        <v>-30099.05999999866</v>
      </c>
      <c r="I7" s="608" t="n">
        <v>0</v>
      </c>
      <c r="J7" s="608" t="n">
        <v>0</v>
      </c>
      <c r="K7" s="608" t="n">
        <v>0</v>
      </c>
      <c r="L7" s="608" t="n">
        <v>0</v>
      </c>
      <c r="M7" s="608" t="n">
        <v>0</v>
      </c>
      <c r="N7" s="957" t="n">
        <v>0</v>
      </c>
      <c r="O7" s="1704">
        <f>SUM(C7:N7)</f>
        <v/>
      </c>
    </row>
    <row r="8" ht="15" customHeight="1">
      <c r="B8" s="1693" t="inlineStr">
        <is>
          <t>Provision for retirement fund</t>
        </is>
      </c>
      <c r="C8" s="607" t="n">
        <v>0</v>
      </c>
      <c r="D8" s="608" t="n">
        <v>0</v>
      </c>
      <c r="E8" s="608" t="n">
        <v>0</v>
      </c>
      <c r="F8" s="608" t="n">
        <v>0</v>
      </c>
      <c r="G8" s="608" t="n">
        <v>0</v>
      </c>
      <c r="H8" s="608" t="n">
        <v>0</v>
      </c>
      <c r="I8" s="608" t="n">
        <v>0</v>
      </c>
      <c r="J8" s="608" t="n">
        <v>0</v>
      </c>
      <c r="K8" s="608" t="n">
        <v>0</v>
      </c>
      <c r="L8" s="608" t="n">
        <v>0</v>
      </c>
      <c r="M8" s="608" t="n">
        <v>0</v>
      </c>
      <c r="N8" s="957" t="n">
        <v>0</v>
      </c>
      <c r="O8" s="1704">
        <f>SUM(C8:N8)</f>
        <v/>
      </c>
    </row>
    <row r="9" ht="15" customHeight="1">
      <c r="B9" s="1693" t="inlineStr">
        <is>
          <t>Income Tax payable</t>
        </is>
      </c>
      <c r="C9" s="607" t="n">
        <v>0</v>
      </c>
      <c r="D9" s="608" t="n">
        <v>0</v>
      </c>
      <c r="E9" s="608" t="n">
        <v>0</v>
      </c>
      <c r="F9" s="608" t="n">
        <v>0</v>
      </c>
      <c r="G9" s="608" t="n">
        <v>0</v>
      </c>
      <c r="H9" s="608" t="n">
        <v>0</v>
      </c>
      <c r="I9" s="608" t="n">
        <v>0</v>
      </c>
      <c r="J9" s="608" t="n">
        <v>0</v>
      </c>
      <c r="K9" s="608" t="n">
        <v>0</v>
      </c>
      <c r="L9" s="608" t="n">
        <v>0</v>
      </c>
      <c r="M9" s="608" t="n">
        <v>0</v>
      </c>
      <c r="N9" s="957" t="n">
        <v>0</v>
      </c>
      <c r="O9" s="1704">
        <f>SUM(C9:N9)</f>
        <v/>
      </c>
    </row>
    <row r="10" ht="15" customHeight="1">
      <c r="B10" s="1693" t="inlineStr">
        <is>
          <t>Accumulated Depreciation</t>
        </is>
      </c>
      <c r="C10" s="609" t="n">
        <v>79436963.76000023</v>
      </c>
      <c r="D10" s="610" t="n">
        <v>78529903.80999994</v>
      </c>
      <c r="E10" s="610" t="n">
        <v>76645127.36999989</v>
      </c>
      <c r="F10" s="610" t="n">
        <v>78187793.71999979</v>
      </c>
      <c r="G10" s="610" t="n">
        <v>78571393.4000001</v>
      </c>
      <c r="H10" s="610" t="n">
        <v>78571877.30999994</v>
      </c>
      <c r="I10" s="610" t="n">
        <v>74854102.76179886</v>
      </c>
      <c r="J10" s="610" t="n">
        <v>75140252.76179886</v>
      </c>
      <c r="K10" s="610" t="n">
        <v>75440396.7289505</v>
      </c>
      <c r="L10" s="610" t="n">
        <v>75750487.99879169</v>
      </c>
      <c r="M10" s="610" t="n">
        <v>75842234.03053808</v>
      </c>
      <c r="N10" s="958" t="n">
        <v>75878622.91942692</v>
      </c>
      <c r="O10" s="1704">
        <f>SUM(C10:N10)</f>
        <v/>
      </c>
    </row>
    <row r="11" ht="15" customHeight="1">
      <c r="B11" s="1694" t="inlineStr">
        <is>
          <t>Cash in (out) from operation</t>
        </is>
      </c>
      <c r="C11" s="612" t="n">
        <v>-109997069.2648397</v>
      </c>
      <c r="D11" s="613" t="n">
        <v>-20084053.86980891</v>
      </c>
      <c r="E11" s="613" t="n">
        <v>-37179939.93493553</v>
      </c>
      <c r="F11" s="613" t="n">
        <v>68645469.16384357</v>
      </c>
      <c r="G11" s="613" t="n">
        <v>51766857.62000176</v>
      </c>
      <c r="H11" s="613" t="n">
        <v>107149380.5399955</v>
      </c>
      <c r="I11" s="613" t="n">
        <v>-14677605.45284629</v>
      </c>
      <c r="J11" s="613" t="n">
        <v>56502168.82790971</v>
      </c>
      <c r="K11" s="613" t="n">
        <v>1357644313.085237</v>
      </c>
      <c r="L11" s="613" t="n">
        <v>86199684.52135801</v>
      </c>
      <c r="M11" s="613" t="n">
        <v>42917051.64881635</v>
      </c>
      <c r="N11" s="959" t="n">
        <v>355577826.9778802</v>
      </c>
      <c r="O11" s="1704">
        <f>SUM(C11:N11)</f>
        <v/>
      </c>
    </row>
    <row r="12" ht="15" customHeight="1">
      <c r="B12" s="1693" t="inlineStr">
        <is>
          <t xml:space="preserve">Payable </t>
        </is>
      </c>
      <c r="C12" s="607" t="n">
        <v>-340293819.8199999</v>
      </c>
      <c r="D12" s="608" t="n">
        <v>117302393.55</v>
      </c>
      <c r="E12" s="608" t="n">
        <v>385353346.3199999</v>
      </c>
      <c r="F12" s="608" t="n">
        <v>-198357665.9499999</v>
      </c>
      <c r="G12" s="608" t="n">
        <v>3500007.129999995</v>
      </c>
      <c r="H12" s="608" t="n">
        <v>-84386108.34000015</v>
      </c>
      <c r="I12" s="608" t="n">
        <v>-60000</v>
      </c>
      <c r="J12" s="608" t="n">
        <v>0</v>
      </c>
      <c r="K12" s="608" t="n">
        <v>0</v>
      </c>
      <c r="L12" s="608" t="n">
        <v>0</v>
      </c>
      <c r="M12" s="608" t="n">
        <v>0</v>
      </c>
      <c r="N12" s="957" t="n">
        <v>0</v>
      </c>
      <c r="O12" s="1706">
        <f>SUM(C12:N12)</f>
        <v/>
      </c>
    </row>
    <row r="13" ht="15" customHeight="1">
      <c r="B13" s="1693" t="inlineStr">
        <is>
          <t>Current Account</t>
        </is>
      </c>
      <c r="C13" s="607" t="n">
        <v>0</v>
      </c>
      <c r="D13" s="608" t="n">
        <v>0</v>
      </c>
      <c r="E13" s="608" t="n">
        <v>0</v>
      </c>
      <c r="F13" s="608" t="n">
        <v>0</v>
      </c>
      <c r="G13" s="608" t="n">
        <v>0</v>
      </c>
      <c r="H13" s="608" t="n">
        <v>0</v>
      </c>
      <c r="I13" s="608" t="n">
        <v>0</v>
      </c>
      <c r="J13" s="608" t="n">
        <v>0</v>
      </c>
      <c r="K13" s="608" t="n">
        <v>0</v>
      </c>
      <c r="L13" s="608" t="n">
        <v>0</v>
      </c>
      <c r="M13" s="608" t="n">
        <v>0</v>
      </c>
      <c r="N13" s="957" t="n">
        <v>0</v>
      </c>
      <c r="O13" s="1704">
        <f>SUM(C13:N13)</f>
        <v/>
      </c>
    </row>
    <row r="14" ht="15" customHeight="1">
      <c r="B14" s="1693" t="inlineStr">
        <is>
          <t>Dividend Payable</t>
        </is>
      </c>
      <c r="C14" s="607" t="n">
        <v>0</v>
      </c>
      <c r="D14" s="608" t="n">
        <v>0</v>
      </c>
      <c r="E14" s="608" t="n">
        <v>0</v>
      </c>
      <c r="F14" s="608" t="n">
        <v>0</v>
      </c>
      <c r="G14" s="608" t="n">
        <v>0</v>
      </c>
      <c r="H14" s="608" t="n">
        <v>0</v>
      </c>
      <c r="I14" s="608" t="n">
        <v>0</v>
      </c>
      <c r="J14" s="608" t="n">
        <v>0</v>
      </c>
      <c r="K14" s="608" t="n">
        <v>0</v>
      </c>
      <c r="L14" s="608" t="n">
        <v>0</v>
      </c>
      <c r="M14" s="608" t="n">
        <v>0</v>
      </c>
      <c r="N14" s="957" t="n">
        <v>0</v>
      </c>
      <c r="O14" s="1704">
        <f>SUM(C14:N14)</f>
        <v/>
      </c>
    </row>
    <row r="15" ht="15" customHeight="1">
      <c r="B15" s="1693" t="inlineStr">
        <is>
          <t>Other current and None Current liabilities</t>
        </is>
      </c>
      <c r="C15" s="609" t="n">
        <v>372072738.4005411</v>
      </c>
      <c r="D15" s="610" t="n">
        <v>-144686170.3942136</v>
      </c>
      <c r="E15" s="610" t="n">
        <v>357998397.9638094</v>
      </c>
      <c r="F15" s="610" t="n">
        <v>64289984.20441192</v>
      </c>
      <c r="G15" s="610" t="n">
        <v>-123316499.6238634</v>
      </c>
      <c r="H15" s="610" t="n">
        <v>72180807.96768335</v>
      </c>
      <c r="I15" s="610" t="n">
        <v>-3506939.770534515</v>
      </c>
      <c r="J15" s="610" t="n">
        <v>0</v>
      </c>
      <c r="K15" s="610" t="n">
        <v>0</v>
      </c>
      <c r="L15" s="610" t="n">
        <v>0</v>
      </c>
      <c r="M15" s="610" t="n">
        <v>0</v>
      </c>
      <c r="N15" s="958" t="n">
        <v>0</v>
      </c>
      <c r="O15" s="1706">
        <f>SUM(C15:N15)</f>
        <v/>
      </c>
    </row>
    <row r="16" ht="15" customHeight="1">
      <c r="B16" s="1694" t="inlineStr">
        <is>
          <t>Cash in (out) from liabilities</t>
        </is>
      </c>
      <c r="C16" s="612" t="n">
        <v>31778918.58054113</v>
      </c>
      <c r="D16" s="613" t="n">
        <v>-27383776.8442136</v>
      </c>
      <c r="E16" s="613" t="n">
        <v>743351744.2838093</v>
      </c>
      <c r="F16" s="613" t="n">
        <v>-134067681.745588</v>
      </c>
      <c r="G16" s="613" t="n">
        <v>-119816492.4938634</v>
      </c>
      <c r="H16" s="613" t="n">
        <v>-12205300.37231681</v>
      </c>
      <c r="I16" s="613" t="n">
        <v>-3566939.770534515</v>
      </c>
      <c r="J16" s="613" t="n">
        <v>0</v>
      </c>
      <c r="K16" s="613" t="n">
        <v>0</v>
      </c>
      <c r="L16" s="613" t="n">
        <v>0</v>
      </c>
      <c r="M16" s="613" t="n">
        <v>0</v>
      </c>
      <c r="N16" s="959" t="n">
        <v>0</v>
      </c>
      <c r="O16" s="1704">
        <f>SUM(C16:N16)</f>
        <v/>
      </c>
    </row>
    <row r="17" ht="15" customHeight="1">
      <c r="B17" s="1693" t="inlineStr">
        <is>
          <t>Accounts receivable &amp; checks on hand-trade</t>
        </is>
      </c>
      <c r="C17" s="607" t="n">
        <v>9354010.939999996</v>
      </c>
      <c r="D17" s="608" t="n">
        <v>19103563.91999996</v>
      </c>
      <c r="E17" s="608" t="n">
        <v>-17049092.18999996</v>
      </c>
      <c r="F17" s="608" t="n">
        <v>-4618215.300000019</v>
      </c>
      <c r="G17" s="608" t="n">
        <v>-2612553.179999985</v>
      </c>
      <c r="H17" s="608" t="n">
        <v>3255288.249999996</v>
      </c>
      <c r="I17" s="608" t="n">
        <v>0</v>
      </c>
      <c r="J17" s="608" t="n">
        <v>0</v>
      </c>
      <c r="K17" s="608" t="n">
        <v>0</v>
      </c>
      <c r="L17" s="608" t="n">
        <v>0</v>
      </c>
      <c r="M17" s="608" t="n">
        <v>0</v>
      </c>
      <c r="N17" s="957" t="n">
        <v>0</v>
      </c>
      <c r="O17" s="1706">
        <f>SUM(C17:N17)</f>
        <v/>
      </c>
    </row>
    <row r="18" ht="15" customHeight="1">
      <c r="B18" s="1693" t="inlineStr">
        <is>
          <t>Short-term Loan Receivable</t>
        </is>
      </c>
      <c r="C18" s="607" t="n">
        <v>0</v>
      </c>
      <c r="D18" s="608" t="n">
        <v>0</v>
      </c>
      <c r="E18" s="608" t="n">
        <v>0</v>
      </c>
      <c r="F18" s="608" t="n">
        <v>0</v>
      </c>
      <c r="G18" s="608" t="n">
        <v>0</v>
      </c>
      <c r="H18" s="608" t="n">
        <v>0</v>
      </c>
      <c r="I18" s="608" t="n">
        <v>0</v>
      </c>
      <c r="J18" s="608" t="n">
        <v>0</v>
      </c>
      <c r="K18" s="608" t="n">
        <v>0</v>
      </c>
      <c r="L18" s="608" t="n">
        <v>0</v>
      </c>
      <c r="M18" s="608" t="n">
        <v>0</v>
      </c>
      <c r="N18" s="957" t="n">
        <v>0</v>
      </c>
      <c r="O18" s="1706">
        <f>SUM(C18:N18)</f>
        <v/>
      </c>
    </row>
    <row r="19" ht="15" customHeight="1">
      <c r="B19" s="1693" t="inlineStr">
        <is>
          <t>Inventories</t>
        </is>
      </c>
      <c r="C19" s="607" t="n">
        <v>-247308499.2351665</v>
      </c>
      <c r="D19" s="608" t="n">
        <v>-255309447.9565287</v>
      </c>
      <c r="E19" s="608" t="n">
        <v>190749987.8413734</v>
      </c>
      <c r="F19" s="608" t="n">
        <v>316350890.148551</v>
      </c>
      <c r="G19" s="608" t="n">
        <v>-184791384.6600018</v>
      </c>
      <c r="H19" s="608" t="n">
        <v>56886277.79000282</v>
      </c>
      <c r="I19" s="608" t="n">
        <v>135855156.0919666</v>
      </c>
      <c r="J19" s="608" t="n">
        <v>168175610.0648174</v>
      </c>
      <c r="K19" s="608" t="n">
        <v>117070655.8916988</v>
      </c>
      <c r="L19" s="608" t="n">
        <v>-123773231.9256687</v>
      </c>
      <c r="M19" s="608" t="n">
        <v>-142438920.1314964</v>
      </c>
      <c r="N19" s="957" t="n">
        <v>-150020993.386673</v>
      </c>
      <c r="O19" s="1704">
        <f>SUM(C19:N19)</f>
        <v/>
      </c>
    </row>
    <row r="20" ht="15" customHeight="1">
      <c r="B20" s="1693" t="inlineStr">
        <is>
          <t>Other Current and None Current Assets</t>
        </is>
      </c>
      <c r="C20" s="609" t="n">
        <v>427744908.8564577</v>
      </c>
      <c r="D20" s="610" t="n">
        <v>5760712.232500553</v>
      </c>
      <c r="E20" s="610" t="n">
        <v>-50886663.53250027</v>
      </c>
      <c r="F20" s="610" t="n">
        <v>186229003.2597013</v>
      </c>
      <c r="G20" s="610" t="n">
        <v>-19527386.47612667</v>
      </c>
      <c r="H20" s="610" t="n">
        <v>-388933038.2467899</v>
      </c>
      <c r="I20" s="610" t="n">
        <v>0</v>
      </c>
      <c r="J20" s="610" t="n">
        <v>0</v>
      </c>
      <c r="K20" s="610" t="n">
        <v>0</v>
      </c>
      <c r="L20" s="610" t="n">
        <v>0</v>
      </c>
      <c r="M20" s="610" t="n">
        <v>0</v>
      </c>
      <c r="N20" s="958" t="n">
        <v>0</v>
      </c>
      <c r="O20" s="1706">
        <f>SUM(C20:N20)</f>
        <v/>
      </c>
      <c r="Q20" s="1702" t="n"/>
    </row>
    <row r="21" ht="15" customHeight="1">
      <c r="B21" s="1694" t="inlineStr">
        <is>
          <t>Cash out ( in ) from current assets</t>
        </is>
      </c>
      <c r="C21" s="612" t="n">
        <v>189790420.5612912</v>
      </c>
      <c r="D21" s="613" t="n">
        <v>-230445171.8040282</v>
      </c>
      <c r="E21" s="613" t="n">
        <v>122814232.1188732</v>
      </c>
      <c r="F21" s="613" t="n">
        <v>497961678.1082522</v>
      </c>
      <c r="G21" s="613" t="n">
        <v>-206931324.3161284</v>
      </c>
      <c r="H21" s="613" t="n">
        <v>-328791472.2067871</v>
      </c>
      <c r="I21" s="613" t="n">
        <v>135855156.0919666</v>
      </c>
      <c r="J21" s="613" t="n">
        <v>168175610.0648174</v>
      </c>
      <c r="K21" s="613" t="n">
        <v>117070655.8916988</v>
      </c>
      <c r="L21" s="613" t="n">
        <v>-123773231.9256687</v>
      </c>
      <c r="M21" s="613" t="n">
        <v>-142438920.1314964</v>
      </c>
      <c r="N21" s="959" t="n">
        <v>-150020993.386673</v>
      </c>
      <c r="O21" s="1704">
        <f>SUM(C21:N21)</f>
        <v/>
      </c>
      <c r="P21" s="1702" t="n"/>
      <c r="Q21" s="1702" t="n"/>
    </row>
    <row r="22" ht="15" customHeight="1">
      <c r="B22" s="1693" t="inlineStr">
        <is>
          <t>Property , plant and equipment</t>
        </is>
      </c>
      <c r="C22" s="607" t="n">
        <v>64461082.12000656</v>
      </c>
      <c r="D22" s="608" t="n">
        <v>24268914.87999916</v>
      </c>
      <c r="E22" s="608" t="n">
        <v>28818142.90000153</v>
      </c>
      <c r="F22" s="608" t="n">
        <v>49578253.29999924</v>
      </c>
      <c r="G22" s="608" t="n">
        <v>4232619.642269135</v>
      </c>
      <c r="H22" s="608" t="n">
        <v>262179968.1913078</v>
      </c>
      <c r="I22" s="608" t="n">
        <v>49173268.33333206</v>
      </c>
      <c r="J22" s="608" t="n">
        <v>52533200</v>
      </c>
      <c r="K22" s="608" t="n">
        <v>43633200</v>
      </c>
      <c r="L22" s="608" t="n">
        <v>19020000</v>
      </c>
      <c r="M22" s="608" t="n">
        <v>7860000</v>
      </c>
      <c r="N22" s="957" t="n">
        <v>7500000</v>
      </c>
      <c r="O22" s="1704">
        <f>SUM(C22:N22)</f>
        <v/>
      </c>
    </row>
    <row r="23" ht="15" customHeight="1">
      <c r="B23" s="1693" t="inlineStr">
        <is>
          <t>Other Assets</t>
        </is>
      </c>
      <c r="C23" s="607" t="n">
        <v>0</v>
      </c>
      <c r="D23" s="608" t="n">
        <v>0</v>
      </c>
      <c r="E23" s="608" t="n">
        <v>0</v>
      </c>
      <c r="F23" s="608" t="n">
        <v>0</v>
      </c>
      <c r="G23" s="608" t="n">
        <v>0</v>
      </c>
      <c r="H23" s="608" t="n">
        <v>0</v>
      </c>
      <c r="I23" s="608" t="n">
        <v>0</v>
      </c>
      <c r="J23" s="608" t="n">
        <v>0</v>
      </c>
      <c r="K23" s="608" t="n">
        <v>0</v>
      </c>
      <c r="L23" s="608" t="n">
        <v>0</v>
      </c>
      <c r="M23" s="608" t="n">
        <v>0</v>
      </c>
      <c r="N23" s="957" t="n">
        <v>0</v>
      </c>
      <c r="O23" s="1704">
        <f>SUM(C23:N23)</f>
        <v/>
      </c>
    </row>
    <row r="24" ht="15" customHeight="1">
      <c r="B24" s="1693" t="inlineStr">
        <is>
          <t>Investment</t>
        </is>
      </c>
      <c r="C24" s="609" t="n">
        <v>0</v>
      </c>
      <c r="D24" s="610" t="n">
        <v>0</v>
      </c>
      <c r="E24" s="610" t="n">
        <v>0</v>
      </c>
      <c r="F24" s="610" t="n">
        <v>0</v>
      </c>
      <c r="G24" s="610" t="n">
        <v>0</v>
      </c>
      <c r="H24" s="610" t="n">
        <v>0</v>
      </c>
      <c r="I24" s="610" t="n">
        <v>0</v>
      </c>
      <c r="J24" s="610" t="n">
        <v>0</v>
      </c>
      <c r="K24" s="610" t="n">
        <v>0</v>
      </c>
      <c r="L24" s="610" t="n">
        <v>0</v>
      </c>
      <c r="M24" s="610" t="n">
        <v>0</v>
      </c>
      <c r="N24" s="958" t="n">
        <v>0</v>
      </c>
      <c r="O24" s="1704">
        <f>SUM(C24:N24)</f>
        <v/>
      </c>
    </row>
    <row r="25" ht="15" customHeight="1">
      <c r="B25" s="1695" t="inlineStr">
        <is>
          <t>Cash out ( in ) from investing</t>
        </is>
      </c>
      <c r="C25" s="612" t="n">
        <v>64461082.12000656</v>
      </c>
      <c r="D25" s="613" t="n">
        <v>24268914.87999916</v>
      </c>
      <c r="E25" s="613" t="n">
        <v>28818142.90000153</v>
      </c>
      <c r="F25" s="613" t="n">
        <v>49578253.29999924</v>
      </c>
      <c r="G25" s="613" t="n">
        <v>4232619.642269135</v>
      </c>
      <c r="H25" s="613" t="n">
        <v>262179968.1913078</v>
      </c>
      <c r="I25" s="613" t="n">
        <v>49173268.33333206</v>
      </c>
      <c r="J25" s="613" t="n">
        <v>52533200</v>
      </c>
      <c r="K25" s="613" t="n">
        <v>43633200</v>
      </c>
      <c r="L25" s="613" t="n">
        <v>19020000</v>
      </c>
      <c r="M25" s="613" t="n">
        <v>7860000</v>
      </c>
      <c r="N25" s="959" t="n">
        <v>7500000</v>
      </c>
      <c r="O25" s="1704">
        <f>SUM(C25:N25)</f>
        <v/>
      </c>
    </row>
    <row r="26" ht="15" customHeight="1">
      <c r="B26" s="1693" t="inlineStr">
        <is>
          <t>Financial Institutions</t>
        </is>
      </c>
      <c r="C26" s="607" t="n">
        <v>0</v>
      </c>
      <c r="D26" s="608" t="n">
        <v>0</v>
      </c>
      <c r="E26" s="608" t="n">
        <v>-413500000</v>
      </c>
      <c r="F26" s="608" t="n">
        <v>0</v>
      </c>
      <c r="G26" s="608" t="n">
        <v>0</v>
      </c>
      <c r="H26" s="608" t="n">
        <v>-413500000</v>
      </c>
      <c r="I26" s="608" t="n">
        <v>-5000000</v>
      </c>
      <c r="J26" s="608" t="n">
        <v>-5000000</v>
      </c>
      <c r="K26" s="608" t="n">
        <v>-418500000</v>
      </c>
      <c r="L26" s="608" t="n">
        <v>-5000000</v>
      </c>
      <c r="M26" s="608" t="n">
        <v>-5000000</v>
      </c>
      <c r="N26" s="957" t="n">
        <v>-753500000</v>
      </c>
      <c r="O26" s="1704">
        <f>SUM(C26:N26)</f>
        <v/>
      </c>
    </row>
    <row r="27" ht="15" customHeight="1">
      <c r="B27" s="1693" t="inlineStr">
        <is>
          <t>Short-term Loans</t>
        </is>
      </c>
      <c r="C27" s="607" t="n">
        <v>-142722542.4200001</v>
      </c>
      <c r="D27" s="608" t="n">
        <v>-273208599.48</v>
      </c>
      <c r="E27" s="608" t="n">
        <v>479112472.4000001</v>
      </c>
      <c r="F27" s="608" t="n">
        <v>76818669.5</v>
      </c>
      <c r="G27" s="608" t="n">
        <v>-265000000</v>
      </c>
      <c r="H27" s="608" t="n">
        <v>325000000</v>
      </c>
      <c r="I27" s="608" t="n">
        <v>0</v>
      </c>
      <c r="J27" s="608" t="n">
        <v>0</v>
      </c>
      <c r="K27" s="608" t="n">
        <v>0</v>
      </c>
      <c r="L27" s="608" t="n">
        <v>0</v>
      </c>
      <c r="M27" s="608" t="n">
        <v>0</v>
      </c>
      <c r="N27" s="957" t="n">
        <v>0</v>
      </c>
      <c r="O27" s="1704">
        <f>SUM(C27:N27)</f>
        <v/>
      </c>
    </row>
    <row r="28" ht="15" customHeight="1">
      <c r="B28" s="1693" t="inlineStr">
        <is>
          <t>Legal reserves</t>
        </is>
      </c>
      <c r="C28" s="607" t="n">
        <v>0</v>
      </c>
      <c r="D28" s="608" t="n">
        <v>0</v>
      </c>
      <c r="E28" s="608" t="n">
        <v>0</v>
      </c>
      <c r="F28" s="608" t="n">
        <v>0</v>
      </c>
      <c r="G28" s="608" t="n">
        <v>0</v>
      </c>
      <c r="H28" s="608" t="n">
        <v>0</v>
      </c>
      <c r="I28" s="608" t="n">
        <v>0</v>
      </c>
      <c r="J28" s="608" t="n">
        <v>0</v>
      </c>
      <c r="K28" s="608" t="n">
        <v>0</v>
      </c>
      <c r="L28" s="608" t="n">
        <v>0</v>
      </c>
      <c r="M28" s="608" t="n">
        <v>0</v>
      </c>
      <c r="N28" s="957" t="n">
        <v>0</v>
      </c>
      <c r="O28" s="1704">
        <f>SUM(C28:N28)</f>
        <v/>
      </c>
    </row>
    <row r="29" ht="15" customHeight="1">
      <c r="B29" s="1693" t="inlineStr">
        <is>
          <t>Share capital increase in cash</t>
        </is>
      </c>
      <c r="C29" s="609" t="n">
        <v>0</v>
      </c>
      <c r="D29" s="610" t="n">
        <v>0</v>
      </c>
      <c r="E29" s="610" t="n">
        <v>0</v>
      </c>
      <c r="F29" s="610" t="n">
        <v>0</v>
      </c>
      <c r="G29" s="610" t="n">
        <v>0</v>
      </c>
      <c r="H29" s="610" t="n">
        <v>0</v>
      </c>
      <c r="I29" s="610" t="n">
        <v>0</v>
      </c>
      <c r="J29" s="610" t="n">
        <v>0</v>
      </c>
      <c r="K29" s="610" t="n">
        <v>0</v>
      </c>
      <c r="L29" s="610" t="n">
        <v>0</v>
      </c>
      <c r="M29" s="610" t="n">
        <v>0</v>
      </c>
      <c r="N29" s="958" t="n">
        <v>0</v>
      </c>
      <c r="O29" s="1704">
        <f>SUM(C29:N29)</f>
        <v/>
      </c>
    </row>
    <row r="30" ht="15" customHeight="1">
      <c r="B30" s="1696" t="inlineStr">
        <is>
          <t>Cash in (out) from financing</t>
        </is>
      </c>
      <c r="C30" s="615" t="n">
        <v>-142722542.4200001</v>
      </c>
      <c r="D30" s="616" t="n">
        <v>-273208599.48</v>
      </c>
      <c r="E30" s="616" t="n">
        <v>65612472.4000001</v>
      </c>
      <c r="F30" s="616" t="n">
        <v>76818669.5</v>
      </c>
      <c r="G30" s="616" t="n">
        <v>-265000000</v>
      </c>
      <c r="H30" s="616" t="n">
        <v>-88500000</v>
      </c>
      <c r="I30" s="616" t="n">
        <v>-5000000</v>
      </c>
      <c r="J30" s="616" t="n">
        <v>-5000000</v>
      </c>
      <c r="K30" s="616" t="n">
        <v>-418500000</v>
      </c>
      <c r="L30" s="616" t="n">
        <v>-5000000</v>
      </c>
      <c r="M30" s="616" t="n">
        <v>-5000000</v>
      </c>
      <c r="N30" s="960" t="n">
        <v>-753500000</v>
      </c>
      <c r="O30" s="1704">
        <f>SUM(C30:N30)</f>
        <v/>
      </c>
    </row>
    <row r="31" ht="15" customHeight="1" thickBot="1">
      <c r="B31" s="1697" t="inlineStr">
        <is>
          <t>Net Cash in (out)</t>
        </is>
      </c>
      <c r="C31" s="618" t="n">
        <v>-475192195.7855964</v>
      </c>
      <c r="D31" s="619" t="n">
        <v>-114500173.2699935</v>
      </c>
      <c r="E31" s="619" t="n">
        <v>620151901.7299991</v>
      </c>
      <c r="F31" s="619" t="n">
        <v>-536143474.489996</v>
      </c>
      <c r="G31" s="619" t="n">
        <v>-130350930.2000024</v>
      </c>
      <c r="H31" s="619" t="n">
        <v>73055584.18315807</v>
      </c>
      <c r="I31" s="619" t="n">
        <v>-208272969.6486795</v>
      </c>
      <c r="J31" s="619" t="n">
        <v>-169206641.2369077</v>
      </c>
      <c r="K31" s="619" t="n">
        <v>778440457.193538</v>
      </c>
      <c r="L31" s="619" t="n">
        <v>185952916.4470267</v>
      </c>
      <c r="M31" s="619" t="n">
        <v>172495971.7803128</v>
      </c>
      <c r="N31" s="961" t="n">
        <v>-255401179.6354468</v>
      </c>
      <c r="O31" s="1704">
        <f>SUM(C31:N31)</f>
        <v/>
      </c>
    </row>
    <row r="32" ht="15" customFormat="1" customHeight="1" s="592">
      <c r="B32" s="620" t="n"/>
      <c r="C32" s="599" t="n"/>
      <c r="D32" s="599" t="n"/>
      <c r="E32" s="599" t="n"/>
      <c r="F32" s="599" t="n"/>
      <c r="G32" s="599" t="n">
        <v>0</v>
      </c>
      <c r="H32" s="599" t="n"/>
      <c r="I32" s="599" t="n"/>
      <c r="J32" s="599" t="n"/>
      <c r="K32" s="599" t="n"/>
      <c r="L32" s="599" t="n"/>
      <c r="M32" s="599" t="n"/>
      <c r="N32" s="599" t="n"/>
    </row>
    <row r="33" ht="15" customHeight="1">
      <c r="B33" s="621" t="inlineStr">
        <is>
          <t>Cash on Hand at the beginning</t>
        </is>
      </c>
      <c r="C33" s="622" t="n">
        <v>845193403.3999999</v>
      </c>
      <c r="D33" s="622" t="n">
        <v>370001207.88</v>
      </c>
      <c r="E33" s="622" t="n">
        <v>255501034.61</v>
      </c>
      <c r="F33" s="622" t="n">
        <v>875652936.34</v>
      </c>
      <c r="G33" s="622" t="n">
        <v>339509461.85</v>
      </c>
      <c r="H33" s="622" t="n">
        <v>209158531.65</v>
      </c>
      <c r="I33" s="622" t="n">
        <v>282214115.8300001</v>
      </c>
      <c r="J33" s="622" t="n">
        <v>73941146.18131638</v>
      </c>
      <c r="K33" s="622" t="n">
        <v>-95265495.05559158</v>
      </c>
      <c r="L33" s="622" t="n">
        <v>683174962.1379433</v>
      </c>
      <c r="M33" s="622" t="n">
        <v>869127878.5849762</v>
      </c>
      <c r="N33" s="622" t="n">
        <v>1041623850.365288</v>
      </c>
    </row>
    <row r="34" ht="15" customHeight="1">
      <c r="B34" s="623" t="inlineStr">
        <is>
          <t>Cash In (out) this month</t>
        </is>
      </c>
      <c r="C34" s="624" t="n">
        <v>-475192195.7855964</v>
      </c>
      <c r="D34" s="624" t="n">
        <v>-114500173.2699935</v>
      </c>
      <c r="E34" s="624" t="n">
        <v>620151901.7299991</v>
      </c>
      <c r="F34" s="624" t="n">
        <v>-536143474.489996</v>
      </c>
      <c r="G34" s="624" t="n">
        <v>-130350930.2000024</v>
      </c>
      <c r="H34" s="624" t="n">
        <v>73055584.18315807</v>
      </c>
      <c r="I34" s="624" t="n">
        <v>-208272969.6486795</v>
      </c>
      <c r="J34" s="624" t="n">
        <v>-169206641.2369077</v>
      </c>
      <c r="K34" s="624" t="n">
        <v>778440457.193538</v>
      </c>
      <c r="L34" s="624" t="n">
        <v>185952916.4470267</v>
      </c>
      <c r="M34" s="624" t="n">
        <v>172495971.7803128</v>
      </c>
      <c r="N34" s="624" t="n">
        <v>-255401179.6354468</v>
      </c>
    </row>
    <row r="35" ht="15" customHeight="1">
      <c r="B35" s="625" t="inlineStr">
        <is>
          <t>Cash on Hand at the end</t>
        </is>
      </c>
      <c r="C35" s="626" t="n">
        <v>370001207.6144035</v>
      </c>
      <c r="D35" s="626" t="n">
        <v>255501034.6100065</v>
      </c>
      <c r="E35" s="626" t="n">
        <v>875652936.3399991</v>
      </c>
      <c r="F35" s="626" t="n">
        <v>339509461.8500041</v>
      </c>
      <c r="G35" s="626" t="n">
        <v>209158531.6499976</v>
      </c>
      <c r="H35" s="626" t="n">
        <v>282214115.8331581</v>
      </c>
      <c r="I35" s="626" t="n">
        <v>73941146.18132061</v>
      </c>
      <c r="J35" s="626" t="n">
        <v>-95265495.05559134</v>
      </c>
      <c r="K35" s="626" t="n">
        <v>683174962.1379464</v>
      </c>
      <c r="L35" s="626" t="n">
        <v>869127878.58497</v>
      </c>
      <c r="M35" s="626" t="n">
        <v>1041623850.365289</v>
      </c>
      <c r="N35" s="626" t="n">
        <v>786222670.729841</v>
      </c>
    </row>
    <row r="36" hidden="1" ht="15" customHeight="1">
      <c r="B36" s="627" t="inlineStr">
        <is>
          <t>Check -&gt;</t>
        </is>
      </c>
      <c r="C36" s="1698" t="n">
        <v>0</v>
      </c>
      <c r="D36" s="1698" t="n">
        <v>-0.4480228424072266</v>
      </c>
      <c r="E36" s="1698" t="n">
        <v>-0.4480178356170654</v>
      </c>
      <c r="F36" s="1698" t="n">
        <v>-0.4480191469192505</v>
      </c>
      <c r="G36" s="1698" t="n">
        <v>-0.4480170011520386</v>
      </c>
      <c r="H36" s="1698" t="n">
        <v>-0.4480183124542236</v>
      </c>
      <c r="I36" s="1698" t="n">
        <v>-0.4480174779891968</v>
      </c>
      <c r="J36" s="1698" t="n">
        <v>-0.4480178356170654</v>
      </c>
      <c r="K36" s="1698" t="n">
        <v>-0.4480160474777222</v>
      </c>
      <c r="L36" s="1698" t="n">
        <v>-0.4480140209197998</v>
      </c>
      <c r="M36" s="1698" t="n">
        <v>-0.4480180740356445</v>
      </c>
      <c r="N36" s="1698" t="n">
        <v>-0.4480221271514893</v>
      </c>
    </row>
    <row r="37" ht="15" customHeight="1">
      <c r="G37" s="592" t="n"/>
      <c r="H37" s="592" t="n"/>
      <c r="I37" s="592" t="n"/>
      <c r="J37" s="592" t="n"/>
      <c r="K37" s="592" t="n"/>
      <c r="L37" s="592" t="n"/>
      <c r="M37" s="592" t="n"/>
      <c r="N37" s="592" t="n"/>
    </row>
    <row r="38" ht="15" customHeight="1">
      <c r="C38" s="1049" t="n"/>
    </row>
  </sheetData>
  <mergeCells count="1">
    <mergeCell ref="B3:B4"/>
  </mergeCells>
  <pageMargins left="0.2" right="0.2" top="0.75" bottom="0.75" header="0.3" footer="0.3"/>
  <pageSetup orientation="landscape" paperSize="9" scale="56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B1:O39"/>
  <sheetViews>
    <sheetView showGridLines="0" showZeros="0" zoomScale="80" zoomScaleNormal="80" workbookViewId="0">
      <pane xSplit="2" ySplit="4" topLeftCell="C5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G1" sqref="G1:G1048576"/>
    </sheetView>
  </sheetViews>
  <sheetFormatPr baseColWidth="8" defaultColWidth="9.21875" defaultRowHeight="15" customHeight="1"/>
  <cols>
    <col width="0.77734375" customWidth="1" min="1" max="1"/>
    <col width="32.21875" customWidth="1" min="2" max="2"/>
    <col width="17.21875" bestFit="1" customWidth="1" min="3" max="3"/>
    <col width="16.6640625" bestFit="1" customWidth="1" min="4" max="4"/>
    <col width="17.21875" bestFit="1" customWidth="1" min="5" max="5"/>
    <col width="16.44140625" bestFit="1" customWidth="1" min="6" max="6"/>
    <col width="17.21875" bestFit="1" customWidth="1" min="7" max="7"/>
    <col width="16.6640625" bestFit="1" customWidth="1" min="8" max="8"/>
    <col width="17.44140625" bestFit="1" customWidth="1" min="9" max="9"/>
    <col width="16.6640625" bestFit="1" customWidth="1" min="10" max="10"/>
    <col width="15.77734375" bestFit="1" customWidth="1" min="11" max="11"/>
    <col width="15.44140625" bestFit="1" customWidth="1" min="12" max="12"/>
    <col width="15.77734375" bestFit="1" customWidth="1" min="13" max="13"/>
    <col width="15.44140625" bestFit="1" customWidth="1" min="14" max="14"/>
    <col width="16.21875" bestFit="1" customWidth="1" min="15" max="15"/>
  </cols>
  <sheetData>
    <row r="1" ht="15" customHeight="1">
      <c r="B1" s="1680" t="inlineStr">
        <is>
          <t>Severnaya &amp; Woyskovitsy</t>
        </is>
      </c>
      <c r="C1" s="1681" t="n"/>
      <c r="D1" s="1681" t="n"/>
      <c r="E1" s="1681" t="n"/>
      <c r="F1" s="1681" t="n"/>
      <c r="G1" s="1681" t="n"/>
      <c r="H1" s="1681" t="n"/>
      <c r="I1" s="1681" t="n"/>
      <c r="J1" s="1681" t="n"/>
      <c r="K1" s="1681" t="n"/>
      <c r="L1" s="1681" t="n"/>
      <c r="M1" s="1681" t="n"/>
      <c r="N1" s="1682" t="n"/>
      <c r="O1" s="1700" t="n"/>
    </row>
    <row r="2" ht="15" customHeight="1" thickBot="1">
      <c r="B2" s="1680">
        <f>'RUS CF'!B2</f>
        <v/>
      </c>
      <c r="C2" s="1681" t="n"/>
      <c r="D2" s="1681" t="n"/>
      <c r="E2" s="1681" t="n"/>
      <c r="F2" s="1681" t="n"/>
      <c r="G2" s="1681" t="n"/>
      <c r="H2" s="1681" t="n"/>
      <c r="I2" s="1681" t="n"/>
      <c r="J2" s="1681" t="n"/>
      <c r="K2" s="1681" t="n"/>
      <c r="L2" s="1681" t="n"/>
      <c r="M2" s="1681" t="n"/>
      <c r="N2" s="1683" t="n"/>
      <c r="O2" s="1700" t="n"/>
    </row>
    <row r="3" ht="15" customHeight="1">
      <c r="B3" s="1684" t="inlineStr">
        <is>
          <t>Criteria</t>
        </is>
      </c>
      <c r="C3" s="1685" t="inlineStr">
        <is>
          <t>ACT</t>
        </is>
      </c>
      <c r="D3" s="1686">
        <f>+'RUS CF'!D3</f>
        <v/>
      </c>
      <c r="E3" s="1686">
        <f>+'RUS CF'!E3</f>
        <v/>
      </c>
      <c r="F3" s="1686">
        <f>+'RUS CF'!F3</f>
        <v/>
      </c>
      <c r="G3" s="1686">
        <f>+'RUS CF'!G3</f>
        <v/>
      </c>
      <c r="H3" s="1686">
        <f>+'RUS CF'!H3</f>
        <v/>
      </c>
      <c r="I3" s="1686">
        <f>+'RUS CF'!I3</f>
        <v/>
      </c>
      <c r="J3" s="1686">
        <f>+'RUS CF'!J3</f>
        <v/>
      </c>
      <c r="K3" s="1686">
        <f>+'RUS CF'!K3</f>
        <v/>
      </c>
      <c r="L3" s="1686">
        <f>+'RUS CF'!L3</f>
        <v/>
      </c>
      <c r="M3" s="1686">
        <f>+'RUS CF'!M3</f>
        <v/>
      </c>
      <c r="N3" s="1687">
        <f>+'RUS CF'!N3</f>
        <v/>
      </c>
      <c r="O3" s="1700" t="n"/>
    </row>
    <row r="4" ht="15" customHeight="1" thickBot="1">
      <c r="B4" s="1688" t="n"/>
      <c r="C4" s="1689">
        <f>+'RUS CF'!C4</f>
        <v/>
      </c>
      <c r="D4" s="1690">
        <f>+'RUS CF'!D4</f>
        <v/>
      </c>
      <c r="E4" s="1690">
        <f>+'RUS CF'!E4</f>
        <v/>
      </c>
      <c r="F4" s="1690">
        <f>+'RUS CF'!F4</f>
        <v/>
      </c>
      <c r="G4" s="1690">
        <f>+'RUS CF'!G4</f>
        <v/>
      </c>
      <c r="H4" s="1690">
        <f>+'RUS CF'!H4</f>
        <v/>
      </c>
      <c r="I4" s="1690">
        <f>+'RUS CF'!I4</f>
        <v/>
      </c>
      <c r="J4" s="1690">
        <f>+'RUS CF'!J4</f>
        <v/>
      </c>
      <c r="K4" s="1690">
        <f>+'RUS CF'!K4</f>
        <v/>
      </c>
      <c r="L4" s="1690">
        <f>+'RUS CF'!L4</f>
        <v/>
      </c>
      <c r="M4" s="1690">
        <f>+'RUS CF'!M4</f>
        <v/>
      </c>
      <c r="N4" s="1691">
        <f>+'RUS CF'!N4</f>
        <v/>
      </c>
      <c r="O4" s="1699" t="n"/>
    </row>
    <row r="5" ht="15" customHeight="1">
      <c r="B5" s="1693" t="inlineStr">
        <is>
          <t>Net Operational Income</t>
        </is>
      </c>
      <c r="C5" s="607">
        <f>+'S CF'!C5+'W CF'!C5+'Stesha CF'!C5</f>
        <v/>
      </c>
      <c r="D5" s="608">
        <f>+'S CF'!D5+'W CF'!D5+'Stesha CF'!D5</f>
        <v/>
      </c>
      <c r="E5" s="608">
        <f>+'S CF'!E5+'W CF'!E5+'Stesha CF'!E5</f>
        <v/>
      </c>
      <c r="F5" s="608">
        <f>+'S CF'!F5+'W CF'!F5+'Stesha CF'!F5</f>
        <v/>
      </c>
      <c r="G5" s="608">
        <f>+'S CF'!G5+'W CF'!G5+'Stesha CF'!G5</f>
        <v/>
      </c>
      <c r="H5" s="608">
        <f>+'S CF'!H5+'W CF'!H5+'Stesha CF'!H5</f>
        <v/>
      </c>
      <c r="I5" s="598">
        <f>+'S CF'!I5+'W CF'!I5+'Stesha CF'!I5</f>
        <v/>
      </c>
      <c r="J5" s="598">
        <f>+'S CF'!J5+'W CF'!J5+'Stesha CF'!J5</f>
        <v/>
      </c>
      <c r="K5" s="598">
        <f>+'S CF'!K5+'W CF'!K5+'Stesha CF'!K5</f>
        <v/>
      </c>
      <c r="L5" s="598">
        <f>+'S CF'!L5+'W CF'!L5+'Stesha CF'!L5</f>
        <v/>
      </c>
      <c r="M5" s="598">
        <f>+'S CF'!M5+'W CF'!M5+'Stesha CF'!M5</f>
        <v/>
      </c>
      <c r="N5" s="953">
        <f>+'S CF'!N5+'W CF'!N5+'Stesha CF'!N5</f>
        <v/>
      </c>
      <c r="O5" s="1700">
        <f>SUM(C5:N5)</f>
        <v/>
      </c>
    </row>
    <row r="6" ht="15" customHeight="1">
      <c r="B6" s="1693" t="inlineStr">
        <is>
          <t>Correction on prior year income</t>
        </is>
      </c>
      <c r="C6" s="607">
        <f>+'S CF'!C6+'W CF'!C6+'Stesha CF'!C6</f>
        <v/>
      </c>
      <c r="D6" s="608">
        <f>+'S CF'!D6+'W CF'!D6+'Stesha CF'!D6</f>
        <v/>
      </c>
      <c r="E6" s="608">
        <f>+'S CF'!E6+'W CF'!E6+'Stesha CF'!E6</f>
        <v/>
      </c>
      <c r="F6" s="608">
        <f>+'S CF'!F6+'W CF'!F6+'Stesha CF'!F6</f>
        <v/>
      </c>
      <c r="G6" s="608">
        <f>+'S CF'!G6+'W CF'!G6+'Stesha CF'!G6</f>
        <v/>
      </c>
      <c r="H6" s="608">
        <f>+'S CF'!H6+'W CF'!H6+'Stesha CF'!H6</f>
        <v/>
      </c>
      <c r="I6" s="608">
        <f>+'S CF'!I6+'W CF'!I6+'Stesha CF'!I6</f>
        <v/>
      </c>
      <c r="J6" s="608">
        <f>+'S CF'!J6+'W CF'!J6+'Stesha CF'!J6</f>
        <v/>
      </c>
      <c r="K6" s="608">
        <f>+'S CF'!K6+'W CF'!K6+'Stesha CF'!K6</f>
        <v/>
      </c>
      <c r="L6" s="608">
        <f>+'S CF'!L6+'W CF'!L6+'Stesha CF'!L6</f>
        <v/>
      </c>
      <c r="M6" s="608">
        <f>+'S CF'!M6+'W CF'!M6+'Stesha CF'!M6</f>
        <v/>
      </c>
      <c r="N6" s="957">
        <f>+'S CF'!N6+'W CF'!N6+'Stesha CF'!N6</f>
        <v/>
      </c>
      <c r="O6" s="1700">
        <f>SUM(C6:N6)</f>
        <v/>
      </c>
    </row>
    <row r="7" ht="15" customHeight="1">
      <c r="B7" s="1693" t="inlineStr">
        <is>
          <t>Allowance for Bad Debt</t>
        </is>
      </c>
      <c r="C7" s="607">
        <f>+'S CF'!C7+'W CF'!C7+'Stesha CF'!C7</f>
        <v/>
      </c>
      <c r="D7" s="608">
        <f>+'S CF'!D7+'W CF'!D7+'Stesha CF'!D7</f>
        <v/>
      </c>
      <c r="E7" s="608">
        <f>+'S CF'!E7+'W CF'!E7+'Stesha CF'!E7</f>
        <v/>
      </c>
      <c r="F7" s="608">
        <f>+'S CF'!F7+'W CF'!F7+'Stesha CF'!F7</f>
        <v/>
      </c>
      <c r="G7" s="608">
        <f>+'S CF'!G7+'W CF'!G7+'Stesha CF'!G7</f>
        <v/>
      </c>
      <c r="H7" s="608">
        <f>+'S CF'!H7+'W CF'!H7+'Stesha CF'!H7</f>
        <v/>
      </c>
      <c r="I7" s="608">
        <f>+'S CF'!I7+'W CF'!I7+'Stesha CF'!I7</f>
        <v/>
      </c>
      <c r="J7" s="608">
        <f>+'S CF'!J7+'W CF'!J7+'Stesha CF'!J7</f>
        <v/>
      </c>
      <c r="K7" s="608">
        <f>+'S CF'!K7+'W CF'!K7+'Stesha CF'!K7</f>
        <v/>
      </c>
      <c r="L7" s="608">
        <f>+'S CF'!L7+'W CF'!L7+'Stesha CF'!L7</f>
        <v/>
      </c>
      <c r="M7" s="608">
        <f>+'S CF'!M7+'W CF'!M7+'Stesha CF'!M7</f>
        <v/>
      </c>
      <c r="N7" s="957">
        <f>+'S CF'!N7+'W CF'!N7+'Stesha CF'!N7</f>
        <v/>
      </c>
      <c r="O7" s="1700">
        <f>+O6+O5</f>
        <v/>
      </c>
    </row>
    <row r="8" ht="15" customHeight="1">
      <c r="B8" s="1693" t="inlineStr">
        <is>
          <t>Provision for retirement fund</t>
        </is>
      </c>
      <c r="C8" s="607">
        <f>+'S CF'!C8+'W CF'!C8+'Stesha CF'!C8</f>
        <v/>
      </c>
      <c r="D8" s="608">
        <f>+'S CF'!D8+'W CF'!D8+'Stesha CF'!D8</f>
        <v/>
      </c>
      <c r="E8" s="608">
        <f>+'S CF'!E8+'W CF'!E8+'Stesha CF'!E8</f>
        <v/>
      </c>
      <c r="F8" s="608">
        <f>+'S CF'!F8+'W CF'!F8+'Stesha CF'!F8</f>
        <v/>
      </c>
      <c r="G8" s="608">
        <f>+'S CF'!G8+'W CF'!G8+'Stesha CF'!G8</f>
        <v/>
      </c>
      <c r="H8" s="608">
        <f>+'S CF'!H8+'W CF'!H8+'Stesha CF'!H8</f>
        <v/>
      </c>
      <c r="I8" s="608">
        <f>+'S CF'!I8+'W CF'!I8+'Stesha CF'!I8</f>
        <v/>
      </c>
      <c r="J8" s="608">
        <f>+'S CF'!J8+'W CF'!J8+'Stesha CF'!J8</f>
        <v/>
      </c>
      <c r="K8" s="608">
        <f>+'S CF'!K8+'W CF'!K8+'Stesha CF'!K8</f>
        <v/>
      </c>
      <c r="L8" s="608">
        <f>+'S CF'!L8+'W CF'!L8+'Stesha CF'!L8</f>
        <v/>
      </c>
      <c r="M8" s="608">
        <f>+'S CF'!M8+'W CF'!M8+'Stesha CF'!M8</f>
        <v/>
      </c>
      <c r="N8" s="957">
        <f>+'S CF'!N8+'W CF'!N8+'Stesha CF'!N8</f>
        <v/>
      </c>
      <c r="O8" s="1700" t="n"/>
    </row>
    <row r="9" ht="15" customHeight="1">
      <c r="B9" s="1693" t="inlineStr">
        <is>
          <t>Income Tax payable</t>
        </is>
      </c>
      <c r="C9" s="607">
        <f>+'S CF'!C9+'W CF'!C9+'Stesha CF'!C9</f>
        <v/>
      </c>
      <c r="D9" s="608">
        <f>+'S CF'!D9+'W CF'!D9+'Stesha CF'!D9</f>
        <v/>
      </c>
      <c r="E9" s="608">
        <f>+'S CF'!E9+'W CF'!E9+'Stesha CF'!E9</f>
        <v/>
      </c>
      <c r="F9" s="608">
        <f>+'S CF'!F9+'W CF'!F9+'Stesha CF'!F9</f>
        <v/>
      </c>
      <c r="G9" s="608">
        <f>+'S CF'!G9+'W CF'!G9+'Stesha CF'!G9</f>
        <v/>
      </c>
      <c r="H9" s="608">
        <f>+'S CF'!H9+'W CF'!H9+'Stesha CF'!H9</f>
        <v/>
      </c>
      <c r="I9" s="608">
        <f>+'S CF'!I9+'W CF'!I9+'Stesha CF'!I9</f>
        <v/>
      </c>
      <c r="J9" s="608">
        <f>+'S CF'!J9+'W CF'!J9+'Stesha CF'!J9</f>
        <v/>
      </c>
      <c r="K9" s="608">
        <f>+'S CF'!K9+'W CF'!K9+'Stesha CF'!K9</f>
        <v/>
      </c>
      <c r="L9" s="608">
        <f>+'S CF'!L9+'W CF'!L9+'Stesha CF'!L9</f>
        <v/>
      </c>
      <c r="M9" s="608">
        <f>+'S CF'!M9+'W CF'!M9+'Stesha CF'!M9</f>
        <v/>
      </c>
      <c r="N9" s="957">
        <f>+'S CF'!N9+'W CF'!N9+'Stesha CF'!N9</f>
        <v/>
      </c>
      <c r="O9" s="1700" t="n"/>
    </row>
    <row r="10" ht="15" customHeight="1">
      <c r="B10" s="1693" t="inlineStr">
        <is>
          <t>Accumulated Depreciation</t>
        </is>
      </c>
      <c r="C10" s="609">
        <f>+'S CF'!C10+'W CF'!C10+'Stesha CF'!C10</f>
        <v/>
      </c>
      <c r="D10" s="610">
        <f>+'S CF'!D10+'W CF'!D10+'Stesha CF'!D10</f>
        <v/>
      </c>
      <c r="E10" s="610">
        <f>+'S CF'!E10+'W CF'!E10+'Stesha CF'!E10</f>
        <v/>
      </c>
      <c r="F10" s="610">
        <f>+'S CF'!F10+'W CF'!F10+'Stesha CF'!F10</f>
        <v/>
      </c>
      <c r="G10" s="610">
        <f>+'S CF'!G10+'W CF'!G10+'Stesha CF'!G10</f>
        <v/>
      </c>
      <c r="H10" s="610">
        <f>+'S CF'!H10+'W CF'!H10+'Stesha CF'!H10</f>
        <v/>
      </c>
      <c r="I10" s="610">
        <f>+'S CF'!I10+'W CF'!I10+'Stesha CF'!I10</f>
        <v/>
      </c>
      <c r="J10" s="610">
        <f>+'S CF'!J10+'W CF'!J10+'Stesha CF'!J10</f>
        <v/>
      </c>
      <c r="K10" s="610">
        <f>+'S CF'!K10+'W CF'!K10+'Stesha CF'!K10</f>
        <v/>
      </c>
      <c r="L10" s="610">
        <f>+'S CF'!L10+'W CF'!L10+'Stesha CF'!L10</f>
        <v/>
      </c>
      <c r="M10" s="610">
        <f>+'S CF'!M10+'W CF'!M10+'Stesha CF'!M10</f>
        <v/>
      </c>
      <c r="N10" s="958">
        <f>+'S CF'!N10+'W CF'!N10+'Stesha CF'!N10</f>
        <v/>
      </c>
      <c r="O10" s="1700" t="n"/>
    </row>
    <row r="11" ht="15" customHeight="1">
      <c r="B11" s="1694" t="inlineStr">
        <is>
          <t>Cash in (out) from operation</t>
        </is>
      </c>
      <c r="C11" s="612">
        <f>+'S CF'!C11+'W CF'!C11+'Stesha CF'!C11</f>
        <v/>
      </c>
      <c r="D11" s="613">
        <f>+'S CF'!D11+'W CF'!D11+'Stesha CF'!D11</f>
        <v/>
      </c>
      <c r="E11" s="613">
        <f>+'S CF'!E11+'W CF'!E11+'Stesha CF'!E11</f>
        <v/>
      </c>
      <c r="F11" s="613">
        <f>+'S CF'!F11+'W CF'!F11+'Stesha CF'!F11</f>
        <v/>
      </c>
      <c r="G11" s="613">
        <f>+'S CF'!G11+'W CF'!G11+'Stesha CF'!G11</f>
        <v/>
      </c>
      <c r="H11" s="613">
        <f>+'S CF'!H11+'W CF'!H11+'Stesha CF'!H11</f>
        <v/>
      </c>
      <c r="I11" s="613">
        <f>+'S CF'!I11+'W CF'!I11+'Stesha CF'!I11</f>
        <v/>
      </c>
      <c r="J11" s="613">
        <f>+'S CF'!J11+'W CF'!J11+'Stesha CF'!J11</f>
        <v/>
      </c>
      <c r="K11" s="613">
        <f>+'S CF'!K11+'W CF'!K11+'Stesha CF'!K11</f>
        <v/>
      </c>
      <c r="L11" s="613">
        <f>+'S CF'!L11+'W CF'!L11+'Stesha CF'!L11</f>
        <v/>
      </c>
      <c r="M11" s="613">
        <f>+'S CF'!M11+'W CF'!M11+'Stesha CF'!M11</f>
        <v/>
      </c>
      <c r="N11" s="959">
        <f>+'S CF'!N11+'W CF'!N11+'Stesha CF'!N11</f>
        <v/>
      </c>
      <c r="O11" s="1700" t="n"/>
    </row>
    <row r="12" ht="15" customHeight="1">
      <c r="B12" s="1693" t="inlineStr">
        <is>
          <t xml:space="preserve">Payable </t>
        </is>
      </c>
      <c r="C12" s="607">
        <f>+'S CF'!C12+'W CF'!C12+'Stesha CF'!C12</f>
        <v/>
      </c>
      <c r="D12" s="608">
        <f>+'S CF'!D12+'W CF'!D12+'Stesha CF'!D12</f>
        <v/>
      </c>
      <c r="E12" s="608">
        <f>+'S CF'!E12+'W CF'!E12+'Stesha CF'!E12</f>
        <v/>
      </c>
      <c r="F12" s="608">
        <f>+'S CF'!F12+'W CF'!F12+'Stesha CF'!F12</f>
        <v/>
      </c>
      <c r="G12" s="608">
        <f>+'S CF'!G12+'W CF'!G12+'Stesha CF'!G12</f>
        <v/>
      </c>
      <c r="H12" s="608">
        <f>+'S CF'!H12+'W CF'!H12+'Stesha CF'!H12</f>
        <v/>
      </c>
      <c r="I12" s="608">
        <f>+'S CF'!I12+'W CF'!I12+'Stesha CF'!I12</f>
        <v/>
      </c>
      <c r="J12" s="608">
        <f>+'S CF'!J12+'W CF'!J12+'Stesha CF'!J12</f>
        <v/>
      </c>
      <c r="K12" s="608">
        <f>+'S CF'!K12+'W CF'!K12+'Stesha CF'!K12</f>
        <v/>
      </c>
      <c r="L12" s="608">
        <f>+'S CF'!L12+'W CF'!L12+'Stesha CF'!L12</f>
        <v/>
      </c>
      <c r="M12" s="608">
        <f>+'S CF'!M12+'W CF'!M12+'Stesha CF'!M12</f>
        <v/>
      </c>
      <c r="N12" s="957">
        <f>+'S CF'!N12+'W CF'!N12+'Stesha CF'!N12</f>
        <v/>
      </c>
      <c r="O12" s="1701" t="n"/>
    </row>
    <row r="13" ht="15" customHeight="1">
      <c r="B13" s="1693" t="inlineStr">
        <is>
          <t>Current Account</t>
        </is>
      </c>
      <c r="C13" s="607">
        <f>+'S CF'!C13+'W CF'!C13+'Stesha CF'!C13</f>
        <v/>
      </c>
      <c r="D13" s="608">
        <f>+'S CF'!D13+'W CF'!D13+'Stesha CF'!D13</f>
        <v/>
      </c>
      <c r="E13" s="608">
        <f>+'S CF'!E13+'W CF'!E13+'Stesha CF'!E13</f>
        <v/>
      </c>
      <c r="F13" s="608">
        <f>+'S CF'!F13+'W CF'!F13+'Stesha CF'!F13</f>
        <v/>
      </c>
      <c r="G13" s="608">
        <f>+'S CF'!G13+'W CF'!G13+'Stesha CF'!G13</f>
        <v/>
      </c>
      <c r="H13" s="608">
        <f>+'S CF'!H13+'W CF'!H13+'Stesha CF'!H13</f>
        <v/>
      </c>
      <c r="I13" s="608">
        <f>+'S CF'!I13+'W CF'!I13+'Stesha CF'!I13</f>
        <v/>
      </c>
      <c r="J13" s="608">
        <f>+'S CF'!J13+'W CF'!J13+'Stesha CF'!J13</f>
        <v/>
      </c>
      <c r="K13" s="608">
        <f>+'S CF'!K13+'W CF'!K13+'Stesha CF'!K13</f>
        <v/>
      </c>
      <c r="L13" s="608">
        <f>+'S CF'!L13+'W CF'!L13+'Stesha CF'!L13</f>
        <v/>
      </c>
      <c r="M13" s="608">
        <f>+'S CF'!M13+'W CF'!M13+'Stesha CF'!M13</f>
        <v/>
      </c>
      <c r="N13" s="957">
        <f>+'S CF'!N13+'W CF'!N13+'Stesha CF'!N13</f>
        <v/>
      </c>
      <c r="O13" s="1700" t="n"/>
    </row>
    <row r="14" ht="15" customHeight="1">
      <c r="B14" s="1693" t="inlineStr">
        <is>
          <t>Dividend Payable</t>
        </is>
      </c>
      <c r="C14" s="607">
        <f>+'S CF'!C14+'W CF'!C14+'Stesha CF'!C14</f>
        <v/>
      </c>
      <c r="D14" s="608">
        <f>+'S CF'!D14+'W CF'!D14+'Stesha CF'!D14</f>
        <v/>
      </c>
      <c r="E14" s="608">
        <f>+'S CF'!E14+'W CF'!E14+'Stesha CF'!E14</f>
        <v/>
      </c>
      <c r="F14" s="608">
        <f>+'S CF'!F14+'W CF'!F14+'Stesha CF'!F14</f>
        <v/>
      </c>
      <c r="G14" s="608">
        <f>+'S CF'!G14+'W CF'!G14+'Stesha CF'!G14</f>
        <v/>
      </c>
      <c r="H14" s="608">
        <f>+'S CF'!H14+'W CF'!H14+'Stesha CF'!H14</f>
        <v/>
      </c>
      <c r="I14" s="608">
        <f>+'S CF'!I14+'W CF'!I14+'Stesha CF'!I14</f>
        <v/>
      </c>
      <c r="J14" s="608">
        <f>+'S CF'!J14+'W CF'!J14+'Stesha CF'!J14</f>
        <v/>
      </c>
      <c r="K14" s="608">
        <f>+'S CF'!K14+'W CF'!K14+'Stesha CF'!K14</f>
        <v/>
      </c>
      <c r="L14" s="608">
        <f>+'S CF'!L14+'W CF'!L14+'Stesha CF'!L14</f>
        <v/>
      </c>
      <c r="M14" s="608">
        <f>+'S CF'!M14+'W CF'!M14+'Stesha CF'!M14</f>
        <v/>
      </c>
      <c r="N14" s="957">
        <f>+'S CF'!N14+'W CF'!N14+'Stesha CF'!N14</f>
        <v/>
      </c>
      <c r="O14" s="1700" t="n"/>
    </row>
    <row r="15" ht="15" customHeight="1">
      <c r="B15" s="1693" t="inlineStr">
        <is>
          <t>Other current and None Current liabilities</t>
        </is>
      </c>
      <c r="C15" s="609">
        <f>+'S CF'!C15+'W CF'!C15+'Stesha CF'!C15</f>
        <v/>
      </c>
      <c r="D15" s="610">
        <f>+'S CF'!D15+'W CF'!D15+'Stesha CF'!D15</f>
        <v/>
      </c>
      <c r="E15" s="610">
        <f>+'S CF'!E15+'W CF'!E15+'Stesha CF'!E15</f>
        <v/>
      </c>
      <c r="F15" s="610">
        <f>+'S CF'!F15+'W CF'!F15+'Stesha CF'!F15</f>
        <v/>
      </c>
      <c r="G15" s="610">
        <f>+'S CF'!G15+'W CF'!G15+'Stesha CF'!G15</f>
        <v/>
      </c>
      <c r="H15" s="610">
        <f>+'S CF'!H15+'W CF'!H15+'Stesha CF'!H15</f>
        <v/>
      </c>
      <c r="I15" s="610">
        <f>+'S CF'!I15+'W CF'!I15+'Stesha CF'!I15</f>
        <v/>
      </c>
      <c r="J15" s="610">
        <f>+'S CF'!J15+'W CF'!J15+'Stesha CF'!J15</f>
        <v/>
      </c>
      <c r="K15" s="610">
        <f>+'S CF'!K15+'W CF'!K15+'Stesha CF'!K15</f>
        <v/>
      </c>
      <c r="L15" s="610">
        <f>+'S CF'!L15+'W CF'!L15+'Stesha CF'!L15</f>
        <v/>
      </c>
      <c r="M15" s="610">
        <f>+'S CF'!M15+'W CF'!M15+'Stesha CF'!M15</f>
        <v/>
      </c>
      <c r="N15" s="958">
        <f>+'S CF'!N15+'W CF'!N15+'Stesha CF'!N15</f>
        <v/>
      </c>
      <c r="O15" s="1701" t="n"/>
    </row>
    <row r="16" ht="15" customHeight="1">
      <c r="B16" s="1694" t="inlineStr">
        <is>
          <t>Cash in (out) from liabilities</t>
        </is>
      </c>
      <c r="C16" s="612">
        <f>+'S CF'!C16+'W CF'!C16+'Stesha CF'!C16</f>
        <v/>
      </c>
      <c r="D16" s="613">
        <f>+'S CF'!D16+'W CF'!D16+'Stesha CF'!D16</f>
        <v/>
      </c>
      <c r="E16" s="613">
        <f>+'S CF'!E16+'W CF'!E16+'Stesha CF'!E16</f>
        <v/>
      </c>
      <c r="F16" s="613">
        <f>+'S CF'!F16+'W CF'!F16+'Stesha CF'!F16</f>
        <v/>
      </c>
      <c r="G16" s="613">
        <f>+'S CF'!G16+'W CF'!G16+'Stesha CF'!G16</f>
        <v/>
      </c>
      <c r="H16" s="613">
        <f>+'S CF'!H16+'W CF'!H16+'Stesha CF'!H16</f>
        <v/>
      </c>
      <c r="I16" s="613">
        <f>+'S CF'!I16+'W CF'!I16+'Stesha CF'!I16</f>
        <v/>
      </c>
      <c r="J16" s="613">
        <f>+'S CF'!J16+'W CF'!J16+'Stesha CF'!J16</f>
        <v/>
      </c>
      <c r="K16" s="613">
        <f>+'S CF'!K16+'W CF'!K16+'Stesha CF'!K16</f>
        <v/>
      </c>
      <c r="L16" s="613">
        <f>+'S CF'!L16+'W CF'!L16+'Stesha CF'!L16</f>
        <v/>
      </c>
      <c r="M16" s="613">
        <f>+'S CF'!M16+'W CF'!M16+'Stesha CF'!M16</f>
        <v/>
      </c>
      <c r="N16" s="959">
        <f>+'S CF'!N16+'W CF'!N16+'Stesha CF'!N16</f>
        <v/>
      </c>
      <c r="O16" s="1700" t="n"/>
    </row>
    <row r="17" ht="15" customHeight="1">
      <c r="B17" s="1693" t="inlineStr">
        <is>
          <t>Accounts receivable &amp; checks on hand-trade</t>
        </is>
      </c>
      <c r="C17" s="607">
        <f>+'S CF'!C17+'W CF'!C17+'Stesha CF'!C17</f>
        <v/>
      </c>
      <c r="D17" s="608">
        <f>+'S CF'!D17+'W CF'!D17+'Stesha CF'!D17</f>
        <v/>
      </c>
      <c r="E17" s="608">
        <f>+'S CF'!E17+'W CF'!E17+'Stesha CF'!E17</f>
        <v/>
      </c>
      <c r="F17" s="608">
        <f>+'S CF'!F17+'W CF'!F17+'Stesha CF'!F17</f>
        <v/>
      </c>
      <c r="G17" s="608">
        <f>+'S CF'!G17+'W CF'!G17+'Stesha CF'!G17</f>
        <v/>
      </c>
      <c r="H17" s="608">
        <f>+'S CF'!H17+'W CF'!H17+'Stesha CF'!H17</f>
        <v/>
      </c>
      <c r="I17" s="608">
        <f>+'S CF'!I17+'W CF'!I17+'Stesha CF'!I17</f>
        <v/>
      </c>
      <c r="J17" s="608">
        <f>+'S CF'!J17+'W CF'!J17+'Stesha CF'!J17</f>
        <v/>
      </c>
      <c r="K17" s="608">
        <f>+'S CF'!K17+'W CF'!K17+'Stesha CF'!K17</f>
        <v/>
      </c>
      <c r="L17" s="608">
        <f>+'S CF'!L17+'W CF'!L17+'Stesha CF'!L17</f>
        <v/>
      </c>
      <c r="M17" s="608">
        <f>+'S CF'!M17+'W CF'!M17+'Stesha CF'!M17</f>
        <v/>
      </c>
      <c r="N17" s="957">
        <f>+'S CF'!N17+'W CF'!N17+'Stesha CF'!N17</f>
        <v/>
      </c>
      <c r="O17" s="1701" t="n"/>
    </row>
    <row r="18" ht="15" customHeight="1">
      <c r="B18" s="1693" t="inlineStr">
        <is>
          <t>Short-term Loan Receivable</t>
        </is>
      </c>
      <c r="C18" s="607">
        <f>+'S CF'!C18+'W CF'!C18+'Stesha CF'!C18</f>
        <v/>
      </c>
      <c r="D18" s="608">
        <f>+'S CF'!D18+'W CF'!D18+'Stesha CF'!D18</f>
        <v/>
      </c>
      <c r="E18" s="608">
        <f>+'S CF'!E18+'W CF'!E18+'Stesha CF'!E18</f>
        <v/>
      </c>
      <c r="F18" s="608">
        <f>+'S CF'!F18+'W CF'!F18+'Stesha CF'!F18</f>
        <v/>
      </c>
      <c r="G18" s="608">
        <f>+'S CF'!G18+'W CF'!G18+'Stesha CF'!G18</f>
        <v/>
      </c>
      <c r="H18" s="608">
        <f>+'S CF'!H18+'W CF'!H18+'Stesha CF'!H18</f>
        <v/>
      </c>
      <c r="I18" s="608">
        <f>+'S CF'!I18+'W CF'!I18+'Stesha CF'!I18</f>
        <v/>
      </c>
      <c r="J18" s="608">
        <f>+'S CF'!J18+'W CF'!J18+'Stesha CF'!J18</f>
        <v/>
      </c>
      <c r="K18" s="608">
        <f>+'S CF'!K18+'W CF'!K18+'Stesha CF'!K18</f>
        <v/>
      </c>
      <c r="L18" s="608">
        <f>+'S CF'!L18+'W CF'!L18+'Stesha CF'!L18</f>
        <v/>
      </c>
      <c r="M18" s="608">
        <f>+'S CF'!M18+'W CF'!M18+'Stesha CF'!M18</f>
        <v/>
      </c>
      <c r="N18" s="957">
        <f>+'S CF'!N18+'W CF'!N18+'Stesha CF'!N18</f>
        <v/>
      </c>
      <c r="O18" s="1701" t="n"/>
    </row>
    <row r="19" ht="15" customHeight="1">
      <c r="B19" s="1693" t="inlineStr">
        <is>
          <t>Inventories</t>
        </is>
      </c>
      <c r="C19" s="607">
        <f>+'S CF'!C19+'W CF'!C19+'Stesha CF'!C19</f>
        <v/>
      </c>
      <c r="D19" s="608">
        <f>+'S CF'!D19+'W CF'!D19+'Stesha CF'!D19</f>
        <v/>
      </c>
      <c r="E19" s="608">
        <f>+'S CF'!E19+'W CF'!E19+'Stesha CF'!E19</f>
        <v/>
      </c>
      <c r="F19" s="608">
        <f>+'S CF'!F19+'W CF'!F19+'Stesha CF'!F19</f>
        <v/>
      </c>
      <c r="G19" s="608">
        <f>+'S CF'!G19+'W CF'!G19+'Stesha CF'!G19</f>
        <v/>
      </c>
      <c r="H19" s="608">
        <f>+'S CF'!H19+'W CF'!H19+'Stesha CF'!H19</f>
        <v/>
      </c>
      <c r="I19" s="608">
        <f>+'S CF'!I19+'W CF'!I19+'Stesha CF'!I19</f>
        <v/>
      </c>
      <c r="J19" s="608">
        <f>+'S CF'!J19+'W CF'!J19+'Stesha CF'!J19</f>
        <v/>
      </c>
      <c r="K19" s="608">
        <f>+'S CF'!K19+'W CF'!K19+'Stesha CF'!K19</f>
        <v/>
      </c>
      <c r="L19" s="608">
        <f>+'S CF'!L19+'W CF'!L19+'Stesha CF'!L19</f>
        <v/>
      </c>
      <c r="M19" s="608">
        <f>+'S CF'!M19+'W CF'!M19+'Stesha CF'!M19</f>
        <v/>
      </c>
      <c r="N19" s="957">
        <f>+'S CF'!N19+'W CF'!N19+'Stesha CF'!N19</f>
        <v/>
      </c>
      <c r="O19" s="1700" t="n"/>
    </row>
    <row r="20" ht="15" customHeight="1">
      <c r="B20" s="1693" t="inlineStr">
        <is>
          <t>Other Current and None Current Assets</t>
        </is>
      </c>
      <c r="C20" s="609">
        <f>+'S CF'!C20+'W CF'!C20+'Stesha CF'!C20</f>
        <v/>
      </c>
      <c r="D20" s="610">
        <f>+'S CF'!D20+'W CF'!D20+'Stesha CF'!D20</f>
        <v/>
      </c>
      <c r="E20" s="610">
        <f>+'S CF'!E20+'W CF'!E20+'Stesha CF'!E20</f>
        <v/>
      </c>
      <c r="F20" s="610">
        <f>+'S CF'!F20+'W CF'!F20+'Stesha CF'!F20</f>
        <v/>
      </c>
      <c r="G20" s="610">
        <f>+'S CF'!G20+'W CF'!G20+'Stesha CF'!G20</f>
        <v/>
      </c>
      <c r="H20" s="610">
        <f>+'S CF'!H20+'W CF'!H20+'Stesha CF'!H20</f>
        <v/>
      </c>
      <c r="I20" s="610">
        <f>+'S CF'!I20+'W CF'!I20+'Stesha CF'!I20</f>
        <v/>
      </c>
      <c r="J20" s="610">
        <f>+'S CF'!J20+'W CF'!J20+'Stesha CF'!J20</f>
        <v/>
      </c>
      <c r="K20" s="610">
        <f>+'S CF'!K20+'W CF'!K20+'Stesha CF'!K20</f>
        <v/>
      </c>
      <c r="L20" s="610">
        <f>+'S CF'!L20+'W CF'!L20+'Stesha CF'!L20</f>
        <v/>
      </c>
      <c r="M20" s="610">
        <f>+'S CF'!M20+'W CF'!M20+'Stesha CF'!M20</f>
        <v/>
      </c>
      <c r="N20" s="958">
        <f>+'S CF'!N20+'W CF'!N20+'Stesha CF'!N20</f>
        <v/>
      </c>
      <c r="O20" s="1701" t="n"/>
    </row>
    <row r="21" ht="15" customHeight="1">
      <c r="B21" s="1694" t="inlineStr">
        <is>
          <t>Cash out ( in ) from current assets</t>
        </is>
      </c>
      <c r="C21" s="612">
        <f>+'S CF'!C21+'W CF'!C21+'Stesha CF'!C21</f>
        <v/>
      </c>
      <c r="D21" s="613">
        <f>+'S CF'!D21+'W CF'!D21+'Stesha CF'!D21</f>
        <v/>
      </c>
      <c r="E21" s="613">
        <f>+'S CF'!E21+'W CF'!E21+'Stesha CF'!E21</f>
        <v/>
      </c>
      <c r="F21" s="613">
        <f>+'S CF'!F21+'W CF'!F21+'Stesha CF'!F21</f>
        <v/>
      </c>
      <c r="G21" s="613">
        <f>+'S CF'!G21+'W CF'!G21+'Stesha CF'!G21</f>
        <v/>
      </c>
      <c r="H21" s="613">
        <f>+'S CF'!H21+'W CF'!H21+'Stesha CF'!H21</f>
        <v/>
      </c>
      <c r="I21" s="613">
        <f>+'S CF'!I21+'W CF'!I21+'Stesha CF'!I21</f>
        <v/>
      </c>
      <c r="J21" s="613">
        <f>+'S CF'!J21+'W CF'!J21+'Stesha CF'!J21</f>
        <v/>
      </c>
      <c r="K21" s="613">
        <f>+'S CF'!K21+'W CF'!K21+'Stesha CF'!K21</f>
        <v/>
      </c>
      <c r="L21" s="613">
        <f>+'S CF'!L21+'W CF'!L21+'Stesha CF'!L21</f>
        <v/>
      </c>
      <c r="M21" s="613">
        <f>+'S CF'!M21+'W CF'!M21+'Stesha CF'!M21</f>
        <v/>
      </c>
      <c r="N21" s="959">
        <f>+'S CF'!N21+'W CF'!N21+'Stesha CF'!N21</f>
        <v/>
      </c>
      <c r="O21" s="1700" t="n"/>
    </row>
    <row r="22" ht="15" customHeight="1">
      <c r="B22" s="1693" t="inlineStr">
        <is>
          <t>Property , plant and equipment</t>
        </is>
      </c>
      <c r="C22" s="607">
        <f>+'S CF'!C22+'W CF'!C22+'Stesha CF'!C22</f>
        <v/>
      </c>
      <c r="D22" s="608">
        <f>+'S CF'!D22+'W CF'!D22+'Stesha CF'!D22</f>
        <v/>
      </c>
      <c r="E22" s="608">
        <f>+'S CF'!E22+'W CF'!E22+'Stesha CF'!E22</f>
        <v/>
      </c>
      <c r="F22" s="608">
        <f>+'S CF'!F22+'W CF'!F22+'Stesha CF'!F22</f>
        <v/>
      </c>
      <c r="G22" s="608">
        <f>+'S CF'!G22+'W CF'!G22+'Stesha CF'!G22</f>
        <v/>
      </c>
      <c r="H22" s="608">
        <f>+'S CF'!H22+'W CF'!H22+'Stesha CF'!H22</f>
        <v/>
      </c>
      <c r="I22" s="608">
        <f>+'S CF'!I22+'W CF'!I22+'Stesha CF'!I22</f>
        <v/>
      </c>
      <c r="J22" s="608">
        <f>+'S CF'!J22+'W CF'!J22+'Stesha CF'!J22</f>
        <v/>
      </c>
      <c r="K22" s="608">
        <f>+'S CF'!K22+'W CF'!K22+'Stesha CF'!K22</f>
        <v/>
      </c>
      <c r="L22" s="608">
        <f>+'S CF'!L22+'W CF'!L22+'Stesha CF'!L22</f>
        <v/>
      </c>
      <c r="M22" s="608">
        <f>+'S CF'!M22+'W CF'!M22+'Stesha CF'!M22</f>
        <v/>
      </c>
      <c r="N22" s="957">
        <f>+'S CF'!N22+'W CF'!N22+'Stesha CF'!N22</f>
        <v/>
      </c>
      <c r="O22" s="1700" t="n"/>
    </row>
    <row r="23" ht="15" customHeight="1">
      <c r="B23" s="1693" t="inlineStr">
        <is>
          <t>Other Assets</t>
        </is>
      </c>
      <c r="C23" s="607">
        <f>+'S CF'!C23+'W CF'!C23+'Stesha CF'!C23</f>
        <v/>
      </c>
      <c r="D23" s="608">
        <f>+'S CF'!D23+'W CF'!D23+'Stesha CF'!D23</f>
        <v/>
      </c>
      <c r="E23" s="608">
        <f>+'S CF'!E23+'W CF'!E23+'Stesha CF'!E23</f>
        <v/>
      </c>
      <c r="F23" s="608">
        <f>+'S CF'!F23+'W CF'!F23+'Stesha CF'!F23</f>
        <v/>
      </c>
      <c r="G23" s="608">
        <f>+'S CF'!G23+'W CF'!G23+'Stesha CF'!G23</f>
        <v/>
      </c>
      <c r="H23" s="608">
        <f>+'S CF'!H23+'W CF'!H23+'Stesha CF'!H23</f>
        <v/>
      </c>
      <c r="I23" s="608">
        <f>+'S CF'!I23+'W CF'!I23+'Stesha CF'!I23</f>
        <v/>
      </c>
      <c r="J23" s="608">
        <f>+'S CF'!J23+'W CF'!J23+'Stesha CF'!J23</f>
        <v/>
      </c>
      <c r="K23" s="608">
        <f>+'S CF'!K23+'W CF'!K23+'Stesha CF'!K23</f>
        <v/>
      </c>
      <c r="L23" s="608">
        <f>+'S CF'!L23+'W CF'!L23+'Stesha CF'!L23</f>
        <v/>
      </c>
      <c r="M23" s="608">
        <f>+'S CF'!M23+'W CF'!M23+'Stesha CF'!M23</f>
        <v/>
      </c>
      <c r="N23" s="957">
        <f>+'S CF'!N23+'W CF'!N23+'Stesha CF'!N23</f>
        <v/>
      </c>
      <c r="O23" s="1700" t="n"/>
    </row>
    <row r="24" ht="15" customHeight="1">
      <c r="B24" s="1693" t="inlineStr">
        <is>
          <t>Investment</t>
        </is>
      </c>
      <c r="C24" s="609">
        <f>+'S CF'!C24+'W CF'!C24+'Stesha CF'!C24</f>
        <v/>
      </c>
      <c r="D24" s="610">
        <f>+'S CF'!D24+'W CF'!D24+'Stesha CF'!D24</f>
        <v/>
      </c>
      <c r="E24" s="610">
        <f>+'S CF'!E24+'W CF'!E24+'Stesha CF'!E24</f>
        <v/>
      </c>
      <c r="F24" s="610">
        <f>+'S CF'!F24+'W CF'!F24+'Stesha CF'!F24</f>
        <v/>
      </c>
      <c r="G24" s="610">
        <f>+'S CF'!G24+'W CF'!G24+'Stesha CF'!G24</f>
        <v/>
      </c>
      <c r="H24" s="610">
        <f>+'S CF'!H24+'W CF'!H24+'Stesha CF'!H24</f>
        <v/>
      </c>
      <c r="I24" s="610">
        <f>+'S CF'!I24+'W CF'!I24+'Stesha CF'!I24</f>
        <v/>
      </c>
      <c r="J24" s="610">
        <f>+'S CF'!J24+'W CF'!J24+'Stesha CF'!J24</f>
        <v/>
      </c>
      <c r="K24" s="610">
        <f>+'S CF'!K24+'W CF'!K24+'Stesha CF'!K24</f>
        <v/>
      </c>
      <c r="L24" s="610">
        <f>+'S CF'!L24+'W CF'!L24+'Stesha CF'!L24</f>
        <v/>
      </c>
      <c r="M24" s="610">
        <f>+'S CF'!M24+'W CF'!M24+'Stesha CF'!M24</f>
        <v/>
      </c>
      <c r="N24" s="958">
        <f>+'S CF'!N24+'W CF'!N24+'Stesha CF'!N24</f>
        <v/>
      </c>
      <c r="O24" s="1700" t="n"/>
    </row>
    <row r="25" ht="15" customHeight="1">
      <c r="B25" s="1695" t="inlineStr">
        <is>
          <t>Cash out ( in ) from investing</t>
        </is>
      </c>
      <c r="C25" s="612">
        <f>+'S CF'!C25+'W CF'!C25+'Stesha CF'!C25</f>
        <v/>
      </c>
      <c r="D25" s="613">
        <f>+'S CF'!D25+'W CF'!D25+'Stesha CF'!D25</f>
        <v/>
      </c>
      <c r="E25" s="613">
        <f>+'S CF'!E25+'W CF'!E25+'Stesha CF'!E25</f>
        <v/>
      </c>
      <c r="F25" s="613">
        <f>+'S CF'!F25+'W CF'!F25+'Stesha CF'!F25</f>
        <v/>
      </c>
      <c r="G25" s="613">
        <f>+'S CF'!G25+'W CF'!G25+'Stesha CF'!G25</f>
        <v/>
      </c>
      <c r="H25" s="613">
        <f>+'S CF'!H25+'W CF'!H25+'Stesha CF'!H25</f>
        <v/>
      </c>
      <c r="I25" s="613">
        <f>+'S CF'!I25+'W CF'!I25+'Stesha CF'!I25</f>
        <v/>
      </c>
      <c r="J25" s="613">
        <f>+'S CF'!J25+'W CF'!J25+'Stesha CF'!J25</f>
        <v/>
      </c>
      <c r="K25" s="613">
        <f>+'S CF'!K25+'W CF'!K25+'Stesha CF'!K25</f>
        <v/>
      </c>
      <c r="L25" s="613">
        <f>+'S CF'!L25+'W CF'!L25+'Stesha CF'!L25</f>
        <v/>
      </c>
      <c r="M25" s="613">
        <f>+'S CF'!M25+'W CF'!M25+'Stesha CF'!M25</f>
        <v/>
      </c>
      <c r="N25" s="959">
        <f>+'S CF'!N25+'W CF'!N25+'Stesha CF'!N25</f>
        <v/>
      </c>
      <c r="O25" s="1700" t="n"/>
    </row>
    <row r="26" ht="15" customHeight="1">
      <c r="B26" s="1693" t="inlineStr">
        <is>
          <t>Financial Institutions</t>
        </is>
      </c>
      <c r="C26" s="607">
        <f>+'S CF'!C26+'W CF'!C26+'Stesha CF'!C26</f>
        <v/>
      </c>
      <c r="D26" s="608">
        <f>+'S CF'!D26+'W CF'!D26+'Stesha CF'!D26</f>
        <v/>
      </c>
      <c r="E26" s="608">
        <f>+'S CF'!E26+'W CF'!E26+'Stesha CF'!E26</f>
        <v/>
      </c>
      <c r="F26" s="608">
        <f>+'S CF'!F26+'W CF'!F26+'Stesha CF'!F26</f>
        <v/>
      </c>
      <c r="G26" s="608">
        <f>+'S CF'!G26+'W CF'!G26+'Stesha CF'!G26</f>
        <v/>
      </c>
      <c r="H26" s="608">
        <f>+'S CF'!H26+'W CF'!H26+'Stesha CF'!H26</f>
        <v/>
      </c>
      <c r="I26" s="608">
        <f>+'S CF'!I26+'W CF'!I26+'Stesha CF'!I26</f>
        <v/>
      </c>
      <c r="J26" s="608">
        <f>+'S CF'!J26+'W CF'!J26+'Stesha CF'!J26</f>
        <v/>
      </c>
      <c r="K26" s="608">
        <f>+'S CF'!K26+'W CF'!K26+'Stesha CF'!K26</f>
        <v/>
      </c>
      <c r="L26" s="608">
        <f>+'S CF'!L26+'W CF'!L26+'Stesha CF'!L26</f>
        <v/>
      </c>
      <c r="M26" s="608">
        <f>+'S CF'!M26+'W CF'!M26+'Stesha CF'!M26</f>
        <v/>
      </c>
      <c r="N26" s="957">
        <f>+'S CF'!N26+'W CF'!N26+'Stesha CF'!N26</f>
        <v/>
      </c>
      <c r="O26" s="1700" t="n"/>
    </row>
    <row r="27" ht="15" customHeight="1">
      <c r="B27" s="1693" t="inlineStr">
        <is>
          <t>Short-term Loans</t>
        </is>
      </c>
      <c r="C27" s="607">
        <f>+'S CF'!C27+'W CF'!C27+'Stesha CF'!C27</f>
        <v/>
      </c>
      <c r="D27" s="608">
        <f>+'S CF'!D27+'W CF'!D27+'Stesha CF'!D27</f>
        <v/>
      </c>
      <c r="E27" s="608">
        <f>+'S CF'!E27+'W CF'!E27+'Stesha CF'!E27</f>
        <v/>
      </c>
      <c r="F27" s="608">
        <f>+'S CF'!F27+'W CF'!F27+'Stesha CF'!F27</f>
        <v/>
      </c>
      <c r="G27" s="608">
        <f>+'S CF'!G27+'W CF'!G27+'Stesha CF'!G27</f>
        <v/>
      </c>
      <c r="H27" s="608">
        <f>+'S CF'!H27+'W CF'!H27+'Stesha CF'!H27</f>
        <v/>
      </c>
      <c r="I27" s="608">
        <f>+'S CF'!I27+'W CF'!I27+'Stesha CF'!I27</f>
        <v/>
      </c>
      <c r="J27" s="608">
        <f>+'S CF'!J27+'W CF'!J27+'Stesha CF'!J27</f>
        <v/>
      </c>
      <c r="K27" s="608">
        <f>+'S CF'!K27+'W CF'!K27+'Stesha CF'!K27</f>
        <v/>
      </c>
      <c r="L27" s="608">
        <f>+'S CF'!L27+'W CF'!L27+'Stesha CF'!L27</f>
        <v/>
      </c>
      <c r="M27" s="608">
        <f>+'S CF'!M27+'W CF'!M27+'Stesha CF'!M27</f>
        <v/>
      </c>
      <c r="N27" s="957">
        <f>+'S CF'!N27+'W CF'!N27+'Stesha CF'!N27</f>
        <v/>
      </c>
      <c r="O27" s="1700" t="n"/>
    </row>
    <row r="28" ht="15" customHeight="1">
      <c r="B28" s="1693" t="inlineStr">
        <is>
          <t>Legal reserves</t>
        </is>
      </c>
      <c r="C28" s="607">
        <f>+'S CF'!C28+'W CF'!C28+'Stesha CF'!C28</f>
        <v/>
      </c>
      <c r="D28" s="608">
        <f>+'S CF'!D28+'W CF'!D28+'Stesha CF'!D28</f>
        <v/>
      </c>
      <c r="E28" s="608">
        <f>+'S CF'!E28+'W CF'!E28+'Stesha CF'!E28</f>
        <v/>
      </c>
      <c r="F28" s="608">
        <f>+'S CF'!F28+'W CF'!F28+'Stesha CF'!F28</f>
        <v/>
      </c>
      <c r="G28" s="608">
        <f>+'S CF'!G28+'W CF'!G28+'Stesha CF'!G28</f>
        <v/>
      </c>
      <c r="H28" s="608">
        <f>+'S CF'!H28+'W CF'!H28+'Stesha CF'!H28</f>
        <v/>
      </c>
      <c r="I28" s="608">
        <f>+'S CF'!I28+'W CF'!I28+'Stesha CF'!I28</f>
        <v/>
      </c>
      <c r="J28" s="608">
        <f>+'S CF'!J28+'W CF'!J28+'Stesha CF'!J28</f>
        <v/>
      </c>
      <c r="K28" s="608">
        <f>+'S CF'!K28+'W CF'!K28+'Stesha CF'!K28</f>
        <v/>
      </c>
      <c r="L28" s="608">
        <f>+'S CF'!L28+'W CF'!L28+'Stesha CF'!L28</f>
        <v/>
      </c>
      <c r="M28" s="608">
        <f>+'S CF'!M28+'W CF'!M28+'Stesha CF'!M28</f>
        <v/>
      </c>
      <c r="N28" s="957">
        <f>+'S CF'!N28+'W CF'!N28+'Stesha CF'!N28</f>
        <v/>
      </c>
      <c r="O28" s="1700" t="n"/>
    </row>
    <row r="29" ht="15" customHeight="1">
      <c r="B29" s="1693" t="inlineStr">
        <is>
          <t>Share capital increase in cash</t>
        </is>
      </c>
      <c r="C29" s="609">
        <f>+'S CF'!C29+'W CF'!C29+'Stesha CF'!C29</f>
        <v/>
      </c>
      <c r="D29" s="610">
        <f>+'S CF'!D29+'W CF'!D29+'Stesha CF'!D29</f>
        <v/>
      </c>
      <c r="E29" s="610">
        <f>+'S CF'!E29+'W CF'!E29+'Stesha CF'!E29</f>
        <v/>
      </c>
      <c r="F29" s="610">
        <f>+'S CF'!F29+'W CF'!F29+'Stesha CF'!F29</f>
        <v/>
      </c>
      <c r="G29" s="610">
        <f>+'S CF'!G29+'W CF'!G29+'Stesha CF'!G29</f>
        <v/>
      </c>
      <c r="H29" s="610">
        <f>+'S CF'!H29+'W CF'!H29+'Stesha CF'!H29</f>
        <v/>
      </c>
      <c r="I29" s="610">
        <f>+'S CF'!I29+'W CF'!I29+'Stesha CF'!I29</f>
        <v/>
      </c>
      <c r="J29" s="610">
        <f>+'S CF'!J29+'W CF'!J29+'Stesha CF'!J29</f>
        <v/>
      </c>
      <c r="K29" s="610">
        <f>+'S CF'!K29+'W CF'!K29+'Stesha CF'!K29</f>
        <v/>
      </c>
      <c r="L29" s="610">
        <f>+'S CF'!L29+'W CF'!L29+'Stesha CF'!L29</f>
        <v/>
      </c>
      <c r="M29" s="610">
        <f>+'S CF'!M29+'W CF'!M29+'Stesha CF'!M29</f>
        <v/>
      </c>
      <c r="N29" s="958">
        <f>+'S CF'!N29+'W CF'!N29+'Stesha CF'!N29</f>
        <v/>
      </c>
      <c r="O29" s="1700" t="n"/>
    </row>
    <row r="30" ht="15" customHeight="1">
      <c r="B30" s="1696" t="inlineStr">
        <is>
          <t>Cash in (out) from financing</t>
        </is>
      </c>
      <c r="C30" s="615">
        <f>+'S CF'!C30+'W CF'!C30+'Stesha CF'!C30</f>
        <v/>
      </c>
      <c r="D30" s="616">
        <f>+'S CF'!D30+'W CF'!D30+'Stesha CF'!D30</f>
        <v/>
      </c>
      <c r="E30" s="616">
        <f>+'S CF'!E30+'W CF'!E30+'Stesha CF'!E30</f>
        <v/>
      </c>
      <c r="F30" s="616">
        <f>+'S CF'!F30+'W CF'!F30+'Stesha CF'!F30</f>
        <v/>
      </c>
      <c r="G30" s="616">
        <f>+'S CF'!G30+'W CF'!G30+'Stesha CF'!G30</f>
        <v/>
      </c>
      <c r="H30" s="616">
        <f>+'S CF'!H30+'W CF'!H30+'Stesha CF'!H30</f>
        <v/>
      </c>
      <c r="I30" s="616">
        <f>+'S CF'!I30+'W CF'!I30+'Stesha CF'!I30</f>
        <v/>
      </c>
      <c r="J30" s="616">
        <f>+'S CF'!J30+'W CF'!J30+'Stesha CF'!J30</f>
        <v/>
      </c>
      <c r="K30" s="616">
        <f>+'S CF'!K30+'W CF'!K30+'Stesha CF'!K30</f>
        <v/>
      </c>
      <c r="L30" s="616">
        <f>+'S CF'!L30+'W CF'!L30+'Stesha CF'!L30</f>
        <v/>
      </c>
      <c r="M30" s="616">
        <f>+'S CF'!M30+'W CF'!M30+'Stesha CF'!M30</f>
        <v/>
      </c>
      <c r="N30" s="960">
        <f>+'S CF'!N30+'W CF'!N30+'Stesha CF'!N30</f>
        <v/>
      </c>
      <c r="O30" s="1700" t="n"/>
    </row>
    <row r="31" ht="15" customHeight="1" thickBot="1">
      <c r="B31" s="1697" t="inlineStr">
        <is>
          <t>Net Cash in (out)</t>
        </is>
      </c>
      <c r="C31" s="618">
        <f>+'S CF'!C31+'W CF'!C31+'Stesha CF'!C31</f>
        <v/>
      </c>
      <c r="D31" s="619">
        <f>+'S CF'!D31+'W CF'!D31+'Stesha CF'!D31</f>
        <v/>
      </c>
      <c r="E31" s="619">
        <f>+'S CF'!E31+'W CF'!E31+'Stesha CF'!E31</f>
        <v/>
      </c>
      <c r="F31" s="619">
        <f>+'S CF'!F31+'W CF'!F31+'Stesha CF'!F31</f>
        <v/>
      </c>
      <c r="G31" s="619">
        <f>+'S CF'!G31+'W CF'!G31+'Stesha CF'!G31</f>
        <v/>
      </c>
      <c r="H31" s="619">
        <f>+'S CF'!H31+'W CF'!H31+'Stesha CF'!H31</f>
        <v/>
      </c>
      <c r="I31" s="619">
        <f>+'S CF'!I31+'W CF'!I31+'Stesha CF'!I31</f>
        <v/>
      </c>
      <c r="J31" s="619">
        <f>+'S CF'!J31+'W CF'!J31+'Stesha CF'!J31</f>
        <v/>
      </c>
      <c r="K31" s="619">
        <f>+'S CF'!K31+'W CF'!K31+'Stesha CF'!K31</f>
        <v/>
      </c>
      <c r="L31" s="619">
        <f>+'S CF'!L31+'W CF'!L31+'Stesha CF'!L31</f>
        <v/>
      </c>
      <c r="M31" s="619">
        <f>+'S CF'!M31+'W CF'!M31+'Stesha CF'!M31</f>
        <v/>
      </c>
      <c r="N31" s="961">
        <f>+'S CF'!N31+'W CF'!N31+'Stesha CF'!N31</f>
        <v/>
      </c>
      <c r="O31" s="1700" t="n"/>
    </row>
    <row r="32" ht="15" customFormat="1" customHeight="1" s="592">
      <c r="B32" s="620" t="n"/>
      <c r="O32" s="1700" t="n"/>
    </row>
    <row r="33" ht="15" customHeight="1">
      <c r="B33" s="621" t="inlineStr">
        <is>
          <t>Cash on Hand at the beginning</t>
        </is>
      </c>
      <c r="C33" s="622">
        <f>+'S CF'!C33+'W CF'!C33+'Stesha CF'!C33</f>
        <v/>
      </c>
      <c r="D33" s="622">
        <f>C35</f>
        <v/>
      </c>
      <c r="E33" s="622">
        <f>D35</f>
        <v/>
      </c>
      <c r="F33" s="622">
        <f>E35</f>
        <v/>
      </c>
      <c r="G33" s="622">
        <f>F35</f>
        <v/>
      </c>
      <c r="H33" s="622">
        <f>G35</f>
        <v/>
      </c>
      <c r="I33" s="622">
        <f>H35</f>
        <v/>
      </c>
      <c r="J33" s="622">
        <f>I35</f>
        <v/>
      </c>
      <c r="K33" s="622">
        <f>J35</f>
        <v/>
      </c>
      <c r="L33" s="622">
        <f>K35</f>
        <v/>
      </c>
      <c r="M33" s="622">
        <f>L35</f>
        <v/>
      </c>
      <c r="N33" s="622">
        <f>M35</f>
        <v/>
      </c>
    </row>
    <row r="34" ht="15" customHeight="1">
      <c r="B34" s="623" t="inlineStr">
        <is>
          <t>Cash In (out) this month</t>
        </is>
      </c>
      <c r="C34" s="624">
        <f>C31</f>
        <v/>
      </c>
      <c r="D34" s="624">
        <f>D31</f>
        <v/>
      </c>
      <c r="E34" s="624">
        <f>E31</f>
        <v/>
      </c>
      <c r="F34" s="624">
        <f>F31</f>
        <v/>
      </c>
      <c r="G34" s="624">
        <f>G31</f>
        <v/>
      </c>
      <c r="H34" s="624">
        <f>H31</f>
        <v/>
      </c>
      <c r="I34" s="624">
        <f>I31</f>
        <v/>
      </c>
      <c r="J34" s="624">
        <f>J31</f>
        <v/>
      </c>
      <c r="K34" s="624">
        <f>K31</f>
        <v/>
      </c>
      <c r="L34" s="624">
        <f>L31</f>
        <v/>
      </c>
      <c r="M34" s="624">
        <f>M31</f>
        <v/>
      </c>
      <c r="N34" s="624">
        <f>N31</f>
        <v/>
      </c>
    </row>
    <row r="35" ht="15" customHeight="1">
      <c r="B35" s="625" t="inlineStr">
        <is>
          <t>Cash on Hand at the end</t>
        </is>
      </c>
      <c r="C35" s="626">
        <f>C33+C34</f>
        <v/>
      </c>
      <c r="D35" s="626">
        <f>D33+D34</f>
        <v/>
      </c>
      <c r="E35" s="626">
        <f>E33+E34</f>
        <v/>
      </c>
      <c r="F35" s="626">
        <f>F33+F34</f>
        <v/>
      </c>
      <c r="G35" s="626">
        <f>G33+G34</f>
        <v/>
      </c>
      <c r="H35" s="626">
        <f>H33+H34</f>
        <v/>
      </c>
      <c r="I35" s="626">
        <f>I33+I34</f>
        <v/>
      </c>
      <c r="J35" s="626">
        <f>J33+J34</f>
        <v/>
      </c>
      <c r="K35" s="626">
        <f>K33+K34</f>
        <v/>
      </c>
      <c r="L35" s="626">
        <f>L33+L34</f>
        <v/>
      </c>
      <c r="M35" s="626">
        <f>M33+M34</f>
        <v/>
      </c>
      <c r="N35" s="626">
        <f>N33+N34</f>
        <v/>
      </c>
    </row>
    <row r="36" hidden="1" ht="15" customHeight="1">
      <c r="B36" s="627" t="inlineStr">
        <is>
          <t>Check -&gt;</t>
        </is>
      </c>
      <c r="C36" s="762">
        <f>+'S CF'!C35+'W CF'!C35+'Stesha CF'!C35-C35</f>
        <v/>
      </c>
      <c r="D36" s="762">
        <f>+'S CF'!D35+'W CF'!D35+'Stesha CF'!D35-D35</f>
        <v/>
      </c>
      <c r="E36" s="762">
        <f>+'S CF'!E35+'W CF'!E35+'Stesha CF'!E35-E35</f>
        <v/>
      </c>
      <c r="F36" s="762">
        <f>+'S CF'!F35+'W CF'!F35+'Stesha CF'!F35-F35</f>
        <v/>
      </c>
      <c r="G36" s="762">
        <f>+'S CF'!G35+'W CF'!G35+'Stesha CF'!G35-G35</f>
        <v/>
      </c>
      <c r="H36" s="762">
        <f>+'S CF'!H35+'W CF'!H35+'Stesha CF'!H35-H35</f>
        <v/>
      </c>
      <c r="I36" s="762">
        <f>+'S CF'!I35+'W CF'!I35+'Stesha CF'!I35-I35</f>
        <v/>
      </c>
      <c r="J36" s="762">
        <f>+'S CF'!J35+'W CF'!J35+'Stesha CF'!J35-J35</f>
        <v/>
      </c>
      <c r="K36" s="762">
        <f>+'S CF'!K35+'W CF'!K35+'Stesha CF'!K35-K35</f>
        <v/>
      </c>
      <c r="L36" s="762">
        <f>+'S CF'!L35+'W CF'!L35+'Stesha CF'!L35-L35</f>
        <v/>
      </c>
      <c r="M36" s="762">
        <f>+'S CF'!M35+'W CF'!M35+'Stesha CF'!M35-M35</f>
        <v/>
      </c>
      <c r="N36" s="762">
        <f>+'S CF'!N35+'W CF'!N35+'Stesha CF'!N35-N35</f>
        <v/>
      </c>
    </row>
    <row r="37" ht="15" customHeight="1">
      <c r="C37" s="1704">
        <f>+'S CF'!C35+'W CF'!C35+'Stesha CF'!C35-C35</f>
        <v/>
      </c>
      <c r="D37" s="1704">
        <f>+'S CF'!D35+'W CF'!D35+'Stesha CF'!D35-D35</f>
        <v/>
      </c>
      <c r="E37" s="1704">
        <f>+'S CF'!E35+'W CF'!E35+'Stesha CF'!E35-E35</f>
        <v/>
      </c>
      <c r="F37" s="1704">
        <f>+'S CF'!F35+'W CF'!F35+'Stesha CF'!F35-F35</f>
        <v/>
      </c>
      <c r="G37" s="1704">
        <f>+'S CF'!G35+'W CF'!G35+'Stesha CF'!G35-G35</f>
        <v/>
      </c>
      <c r="H37" s="1704">
        <f>+'S CF'!H35+'W CF'!H35+'Stesha CF'!H35-H35</f>
        <v/>
      </c>
      <c r="I37" s="1704">
        <f>+'S CF'!I35+'W CF'!I35+'Stesha CF'!I35-I35</f>
        <v/>
      </c>
      <c r="J37" s="1704">
        <f>+'S CF'!J35+'W CF'!J35+'Stesha CF'!J35-J35</f>
        <v/>
      </c>
      <c r="K37" s="1704">
        <f>+'S CF'!K35+'W CF'!K35+'Stesha CF'!K35-K35</f>
        <v/>
      </c>
      <c r="L37" s="1704">
        <f>+'S CF'!L35+'W CF'!L35+'Stesha CF'!L35-L35</f>
        <v/>
      </c>
      <c r="M37" s="1704">
        <f>+'S CF'!M35+'W CF'!M35+'Stesha CF'!M35-M35</f>
        <v/>
      </c>
      <c r="N37" s="1704">
        <f>+'S CF'!N35+'W CF'!N35+'Stesha CF'!N35-N35</f>
        <v/>
      </c>
    </row>
    <row r="38" ht="15" customHeight="1">
      <c r="J38" s="1049" t="n"/>
      <c r="K38" s="592" t="n"/>
      <c r="L38" s="592" t="n"/>
      <c r="M38" s="592" t="n"/>
      <c r="N38" s="592" t="n"/>
    </row>
    <row r="39" ht="15" customHeight="1">
      <c r="J39" s="1049" t="n"/>
    </row>
  </sheetData>
  <mergeCells count="1">
    <mergeCell ref="B3:B4"/>
  </mergeCells>
  <pageMargins left="0" right="0" top="0.7480314960629921" bottom="0.7480314960629921" header="0.3149606299212598" footer="0.3149606299212598"/>
  <pageSetup orientation="landscape" paperSize="9" scale="5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B1:O50"/>
  <sheetViews>
    <sheetView showGridLines="0" showZeros="0" zoomScale="80" zoomScaleNormal="80" workbookViewId="0">
      <pane xSplit="2" ySplit="4" topLeftCell="C5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H1" sqref="H1:H1048576"/>
    </sheetView>
  </sheetViews>
  <sheetFormatPr baseColWidth="8" defaultColWidth="9.21875" defaultRowHeight="11.4"/>
  <cols>
    <col width="0.77734375" customWidth="1" style="714" min="1" max="1"/>
    <col width="29" customWidth="1" style="714" min="2" max="2"/>
    <col width="15.77734375" bestFit="1" customWidth="1" style="714" min="3" max="4"/>
    <col width="15.21875" bestFit="1" customWidth="1" style="714" min="5" max="5"/>
    <col width="15.44140625" bestFit="1" customWidth="1" style="714" min="6" max="6"/>
    <col width="17.21875" bestFit="1" customWidth="1" style="714" min="7" max="7"/>
    <col width="17.77734375" bestFit="1" customWidth="1" style="714" min="8" max="8"/>
    <col width="15.44140625" bestFit="1" customWidth="1" style="714" min="9" max="10"/>
    <col width="15.21875" bestFit="1" customWidth="1" style="714" min="11" max="11"/>
    <col width="15.77734375" bestFit="1" customWidth="1" style="714" min="12" max="12"/>
    <col width="15.44140625" bestFit="1" customWidth="1" style="714" min="13" max="14"/>
    <col width="17.44140625" bestFit="1" customWidth="1" style="714" min="15" max="15"/>
    <col width="9.21875" customWidth="1" style="714" min="16" max="16384"/>
  </cols>
  <sheetData>
    <row r="1" ht="15" customHeight="1">
      <c r="B1" s="1707" t="inlineStr">
        <is>
          <t>JSC Poultry Production Severnaya</t>
        </is>
      </c>
      <c r="C1" s="1708" t="n"/>
      <c r="D1" s="1708" t="n"/>
      <c r="E1" s="1708" t="n"/>
      <c r="F1" s="1708" t="n"/>
      <c r="G1" s="1708" t="n"/>
      <c r="H1" s="1708" t="n"/>
      <c r="I1" s="1708" t="n"/>
      <c r="J1" s="1708" t="n"/>
      <c r="K1" s="1708" t="n"/>
      <c r="L1" s="1708" t="n"/>
      <c r="M1" s="1708" t="n"/>
      <c r="N1" s="1709" t="n"/>
      <c r="O1" s="1709" t="n"/>
    </row>
    <row r="2" ht="15" customHeight="1" thickBot="1">
      <c r="B2" s="1707" t="inlineStr">
        <is>
          <t>Monthly Cash Flow Report</t>
        </is>
      </c>
      <c r="C2" s="1708" t="n"/>
      <c r="D2" s="1708" t="n"/>
      <c r="E2" s="1708" t="n"/>
      <c r="F2" s="1708" t="n"/>
      <c r="G2" s="1708" t="n"/>
      <c r="H2" s="1708" t="n"/>
      <c r="I2" s="1708" t="n"/>
      <c r="J2" s="1708" t="n"/>
      <c r="K2" s="1708" t="n"/>
      <c r="L2" s="1708" t="n"/>
      <c r="M2" s="1708" t="n"/>
      <c r="N2" s="1710" t="n"/>
      <c r="O2" s="1710" t="n"/>
    </row>
    <row r="3" ht="15" customHeight="1">
      <c r="B3" s="1711" t="inlineStr">
        <is>
          <t>Criteria</t>
        </is>
      </c>
      <c r="C3" s="1712" t="n">
        <v>2025</v>
      </c>
      <c r="D3" s="1713" t="n"/>
      <c r="E3" s="1713" t="n"/>
      <c r="F3" s="1713" t="n"/>
      <c r="G3" s="1713" t="n"/>
      <c r="H3" s="1713" t="n"/>
      <c r="I3" s="1713" t="n"/>
      <c r="J3" s="1713" t="n"/>
      <c r="K3" s="1713" t="n"/>
      <c r="L3" s="1713" t="n"/>
      <c r="M3" s="1713" t="n"/>
      <c r="N3" s="1714" t="n"/>
      <c r="O3" s="1715" t="n"/>
    </row>
    <row r="4" ht="15" customHeight="1" thickBot="1">
      <c r="B4" s="1688" t="n"/>
      <c r="C4" s="1716" t="inlineStr">
        <is>
          <t>Jan</t>
        </is>
      </c>
      <c r="D4" s="1716" t="inlineStr">
        <is>
          <t>Feb</t>
        </is>
      </c>
      <c r="E4" s="1716" t="inlineStr">
        <is>
          <t>Mar</t>
        </is>
      </c>
      <c r="F4" s="1716" t="inlineStr">
        <is>
          <t>Apr</t>
        </is>
      </c>
      <c r="G4" s="1716" t="inlineStr">
        <is>
          <t>May</t>
        </is>
      </c>
      <c r="H4" s="1716" t="inlineStr">
        <is>
          <t>Jun</t>
        </is>
      </c>
      <c r="I4" s="1716" t="inlineStr">
        <is>
          <t>Jul</t>
        </is>
      </c>
      <c r="J4" s="1716" t="inlineStr">
        <is>
          <t>Aug</t>
        </is>
      </c>
      <c r="K4" s="1716" t="inlineStr">
        <is>
          <t>Sep</t>
        </is>
      </c>
      <c r="L4" s="1716" t="inlineStr">
        <is>
          <t>Oct</t>
        </is>
      </c>
      <c r="M4" s="1716" t="inlineStr">
        <is>
          <t>Nov</t>
        </is>
      </c>
      <c r="N4" s="1717" t="inlineStr">
        <is>
          <t>Dec</t>
        </is>
      </c>
      <c r="O4" s="1688" t="n"/>
    </row>
    <row r="5">
      <c r="B5" s="1718" t="inlineStr">
        <is>
          <t>Net Operational Income</t>
        </is>
      </c>
      <c r="C5" s="726" t="n">
        <v>157004172.5645494</v>
      </c>
      <c r="D5" s="727" t="n">
        <v>62904887.34000105</v>
      </c>
      <c r="E5" s="727" t="n">
        <v>60544550.72000042</v>
      </c>
      <c r="F5" s="727" t="n">
        <v>192333956.6599995</v>
      </c>
      <c r="G5" s="727" t="n">
        <v>422371911.1600032</v>
      </c>
      <c r="H5" s="727" t="n">
        <v>392988220.6500008</v>
      </c>
      <c r="I5" s="727" t="n">
        <v>506033015.9536512</v>
      </c>
      <c r="J5" s="727" t="n">
        <v>443686489.5570309</v>
      </c>
      <c r="K5" s="727" t="n">
        <v>426519921.0372448</v>
      </c>
      <c r="L5" s="727" t="n">
        <v>323798785.6036048</v>
      </c>
      <c r="M5" s="727" t="n">
        <v>245536474.0776238</v>
      </c>
      <c r="N5" s="728" t="n">
        <v>156146934.5905943</v>
      </c>
      <c r="O5" s="728">
        <f>SUM(C5:N5)</f>
        <v/>
      </c>
    </row>
    <row r="6">
      <c r="B6" s="1718" t="inlineStr">
        <is>
          <t>Correction on prior year income</t>
        </is>
      </c>
      <c r="C6" s="726" t="n">
        <v>0</v>
      </c>
      <c r="D6" s="726" t="n">
        <v>0</v>
      </c>
      <c r="E6" s="727" t="n">
        <v>0</v>
      </c>
      <c r="F6" s="727" t="n">
        <v>0</v>
      </c>
      <c r="G6" s="727" t="n">
        <v>0</v>
      </c>
      <c r="H6" s="727" t="n">
        <v>0</v>
      </c>
      <c r="I6" s="727" t="n">
        <v>0</v>
      </c>
      <c r="J6" s="727" t="n">
        <v>0</v>
      </c>
      <c r="K6" s="727" t="n">
        <v>0</v>
      </c>
      <c r="L6" s="727" t="n">
        <v>0</v>
      </c>
      <c r="M6" s="727" t="n">
        <v>0</v>
      </c>
      <c r="N6" s="728" t="n">
        <v>0</v>
      </c>
      <c r="O6" s="728">
        <f>SUM(C6:N6)</f>
        <v/>
      </c>
    </row>
    <row r="7">
      <c r="B7" s="1718" t="inlineStr">
        <is>
          <t>Allowance for Bad Debt</t>
        </is>
      </c>
      <c r="C7" s="726" t="n">
        <v>-40000</v>
      </c>
      <c r="D7" s="727" t="n">
        <v>411000</v>
      </c>
      <c r="E7" s="727" t="n">
        <v>1557000</v>
      </c>
      <c r="F7" s="727" t="n">
        <v>-2006000</v>
      </c>
      <c r="G7" s="727" t="n">
        <v>104000</v>
      </c>
      <c r="H7" s="727" t="n">
        <v>-117000</v>
      </c>
      <c r="I7" s="727" t="n">
        <v>0</v>
      </c>
      <c r="J7" s="727" t="n">
        <v>0</v>
      </c>
      <c r="K7" s="727" t="n">
        <v>0</v>
      </c>
      <c r="L7" s="727" t="n">
        <v>0</v>
      </c>
      <c r="M7" s="727" t="n">
        <v>0</v>
      </c>
      <c r="N7" s="728" t="n">
        <v>0</v>
      </c>
      <c r="O7" s="728">
        <f>SUM(C7:N7)</f>
        <v/>
      </c>
    </row>
    <row r="8">
      <c r="B8" s="1718" t="inlineStr">
        <is>
          <t>Provision for retirement fund</t>
        </is>
      </c>
      <c r="C8" s="737" t="n">
        <v>0</v>
      </c>
      <c r="D8" s="727" t="n">
        <v>0</v>
      </c>
      <c r="E8" s="727" t="n">
        <v>0</v>
      </c>
      <c r="F8" s="727" t="n">
        <v>0</v>
      </c>
      <c r="G8" s="727" t="n">
        <v>0</v>
      </c>
      <c r="H8" s="727" t="n">
        <v>0</v>
      </c>
      <c r="I8" s="727" t="n">
        <v>0</v>
      </c>
      <c r="J8" s="727" t="n">
        <v>0</v>
      </c>
      <c r="K8" s="727" t="n">
        <v>0</v>
      </c>
      <c r="L8" s="727" t="n">
        <v>0</v>
      </c>
      <c r="M8" s="727" t="n">
        <v>0</v>
      </c>
      <c r="N8" s="728" t="n">
        <v>0</v>
      </c>
      <c r="O8" s="728">
        <f>SUM(C8:N8)</f>
        <v/>
      </c>
    </row>
    <row r="9">
      <c r="B9" s="1718" t="inlineStr">
        <is>
          <t>Income Tax payable</t>
        </is>
      </c>
      <c r="C9" s="726" t="n">
        <v>0</v>
      </c>
      <c r="D9" s="727" t="n">
        <v>0</v>
      </c>
      <c r="E9" s="727" t="n">
        <v>0</v>
      </c>
      <c r="F9" s="727" t="n">
        <v>9899000</v>
      </c>
      <c r="G9" s="727" t="n">
        <v>9079000</v>
      </c>
      <c r="H9" s="727" t="n">
        <v>9373000</v>
      </c>
      <c r="I9" s="727" t="n">
        <v>-28351000</v>
      </c>
      <c r="J9" s="727" t="n">
        <v>0</v>
      </c>
      <c r="K9" s="727" t="n">
        <v>0</v>
      </c>
      <c r="L9" s="727" t="n">
        <v>0</v>
      </c>
      <c r="M9" s="727" t="n">
        <v>0</v>
      </c>
      <c r="N9" s="728" t="n">
        <v>0</v>
      </c>
      <c r="O9" s="728">
        <f>SUM(C9:N9)</f>
        <v/>
      </c>
    </row>
    <row r="10">
      <c r="B10" s="1718" t="inlineStr">
        <is>
          <t>Accumulated Depreciation</t>
        </is>
      </c>
      <c r="C10" s="738" t="n">
        <v>64064000</v>
      </c>
      <c r="D10" s="739" t="n">
        <v>64074000</v>
      </c>
      <c r="E10" s="739" t="n">
        <v>55919000</v>
      </c>
      <c r="F10" s="739" t="n">
        <v>54975000</v>
      </c>
      <c r="G10" s="739" t="n">
        <v>71307000</v>
      </c>
      <c r="H10" s="739" t="n">
        <v>52135000</v>
      </c>
      <c r="I10" s="739" t="n">
        <v>73594816.77222252</v>
      </c>
      <c r="J10" s="739" t="n">
        <v>73706414.16250038</v>
      </c>
      <c r="K10" s="739" t="n">
        <v>72687597.71111107</v>
      </c>
      <c r="L10" s="739" t="n">
        <v>72833988.18055534</v>
      </c>
      <c r="M10" s="739" t="n">
        <v>74580378.64999962</v>
      </c>
      <c r="N10" s="740" t="n">
        <v>73126769.11944389</v>
      </c>
      <c r="O10" s="728">
        <f>SUM(C10:N10)</f>
        <v/>
      </c>
    </row>
    <row r="11" ht="12" customHeight="1">
      <c r="B11" s="1719" t="inlineStr">
        <is>
          <t>Cash in (out) from operation</t>
        </is>
      </c>
      <c r="C11" s="734" t="n">
        <v>221028172.5645494</v>
      </c>
      <c r="D11" s="743" t="n">
        <v>127389887.340001</v>
      </c>
      <c r="E11" s="743" t="n">
        <v>118020550.7200004</v>
      </c>
      <c r="F11" s="743" t="n">
        <v>255201956.6599995</v>
      </c>
      <c r="G11" s="743" t="n">
        <v>502861911.1600032</v>
      </c>
      <c r="H11" s="743" t="n">
        <v>454379220.6500008</v>
      </c>
      <c r="I11" s="743" t="n">
        <v>551276832.7258737</v>
      </c>
      <c r="J11" s="743" t="n">
        <v>517392903.7195313</v>
      </c>
      <c r="K11" s="743" t="n">
        <v>499207518.7483559</v>
      </c>
      <c r="L11" s="743" t="n">
        <v>396632773.7841601</v>
      </c>
      <c r="M11" s="743" t="n">
        <v>320116852.7276235</v>
      </c>
      <c r="N11" s="744" t="n">
        <v>229273703.7100382</v>
      </c>
      <c r="O11" s="728">
        <f>SUM(C11:N11)</f>
        <v/>
      </c>
    </row>
    <row r="12">
      <c r="B12" s="1718" t="inlineStr">
        <is>
          <t xml:space="preserve">Payable </t>
        </is>
      </c>
      <c r="C12" s="726" t="n">
        <v>-282770000.03</v>
      </c>
      <c r="D12" s="727" t="n">
        <v>-334276999.97</v>
      </c>
      <c r="E12" s="727" t="n">
        <v>284323000.01</v>
      </c>
      <c r="F12" s="727" t="n">
        <v>167642999.99</v>
      </c>
      <c r="G12" s="727" t="n">
        <v>-75082000.19000006</v>
      </c>
      <c r="H12" s="727" t="n">
        <v>4308999.888198137</v>
      </c>
      <c r="I12" s="727" t="n">
        <v>-12121524.98032022</v>
      </c>
      <c r="J12" s="727" t="n">
        <v>279816951.8285729</v>
      </c>
      <c r="K12" s="727" t="n">
        <v>-80642297.14285815</v>
      </c>
      <c r="L12" s="727" t="n">
        <v>527218274.2857146</v>
      </c>
      <c r="M12" s="727" t="n">
        <v>23357702.85714149</v>
      </c>
      <c r="N12" s="728" t="n">
        <v>-308454797.1428552</v>
      </c>
      <c r="O12" s="728">
        <f>SUM(C12:N12)</f>
        <v/>
      </c>
    </row>
    <row r="13">
      <c r="B13" s="1718" t="inlineStr">
        <is>
          <t>Current Account</t>
        </is>
      </c>
      <c r="C13" s="726" t="n">
        <v>0</v>
      </c>
      <c r="D13" s="727" t="n">
        <v>0</v>
      </c>
      <c r="E13" s="727" t="n">
        <v>0</v>
      </c>
      <c r="F13" s="727" t="n">
        <v>0</v>
      </c>
      <c r="G13" s="727" t="n">
        <v>0</v>
      </c>
      <c r="H13" s="727" t="n">
        <v>0</v>
      </c>
      <c r="I13" s="727" t="n">
        <v>0</v>
      </c>
      <c r="J13" s="727" t="n">
        <v>0</v>
      </c>
      <c r="K13" s="727" t="n">
        <v>0</v>
      </c>
      <c r="L13" s="727" t="n">
        <v>0</v>
      </c>
      <c r="M13" s="727" t="n">
        <v>0</v>
      </c>
      <c r="N13" s="728" t="n">
        <v>0</v>
      </c>
      <c r="O13" s="728">
        <f>SUM(C13:N13)</f>
        <v/>
      </c>
    </row>
    <row r="14">
      <c r="B14" s="1718" t="inlineStr">
        <is>
          <t>Dividend Payable</t>
        </is>
      </c>
      <c r="C14" s="726" t="n">
        <v>0</v>
      </c>
      <c r="D14" s="727" t="n">
        <v>0</v>
      </c>
      <c r="E14" s="727" t="n">
        <v>0</v>
      </c>
      <c r="F14" s="727" t="n">
        <v>0</v>
      </c>
      <c r="G14" s="727" t="n">
        <v>0</v>
      </c>
      <c r="H14" s="727" t="n">
        <v>0</v>
      </c>
      <c r="I14" s="727" t="n">
        <v>-2219386001.11</v>
      </c>
      <c r="J14" s="727" t="n">
        <v>0</v>
      </c>
      <c r="K14" s="727" t="n">
        <v>0</v>
      </c>
      <c r="L14" s="727" t="n">
        <v>0</v>
      </c>
      <c r="M14" s="727" t="n">
        <v>0</v>
      </c>
      <c r="N14" s="728" t="n">
        <v>0</v>
      </c>
      <c r="O14" s="728">
        <f>SUM(C14:N14)</f>
        <v/>
      </c>
    </row>
    <row r="15">
      <c r="B15" s="1718" t="inlineStr">
        <is>
          <t>Other current and None Current liabilities</t>
        </is>
      </c>
      <c r="C15" s="738" t="n"/>
      <c r="D15" s="739" t="n"/>
      <c r="E15" s="739" t="n">
        <v>127796132.2299957</v>
      </c>
      <c r="F15" s="739" t="n">
        <v>26612927.76999617</v>
      </c>
      <c r="G15" s="739" t="n">
        <v>-84574478.51999617</v>
      </c>
      <c r="H15" s="739" t="n">
        <v>38239937.92180634</v>
      </c>
      <c r="I15" s="739" t="n">
        <v>0</v>
      </c>
      <c r="J15" s="739" t="n">
        <v>0</v>
      </c>
      <c r="K15" s="739" t="n">
        <v>0</v>
      </c>
      <c r="L15" s="739" t="n">
        <v>0</v>
      </c>
      <c r="M15" s="739" t="n">
        <v>0</v>
      </c>
      <c r="N15" s="740" t="n">
        <v>0</v>
      </c>
      <c r="O15" s="740">
        <f>SUM(C15:N15)</f>
        <v/>
      </c>
    </row>
    <row r="16" ht="12" customHeight="1">
      <c r="B16" s="1719" t="inlineStr">
        <is>
          <t>Cash in (out) from liabilities</t>
        </is>
      </c>
      <c r="C16" s="734" t="n">
        <v>-282770000.03</v>
      </c>
      <c r="D16" s="743" t="n">
        <v>-334276999.97</v>
      </c>
      <c r="E16" s="743" t="n">
        <v>412119132.2399957</v>
      </c>
      <c r="F16" s="743" t="n">
        <v>194255927.7599962</v>
      </c>
      <c r="G16" s="743" t="n">
        <v>-159656478.7099962</v>
      </c>
      <c r="H16" s="743" t="n">
        <v>42548937.81000447</v>
      </c>
      <c r="I16" s="743" t="n">
        <v>-2231507526.090321</v>
      </c>
      <c r="J16" s="743" t="n">
        <v>279816951.8285729</v>
      </c>
      <c r="K16" s="743" t="n">
        <v>-80642297.14285815</v>
      </c>
      <c r="L16" s="743" t="n">
        <v>527218274.2857146</v>
      </c>
      <c r="M16" s="743" t="n">
        <v>23357702.85714149</v>
      </c>
      <c r="N16" s="744" t="n">
        <v>-308454797.1428552</v>
      </c>
      <c r="O16" s="744">
        <f>SUM(C16:N16)</f>
        <v/>
      </c>
    </row>
    <row r="17">
      <c r="B17" s="1718" t="inlineStr">
        <is>
          <t>Accounts receivable &amp; checks on hand-trade</t>
        </is>
      </c>
      <c r="C17" s="726" t="n">
        <v>139443958.8399999</v>
      </c>
      <c r="D17" s="727" t="n">
        <v>-91084525.06999993</v>
      </c>
      <c r="E17" s="727" t="n">
        <v>174011696.2399999</v>
      </c>
      <c r="F17" s="727" t="n">
        <v>158250303.83</v>
      </c>
      <c r="G17" s="727" t="n">
        <v>-86566415.95000005</v>
      </c>
      <c r="H17" s="727" t="n">
        <v>-146471647.66</v>
      </c>
      <c r="I17" s="727" t="n">
        <v>-240986962.672151</v>
      </c>
      <c r="J17" s="727" t="n">
        <v>115554779.910707</v>
      </c>
      <c r="K17" s="727" t="n">
        <v>-214856244.212944</v>
      </c>
      <c r="L17" s="727" t="n">
        <v>156595403.784145</v>
      </c>
      <c r="M17" s="727" t="n">
        <v>-185867349.737991</v>
      </c>
      <c r="N17" s="728" t="n">
        <v>5476765.067496955</v>
      </c>
      <c r="O17" s="728">
        <f>SUM(C17:N17)</f>
        <v/>
      </c>
    </row>
    <row r="18">
      <c r="B18" s="1718" t="inlineStr">
        <is>
          <t>Short-term Loan Receivable</t>
        </is>
      </c>
      <c r="C18" s="726" t="n">
        <v>0</v>
      </c>
      <c r="D18" s="727" t="n">
        <v>0</v>
      </c>
      <c r="E18" s="727" t="n">
        <v>-3270000000</v>
      </c>
      <c r="F18" s="727" t="n">
        <v>0</v>
      </c>
      <c r="G18" s="727" t="n">
        <v>0</v>
      </c>
      <c r="H18" s="727" t="n">
        <v>0</v>
      </c>
      <c r="I18" s="727" t="n">
        <v>0</v>
      </c>
      <c r="J18" s="727" t="n">
        <v>0</v>
      </c>
      <c r="K18" s="727" t="n">
        <v>0</v>
      </c>
      <c r="L18" s="727" t="n">
        <v>0</v>
      </c>
      <c r="M18" s="727" t="n">
        <v>0</v>
      </c>
      <c r="N18" s="728" t="n">
        <v>0</v>
      </c>
      <c r="O18" s="728">
        <f>SUM(C18:N18)</f>
        <v/>
      </c>
    </row>
    <row r="19">
      <c r="B19" s="1718" t="inlineStr">
        <is>
          <t>Inventories</t>
        </is>
      </c>
      <c r="C19" s="726" t="n">
        <v>25485000</v>
      </c>
      <c r="D19" s="727" t="n">
        <v>-388656000</v>
      </c>
      <c r="E19" s="727" t="n">
        <v>-3521000</v>
      </c>
      <c r="F19" s="727" t="n">
        <v>-402510000</v>
      </c>
      <c r="G19" s="727" t="n">
        <v>-354827000</v>
      </c>
      <c r="H19" s="727" t="n">
        <v>-321377000</v>
      </c>
      <c r="I19" s="727" t="n">
        <v>500000000</v>
      </c>
      <c r="J19" s="727" t="n">
        <v>700000000</v>
      </c>
      <c r="K19" s="727" t="n">
        <v>700000000</v>
      </c>
      <c r="L19" s="727" t="n">
        <v>700000000</v>
      </c>
      <c r="M19" s="727" t="n">
        <v>600000000</v>
      </c>
      <c r="N19" s="728" t="n">
        <v>-350000000</v>
      </c>
      <c r="O19" s="728">
        <f>SUM(C19:N19)</f>
        <v/>
      </c>
    </row>
    <row r="20">
      <c r="B20" s="1718" t="inlineStr">
        <is>
          <t>Other Current and None Current Assets</t>
        </is>
      </c>
      <c r="C20" s="738" t="n">
        <v>48577268.48455</v>
      </c>
      <c r="D20" s="739" t="n">
        <v>-56581657.68999791</v>
      </c>
      <c r="E20" s="739" t="n">
        <v>3328592545</v>
      </c>
      <c r="F20" s="739" t="n">
        <v>-1064107384</v>
      </c>
      <c r="G20" s="739" t="n">
        <v>384588849.6700001</v>
      </c>
      <c r="H20" s="739" t="n">
        <v>68200000</v>
      </c>
      <c r="I20" s="739" t="n">
        <v>-2351302856.164383</v>
      </c>
      <c r="J20" s="739" t="n">
        <v>22887554.79452038</v>
      </c>
      <c r="K20" s="739" t="n">
        <v>22149246.57534266</v>
      </c>
      <c r="L20" s="739" t="n">
        <v>22887554.79452038</v>
      </c>
      <c r="M20" s="739" t="n">
        <v>22149246.57534266</v>
      </c>
      <c r="N20" s="740" t="n">
        <v>22887554.79452038</v>
      </c>
      <c r="O20" s="740">
        <f>SUM(C20:N20)</f>
        <v/>
      </c>
    </row>
    <row r="21" ht="12" customHeight="1">
      <c r="B21" s="1719" t="inlineStr">
        <is>
          <t>Cash out ( in ) from current assets</t>
        </is>
      </c>
      <c r="C21" s="734" t="n">
        <v>213506227.3245499</v>
      </c>
      <c r="D21" s="743" t="n">
        <v>-536322182.7599978</v>
      </c>
      <c r="E21" s="743" t="n">
        <v>229083241.2399998</v>
      </c>
      <c r="F21" s="743" t="n">
        <v>-1308367080.17</v>
      </c>
      <c r="G21" s="743" t="n">
        <v>-56804566.27999997</v>
      </c>
      <c r="H21" s="743" t="n">
        <v>-399648647.66</v>
      </c>
      <c r="I21" s="743" t="n">
        <v>-2092289818.836535</v>
      </c>
      <c r="J21" s="743" t="n">
        <v>838442334.7052274</v>
      </c>
      <c r="K21" s="743" t="n">
        <v>507293002.3623986</v>
      </c>
      <c r="L21" s="743" t="n">
        <v>879482958.5786654</v>
      </c>
      <c r="M21" s="743" t="n">
        <v>436281896.8373517</v>
      </c>
      <c r="N21" s="744" t="n">
        <v>-321635680.1379827</v>
      </c>
      <c r="O21" s="744">
        <f>SUM(C21:N21)</f>
        <v/>
      </c>
    </row>
    <row r="22">
      <c r="B22" s="1718" t="inlineStr">
        <is>
          <t>Property , plant and equipment</t>
        </is>
      </c>
      <c r="C22" s="737" t="n">
        <v>101022500</v>
      </c>
      <c r="D22" s="727" t="n">
        <v>369523000</v>
      </c>
      <c r="E22" s="727" t="n">
        <v>172936000</v>
      </c>
      <c r="F22" s="727" t="n">
        <v>139610000</v>
      </c>
      <c r="G22" s="727" t="n">
        <v>66005000</v>
      </c>
      <c r="H22" s="727" t="n">
        <v>126388000</v>
      </c>
      <c r="I22" s="727" t="n">
        <v>53350284.5</v>
      </c>
      <c r="J22" s="727" t="n">
        <v>53350284.5</v>
      </c>
      <c r="K22" s="727" t="n">
        <v>53350284.5</v>
      </c>
      <c r="L22" s="727" t="n">
        <v>53350284.5</v>
      </c>
      <c r="M22" s="727" t="n">
        <v>53350284.5</v>
      </c>
      <c r="N22" s="728" t="n">
        <v>53350284.5</v>
      </c>
      <c r="O22" s="728">
        <f>SUM(C22:N22)</f>
        <v/>
      </c>
    </row>
    <row r="23">
      <c r="B23" s="1718" t="inlineStr">
        <is>
          <t>Other Assets</t>
        </is>
      </c>
      <c r="C23" s="737" t="n"/>
      <c r="D23" s="727" t="n"/>
      <c r="E23" s="727" t="n"/>
      <c r="F23" s="727" t="n"/>
      <c r="G23" s="727" t="n">
        <v>-399263000</v>
      </c>
      <c r="H23" s="727" t="n"/>
      <c r="I23" s="727" t="n"/>
      <c r="J23" s="727" t="n"/>
      <c r="K23" s="727" t="n"/>
      <c r="L23" s="727" t="n"/>
      <c r="M23" s="727" t="n"/>
      <c r="N23" s="728" t="n"/>
      <c r="O23" s="728">
        <f>SUM(C23:N23)</f>
        <v/>
      </c>
    </row>
    <row r="24">
      <c r="B24" s="1718" t="inlineStr">
        <is>
          <t>Investment</t>
        </is>
      </c>
      <c r="C24" s="738" t="n">
        <v>0</v>
      </c>
      <c r="D24" s="739" t="n">
        <v>0</v>
      </c>
      <c r="E24" s="739" t="n">
        <v>0</v>
      </c>
      <c r="F24" s="739" t="n">
        <v>0</v>
      </c>
      <c r="G24" s="739" t="n">
        <v>0</v>
      </c>
      <c r="H24" s="739" t="n">
        <v>0</v>
      </c>
      <c r="I24" s="739" t="n">
        <v>0</v>
      </c>
      <c r="J24" s="739" t="n">
        <v>0</v>
      </c>
      <c r="K24" s="739" t="n">
        <v>0</v>
      </c>
      <c r="L24" s="739" t="n">
        <v>0</v>
      </c>
      <c r="M24" s="739" t="n">
        <v>0</v>
      </c>
      <c r="N24" s="740" t="n">
        <v>0</v>
      </c>
      <c r="O24" s="740">
        <f>SUM(C24:N24)</f>
        <v/>
      </c>
    </row>
    <row r="25" ht="12" customHeight="1">
      <c r="B25" s="1720" t="inlineStr">
        <is>
          <t>Cash out ( in ) from investing</t>
        </is>
      </c>
      <c r="C25" s="742" t="n">
        <v>101022500</v>
      </c>
      <c r="D25" s="743" t="n">
        <v>369523000</v>
      </c>
      <c r="E25" s="743" t="n">
        <v>172936000</v>
      </c>
      <c r="F25" s="743" t="n">
        <v>139610000</v>
      </c>
      <c r="G25" s="743" t="n">
        <v>-333258000</v>
      </c>
      <c r="H25" s="743" t="n">
        <v>126388000</v>
      </c>
      <c r="I25" s="743" t="n">
        <v>53350284.5</v>
      </c>
      <c r="J25" s="743" t="n">
        <v>53350284.5</v>
      </c>
      <c r="K25" s="743" t="n">
        <v>53350284.5</v>
      </c>
      <c r="L25" s="743" t="n">
        <v>53350284.5</v>
      </c>
      <c r="M25" s="743" t="n">
        <v>53350284.5</v>
      </c>
      <c r="N25" s="744" t="n">
        <v>53350284.5</v>
      </c>
      <c r="O25" s="744">
        <f>SUM(C25:N25)</f>
        <v/>
      </c>
    </row>
    <row r="26">
      <c r="B26" s="1718" t="inlineStr">
        <is>
          <t>Financial Institutions</t>
        </is>
      </c>
      <c r="C26" s="737" t="n">
        <v>-104170000</v>
      </c>
      <c r="D26" s="727" t="n">
        <v>-104170000</v>
      </c>
      <c r="E26" s="727" t="n">
        <v>-104170000</v>
      </c>
      <c r="F26" s="727" t="n">
        <v>-104170000</v>
      </c>
      <c r="G26" s="727" t="n">
        <v>-104170000</v>
      </c>
      <c r="H26" s="727" t="n">
        <v>-104170000</v>
      </c>
      <c r="I26" s="727" t="n">
        <v>-104170000</v>
      </c>
      <c r="J26" s="727" t="n">
        <v>-104170000</v>
      </c>
      <c r="K26" s="727" t="n">
        <v>-104170000</v>
      </c>
      <c r="L26" s="727" t="n">
        <v>-104170000</v>
      </c>
      <c r="M26" s="727" t="n">
        <v>-104170000</v>
      </c>
      <c r="N26" s="728" t="n">
        <v>-104090000</v>
      </c>
      <c r="O26" s="728">
        <f>SUM(C26:N26)</f>
        <v/>
      </c>
    </row>
    <row r="27">
      <c r="B27" s="1718" t="inlineStr">
        <is>
          <t>Short-term Loans</t>
        </is>
      </c>
      <c r="C27" s="737" t="n">
        <v>0</v>
      </c>
      <c r="D27" s="727" t="n">
        <v>0</v>
      </c>
      <c r="E27" s="727" t="n">
        <v>0</v>
      </c>
      <c r="F27" s="727" t="n">
        <v>-300000000</v>
      </c>
      <c r="G27" s="727" t="n">
        <v>150000000</v>
      </c>
      <c r="H27" s="727" t="n">
        <v>150000000</v>
      </c>
      <c r="I27" s="727" t="n">
        <v>0</v>
      </c>
      <c r="J27" s="727" t="n">
        <v>0</v>
      </c>
      <c r="K27" s="727" t="n">
        <v>0</v>
      </c>
      <c r="L27" s="727" t="n">
        <v>0</v>
      </c>
      <c r="M27" s="727" t="n">
        <v>-300000000</v>
      </c>
      <c r="N27" s="728" t="n">
        <v>0</v>
      </c>
      <c r="O27" s="728">
        <f>SUM(C27:N27)</f>
        <v/>
      </c>
    </row>
    <row r="28">
      <c r="B28" s="1718" t="inlineStr">
        <is>
          <t>Legal reserves</t>
        </is>
      </c>
      <c r="C28" s="737" t="n">
        <v>0</v>
      </c>
      <c r="D28" s="727" t="n">
        <v>0</v>
      </c>
      <c r="E28" s="727" t="n">
        <v>0</v>
      </c>
      <c r="F28" s="727" t="n">
        <v>0</v>
      </c>
      <c r="G28" s="727" t="n">
        <v>0</v>
      </c>
      <c r="H28" s="727" t="n">
        <v>0</v>
      </c>
      <c r="I28" s="727" t="n">
        <v>0</v>
      </c>
      <c r="J28" s="727" t="n">
        <v>0</v>
      </c>
      <c r="K28" s="727" t="n">
        <v>0</v>
      </c>
      <c r="L28" s="727" t="n">
        <v>0</v>
      </c>
      <c r="M28" s="727" t="n">
        <v>0</v>
      </c>
      <c r="N28" s="728" t="n">
        <v>0</v>
      </c>
      <c r="O28" s="728">
        <f>SUM(C28:N28)</f>
        <v/>
      </c>
    </row>
    <row r="29">
      <c r="B29" s="1718" t="inlineStr">
        <is>
          <t>Share capital increase in cash</t>
        </is>
      </c>
      <c r="C29" s="738" t="n">
        <v>0</v>
      </c>
      <c r="D29" s="739" t="n">
        <v>0</v>
      </c>
      <c r="E29" s="739" t="n">
        <v>0</v>
      </c>
      <c r="F29" s="739" t="n">
        <v>0</v>
      </c>
      <c r="G29" s="739" t="n">
        <v>0</v>
      </c>
      <c r="H29" s="739" t="n">
        <v>0</v>
      </c>
      <c r="I29" s="739" t="n">
        <v>0</v>
      </c>
      <c r="J29" s="739" t="n">
        <v>0</v>
      </c>
      <c r="K29" s="739" t="n">
        <v>0</v>
      </c>
      <c r="L29" s="739" t="n">
        <v>0</v>
      </c>
      <c r="M29" s="739" t="n">
        <v>0</v>
      </c>
      <c r="N29" s="740" t="n">
        <v>0</v>
      </c>
      <c r="O29" s="740">
        <f>SUM(C29:N29)</f>
        <v/>
      </c>
    </row>
    <row r="30" ht="12" customHeight="1">
      <c r="B30" s="1721" t="inlineStr">
        <is>
          <t>Cash in (out) from financing</t>
        </is>
      </c>
      <c r="C30" s="746" t="n">
        <v>-104170000</v>
      </c>
      <c r="D30" s="747" t="n">
        <v>-104170000</v>
      </c>
      <c r="E30" s="747" t="n">
        <v>-104170000</v>
      </c>
      <c r="F30" s="747" t="n">
        <v>-404170000</v>
      </c>
      <c r="G30" s="747" t="n">
        <v>45830000</v>
      </c>
      <c r="H30" s="747" t="n">
        <v>45830000</v>
      </c>
      <c r="I30" s="747" t="n">
        <v>-104170000</v>
      </c>
      <c r="J30" s="747" t="n">
        <v>-104170000</v>
      </c>
      <c r="K30" s="747" t="n">
        <v>-104170000</v>
      </c>
      <c r="L30" s="747" t="n">
        <v>-104170000</v>
      </c>
      <c r="M30" s="747" t="n">
        <v>-404170000</v>
      </c>
      <c r="N30" s="748" t="n">
        <v>-104090000</v>
      </c>
      <c r="O30" s="748">
        <f>SUM(C30:N30)</f>
        <v/>
      </c>
    </row>
    <row r="31" ht="12.6" customHeight="1" thickBot="1">
      <c r="B31" s="1722" t="inlineStr">
        <is>
          <t>Net Cash in (out)</t>
        </is>
      </c>
      <c r="C31" s="750" t="n">
        <v>-480440554.7900004</v>
      </c>
      <c r="D31" s="751" t="n">
        <v>-144257929.8700011</v>
      </c>
      <c r="E31" s="751" t="n">
        <v>23950441.71999633</v>
      </c>
      <c r="F31" s="751" t="n">
        <v>1214044964.589996</v>
      </c>
      <c r="G31" s="751" t="n">
        <v>779097998.7300069</v>
      </c>
      <c r="H31" s="751" t="n">
        <v>816018806.1200052</v>
      </c>
      <c r="I31" s="751" t="n">
        <v>254538840.9720876</v>
      </c>
      <c r="J31" s="751" t="n">
        <v>-198752763.6571232</v>
      </c>
      <c r="K31" s="751" t="n">
        <v>-246248065.2569009</v>
      </c>
      <c r="L31" s="751" t="n">
        <v>-113152195.0087906</v>
      </c>
      <c r="M31" s="751" t="n">
        <v>-550327625.7525867</v>
      </c>
      <c r="N31" s="752" t="n">
        <v>85014302.20516568</v>
      </c>
      <c r="O31" s="752">
        <f>SUM(C31:N31)</f>
        <v/>
      </c>
    </row>
    <row r="32">
      <c r="B32" s="753" t="n"/>
    </row>
    <row r="33">
      <c r="B33" s="754" t="inlineStr">
        <is>
          <t>Cash on Hand at the beginning</t>
        </is>
      </c>
      <c r="C33" s="755" t="n">
        <v>2619923029.52</v>
      </c>
      <c r="D33" s="755" t="n">
        <v>2139482474.730003</v>
      </c>
      <c r="E33" s="755" t="n">
        <v>1995224544.86</v>
      </c>
      <c r="F33" s="755" t="n">
        <v>2019174986.58</v>
      </c>
      <c r="G33" s="755" t="n">
        <v>3233219951.17</v>
      </c>
      <c r="H33" s="755" t="n">
        <v>4012317949.9</v>
      </c>
      <c r="I33" s="755" t="n">
        <v>4828336756.02</v>
      </c>
      <c r="J33" s="755" t="n">
        <v>5082875596.99209</v>
      </c>
      <c r="K33" s="755" t="n">
        <v>4884122833.33497</v>
      </c>
      <c r="L33" s="755" t="n">
        <v>4637874768.078066</v>
      </c>
      <c r="M33" s="755" t="n">
        <v>4524722573.069281</v>
      </c>
      <c r="N33" s="755" t="n">
        <v>3974394947.316687</v>
      </c>
      <c r="O33" s="755" t="n"/>
    </row>
    <row r="34">
      <c r="B34" s="756" t="inlineStr">
        <is>
          <t>Cash In (out) this month</t>
        </is>
      </c>
      <c r="C34" s="757" t="n">
        <v>-480440554.7900004</v>
      </c>
      <c r="D34" s="757" t="n">
        <v>-144257929.8700011</v>
      </c>
      <c r="E34" s="757" t="n">
        <v>23950441.71999633</v>
      </c>
      <c r="F34" s="757" t="n">
        <v>1214044964.589996</v>
      </c>
      <c r="G34" s="757" t="n">
        <v>779097998.7300069</v>
      </c>
      <c r="H34" s="757" t="n">
        <v>816018806.1200052</v>
      </c>
      <c r="I34" s="757" t="n">
        <v>254538840.9720876</v>
      </c>
      <c r="J34" s="757" t="n">
        <v>-198752763.6571232</v>
      </c>
      <c r="K34" s="757" t="n">
        <v>-246248065.2569009</v>
      </c>
      <c r="L34" s="757" t="n">
        <v>-113152195.0087906</v>
      </c>
      <c r="M34" s="757" t="n">
        <v>-550327625.7525867</v>
      </c>
      <c r="N34" s="757" t="n">
        <v>85014302.20516568</v>
      </c>
      <c r="O34" s="757" t="n"/>
    </row>
    <row r="35">
      <c r="B35" s="758" t="inlineStr">
        <is>
          <t>Cash on Hand at the end</t>
        </is>
      </c>
      <c r="C35" s="759" t="n">
        <v>2139482474.73</v>
      </c>
      <c r="D35" s="759" t="n">
        <v>1995224544.860002</v>
      </c>
      <c r="E35" s="759" t="n">
        <v>2019174986.579997</v>
      </c>
      <c r="F35" s="759" t="n">
        <v>3233219951.169996</v>
      </c>
      <c r="G35" s="759" t="n">
        <v>4012317949.900007</v>
      </c>
      <c r="H35" s="759" t="n">
        <v>4828336756.020005</v>
      </c>
      <c r="I35" s="759" t="n">
        <v>5082875596.992087</v>
      </c>
      <c r="J35" s="759" t="n">
        <v>4884122833.334967</v>
      </c>
      <c r="K35" s="759" t="n">
        <v>4637874768.07807</v>
      </c>
      <c r="L35" s="759" t="n">
        <v>4524722573.069275</v>
      </c>
      <c r="M35" s="759" t="n">
        <v>3974394947.316694</v>
      </c>
      <c r="N35" s="759" t="n">
        <v>4059409249.521852</v>
      </c>
      <c r="O35" s="759" t="n"/>
    </row>
    <row r="36">
      <c r="B36" s="760" t="inlineStr">
        <is>
          <t>Check -&gt;</t>
        </is>
      </c>
      <c r="C36" s="761" t="n">
        <v>0</v>
      </c>
      <c r="D36" s="761" t="n">
        <v>0</v>
      </c>
      <c r="E36" s="761" t="n">
        <v>0</v>
      </c>
      <c r="F36" s="761" t="n">
        <v>0</v>
      </c>
      <c r="G36" s="761" t="n">
        <v>0</v>
      </c>
      <c r="H36" s="761" t="n">
        <v>0</v>
      </c>
      <c r="I36" s="761" t="n">
        <v>0</v>
      </c>
      <c r="J36" s="761" t="n">
        <v>0</v>
      </c>
      <c r="K36" s="761" t="n">
        <v>0</v>
      </c>
      <c r="L36" s="761" t="n">
        <v>0</v>
      </c>
      <c r="M36" s="761" t="n">
        <v>0</v>
      </c>
      <c r="N36" s="761" t="n">
        <v>0</v>
      </c>
      <c r="O36" s="761" t="n"/>
    </row>
    <row r="37">
      <c r="I37" s="715" t="n"/>
      <c r="J37" s="715" t="n"/>
      <c r="K37" s="715" t="n"/>
      <c r="L37" s="715" t="n"/>
      <c r="M37" s="715" t="n"/>
      <c r="N37" s="715" t="n"/>
    </row>
    <row r="38">
      <c r="H38" s="715" t="n"/>
    </row>
    <row r="39">
      <c r="C39" s="715" t="n"/>
      <c r="H39" s="715" t="n"/>
    </row>
    <row r="40">
      <c r="C40" s="715" t="n"/>
      <c r="D40" s="715" t="n"/>
      <c r="E40" s="715" t="n"/>
      <c r="F40" s="715" t="n"/>
      <c r="G40" s="715" t="n"/>
      <c r="H40" s="715" t="n"/>
      <c r="I40" s="715" t="n"/>
      <c r="J40" s="715" t="n"/>
      <c r="K40" s="715" t="n"/>
      <c r="L40" s="715" t="n"/>
      <c r="M40" s="715" t="n"/>
      <c r="N40" s="715" t="n"/>
    </row>
    <row r="41">
      <c r="H41" s="715" t="n"/>
    </row>
    <row r="42">
      <c r="H42" s="715" t="n"/>
    </row>
    <row r="43">
      <c r="H43" s="715" t="n"/>
    </row>
    <row r="44">
      <c r="H44" s="715" t="n"/>
    </row>
    <row r="45">
      <c r="H45" s="715" t="n"/>
    </row>
    <row r="46">
      <c r="H46" s="715" t="n"/>
    </row>
    <row r="47">
      <c r="H47" s="715" t="n"/>
    </row>
    <row r="48">
      <c r="H48" s="715" t="n"/>
    </row>
    <row r="49">
      <c r="H49" s="715" t="n"/>
    </row>
    <row r="50">
      <c r="H50" s="715" t="n"/>
    </row>
  </sheetData>
  <mergeCells count="3">
    <mergeCell ref="C3:N3"/>
    <mergeCell ref="B3:B4"/>
    <mergeCell ref="O3:O4"/>
  </mergeCells>
  <pageMargins left="0" right="0" top="0.7480314960629921" bottom="0.7480314960629921" header="0.3149606299212598" footer="0.3149606299212598"/>
  <pageSetup orientation="landscape" paperSize="9" scale="57" horizontalDpi="1200" verticalDpi="1200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B1:P50"/>
  <sheetViews>
    <sheetView showGridLines="0" zoomScale="80" zoomScaleNormal="80" workbookViewId="0">
      <selection activeCell="H1" sqref="H1:H1048576"/>
    </sheetView>
  </sheetViews>
  <sheetFormatPr baseColWidth="8" defaultColWidth="9.21875" defaultRowHeight="11.4"/>
  <cols>
    <col width="0.77734375" customWidth="1" style="714" min="1" max="1"/>
    <col width="29" customWidth="1" style="714" min="2" max="2"/>
    <col width="12.77734375" customWidth="1" style="714" min="3" max="14"/>
    <col width="13.21875" customWidth="1" style="714" min="15" max="15"/>
    <col width="9.21875" customWidth="1" style="714" min="16" max="16384"/>
  </cols>
  <sheetData>
    <row r="1" ht="15" customHeight="1">
      <c r="B1" s="1707" t="inlineStr">
        <is>
          <t>JSC Poultry Parent Stock Production Woyskovitsy</t>
        </is>
      </c>
      <c r="C1" s="1708" t="n"/>
      <c r="D1" s="1708" t="n"/>
      <c r="E1" s="1708" t="n"/>
      <c r="F1" s="1708" t="n"/>
      <c r="G1" s="1708" t="n"/>
      <c r="H1" s="1708" t="n"/>
      <c r="I1" s="1708" t="n"/>
      <c r="J1" s="1708" t="n"/>
      <c r="K1" s="1708" t="n"/>
      <c r="L1" s="1708" t="n"/>
      <c r="M1" s="1708" t="n"/>
      <c r="N1" s="1709" t="n"/>
      <c r="O1" s="1709" t="n"/>
    </row>
    <row r="2" ht="15" customHeight="1" thickBot="1">
      <c r="B2" s="1707" t="inlineStr">
        <is>
          <t>Monthly Cash Flow Report</t>
        </is>
      </c>
      <c r="C2" s="1708" t="n"/>
      <c r="D2" s="1708" t="n"/>
      <c r="E2" s="1708" t="n"/>
      <c r="F2" s="1708" t="n"/>
      <c r="G2" s="1708" t="n"/>
      <c r="H2" s="1708" t="n"/>
      <c r="I2" s="1708" t="n"/>
      <c r="J2" s="1708" t="n"/>
      <c r="K2" s="1708" t="n"/>
      <c r="L2" s="1708" t="n"/>
      <c r="M2" s="1708" t="n"/>
      <c r="N2" s="1710" t="n"/>
      <c r="O2" s="1710" t="n"/>
    </row>
    <row r="3" ht="15" customHeight="1">
      <c r="B3" s="1711" t="inlineStr">
        <is>
          <t>Criteria</t>
        </is>
      </c>
      <c r="C3" s="1712" t="n">
        <v>2025</v>
      </c>
      <c r="D3" s="1713" t="n"/>
      <c r="E3" s="1713" t="n"/>
      <c r="F3" s="1713" t="n"/>
      <c r="G3" s="1713" t="n"/>
      <c r="H3" s="1713" t="n"/>
      <c r="I3" s="1713" t="n"/>
      <c r="J3" s="1713" t="n"/>
      <c r="K3" s="1713" t="n"/>
      <c r="L3" s="1713" t="n"/>
      <c r="M3" s="1713" t="n"/>
      <c r="N3" s="1714" t="n"/>
      <c r="O3" s="1715" t="inlineStr">
        <is>
          <t>Total</t>
        </is>
      </c>
    </row>
    <row r="4" ht="15" customHeight="1" thickBot="1">
      <c r="B4" s="1688" t="n"/>
      <c r="C4" s="1716" t="inlineStr">
        <is>
          <t>Jan</t>
        </is>
      </c>
      <c r="D4" s="1716" t="inlineStr">
        <is>
          <t>Feb</t>
        </is>
      </c>
      <c r="E4" s="1716" t="inlineStr">
        <is>
          <t>Mar</t>
        </is>
      </c>
      <c r="F4" s="1716" t="inlineStr">
        <is>
          <t>Apr</t>
        </is>
      </c>
      <c r="G4" s="1716" t="inlineStr">
        <is>
          <t>May</t>
        </is>
      </c>
      <c r="H4" s="1716" t="inlineStr">
        <is>
          <t>Jun</t>
        </is>
      </c>
      <c r="I4" s="1716" t="inlineStr">
        <is>
          <t>Jul</t>
        </is>
      </c>
      <c r="J4" s="1716" t="inlineStr">
        <is>
          <t>Aug</t>
        </is>
      </c>
      <c r="K4" s="1716" t="inlineStr">
        <is>
          <t>Sep</t>
        </is>
      </c>
      <c r="L4" s="1716" t="inlineStr">
        <is>
          <t>Oct</t>
        </is>
      </c>
      <c r="M4" s="1716" t="inlineStr">
        <is>
          <t>Nov</t>
        </is>
      </c>
      <c r="N4" s="1717" t="inlineStr">
        <is>
          <t>Dec</t>
        </is>
      </c>
      <c r="O4" s="1688" t="n"/>
    </row>
    <row r="5">
      <c r="B5" s="1718" t="inlineStr">
        <is>
          <t>Net Operational Income</t>
        </is>
      </c>
      <c r="C5" s="726" t="n">
        <v>-20725646.69999993</v>
      </c>
      <c r="D5" s="727" t="n">
        <v>9261460.533636399</v>
      </c>
      <c r="E5" s="727" t="n">
        <v>56791050.74242423</v>
      </c>
      <c r="F5" s="727" t="n">
        <v>10477648.78030299</v>
      </c>
      <c r="G5" s="727" t="n">
        <v>11482713.81000011</v>
      </c>
      <c r="H5" s="727" t="n">
        <v>23574338.22666666</v>
      </c>
      <c r="I5" s="727" t="n">
        <v>14585530.96157689</v>
      </c>
      <c r="J5" s="727" t="n">
        <v>12086324.93982746</v>
      </c>
      <c r="K5" s="727" t="n">
        <v>-3476703.029554173</v>
      </c>
      <c r="L5" s="727" t="n">
        <v>25168121.06121632</v>
      </c>
      <c r="M5" s="727" t="n">
        <v>12933081.8368977</v>
      </c>
      <c r="N5" s="728" t="n">
        <v>15885214.75022075</v>
      </c>
      <c r="O5" s="728">
        <f>SUM(C5:N5)</f>
        <v/>
      </c>
    </row>
    <row r="6">
      <c r="B6" s="1718" t="inlineStr">
        <is>
          <t>Correction on prior year income</t>
        </is>
      </c>
      <c r="C6" s="726" t="n">
        <v>0</v>
      </c>
      <c r="D6" s="726" t="n">
        <v>0</v>
      </c>
      <c r="E6" s="727" t="n">
        <v>0</v>
      </c>
      <c r="F6" s="727" t="n">
        <v>0</v>
      </c>
      <c r="G6" s="727" t="n">
        <v>0</v>
      </c>
      <c r="H6" s="727" t="n">
        <v>0</v>
      </c>
      <c r="I6" s="727" t="n">
        <v>0</v>
      </c>
      <c r="J6" s="727" t="n">
        <v>0</v>
      </c>
      <c r="K6" s="727" t="n">
        <v>0</v>
      </c>
      <c r="L6" s="727" t="n">
        <v>0</v>
      </c>
      <c r="M6" s="727" t="n">
        <v>0</v>
      </c>
      <c r="N6" s="728" t="n">
        <v>0</v>
      </c>
      <c r="O6" s="728">
        <f>SUM(C6:N6)</f>
        <v/>
      </c>
    </row>
    <row r="7">
      <c r="B7" s="1718" t="inlineStr">
        <is>
          <t>Allowance for Bad Debt</t>
        </is>
      </c>
      <c r="C7" s="726" t="n">
        <v>0</v>
      </c>
      <c r="D7" s="727" t="n">
        <v>0</v>
      </c>
      <c r="E7" s="727" t="n">
        <v>0</v>
      </c>
      <c r="F7" s="727" t="n">
        <v>0</v>
      </c>
      <c r="G7" s="727" t="n">
        <v>0</v>
      </c>
      <c r="H7" s="727" t="n">
        <v>0</v>
      </c>
      <c r="I7" s="727" t="n">
        <v>0</v>
      </c>
      <c r="J7" s="727" t="n">
        <v>0</v>
      </c>
      <c r="K7" s="727" t="n">
        <v>0</v>
      </c>
      <c r="L7" s="727" t="n">
        <v>0</v>
      </c>
      <c r="M7" s="727" t="n">
        <v>0</v>
      </c>
      <c r="N7" s="728" t="n">
        <v>0</v>
      </c>
      <c r="O7" s="728">
        <f>SUM(C7:N7)</f>
        <v/>
      </c>
    </row>
    <row r="8">
      <c r="B8" s="1718" t="inlineStr">
        <is>
          <t>Provision for retirement fund</t>
        </is>
      </c>
      <c r="C8" s="737" t="n">
        <v>0</v>
      </c>
      <c r="D8" s="727" t="n">
        <v>0</v>
      </c>
      <c r="E8" s="727" t="n">
        <v>0</v>
      </c>
      <c r="F8" s="727" t="n">
        <v>0</v>
      </c>
      <c r="G8" s="727" t="n">
        <v>0</v>
      </c>
      <c r="H8" s="727" t="n">
        <v>0</v>
      </c>
      <c r="I8" s="727" t="n">
        <v>0</v>
      </c>
      <c r="J8" s="727" t="n">
        <v>0</v>
      </c>
      <c r="K8" s="727" t="n">
        <v>0</v>
      </c>
      <c r="L8" s="727" t="n">
        <v>0</v>
      </c>
      <c r="M8" s="727" t="n">
        <v>0</v>
      </c>
      <c r="N8" s="728" t="n">
        <v>0</v>
      </c>
      <c r="O8" s="728">
        <f>SUM(C8:N8)</f>
        <v/>
      </c>
    </row>
    <row r="9">
      <c r="B9" s="1718" t="inlineStr">
        <is>
          <t>Income Tax payable</t>
        </is>
      </c>
      <c r="C9" s="726" t="n">
        <v>-3669309.060000001</v>
      </c>
      <c r="D9" s="727" t="n">
        <v>2240678</v>
      </c>
      <c r="E9" s="727" t="n">
        <v>-11620559</v>
      </c>
      <c r="F9" s="727" t="n">
        <v>-4332612.47</v>
      </c>
      <c r="G9" s="727" t="n">
        <v>432092.47</v>
      </c>
      <c r="H9" s="727" t="n">
        <v>533923</v>
      </c>
      <c r="I9" s="727" t="n">
        <v>121745.7828931506</v>
      </c>
      <c r="J9" s="727" t="n">
        <v>-684336.595358904</v>
      </c>
      <c r="K9" s="727" t="n">
        <v>377397.2602739726</v>
      </c>
      <c r="L9" s="727" t="n">
        <v>-175684.9315068494</v>
      </c>
      <c r="M9" s="727" t="n">
        <v>-19520.54794520547</v>
      </c>
      <c r="N9" s="728" t="n">
        <v>-182191.7808219178</v>
      </c>
      <c r="O9" s="728">
        <f>SUM(C9:N9)</f>
        <v/>
      </c>
    </row>
    <row r="10">
      <c r="B10" s="1718" t="inlineStr">
        <is>
          <t>Accumulated Depreciation</t>
        </is>
      </c>
      <c r="C10" s="738" t="n">
        <v>19868894.18999958</v>
      </c>
      <c r="D10" s="739" t="n">
        <v>19931632.84000063</v>
      </c>
      <c r="E10" s="739" t="n">
        <v>21934627.15999961</v>
      </c>
      <c r="F10" s="739" t="n">
        <v>21937121.19999981</v>
      </c>
      <c r="G10" s="739" t="n">
        <v>20300580.90000033</v>
      </c>
      <c r="H10" s="739" t="n">
        <v>22060187.19000006</v>
      </c>
      <c r="I10" s="739" t="n">
        <v>22626935.5630722</v>
      </c>
      <c r="J10" s="739" t="n">
        <v>22626935.5630722</v>
      </c>
      <c r="K10" s="739" t="n">
        <v>21897034.41587639</v>
      </c>
      <c r="L10" s="739" t="n">
        <v>22626935.5630722</v>
      </c>
      <c r="M10" s="739" t="n">
        <v>21897034.41587639</v>
      </c>
      <c r="N10" s="740" t="n">
        <v>22626935.5630722</v>
      </c>
      <c r="O10" s="740">
        <f>SUM(C10:N10)</f>
        <v/>
      </c>
    </row>
    <row r="11" ht="12" customHeight="1">
      <c r="B11" s="1719" t="inlineStr">
        <is>
          <t>Cash in (out) from operation</t>
        </is>
      </c>
      <c r="C11" s="734" t="n">
        <v>-4526061.57000035</v>
      </c>
      <c r="D11" s="743" t="n">
        <v>31433771.37363703</v>
      </c>
      <c r="E11" s="743" t="n">
        <v>67105118.90242384</v>
      </c>
      <c r="F11" s="743" t="n">
        <v>28082157.5103028</v>
      </c>
      <c r="G11" s="743" t="n">
        <v>32215387.18000044</v>
      </c>
      <c r="H11" s="743" t="n">
        <v>46168448.41666672</v>
      </c>
      <c r="I11" s="743" t="n">
        <v>37334212.30754225</v>
      </c>
      <c r="J11" s="743" t="n">
        <v>34028923.90754075</v>
      </c>
      <c r="K11" s="743" t="n">
        <v>18797728.64659619</v>
      </c>
      <c r="L11" s="743" t="n">
        <v>47619371.69278168</v>
      </c>
      <c r="M11" s="743" t="n">
        <v>34810595.70482889</v>
      </c>
      <c r="N11" s="744" t="n">
        <v>38329958.53247103</v>
      </c>
      <c r="O11" s="744">
        <f>SUM(C11:N11)</f>
        <v/>
      </c>
    </row>
    <row r="12">
      <c r="B12" s="1718" t="inlineStr">
        <is>
          <t xml:space="preserve">Payable </t>
        </is>
      </c>
      <c r="C12" s="726" t="n">
        <v>137529672.3699999</v>
      </c>
      <c r="D12" s="727" t="n">
        <v>-155605790.66</v>
      </c>
      <c r="E12" s="727" t="n">
        <v>150658974.2799999</v>
      </c>
      <c r="F12" s="727" t="n">
        <v>143183518.0500001</v>
      </c>
      <c r="G12" s="727" t="n">
        <v>-152463257.04</v>
      </c>
      <c r="H12" s="727" t="n">
        <v>-141871481.63</v>
      </c>
      <c r="I12" s="727" t="n">
        <v>-231688871.042151</v>
      </c>
      <c r="J12" s="727" t="n">
        <v>115554779.910707</v>
      </c>
      <c r="K12" s="727" t="n">
        <v>-214856244.212944</v>
      </c>
      <c r="L12" s="727" t="n">
        <v>156595403.784145</v>
      </c>
      <c r="M12" s="727" t="n">
        <v>-185867349.737991</v>
      </c>
      <c r="N12" s="728" t="n">
        <v>5476765.067496955</v>
      </c>
      <c r="O12" s="728">
        <f>SUM(C12:N12)</f>
        <v/>
      </c>
    </row>
    <row r="13">
      <c r="B13" s="1718" t="inlineStr">
        <is>
          <t>Current Account</t>
        </is>
      </c>
      <c r="C13" s="726" t="n">
        <v>0</v>
      </c>
      <c r="D13" s="727" t="n">
        <v>0</v>
      </c>
      <c r="E13" s="727" t="n">
        <v>0</v>
      </c>
      <c r="F13" s="727" t="n">
        <v>0</v>
      </c>
      <c r="G13" s="727" t="n">
        <v>0</v>
      </c>
      <c r="H13" s="727" t="n">
        <v>0</v>
      </c>
      <c r="I13" s="727" t="n">
        <v>0</v>
      </c>
      <c r="J13" s="727" t="n">
        <v>0</v>
      </c>
      <c r="K13" s="727" t="n">
        <v>0</v>
      </c>
      <c r="L13" s="727" t="n">
        <v>0</v>
      </c>
      <c r="M13" s="727" t="n">
        <v>0</v>
      </c>
      <c r="N13" s="728" t="n">
        <v>0</v>
      </c>
      <c r="O13" s="728">
        <f>SUM(C13:N13)</f>
        <v/>
      </c>
    </row>
    <row r="14">
      <c r="B14" s="1718" t="inlineStr">
        <is>
          <t>Dividend Payable</t>
        </is>
      </c>
      <c r="C14" s="726" t="n">
        <v>0</v>
      </c>
      <c r="D14" s="727" t="n">
        <v>0</v>
      </c>
      <c r="E14" s="727" t="n">
        <v>0</v>
      </c>
      <c r="F14" s="727" t="n">
        <v>0</v>
      </c>
      <c r="G14" s="727" t="n">
        <v>0</v>
      </c>
      <c r="H14" s="727" t="n">
        <v>0</v>
      </c>
      <c r="I14" s="727" t="n">
        <v>0</v>
      </c>
      <c r="J14" s="727" t="n">
        <v>0</v>
      </c>
      <c r="K14" s="727" t="n">
        <v>0</v>
      </c>
      <c r="L14" s="727" t="n">
        <v>0</v>
      </c>
      <c r="M14" s="727" t="n">
        <v>0</v>
      </c>
      <c r="N14" s="728" t="n">
        <v>0</v>
      </c>
      <c r="O14" s="728">
        <f>SUM(C14:N14)</f>
        <v/>
      </c>
    </row>
    <row r="15">
      <c r="B15" s="1718" t="inlineStr">
        <is>
          <t>Other current and None Current liabilities</t>
        </is>
      </c>
      <c r="C15" s="738" t="n">
        <v>3868446.329999983</v>
      </c>
      <c r="D15" s="739" t="n">
        <v>-10103087.36000001</v>
      </c>
      <c r="E15" s="739" t="n">
        <v>15311698.80000004</v>
      </c>
      <c r="F15" s="739" t="n">
        <v>-4976164.180000037</v>
      </c>
      <c r="G15" s="739" t="n">
        <v>-10219241.82999998</v>
      </c>
      <c r="H15" s="739" t="n">
        <v>7126194.809999973</v>
      </c>
      <c r="I15" s="739" t="n">
        <v>29812098.51000002</v>
      </c>
      <c r="J15" s="739" t="n">
        <v>-8530880.400000006</v>
      </c>
      <c r="K15" s="739" t="n">
        <v>0</v>
      </c>
      <c r="L15" s="739" t="n">
        <v>200000000</v>
      </c>
      <c r="M15" s="739" t="n">
        <v>350000000</v>
      </c>
      <c r="N15" s="740" t="n">
        <v>-220000000</v>
      </c>
      <c r="O15" s="740">
        <f>SUM(C15:N15)</f>
        <v/>
      </c>
    </row>
    <row r="16" ht="12" customHeight="1">
      <c r="B16" s="1719" t="inlineStr">
        <is>
          <t>Cash in (out) from liabilities</t>
        </is>
      </c>
      <c r="C16" s="734" t="n">
        <v>141398118.6999999</v>
      </c>
      <c r="D16" s="743" t="n">
        <v>-165708878.02</v>
      </c>
      <c r="E16" s="743" t="n">
        <v>165970673.0799999</v>
      </c>
      <c r="F16" s="743" t="n">
        <v>138207353.87</v>
      </c>
      <c r="G16" s="743" t="n">
        <v>-162682498.8699999</v>
      </c>
      <c r="H16" s="743" t="n">
        <v>-134745286.82</v>
      </c>
      <c r="I16" s="743" t="n">
        <v>-201876772.532151</v>
      </c>
      <c r="J16" s="743" t="n">
        <v>107023899.510707</v>
      </c>
      <c r="K16" s="743" t="n">
        <v>-214856244.212944</v>
      </c>
      <c r="L16" s="743" t="n">
        <v>356595403.784145</v>
      </c>
      <c r="M16" s="743" t="n">
        <v>164132650.262009</v>
      </c>
      <c r="N16" s="744" t="n">
        <v>-214523234.932503</v>
      </c>
      <c r="O16" s="744">
        <f>SUM(C16:N16)</f>
        <v/>
      </c>
    </row>
    <row r="17">
      <c r="B17" s="1718" t="inlineStr">
        <is>
          <t>Accounts receivable &amp; checks on hand-trade</t>
        </is>
      </c>
      <c r="C17" s="726" t="n">
        <v>-69098058.06999999</v>
      </c>
      <c r="D17" s="727" t="n">
        <v>-72618215.89</v>
      </c>
      <c r="E17" s="727" t="n">
        <v>67170728.14</v>
      </c>
      <c r="F17" s="727" t="n">
        <v>105258479.86</v>
      </c>
      <c r="G17" s="727" t="n">
        <v>121116233.98</v>
      </c>
      <c r="H17" s="727" t="n">
        <v>-188368109.69</v>
      </c>
      <c r="I17" s="727" t="n">
        <v>-10861390.25032011</v>
      </c>
      <c r="J17" s="727" t="n">
        <v>104816951.8285728</v>
      </c>
      <c r="K17" s="727" t="n">
        <v>-255642297.1428581</v>
      </c>
      <c r="L17" s="727" t="n">
        <v>352218274.2857147</v>
      </c>
      <c r="M17" s="727" t="n">
        <v>-126642297.1428585</v>
      </c>
      <c r="N17" s="728" t="n">
        <v>-220954797.1428553</v>
      </c>
      <c r="O17" s="728">
        <f>SUM(C17:N17)</f>
        <v/>
      </c>
    </row>
    <row r="18">
      <c r="B18" s="1718" t="inlineStr">
        <is>
          <t>Short-term Loan Receivable</t>
        </is>
      </c>
      <c r="C18" s="726" t="n">
        <v>0</v>
      </c>
      <c r="D18" s="727" t="n">
        <v>0</v>
      </c>
      <c r="E18" s="727" t="n">
        <v>0</v>
      </c>
      <c r="F18" s="727" t="n">
        <v>0</v>
      </c>
      <c r="G18" s="727" t="n">
        <v>0</v>
      </c>
      <c r="H18" s="727" t="n">
        <v>0</v>
      </c>
      <c r="I18" s="727" t="n">
        <v>0</v>
      </c>
      <c r="J18" s="727" t="n">
        <v>0</v>
      </c>
      <c r="K18" s="727" t="n">
        <v>0</v>
      </c>
      <c r="L18" s="727" t="n">
        <v>0</v>
      </c>
      <c r="M18" s="727" t="n">
        <v>0</v>
      </c>
      <c r="N18" s="728" t="n">
        <v>0</v>
      </c>
      <c r="O18" s="728">
        <f>SUM(C18:N18)</f>
        <v/>
      </c>
    </row>
    <row r="19">
      <c r="B19" s="1718" t="inlineStr">
        <is>
          <t>Inventories</t>
        </is>
      </c>
      <c r="C19" s="726" t="n">
        <v>4265198.889999866</v>
      </c>
      <c r="D19" s="727" t="n">
        <v>-21954414</v>
      </c>
      <c r="E19" s="727" t="n">
        <v>11343669.8499999</v>
      </c>
      <c r="F19" s="727" t="n">
        <v>18221704.92000008</v>
      </c>
      <c r="G19" s="727" t="n">
        <v>27630432.38000011</v>
      </c>
      <c r="H19" s="727" t="n">
        <v>-26699339.82999992</v>
      </c>
      <c r="I19" s="727" t="n">
        <v>10000000</v>
      </c>
      <c r="J19" s="727" t="n">
        <v>10000000</v>
      </c>
      <c r="K19" s="727" t="n">
        <v>10000000</v>
      </c>
      <c r="L19" s="727" t="n">
        <v>10000000</v>
      </c>
      <c r="M19" s="727" t="n">
        <v>10000000</v>
      </c>
      <c r="N19" s="728" t="n">
        <v>10000000</v>
      </c>
      <c r="O19" s="728">
        <f>SUM(C19:N19)</f>
        <v/>
      </c>
    </row>
    <row r="20">
      <c r="B20" s="1718" t="inlineStr">
        <is>
          <t>Other Current and None Current Assets</t>
        </is>
      </c>
      <c r="C20" s="738" t="n">
        <v>36218477.15999997</v>
      </c>
      <c r="D20" s="739" t="n">
        <v>-37183733.44999999</v>
      </c>
      <c r="E20" s="739" t="n">
        <v>7954945.700000048</v>
      </c>
      <c r="F20" s="739" t="n">
        <v>-82222447.01000005</v>
      </c>
      <c r="G20" s="739" t="n">
        <v>-82828788.27999997</v>
      </c>
      <c r="H20" s="739" t="n">
        <v>-5893407.540000021</v>
      </c>
      <c r="I20" s="739" t="n">
        <v>3840798.246481955</v>
      </c>
      <c r="J20" s="739" t="n">
        <v>-3645928.161006927</v>
      </c>
      <c r="K20" s="739" t="n">
        <v>-4643841.936017036</v>
      </c>
      <c r="L20" s="739" t="n">
        <v>-3192492.220079422</v>
      </c>
      <c r="M20" s="739" t="n">
        <v>-24175963.84040451</v>
      </c>
      <c r="N20" s="740" t="n">
        <v>3019748.777941704</v>
      </c>
      <c r="O20" s="740">
        <f>SUM(C20:N20)</f>
        <v/>
      </c>
    </row>
    <row r="21" ht="12" customHeight="1">
      <c r="B21" s="1719" t="inlineStr">
        <is>
          <t>Cash out ( in ) from current assets</t>
        </is>
      </c>
      <c r="C21" s="734" t="n">
        <v>-28614382.02000016</v>
      </c>
      <c r="D21" s="743" t="n">
        <v>-131756363.34</v>
      </c>
      <c r="E21" s="743" t="n">
        <v>86469343.68999995</v>
      </c>
      <c r="F21" s="743" t="n">
        <v>41257737.77000004</v>
      </c>
      <c r="G21" s="743" t="n">
        <v>65917878.0800001</v>
      </c>
      <c r="H21" s="743" t="n">
        <v>-220960857.0599999</v>
      </c>
      <c r="I21" s="743" t="n">
        <v>2979407.996161848</v>
      </c>
      <c r="J21" s="743" t="n">
        <v>111171023.6675659</v>
      </c>
      <c r="K21" s="743" t="n">
        <v>-250286139.0788751</v>
      </c>
      <c r="L21" s="743" t="n">
        <v>359025782.0656353</v>
      </c>
      <c r="M21" s="743" t="n">
        <v>-140818260.983263</v>
      </c>
      <c r="N21" s="744" t="n">
        <v>-207935048.3649136</v>
      </c>
      <c r="O21" s="744">
        <f>SUM(C21:N21)</f>
        <v/>
      </c>
    </row>
    <row r="22">
      <c r="B22" s="1718" t="inlineStr">
        <is>
          <t>Property , plant and equipment</t>
        </is>
      </c>
      <c r="C22" s="737" t="n">
        <v>5360275.13999939</v>
      </c>
      <c r="D22" s="727" t="n">
        <v>51496959.73999977</v>
      </c>
      <c r="E22" s="727" t="n">
        <v>21102127.42000103</v>
      </c>
      <c r="F22" s="727" t="n">
        <v>84910704</v>
      </c>
      <c r="G22" s="727" t="n">
        <v>74329977.86999989</v>
      </c>
      <c r="H22" s="727" t="n">
        <v>79231441.60999966</v>
      </c>
      <c r="I22" s="727" t="n">
        <v>37500000</v>
      </c>
      <c r="J22" s="727" t="n">
        <v>22500000</v>
      </c>
      <c r="K22" s="727" t="n">
        <v>39000000</v>
      </c>
      <c r="L22" s="727" t="n">
        <v>18000000</v>
      </c>
      <c r="M22" s="727" t="n">
        <v>18000000</v>
      </c>
      <c r="N22" s="728" t="n">
        <v>11500000</v>
      </c>
      <c r="O22" s="728">
        <f>SUM(C22:N22)</f>
        <v/>
      </c>
      <c r="P22" s="714" t="inlineStr">
        <is>
          <t>Production rearing house project</t>
        </is>
      </c>
    </row>
    <row r="23">
      <c r="B23" s="1718" t="inlineStr">
        <is>
          <t>Other Assets</t>
        </is>
      </c>
      <c r="C23" s="737" t="n">
        <v>100055025.88</v>
      </c>
      <c r="D23" s="727" t="n">
        <v>0</v>
      </c>
      <c r="E23" s="727" t="n">
        <v>0</v>
      </c>
      <c r="F23" s="727" t="n">
        <v>0</v>
      </c>
      <c r="G23" s="727" t="n">
        <v>0</v>
      </c>
      <c r="H23" s="727" t="n">
        <v>0</v>
      </c>
      <c r="I23" s="727" t="n">
        <v>0</v>
      </c>
      <c r="J23" s="727" t="n">
        <v>0</v>
      </c>
      <c r="K23" s="727" t="n">
        <v>0</v>
      </c>
      <c r="L23" s="727" t="n">
        <v>0</v>
      </c>
      <c r="M23" s="727" t="n">
        <v>0</v>
      </c>
      <c r="N23" s="728" t="n">
        <v>0</v>
      </c>
      <c r="O23" s="728">
        <f>SUM(C23:N23)</f>
        <v/>
      </c>
    </row>
    <row r="24">
      <c r="B24" s="1718" t="inlineStr">
        <is>
          <t>Investment</t>
        </is>
      </c>
      <c r="C24" s="738" t="n">
        <v>0</v>
      </c>
      <c r="D24" s="739" t="n">
        <v>0</v>
      </c>
      <c r="E24" s="739" t="n">
        <v>0</v>
      </c>
      <c r="F24" s="739" t="n">
        <v>0</v>
      </c>
      <c r="G24" s="739" t="n">
        <v>0</v>
      </c>
      <c r="H24" s="739" t="n">
        <v>0</v>
      </c>
      <c r="I24" s="739" t="n">
        <v>0</v>
      </c>
      <c r="J24" s="739" t="n">
        <v>0</v>
      </c>
      <c r="K24" s="739" t="n">
        <v>0</v>
      </c>
      <c r="L24" s="739" t="n">
        <v>0</v>
      </c>
      <c r="M24" s="739" t="n">
        <v>0</v>
      </c>
      <c r="N24" s="740" t="n">
        <v>0</v>
      </c>
      <c r="O24" s="740">
        <f>SUM(C24:N24)</f>
        <v/>
      </c>
    </row>
    <row r="25" ht="12" customHeight="1">
      <c r="B25" s="1720" t="inlineStr">
        <is>
          <t>Cash out ( in ) from investing</t>
        </is>
      </c>
      <c r="C25" s="742" t="n">
        <v>105415301.0199994</v>
      </c>
      <c r="D25" s="743" t="n">
        <v>51496959.73999977</v>
      </c>
      <c r="E25" s="743" t="n">
        <v>21102127.42000103</v>
      </c>
      <c r="F25" s="743" t="n">
        <v>84910704</v>
      </c>
      <c r="G25" s="743" t="n">
        <v>74329977.86999989</v>
      </c>
      <c r="H25" s="743" t="n">
        <v>79231441.60999966</v>
      </c>
      <c r="I25" s="743" t="n">
        <v>37500000</v>
      </c>
      <c r="J25" s="743" t="n">
        <v>22500000</v>
      </c>
      <c r="K25" s="743" t="n">
        <v>39000000</v>
      </c>
      <c r="L25" s="743" t="n">
        <v>18000000</v>
      </c>
      <c r="M25" s="743" t="n">
        <v>18000000</v>
      </c>
      <c r="N25" s="744" t="n">
        <v>11500000</v>
      </c>
      <c r="O25" s="744">
        <f>SUM(C25:N25)</f>
        <v/>
      </c>
    </row>
    <row r="26">
      <c r="B26" s="1718" t="inlineStr">
        <is>
          <t>Financial Institutions</t>
        </is>
      </c>
      <c r="C26" s="737" t="n">
        <v>-31971090.63000011</v>
      </c>
      <c r="D26" s="727" t="n">
        <v>-34613522.25054741</v>
      </c>
      <c r="E26" s="727" t="n">
        <v>-33978212.08000016</v>
      </c>
      <c r="F26" s="727" t="n">
        <v>-34337366.57000017</v>
      </c>
      <c r="G26" s="727" t="n">
        <v>-36684815.10999942</v>
      </c>
      <c r="H26" s="727" t="n">
        <v>-34597030.52000022</v>
      </c>
      <c r="I26" s="727" t="n">
        <v>-31973664.13664651</v>
      </c>
      <c r="J26" s="727" t="n">
        <v>-34586878.43705368</v>
      </c>
      <c r="K26" s="727" t="n">
        <v>-34925592.40171194</v>
      </c>
      <c r="L26" s="727" t="n">
        <v>-34837530.14356995</v>
      </c>
      <c r="M26" s="727" t="n">
        <v>-35180856.6093049</v>
      </c>
      <c r="N26" s="728" t="n">
        <v>4569854.08628726</v>
      </c>
      <c r="O26" s="728">
        <f>SUM(C26:N26)</f>
        <v/>
      </c>
    </row>
    <row r="27">
      <c r="B27" s="1718" t="inlineStr">
        <is>
          <t>Short-term Loans</t>
        </is>
      </c>
      <c r="C27" s="737" t="n">
        <v>-302130584.9000001</v>
      </c>
      <c r="D27" s="727" t="n">
        <v>-857063.759452939</v>
      </c>
      <c r="E27" s="727" t="n">
        <v>-299254263.9899995</v>
      </c>
      <c r="F27" s="727" t="n">
        <v>-307616.0999999046</v>
      </c>
      <c r="G27" s="727" t="n">
        <v>300196288.3699998</v>
      </c>
      <c r="H27" s="727" t="n">
        <v>-302555.7499998808</v>
      </c>
      <c r="I27" s="727" t="n">
        <v>100000000</v>
      </c>
      <c r="J27" s="727" t="n">
        <v>75000000</v>
      </c>
      <c r="K27" s="727" t="n">
        <v>0</v>
      </c>
      <c r="L27" s="727" t="n">
        <v>0</v>
      </c>
      <c r="M27" s="727" t="n">
        <v>-300000000</v>
      </c>
      <c r="N27" s="728" t="n">
        <v>0</v>
      </c>
      <c r="O27" s="728">
        <f>SUM(C27:N27)</f>
        <v/>
      </c>
      <c r="P27" s="714" t="inlineStr">
        <is>
          <t>In case no revolving STL</t>
        </is>
      </c>
    </row>
    <row r="28">
      <c r="B28" s="1718" t="inlineStr">
        <is>
          <t>Legal reserves</t>
        </is>
      </c>
      <c r="C28" s="737" t="n">
        <v>0</v>
      </c>
      <c r="D28" s="727" t="n">
        <v>0</v>
      </c>
      <c r="E28" s="727" t="n">
        <v>0</v>
      </c>
      <c r="F28" s="727" t="n">
        <v>0</v>
      </c>
      <c r="G28" s="727" t="n">
        <v>0</v>
      </c>
      <c r="H28" s="727" t="n">
        <v>0</v>
      </c>
      <c r="I28" s="727" t="n">
        <v>0</v>
      </c>
      <c r="J28" s="727" t="n">
        <v>0</v>
      </c>
      <c r="K28" s="727" t="n">
        <v>0</v>
      </c>
      <c r="L28" s="727" t="n">
        <v>0</v>
      </c>
      <c r="M28" s="727" t="n">
        <v>0</v>
      </c>
      <c r="N28" s="728" t="n">
        <v>0</v>
      </c>
      <c r="O28" s="728">
        <f>SUM(C28:N28)</f>
        <v/>
      </c>
    </row>
    <row r="29">
      <c r="B29" s="1718" t="inlineStr">
        <is>
          <t>Share capital increase in cash</t>
        </is>
      </c>
      <c r="C29" s="738" t="n">
        <v>-7923099.170000017</v>
      </c>
      <c r="D29" s="739" t="n">
        <v>0</v>
      </c>
      <c r="E29" s="739" t="n">
        <v>0</v>
      </c>
      <c r="F29" s="739" t="n">
        <v>0</v>
      </c>
      <c r="G29" s="739" t="n">
        <v>0</v>
      </c>
      <c r="H29" s="739" t="n">
        <v>0</v>
      </c>
      <c r="I29" s="739" t="n">
        <v>0</v>
      </c>
      <c r="J29" s="739" t="n">
        <v>0</v>
      </c>
      <c r="K29" s="739" t="n">
        <v>0</v>
      </c>
      <c r="L29" s="739" t="n">
        <v>0</v>
      </c>
      <c r="M29" s="739" t="n">
        <v>0</v>
      </c>
      <c r="N29" s="740" t="n">
        <v>0</v>
      </c>
      <c r="O29" s="740">
        <f>SUM(C29:N29)</f>
        <v/>
      </c>
    </row>
    <row r="30" ht="12" customHeight="1">
      <c r="B30" s="1721" t="inlineStr">
        <is>
          <t>Cash in (out) from financing</t>
        </is>
      </c>
      <c r="C30" s="746" t="n">
        <v>-342024774.7000002</v>
      </c>
      <c r="D30" s="747" t="n">
        <v>-35470586.01000035</v>
      </c>
      <c r="E30" s="747" t="n">
        <v>-333232476.0699997</v>
      </c>
      <c r="F30" s="747" t="n">
        <v>-34644982.67000008</v>
      </c>
      <c r="G30" s="747" t="n">
        <v>263511473.2600003</v>
      </c>
      <c r="H30" s="747" t="n">
        <v>-34899586.2700001</v>
      </c>
      <c r="I30" s="747" t="n">
        <v>68026335.86335349</v>
      </c>
      <c r="J30" s="747" t="n">
        <v>40413121.56294632</v>
      </c>
      <c r="K30" s="747" t="n">
        <v>-34925592.40171194</v>
      </c>
      <c r="L30" s="747" t="n">
        <v>-34837530.14356995</v>
      </c>
      <c r="M30" s="747" t="n">
        <v>-335180856.6093049</v>
      </c>
      <c r="N30" s="748" t="n">
        <v>4569854.08628726</v>
      </c>
      <c r="O30" s="748">
        <f>SUM(C30:N30)</f>
        <v/>
      </c>
    </row>
    <row r="31" ht="12.6" customHeight="1" thickBot="1">
      <c r="B31" s="1722" t="inlineStr">
        <is>
          <t>Net Cash in (out)</t>
        </is>
      </c>
      <c r="C31" s="750" t="n">
        <v>-281953636.5699999</v>
      </c>
      <c r="D31" s="751" t="n">
        <v>-89486289.05636309</v>
      </c>
      <c r="E31" s="751" t="n">
        <v>-207728155.1975769</v>
      </c>
      <c r="F31" s="751" t="n">
        <v>5476086.94030273</v>
      </c>
      <c r="G31" s="751" t="n">
        <v>-7203494.379999161</v>
      </c>
      <c r="H31" s="751" t="n">
        <v>18252990.77666685</v>
      </c>
      <c r="I31" s="751" t="n">
        <v>-136995632.3574171</v>
      </c>
      <c r="J31" s="751" t="n">
        <v>47794921.3136282</v>
      </c>
      <c r="K31" s="751" t="n">
        <v>-19697968.88918465</v>
      </c>
      <c r="L31" s="751" t="n">
        <v>-7648536.732278526</v>
      </c>
      <c r="M31" s="751" t="n">
        <v>-13419349.65920401</v>
      </c>
      <c r="N31" s="752" t="n">
        <v>24811626.05116889</v>
      </c>
      <c r="O31" s="752">
        <f>SUM(C31:N31)</f>
        <v/>
      </c>
    </row>
    <row r="32">
      <c r="B32" s="753" t="n"/>
    </row>
    <row r="33">
      <c r="B33" s="754" t="inlineStr">
        <is>
          <t>Cash on Hand at the beginning</t>
        </is>
      </c>
      <c r="C33" s="755" t="n">
        <v>857153974.6650027</v>
      </c>
      <c r="D33" s="755" t="n">
        <v>575200338.0950028</v>
      </c>
      <c r="E33" s="755" t="n">
        <v>485714049.0386381</v>
      </c>
      <c r="F33" s="755" t="n">
        <v>277985893.8410619</v>
      </c>
      <c r="G33" s="755" t="n">
        <v>283461980.7813647</v>
      </c>
      <c r="H33" s="755" t="n">
        <v>276258486.4013656</v>
      </c>
      <c r="I33" s="755" t="n">
        <v>294511477.1780326</v>
      </c>
      <c r="J33" s="755" t="n">
        <v>157515844.8206145</v>
      </c>
      <c r="K33" s="755" t="n">
        <v>205310766.1342425</v>
      </c>
      <c r="L33" s="755" t="n">
        <v>185612797.2450582</v>
      </c>
      <c r="M33" s="755" t="n">
        <v>177964260.51278</v>
      </c>
      <c r="N33" s="755" t="n">
        <v>164544910.853575</v>
      </c>
      <c r="O33" s="755" t="n"/>
    </row>
    <row r="34">
      <c r="B34" s="756" t="inlineStr">
        <is>
          <t>Cash In (out) this month</t>
        </is>
      </c>
      <c r="C34" s="757" t="n">
        <v>-281953636.5699999</v>
      </c>
      <c r="D34" s="757" t="n">
        <v>-89486289.05636309</v>
      </c>
      <c r="E34" s="757" t="n">
        <v>-207728155.1975769</v>
      </c>
      <c r="F34" s="757" t="n">
        <v>5476086.94030273</v>
      </c>
      <c r="G34" s="757" t="n">
        <v>-7203494.379999161</v>
      </c>
      <c r="H34" s="757" t="n">
        <v>18252990.77666685</v>
      </c>
      <c r="I34" s="757" t="n">
        <v>-136995632.3574171</v>
      </c>
      <c r="J34" s="757" t="n">
        <v>47794921.3136282</v>
      </c>
      <c r="K34" s="757" t="n">
        <v>-19697968.88918465</v>
      </c>
      <c r="L34" s="757" t="n">
        <v>-7648536.732278526</v>
      </c>
      <c r="M34" s="757" t="n">
        <v>-13419349.65920401</v>
      </c>
      <c r="N34" s="757" t="n">
        <v>24811626.05116889</v>
      </c>
      <c r="O34" s="757" t="n"/>
    </row>
    <row r="35">
      <c r="B35" s="758" t="inlineStr">
        <is>
          <t>Cash on Hand at the end</t>
        </is>
      </c>
      <c r="C35" s="759" t="n">
        <v>575200338.0950029</v>
      </c>
      <c r="D35" s="759" t="n">
        <v>485714049.0386397</v>
      </c>
      <c r="E35" s="759" t="n">
        <v>277985893.8410611</v>
      </c>
      <c r="F35" s="759" t="n">
        <v>283461980.7813647</v>
      </c>
      <c r="G35" s="759" t="n">
        <v>276258486.4013655</v>
      </c>
      <c r="H35" s="759" t="n">
        <v>294511477.1780325</v>
      </c>
      <c r="I35" s="759" t="n">
        <v>157515844.8206155</v>
      </c>
      <c r="J35" s="759" t="n">
        <v>205310766.1342427</v>
      </c>
      <c r="K35" s="759" t="n">
        <v>185612797.2450578</v>
      </c>
      <c r="L35" s="759" t="n">
        <v>177964260.5127797</v>
      </c>
      <c r="M35" s="759" t="n">
        <v>164544910.853576</v>
      </c>
      <c r="N35" s="759" t="n">
        <v>189356536.9047439</v>
      </c>
      <c r="O35" s="759" t="n"/>
    </row>
    <row r="36">
      <c r="B36" s="760" t="inlineStr">
        <is>
          <t>Check -&gt;</t>
        </is>
      </c>
      <c r="C36" s="761" t="n">
        <v>0</v>
      </c>
      <c r="D36" s="761" t="n">
        <v>1.549720764160156e-06</v>
      </c>
      <c r="E36" s="761" t="n">
        <v>-7.152557373046875e-07</v>
      </c>
      <c r="F36" s="761" t="n">
        <v>0</v>
      </c>
      <c r="G36" s="761" t="n">
        <v>0</v>
      </c>
      <c r="H36" s="761" t="n">
        <v>7.152557373046875e-07</v>
      </c>
      <c r="I36" s="761" t="n">
        <v>0</v>
      </c>
      <c r="J36" s="761" t="n">
        <v>0</v>
      </c>
      <c r="K36" s="761" t="n">
        <v>-5.364418029785156e-07</v>
      </c>
      <c r="L36" s="761" t="n">
        <v>0</v>
      </c>
      <c r="M36" s="761" t="n">
        <v>1.430511474609375e-06</v>
      </c>
      <c r="N36" s="761" t="n">
        <v>0</v>
      </c>
      <c r="O36" s="761" t="n"/>
    </row>
    <row r="37">
      <c r="H37" s="715" t="n"/>
      <c r="I37" s="715" t="n"/>
      <c r="J37" s="715" t="n"/>
      <c r="K37" s="715" t="n"/>
      <c r="L37" s="715" t="n"/>
      <c r="M37" s="715" t="n"/>
      <c r="N37" s="715" t="n"/>
    </row>
    <row r="38">
      <c r="H38" s="715" t="n"/>
    </row>
    <row r="39">
      <c r="C39" s="715" t="n"/>
      <c r="H39" s="715" t="n"/>
    </row>
    <row r="40">
      <c r="C40" s="715" t="n">
        <v>0</v>
      </c>
      <c r="D40" s="715" t="n">
        <v>1.549720764160156e-06</v>
      </c>
      <c r="E40" s="715" t="n">
        <v>-7.152557373046875e-07</v>
      </c>
      <c r="F40" s="715" t="n">
        <v>0</v>
      </c>
      <c r="G40" s="715" t="n">
        <v>0</v>
      </c>
      <c r="H40" s="715" t="n">
        <v>7.152557373046875e-07</v>
      </c>
      <c r="I40" s="715" t="n">
        <v>0</v>
      </c>
      <c r="J40" s="715" t="n">
        <v>0</v>
      </c>
      <c r="K40" s="715" t="n">
        <v>-5.364418029785156e-07</v>
      </c>
      <c r="L40" s="715" t="n">
        <v>0</v>
      </c>
      <c r="M40" s="715" t="n">
        <v>1.430511474609375e-06</v>
      </c>
      <c r="N40" s="715" t="n">
        <v>0</v>
      </c>
    </row>
    <row r="41">
      <c r="H41" s="715" t="n"/>
    </row>
    <row r="42">
      <c r="H42" s="715" t="n"/>
    </row>
    <row r="43">
      <c r="H43" s="715" t="n"/>
    </row>
    <row r="44">
      <c r="H44" s="715" t="n"/>
    </row>
    <row r="45">
      <c r="H45" s="715" t="n"/>
    </row>
    <row r="46">
      <c r="H46" s="715" t="n"/>
    </row>
    <row r="47">
      <c r="H47" s="715" t="n"/>
    </row>
    <row r="48">
      <c r="H48" s="715" t="n"/>
    </row>
    <row r="49">
      <c r="H49" s="715" t="n"/>
    </row>
    <row r="50">
      <c r="H50" s="715" t="n"/>
    </row>
  </sheetData>
  <mergeCells count="3">
    <mergeCell ref="C3:N3"/>
    <mergeCell ref="B3:B4"/>
    <mergeCell ref="O3:O4"/>
  </mergeCells>
  <pageMargins left="0.25" right="0.25" top="0.75" bottom="0.75" header="0.3" footer="0.3"/>
  <pageSetup orientation="landscape" paperSize="9" scale="73" horizontalDpi="1200" verticalDpi="12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O40"/>
  <sheetViews>
    <sheetView showGridLines="0" showZeros="0" zoomScale="80" zoomScaleNormal="80" workbookViewId="0">
      <pane xSplit="2" ySplit="4" topLeftCell="C5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H1" sqref="H1:H1048576"/>
    </sheetView>
  </sheetViews>
  <sheetFormatPr baseColWidth="8" defaultColWidth="7.21875" defaultRowHeight="11.4"/>
  <cols>
    <col width="0.6640625" customWidth="1" style="1193" min="1" max="1"/>
    <col width="29" customWidth="1" style="1193" min="2" max="2"/>
    <col width="12.77734375" customWidth="1" style="1193" min="3" max="15"/>
    <col width="7.21875" customWidth="1" style="1193" min="16" max="16384"/>
  </cols>
  <sheetData>
    <row r="1" ht="15" customHeight="1">
      <c r="B1" s="1723" t="inlineStr">
        <is>
          <t>Stesha ,LLC.</t>
        </is>
      </c>
      <c r="C1" s="1724" t="n"/>
      <c r="D1" s="1724" t="n"/>
      <c r="E1" s="1724" t="n"/>
      <c r="F1" s="1724" t="n"/>
      <c r="G1" s="1724" t="n"/>
      <c r="H1" s="1724" t="n"/>
      <c r="I1" s="1724" t="n"/>
      <c r="J1" s="1724" t="n"/>
      <c r="K1" s="1724" t="n"/>
      <c r="L1" s="1724" t="n"/>
      <c r="M1" s="1724" t="n"/>
      <c r="N1" s="1725" t="n"/>
    </row>
    <row r="2" ht="15" customHeight="1" thickBot="1">
      <c r="B2" s="1723" t="inlineStr">
        <is>
          <t>Monthly Cash Flow Report</t>
        </is>
      </c>
      <c r="C2" s="1724" t="n"/>
      <c r="D2" s="1724" t="n"/>
      <c r="E2" s="1724" t="n"/>
      <c r="F2" s="1724" t="n"/>
      <c r="G2" s="1724" t="n"/>
      <c r="H2" s="1724" t="n"/>
      <c r="I2" s="1724" t="n"/>
      <c r="J2" s="1724" t="n"/>
      <c r="K2" s="1724" t="n"/>
      <c r="L2" s="1724" t="n"/>
      <c r="M2" s="1724" t="n"/>
      <c r="N2" s="1726" t="inlineStr">
        <is>
          <t>Amount: Ruble</t>
        </is>
      </c>
    </row>
    <row r="3" ht="15" customHeight="1">
      <c r="B3" s="1727" t="inlineStr">
        <is>
          <t>Criteria</t>
        </is>
      </c>
      <c r="C3" s="1728" t="n"/>
      <c r="D3" s="1728" t="n"/>
      <c r="E3" s="1728" t="n"/>
      <c r="F3" s="1728" t="n"/>
      <c r="G3" s="1728" t="n"/>
      <c r="H3" s="1728" t="n">
        <v>2025</v>
      </c>
      <c r="I3" s="1729" t="n">
        <v>0</v>
      </c>
      <c r="J3" s="1728" t="n"/>
      <c r="K3" s="1728" t="n"/>
      <c r="L3" s="1728" t="n"/>
      <c r="M3" s="1728" t="n"/>
      <c r="N3" s="1730" t="n"/>
    </row>
    <row r="4" ht="15" customHeight="1" thickBot="1">
      <c r="B4" s="1688" t="n"/>
      <c r="C4" s="1731" t="inlineStr">
        <is>
          <t>Jan</t>
        </is>
      </c>
      <c r="D4" s="1732" t="inlineStr">
        <is>
          <t>Feb</t>
        </is>
      </c>
      <c r="E4" s="1732" t="inlineStr">
        <is>
          <t>Mar</t>
        </is>
      </c>
      <c r="F4" s="1732" t="inlineStr">
        <is>
          <t>Apr</t>
        </is>
      </c>
      <c r="G4" s="1732" t="inlineStr">
        <is>
          <t>May</t>
        </is>
      </c>
      <c r="H4" s="1732" t="inlineStr">
        <is>
          <t>Jun</t>
        </is>
      </c>
      <c r="I4" s="1732" t="inlineStr">
        <is>
          <t>Jul</t>
        </is>
      </c>
      <c r="J4" s="1732" t="inlineStr">
        <is>
          <t>Aug</t>
        </is>
      </c>
      <c r="K4" s="1732" t="inlineStr">
        <is>
          <t>Sep</t>
        </is>
      </c>
      <c r="L4" s="1732" t="inlineStr">
        <is>
          <t>Oct</t>
        </is>
      </c>
      <c r="M4" s="1732" t="inlineStr">
        <is>
          <t>Nov</t>
        </is>
      </c>
      <c r="N4" s="1733" t="inlineStr">
        <is>
          <t>Dec</t>
        </is>
      </c>
    </row>
    <row r="5">
      <c r="B5" s="1734" t="inlineStr">
        <is>
          <t>Net Operational Income</t>
        </is>
      </c>
      <c r="C5" s="1204" t="n">
        <v>39475745.1299996</v>
      </c>
      <c r="D5" s="1205" t="n">
        <v>38175292.89</v>
      </c>
      <c r="E5" s="1205" t="n">
        <v>40462089.33</v>
      </c>
      <c r="F5" s="1205" t="n">
        <v>38972167.71000001</v>
      </c>
      <c r="G5" s="1205" t="n">
        <v>40255477.16</v>
      </c>
      <c r="H5" s="1205" t="n">
        <v>41008984.84</v>
      </c>
      <c r="I5" s="1205" t="n">
        <v>2255643006.675609</v>
      </c>
      <c r="J5" s="1205" t="n">
        <v>45642302.02099991</v>
      </c>
      <c r="K5" s="1205" t="n">
        <v>52718906.72590828</v>
      </c>
      <c r="L5" s="1205" t="n">
        <v>54835352.56088114</v>
      </c>
      <c r="M5" s="1205" t="n">
        <v>54484161.32610655</v>
      </c>
      <c r="N5" s="1206" t="n">
        <v>52446054.9096818</v>
      </c>
    </row>
    <row r="6">
      <c r="B6" s="1734" t="inlineStr">
        <is>
          <t>Unappropriated retained earnings</t>
        </is>
      </c>
      <c r="C6" s="1204" t="n">
        <v>0</v>
      </c>
      <c r="D6" s="1204" t="n">
        <v>0</v>
      </c>
      <c r="E6" s="1205" t="n">
        <v>0</v>
      </c>
      <c r="F6" s="1205" t="n">
        <v>0</v>
      </c>
      <c r="G6" s="1205" t="n">
        <v>0</v>
      </c>
      <c r="H6" s="1205" t="n">
        <v>0</v>
      </c>
      <c r="I6" s="1205" t="n">
        <v>0</v>
      </c>
      <c r="J6" s="1205" t="n">
        <v>0</v>
      </c>
      <c r="K6" s="1205" t="n">
        <v>0</v>
      </c>
      <c r="L6" s="1205" t="n">
        <v>0</v>
      </c>
      <c r="M6" s="1205" t="n">
        <v>0</v>
      </c>
      <c r="N6" s="1206" t="n">
        <v>0</v>
      </c>
    </row>
    <row r="7">
      <c r="B7" s="1734" t="inlineStr">
        <is>
          <t>Allowance for Bad Debt</t>
        </is>
      </c>
      <c r="C7" s="1204" t="n">
        <v>0</v>
      </c>
      <c r="D7" s="1205" t="n">
        <v>0</v>
      </c>
      <c r="E7" s="1205" t="n">
        <v>0</v>
      </c>
      <c r="F7" s="1205" t="n">
        <v>0</v>
      </c>
      <c r="G7" s="1205" t="n">
        <v>0</v>
      </c>
      <c r="H7" s="1205" t="n">
        <v>0</v>
      </c>
      <c r="I7" s="1205" t="n">
        <v>0</v>
      </c>
      <c r="J7" s="1205" t="n">
        <v>0</v>
      </c>
      <c r="K7" s="1205" t="n">
        <v>0</v>
      </c>
      <c r="L7" s="1205" t="n">
        <v>0</v>
      </c>
      <c r="M7" s="1205" t="n">
        <v>0</v>
      </c>
      <c r="N7" s="1206" t="n">
        <v>0</v>
      </c>
    </row>
    <row r="8">
      <c r="B8" s="1734" t="inlineStr">
        <is>
          <t>Income Dividend from S&amp;W</t>
        </is>
      </c>
      <c r="C8" s="1217" t="n">
        <v>0</v>
      </c>
      <c r="D8" s="1205" t="n">
        <v>0</v>
      </c>
      <c r="E8" s="1205" t="n">
        <v>0</v>
      </c>
      <c r="F8" s="1205" t="n">
        <v>0</v>
      </c>
      <c r="G8" s="1205" t="n">
        <v>0</v>
      </c>
      <c r="H8" s="1205" t="n">
        <v>0</v>
      </c>
      <c r="I8" s="1205" t="n">
        <v>0</v>
      </c>
      <c r="J8" s="1205" t="n">
        <v>0</v>
      </c>
      <c r="K8" s="1205" t="n">
        <v>0</v>
      </c>
      <c r="L8" s="1205" t="n">
        <v>0</v>
      </c>
      <c r="M8" s="1205" t="n">
        <v>0</v>
      </c>
      <c r="N8" s="1206" t="n">
        <v>0</v>
      </c>
    </row>
    <row r="9">
      <c r="B9" s="1734" t="inlineStr">
        <is>
          <t>Income Tax payable</t>
        </is>
      </c>
      <c r="C9" s="1204" t="n">
        <v>0</v>
      </c>
      <c r="D9" s="1205" t="n">
        <v>0</v>
      </c>
      <c r="E9" s="1205" t="n">
        <v>0</v>
      </c>
      <c r="F9" s="1205" t="n">
        <v>0</v>
      </c>
      <c r="G9" s="1205" t="n">
        <v>0</v>
      </c>
      <c r="H9" s="1205" t="n">
        <v>0</v>
      </c>
      <c r="I9" s="1205" t="n">
        <v>0</v>
      </c>
      <c r="J9" s="1205" t="n">
        <v>0</v>
      </c>
      <c r="K9" s="1205" t="n">
        <v>0</v>
      </c>
      <c r="L9" s="1205" t="n">
        <v>0</v>
      </c>
      <c r="M9" s="1205" t="n">
        <v>0</v>
      </c>
      <c r="N9" s="1206" t="n">
        <v>0</v>
      </c>
    </row>
    <row r="10">
      <c r="B10" s="1734" t="inlineStr">
        <is>
          <t>Accumulated Depreciation</t>
        </is>
      </c>
      <c r="C10" s="1218" t="n">
        <v>309644.5499999989</v>
      </c>
      <c r="D10" s="1216" t="n">
        <v>309644.5500000007</v>
      </c>
      <c r="E10" s="1216" t="n">
        <v>309644.5500000007</v>
      </c>
      <c r="F10" s="1216" t="n">
        <v>309644.5499999989</v>
      </c>
      <c r="G10" s="1216" t="n">
        <v>309644.5500000007</v>
      </c>
      <c r="H10" s="1216" t="n">
        <v>309644.5499999989</v>
      </c>
      <c r="I10" s="1216" t="n">
        <v>313255.6611111127</v>
      </c>
      <c r="J10" s="1216" t="n">
        <v>313255.6611111127</v>
      </c>
      <c r="K10" s="1216" t="n">
        <v>313255.6611111127</v>
      </c>
      <c r="L10" s="1216" t="n">
        <v>313255.6611111127</v>
      </c>
      <c r="M10" s="1216" t="n">
        <v>313255.6611111127</v>
      </c>
      <c r="N10" s="1219" t="n">
        <v>313255.6611111127</v>
      </c>
    </row>
    <row r="11" ht="12" customHeight="1">
      <c r="B11" s="1735" t="inlineStr">
        <is>
          <t>Cash in (out) from operation</t>
        </is>
      </c>
      <c r="C11" s="1212" t="n">
        <v>39785389.6799996</v>
      </c>
      <c r="D11" s="1222" t="n">
        <v>38484937.44</v>
      </c>
      <c r="E11" s="1222" t="n">
        <v>40771733.88</v>
      </c>
      <c r="F11" s="1222" t="n">
        <v>39281812.26000001</v>
      </c>
      <c r="G11" s="1222" t="n">
        <v>40565121.70999999</v>
      </c>
      <c r="H11" s="1222" t="n">
        <v>41318629.39</v>
      </c>
      <c r="I11" s="1222" t="n">
        <v>2255956262.33672</v>
      </c>
      <c r="J11" s="1222" t="n">
        <v>45955557.68211102</v>
      </c>
      <c r="K11" s="1222" t="n">
        <v>53032162.3870194</v>
      </c>
      <c r="L11" s="1222" t="n">
        <v>55148608.22199225</v>
      </c>
      <c r="M11" s="1222" t="n">
        <v>54797416.98721766</v>
      </c>
      <c r="N11" s="1223" t="n">
        <v>52759310.57079291</v>
      </c>
      <c r="O11" s="1215" t="n"/>
    </row>
    <row r="12">
      <c r="B12" s="1734" t="inlineStr">
        <is>
          <t xml:space="preserve">Payable </t>
        </is>
      </c>
      <c r="C12" s="1204" t="n">
        <v>0</v>
      </c>
      <c r="D12" s="1205" t="n">
        <v>0</v>
      </c>
      <c r="E12" s="1205" t="n">
        <v>25724.4</v>
      </c>
      <c r="F12" s="1205" t="n">
        <v>-25724.4</v>
      </c>
      <c r="G12" s="1205" t="n">
        <v>0</v>
      </c>
      <c r="H12" s="1205" t="n">
        <v>0</v>
      </c>
      <c r="I12" s="1205" t="n">
        <v>0</v>
      </c>
      <c r="J12" s="1205" t="n">
        <v>0</v>
      </c>
      <c r="K12" s="1205" t="n">
        <v>0</v>
      </c>
      <c r="L12" s="1205" t="n">
        <v>0</v>
      </c>
      <c r="M12" s="1205" t="n">
        <v>0</v>
      </c>
      <c r="N12" s="1206" t="n">
        <v>0</v>
      </c>
    </row>
    <row r="13">
      <c r="B13" s="1734" t="inlineStr">
        <is>
          <t>Current Account</t>
        </is>
      </c>
      <c r="C13" s="1204" t="n">
        <v>0</v>
      </c>
      <c r="D13" s="1205" t="n">
        <v>0</v>
      </c>
      <c r="E13" s="1205" t="n">
        <v>0</v>
      </c>
      <c r="F13" s="1205" t="n">
        <v>0</v>
      </c>
      <c r="G13" s="1205" t="n">
        <v>0</v>
      </c>
      <c r="H13" s="1205" t="n">
        <v>0</v>
      </c>
      <c r="I13" s="1205" t="n">
        <v>0</v>
      </c>
      <c r="J13" s="1205" t="n">
        <v>0</v>
      </c>
      <c r="K13" s="1205" t="n">
        <v>0</v>
      </c>
      <c r="L13" s="1205" t="n">
        <v>0</v>
      </c>
      <c r="M13" s="1205" t="n">
        <v>0</v>
      </c>
      <c r="N13" s="1206" t="n">
        <v>0</v>
      </c>
    </row>
    <row r="14">
      <c r="B14" s="1734" t="inlineStr">
        <is>
          <t>Dividend Payable</t>
        </is>
      </c>
      <c r="C14" s="1204" t="n">
        <v>15000000</v>
      </c>
      <c r="D14" s="1205" t="n">
        <v>-15000000</v>
      </c>
      <c r="E14" s="1205" t="n">
        <v>15000000</v>
      </c>
      <c r="F14" s="1205" t="n">
        <v>0</v>
      </c>
      <c r="G14" s="1205" t="n">
        <v>-8790349.039999999</v>
      </c>
      <c r="H14" s="1205" t="n">
        <v>-6209650.96</v>
      </c>
      <c r="I14" s="1205" t="n">
        <v>0</v>
      </c>
      <c r="J14" s="1205" t="n">
        <v>0</v>
      </c>
      <c r="K14" s="1205" t="n">
        <v>0</v>
      </c>
      <c r="L14" s="1205" t="n">
        <v>0</v>
      </c>
      <c r="M14" s="1205" t="n">
        <v>0</v>
      </c>
      <c r="N14" s="1206" t="n">
        <v>0</v>
      </c>
    </row>
    <row r="15">
      <c r="B15" s="1734" t="inlineStr">
        <is>
          <t>Other current and None Current liabilities</t>
        </is>
      </c>
      <c r="C15" s="1218" t="n">
        <v>6447182.769999996</v>
      </c>
      <c r="D15" s="1216" t="n">
        <v>16210686.75</v>
      </c>
      <c r="E15" s="1216" t="n">
        <v>-21173172.28</v>
      </c>
      <c r="F15" s="1216" t="n">
        <v>-33202188.98</v>
      </c>
      <c r="G15" s="1216" t="n">
        <v>16511585.55</v>
      </c>
      <c r="H15" s="1216" t="n">
        <v>10086660.55999999</v>
      </c>
      <c r="I15" s="1216" t="n">
        <v>-24106952.10813046</v>
      </c>
      <c r="J15" s="1216" t="n">
        <v>15214100.67366657</v>
      </c>
      <c r="K15" s="1216" t="n">
        <v>17572968.90863617</v>
      </c>
      <c r="L15" s="1216" t="n">
        <v>-33056287.62054521</v>
      </c>
      <c r="M15" s="1216" t="n">
        <v>18161387.10870211</v>
      </c>
      <c r="N15" s="1219" t="n">
        <v>17482018.30322734</v>
      </c>
    </row>
    <row r="16" ht="12" customHeight="1">
      <c r="B16" s="1735" t="inlineStr">
        <is>
          <t>Cash in (out) from liabilities</t>
        </is>
      </c>
      <c r="C16" s="1212" t="n">
        <v>21447182.77</v>
      </c>
      <c r="D16" s="1222" t="n">
        <v>1210686.75</v>
      </c>
      <c r="E16" s="1222" t="n">
        <v>-6147447.880000001</v>
      </c>
      <c r="F16" s="1222" t="n">
        <v>-33227913.38</v>
      </c>
      <c r="G16" s="1222" t="n">
        <v>7721236.510000005</v>
      </c>
      <c r="H16" s="1222" t="n">
        <v>3877009.599999995</v>
      </c>
      <c r="I16" s="1222" t="n">
        <v>-24106952.10813046</v>
      </c>
      <c r="J16" s="1222" t="n">
        <v>15214100.67366657</v>
      </c>
      <c r="K16" s="1222" t="n">
        <v>17572968.90863617</v>
      </c>
      <c r="L16" s="1222" t="n">
        <v>-33056287.62054521</v>
      </c>
      <c r="M16" s="1222" t="n">
        <v>18161387.10870211</v>
      </c>
      <c r="N16" s="1223" t="n">
        <v>17482018.30322734</v>
      </c>
    </row>
    <row r="17">
      <c r="B17" s="1734" t="inlineStr">
        <is>
          <t>Accounts receivable &amp; checks on hand-trade</t>
        </is>
      </c>
      <c r="C17" s="1204" t="n">
        <v>-30000</v>
      </c>
      <c r="D17" s="1205" t="n">
        <v>30000</v>
      </c>
      <c r="E17" s="1205" t="n">
        <v>0</v>
      </c>
      <c r="F17" s="1205" t="n">
        <v>0</v>
      </c>
      <c r="G17" s="1205" t="n">
        <v>2256570</v>
      </c>
      <c r="H17" s="1205" t="n">
        <v>-2256570</v>
      </c>
      <c r="I17" s="1205" t="n">
        <v>0</v>
      </c>
      <c r="J17" s="1205" t="n">
        <v>0</v>
      </c>
      <c r="K17" s="1205" t="n">
        <v>0</v>
      </c>
      <c r="L17" s="1205" t="n">
        <v>0</v>
      </c>
      <c r="M17" s="1205" t="n">
        <v>0</v>
      </c>
      <c r="N17" s="1206" t="n">
        <v>0</v>
      </c>
    </row>
    <row r="18">
      <c r="B18" s="1734" t="inlineStr">
        <is>
          <t>Short-term Loan Receivable</t>
        </is>
      </c>
      <c r="C18" s="1204" t="n">
        <v>200000000</v>
      </c>
      <c r="D18" s="1205" t="n">
        <v>0</v>
      </c>
      <c r="E18" s="1205" t="n">
        <v>-1000000</v>
      </c>
      <c r="F18" s="1205" t="n">
        <v>870000000</v>
      </c>
      <c r="G18" s="1205" t="n">
        <v>0</v>
      </c>
      <c r="H18" s="1205" t="n">
        <v>0</v>
      </c>
      <c r="I18" s="1205" t="n">
        <v>2384000000</v>
      </c>
      <c r="J18" s="1205" t="n">
        <v>0</v>
      </c>
      <c r="K18" s="1205" t="n">
        <v>0</v>
      </c>
      <c r="L18" s="1205" t="n">
        <v>0</v>
      </c>
      <c r="M18" s="1205" t="n">
        <v>0</v>
      </c>
      <c r="N18" s="1206" t="n">
        <v>0</v>
      </c>
    </row>
    <row r="19">
      <c r="B19" s="1734" t="inlineStr">
        <is>
          <t>Inventories</t>
        </is>
      </c>
      <c r="C19" s="1204" t="n">
        <v>2941</v>
      </c>
      <c r="D19" s="1205" t="n">
        <v>-5697.549999999999</v>
      </c>
      <c r="E19" s="1205" t="n">
        <v>5665.57</v>
      </c>
      <c r="F19" s="1205" t="n">
        <v>369.3999999999996</v>
      </c>
      <c r="G19" s="1205" t="n">
        <v>-928.6999999999989</v>
      </c>
      <c r="H19" s="1205" t="n">
        <v>966.0399999999991</v>
      </c>
      <c r="I19" s="1205" t="n">
        <v>-352.9699999999993</v>
      </c>
      <c r="J19" s="1205" t="n">
        <v>0</v>
      </c>
      <c r="K19" s="1205" t="n">
        <v>0</v>
      </c>
      <c r="L19" s="1205" t="n">
        <v>0</v>
      </c>
      <c r="M19" s="1205" t="n">
        <v>0</v>
      </c>
      <c r="N19" s="1206" t="n">
        <v>0</v>
      </c>
    </row>
    <row r="20">
      <c r="B20" s="1734" t="inlineStr">
        <is>
          <t>Other Current and None Current Assets</t>
        </is>
      </c>
      <c r="C20" s="1218" t="n">
        <v>29901078.14000002</v>
      </c>
      <c r="D20" s="1216" t="n">
        <v>36696686.84</v>
      </c>
      <c r="E20" s="1216" t="n">
        <v>12367807.25</v>
      </c>
      <c r="F20" s="1216" t="n">
        <v>43774272.01999998</v>
      </c>
      <c r="G20" s="1216" t="n">
        <v>68162021.85999995</v>
      </c>
      <c r="H20" s="1216" t="n">
        <v>-33487420.32999998</v>
      </c>
      <c r="I20" s="1216" t="n">
        <v>56261560.27397263</v>
      </c>
      <c r="J20" s="1216" t="n">
        <v>64809388.1346575</v>
      </c>
      <c r="K20" s="1216" t="n">
        <v>75118890.41095895</v>
      </c>
      <c r="L20" s="1216" t="n">
        <v>77622853.42465764</v>
      </c>
      <c r="M20" s="1216" t="n">
        <v>75118890.41095889</v>
      </c>
      <c r="N20" s="1219" t="n">
        <v>77622853.42465758</v>
      </c>
    </row>
    <row r="21" ht="12" customHeight="1">
      <c r="B21" s="1735" t="inlineStr">
        <is>
          <t>Cash out ( in ) from current assets</t>
        </is>
      </c>
      <c r="C21" s="1212" t="n">
        <v>229874019.14</v>
      </c>
      <c r="D21" s="1222" t="n">
        <v>36720989.29000001</v>
      </c>
      <c r="E21" s="1222" t="n">
        <v>11373472.82</v>
      </c>
      <c r="F21" s="1222" t="n">
        <v>913774641.42</v>
      </c>
      <c r="G21" s="1222" t="n">
        <v>70417663.15999995</v>
      </c>
      <c r="H21" s="1222" t="n">
        <v>-35743024.28999998</v>
      </c>
      <c r="I21" s="1222" t="n">
        <v>2440261207.303973</v>
      </c>
      <c r="J21" s="1222" t="n">
        <v>64809388.1346575</v>
      </c>
      <c r="K21" s="1222" t="n">
        <v>75118890.41095895</v>
      </c>
      <c r="L21" s="1222" t="n">
        <v>77622853.42465764</v>
      </c>
      <c r="M21" s="1222" t="n">
        <v>75118890.41095889</v>
      </c>
      <c r="N21" s="1223" t="n">
        <v>77622853.42465758</v>
      </c>
    </row>
    <row r="22">
      <c r="B22" s="1734" t="inlineStr">
        <is>
          <t>Property , plant and equipment</t>
        </is>
      </c>
      <c r="C22" s="1217" t="n">
        <v>0</v>
      </c>
      <c r="D22" s="1205" t="n">
        <v>0</v>
      </c>
      <c r="E22" s="1205" t="n">
        <v>0</v>
      </c>
      <c r="F22" s="1205" t="n">
        <v>0</v>
      </c>
      <c r="G22" s="1205" t="n">
        <v>0</v>
      </c>
      <c r="H22" s="1205" t="n">
        <v>0</v>
      </c>
      <c r="I22" s="1205" t="n">
        <v>0</v>
      </c>
      <c r="J22" s="1205" t="n">
        <v>0</v>
      </c>
      <c r="K22" s="1205" t="n">
        <v>0</v>
      </c>
      <c r="L22" s="1205" t="n">
        <v>0</v>
      </c>
      <c r="M22" s="1205" t="n">
        <v>0</v>
      </c>
      <c r="N22" s="1206" t="n">
        <v>0</v>
      </c>
    </row>
    <row r="23">
      <c r="B23" s="1734" t="inlineStr">
        <is>
          <t>Other Assets</t>
        </is>
      </c>
      <c r="C23" s="1217" t="n">
        <v>0</v>
      </c>
      <c r="D23" s="1205" t="n">
        <v>0</v>
      </c>
      <c r="E23" s="1205" t="n">
        <v>0</v>
      </c>
      <c r="F23" s="1205" t="n">
        <v>0</v>
      </c>
      <c r="G23" s="1205" t="n">
        <v>0</v>
      </c>
      <c r="H23" s="1205" t="n">
        <v>0</v>
      </c>
      <c r="I23" s="1205" t="n">
        <v>0</v>
      </c>
      <c r="J23" s="1205" t="n">
        <v>0</v>
      </c>
      <c r="K23" s="1205" t="n">
        <v>0</v>
      </c>
      <c r="L23" s="1205" t="n">
        <v>0</v>
      </c>
      <c r="M23" s="1205" t="n">
        <v>0</v>
      </c>
      <c r="N23" s="1206" t="n">
        <v>0</v>
      </c>
    </row>
    <row r="24">
      <c r="B24" s="1734" t="inlineStr">
        <is>
          <t>Investment</t>
        </is>
      </c>
      <c r="C24" s="1218" t="n">
        <v>0</v>
      </c>
      <c r="D24" s="1216" t="n">
        <v>0</v>
      </c>
      <c r="E24" s="1216" t="n">
        <v>0</v>
      </c>
      <c r="F24" s="1216" t="n">
        <v>0</v>
      </c>
      <c r="G24" s="1216" t="n">
        <v>0</v>
      </c>
      <c r="H24" s="1216" t="n">
        <v>0</v>
      </c>
      <c r="I24" s="1216" t="n">
        <v>0</v>
      </c>
      <c r="J24" s="1216" t="n">
        <v>0</v>
      </c>
      <c r="K24" s="1216" t="n">
        <v>0</v>
      </c>
      <c r="L24" s="1216" t="n">
        <v>0</v>
      </c>
      <c r="M24" s="1216" t="n">
        <v>0</v>
      </c>
      <c r="N24" s="1219" t="n">
        <v>0</v>
      </c>
    </row>
    <row r="25" ht="12" customHeight="1">
      <c r="B25" s="1736" t="inlineStr">
        <is>
          <t>Cash out ( in ) from investing</t>
        </is>
      </c>
      <c r="C25" s="1221" t="n">
        <v>0</v>
      </c>
      <c r="D25" s="1222" t="n">
        <v>0</v>
      </c>
      <c r="E25" s="1222" t="n">
        <v>0</v>
      </c>
      <c r="F25" s="1222" t="n">
        <v>0</v>
      </c>
      <c r="G25" s="1222" t="n">
        <v>0</v>
      </c>
      <c r="H25" s="1222" t="n">
        <v>0</v>
      </c>
      <c r="I25" s="1222" t="n">
        <v>0</v>
      </c>
      <c r="J25" s="1222" t="n">
        <v>0</v>
      </c>
      <c r="K25" s="1222" t="n">
        <v>0</v>
      </c>
      <c r="L25" s="1222" t="n">
        <v>0</v>
      </c>
      <c r="M25" s="1222" t="n">
        <v>0</v>
      </c>
      <c r="N25" s="1223" t="n">
        <v>0</v>
      </c>
    </row>
    <row r="26">
      <c r="B26" s="1734" t="inlineStr">
        <is>
          <t>Financial Institutions</t>
        </is>
      </c>
      <c r="C26" s="1217" t="n">
        <v>0</v>
      </c>
      <c r="D26" s="1205" t="n">
        <v>0</v>
      </c>
      <c r="E26" s="1205" t="n">
        <v>0</v>
      </c>
      <c r="F26" s="1205" t="n">
        <v>0</v>
      </c>
      <c r="G26" s="1205" t="n">
        <v>0</v>
      </c>
      <c r="H26" s="1205" t="n">
        <v>0</v>
      </c>
      <c r="I26" s="1205" t="n">
        <v>0</v>
      </c>
      <c r="J26" s="1205" t="n">
        <v>0</v>
      </c>
      <c r="K26" s="1205" t="n">
        <v>0</v>
      </c>
      <c r="L26" s="1205" t="n">
        <v>0</v>
      </c>
      <c r="M26" s="1205" t="n">
        <v>0</v>
      </c>
      <c r="N26" s="1206" t="n">
        <v>0</v>
      </c>
    </row>
    <row r="27">
      <c r="B27" s="1734" t="inlineStr">
        <is>
          <t>Short-term Loans</t>
        </is>
      </c>
      <c r="C27" s="1217" t="n">
        <v>0</v>
      </c>
      <c r="D27" s="1205" t="n">
        <v>0</v>
      </c>
      <c r="E27" s="1205" t="n">
        <v>0</v>
      </c>
      <c r="F27" s="1205" t="n">
        <v>0</v>
      </c>
      <c r="G27" s="1205" t="n">
        <v>0</v>
      </c>
      <c r="H27" s="1205" t="n">
        <v>0</v>
      </c>
      <c r="I27" s="1205" t="n">
        <v>0</v>
      </c>
      <c r="J27" s="1205" t="n">
        <v>0</v>
      </c>
      <c r="K27" s="1205" t="n">
        <v>0</v>
      </c>
      <c r="L27" s="1205" t="n">
        <v>0</v>
      </c>
      <c r="M27" s="1205" t="n">
        <v>0</v>
      </c>
      <c r="N27" s="1206" t="n">
        <v>0</v>
      </c>
    </row>
    <row r="28">
      <c r="B28" s="1734" t="inlineStr">
        <is>
          <t>Legal reserves</t>
        </is>
      </c>
      <c r="C28" s="1217" t="n">
        <v>0</v>
      </c>
      <c r="D28" s="1205" t="n">
        <v>0</v>
      </c>
      <c r="E28" s="1205" t="n">
        <v>0</v>
      </c>
      <c r="F28" s="1205" t="n">
        <v>0</v>
      </c>
      <c r="G28" s="1205" t="n">
        <v>0</v>
      </c>
      <c r="H28" s="1205" t="n">
        <v>0</v>
      </c>
      <c r="I28" s="1205" t="n">
        <v>0</v>
      </c>
      <c r="J28" s="1205" t="n">
        <v>0</v>
      </c>
      <c r="K28" s="1205" t="n">
        <v>0</v>
      </c>
      <c r="L28" s="1205" t="n">
        <v>0</v>
      </c>
      <c r="M28" s="1205" t="n">
        <v>0</v>
      </c>
      <c r="N28" s="1206" t="n">
        <v>0</v>
      </c>
    </row>
    <row r="29">
      <c r="B29" s="1734" t="inlineStr">
        <is>
          <t>Share capital increase in cash</t>
        </is>
      </c>
      <c r="C29" s="1218" t="n">
        <v>0</v>
      </c>
      <c r="D29" s="1216" t="n">
        <v>0</v>
      </c>
      <c r="E29" s="1216" t="n">
        <v>0</v>
      </c>
      <c r="F29" s="1216" t="n">
        <v>0</v>
      </c>
      <c r="G29" s="1216" t="n">
        <v>0</v>
      </c>
      <c r="H29" s="1216" t="n">
        <v>0</v>
      </c>
      <c r="I29" s="1216" t="n">
        <v>0</v>
      </c>
      <c r="J29" s="1216" t="n">
        <v>0</v>
      </c>
      <c r="K29" s="1216" t="n">
        <v>0</v>
      </c>
      <c r="L29" s="1216" t="n">
        <v>0</v>
      </c>
      <c r="M29" s="1216" t="n">
        <v>0</v>
      </c>
      <c r="N29" s="1219" t="n">
        <v>0</v>
      </c>
    </row>
    <row r="30" ht="12" customHeight="1">
      <c r="B30" s="1737" t="inlineStr">
        <is>
          <t>Cash in (out) from financing</t>
        </is>
      </c>
      <c r="C30" s="1225" t="n">
        <v>0</v>
      </c>
      <c r="D30" s="1226" t="n">
        <v>0</v>
      </c>
      <c r="E30" s="1226" t="n">
        <v>0</v>
      </c>
      <c r="F30" s="1226" t="n">
        <v>0</v>
      </c>
      <c r="G30" s="1226" t="n">
        <v>0</v>
      </c>
      <c r="H30" s="1226" t="n">
        <v>0</v>
      </c>
      <c r="I30" s="1226" t="n">
        <v>0</v>
      </c>
      <c r="J30" s="1226" t="n">
        <v>0</v>
      </c>
      <c r="K30" s="1226" t="n">
        <v>0</v>
      </c>
      <c r="L30" s="1226" t="n">
        <v>0</v>
      </c>
      <c r="M30" s="1226" t="n">
        <v>0</v>
      </c>
      <c r="N30" s="1227" t="n">
        <v>0</v>
      </c>
    </row>
    <row r="31" ht="12.6" customHeight="1" thickBot="1">
      <c r="B31" s="1738" t="inlineStr">
        <is>
          <t>Net Cash in (out)</t>
        </is>
      </c>
      <c r="C31" s="1229" t="n">
        <v>-168641446.6900004</v>
      </c>
      <c r="D31" s="1230" t="n">
        <v>2974634.899999991</v>
      </c>
      <c r="E31" s="1230" t="n">
        <v>23250813.17999999</v>
      </c>
      <c r="F31" s="1230" t="n">
        <v>-907720742.54</v>
      </c>
      <c r="G31" s="1230" t="n">
        <v>-22131304.93999995</v>
      </c>
      <c r="H31" s="1230" t="n">
        <v>80938663.27999997</v>
      </c>
      <c r="I31" s="1230" t="n">
        <v>-208411897.0753837</v>
      </c>
      <c r="J31" s="1230" t="n">
        <v>-3639729.778879911</v>
      </c>
      <c r="K31" s="1230" t="n">
        <v>-4513759.115303382</v>
      </c>
      <c r="L31" s="1230" t="n">
        <v>-55530532.8232106</v>
      </c>
      <c r="M31" s="1230" t="n">
        <v>-2160086.315039113</v>
      </c>
      <c r="N31" s="1231" t="n">
        <v>-7381524.550637335</v>
      </c>
      <c r="O31" s="1215" t="n"/>
    </row>
    <row r="32">
      <c r="B32" s="1232" t="n"/>
    </row>
    <row r="33">
      <c r="B33" s="1233" t="inlineStr">
        <is>
          <t>Cash on Hand at the beginning</t>
        </is>
      </c>
      <c r="C33" s="1234" t="n">
        <v>1430238621.87</v>
      </c>
      <c r="D33" s="1234" t="n">
        <v>1261597175.18</v>
      </c>
      <c r="E33" s="1234" t="n">
        <v>1264571810.08</v>
      </c>
      <c r="F33" s="1234" t="n">
        <v>1287822623.26</v>
      </c>
      <c r="G33" s="1234" t="n">
        <v>380101880.7199998</v>
      </c>
      <c r="H33" s="1234" t="n">
        <v>357970575.7799999</v>
      </c>
      <c r="I33" s="1234" t="n">
        <v>438909239.0599998</v>
      </c>
      <c r="J33" s="1234" t="n">
        <v>230497341.9846162</v>
      </c>
      <c r="K33" s="1234" t="n">
        <v>226857612.2057362</v>
      </c>
      <c r="L33" s="1234" t="n">
        <v>222343853.0904329</v>
      </c>
      <c r="M33" s="1234" t="n">
        <v>166813320.2672223</v>
      </c>
      <c r="N33" s="1234" t="n">
        <v>164653233.9521832</v>
      </c>
    </row>
    <row r="34">
      <c r="B34" s="1235" t="inlineStr">
        <is>
          <t>Cash In (out) this month</t>
        </is>
      </c>
      <c r="C34" s="1236" t="n">
        <v>-168641446.6900004</v>
      </c>
      <c r="D34" s="1236" t="n">
        <v>2974634.899999991</v>
      </c>
      <c r="E34" s="1236" t="n">
        <v>23250813.17999999</v>
      </c>
      <c r="F34" s="1236" t="n">
        <v>-907720742.54</v>
      </c>
      <c r="G34" s="1236" t="n">
        <v>-22131304.93999995</v>
      </c>
      <c r="H34" s="1236" t="n">
        <v>80938663.27999997</v>
      </c>
      <c r="I34" s="1236" t="n">
        <v>-208411897.0753837</v>
      </c>
      <c r="J34" s="1236" t="n">
        <v>-3639729.778879911</v>
      </c>
      <c r="K34" s="1236" t="n">
        <v>-4513759.115303382</v>
      </c>
      <c r="L34" s="1236" t="n">
        <v>-55530532.8232106</v>
      </c>
      <c r="M34" s="1236" t="n">
        <v>-2160086.315039113</v>
      </c>
      <c r="N34" s="1236" t="n">
        <v>-7381524.550637335</v>
      </c>
    </row>
    <row r="35">
      <c r="B35" s="1237" t="inlineStr">
        <is>
          <t>Cash on Hand at the end</t>
        </is>
      </c>
      <c r="C35" s="1238" t="n">
        <v>1261597175.179999</v>
      </c>
      <c r="D35" s="1238" t="n">
        <v>1264571810.08</v>
      </c>
      <c r="E35" s="1238" t="n">
        <v>1287822623.26</v>
      </c>
      <c r="F35" s="1238" t="n">
        <v>380101880.7199998</v>
      </c>
      <c r="G35" s="1238" t="n">
        <v>357970575.7799999</v>
      </c>
      <c r="H35" s="1238" t="n">
        <v>438909239.0599998</v>
      </c>
      <c r="I35" s="1238" t="n">
        <v>230497341.9846162</v>
      </c>
      <c r="J35" s="1238" t="n">
        <v>226857612.2057362</v>
      </c>
      <c r="K35" s="1238" t="n">
        <v>222343853.0904329</v>
      </c>
      <c r="L35" s="1238" t="n">
        <v>166813320.2672223</v>
      </c>
      <c r="M35" s="1238" t="n">
        <v>164653233.9521832</v>
      </c>
      <c r="N35" s="1238" t="n">
        <v>157271709.4015459</v>
      </c>
    </row>
    <row r="36">
      <c r="B36" s="1239" t="inlineStr">
        <is>
          <t>Check -&gt;</t>
        </is>
      </c>
      <c r="C36" s="1240" t="n"/>
      <c r="D36" s="1240" t="n"/>
      <c r="E36" s="1240" t="n"/>
      <c r="F36" s="1240" t="n"/>
      <c r="G36" s="1240" t="n"/>
      <c r="H36" s="1240" t="n"/>
      <c r="I36" s="1240" t="n"/>
      <c r="J36" s="1240" t="n"/>
      <c r="K36" s="1240" t="n"/>
      <c r="L36" s="1240" t="n"/>
      <c r="M36" s="1240" t="n"/>
      <c r="N36" s="1240" t="n"/>
    </row>
    <row r="37">
      <c r="I37" s="715" t="n"/>
      <c r="J37" s="715" t="n"/>
      <c r="K37" s="715" t="n"/>
      <c r="L37" s="715" t="n"/>
      <c r="M37" s="715" t="n"/>
      <c r="N37" s="715" t="n"/>
    </row>
    <row r="38" ht="13.2" customHeight="1">
      <c r="E38" s="1241" t="n"/>
      <c r="H38" s="1739" t="n"/>
    </row>
    <row r="39" ht="13.2" customHeight="1">
      <c r="E39" s="1241" t="n"/>
      <c r="H39" s="1243" t="n"/>
    </row>
    <row r="40" ht="13.8" customHeight="1" thickBot="1">
      <c r="E40" s="1241" t="n"/>
      <c r="H40" s="1740" t="n"/>
    </row>
    <row r="41" ht="12" customHeight="1" thickTop="1"/>
  </sheetData>
  <mergeCells count="1">
    <mergeCell ref="B3:B4"/>
  </mergeCells>
  <pageMargins left="0.7" right="0.7" top="0.75" bottom="0.75" header="0.3" footer="0.3"/>
  <pageSetup orientation="portrait" paperSize="9" horizontalDpi="1200" verticalDpi="12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B92" sqref="B92"/>
    </sheetView>
  </sheetViews>
  <sheetFormatPr baseColWidth="8" defaultColWidth="8.77734375" defaultRowHeight="14.4"/>
  <cols>
    <col width="34.6640625" bestFit="1" customWidth="1" min="1" max="1"/>
    <col width="15.6640625" bestFit="1" customWidth="1" min="2" max="2"/>
  </cols>
  <sheetData>
    <row r="1">
      <c r="A1" s="1302" t="inlineStr">
        <is>
          <t>Company</t>
        </is>
      </c>
      <c r="B1" t="inlineStr">
        <is>
          <t>(Multiple Items)</t>
        </is>
      </c>
    </row>
    <row r="3">
      <c r="A3" s="1302" t="inlineStr">
        <is>
          <t>Row Labels</t>
        </is>
      </c>
      <c r="B3" t="inlineStr">
        <is>
          <t>Count of Loan</t>
        </is>
      </c>
    </row>
    <row r="4">
      <c r="A4" s="1303" t="inlineStr">
        <is>
          <t>Bank SPb   7500-22-020286/30 ( PPP  )</t>
        </is>
      </c>
      <c r="B4" t="n">
        <v>1</v>
      </c>
    </row>
    <row r="5">
      <c r="A5" s="1303" t="inlineStr">
        <is>
          <t>Bank SPb  7500-22-003340  ( PPP  )</t>
        </is>
      </c>
      <c r="B5" t="n">
        <v>1</v>
      </c>
    </row>
    <row r="6">
      <c r="A6" s="1303" t="inlineStr">
        <is>
          <t>Bank SPb  7500-22-020286/11  ( PPP  )</t>
        </is>
      </c>
      <c r="B6" t="n">
        <v>1</v>
      </c>
    </row>
    <row r="7">
      <c r="A7" s="1303" t="inlineStr">
        <is>
          <t>Bank SPb  7500-22-020286/14  ( PPP  )</t>
        </is>
      </c>
      <c r="B7" t="n">
        <v>1</v>
      </c>
    </row>
    <row r="8">
      <c r="A8" s="1303" t="inlineStr">
        <is>
          <t>Bank SPb  7500-22-020286/15 ( PPP )</t>
        </is>
      </c>
      <c r="B8" t="n">
        <v>1</v>
      </c>
    </row>
    <row r="9">
      <c r="A9" s="1303" t="inlineStr">
        <is>
          <t>Bank SPb  7500-22-020286/19 ( PPP  )</t>
        </is>
      </c>
      <c r="B9" t="n">
        <v>1</v>
      </c>
    </row>
    <row r="10">
      <c r="A10" s="1303" t="inlineStr">
        <is>
          <t>Bank SPb  7500-22-020286/21  ( PPP  )</t>
        </is>
      </c>
      <c r="B10" t="n">
        <v>1</v>
      </c>
    </row>
    <row r="11">
      <c r="A11" s="1303" t="inlineStr">
        <is>
          <t>Bank SPb  7500-22-020286/22 ( PPP  )</t>
        </is>
      </c>
      <c r="B11" t="n">
        <v>1</v>
      </c>
    </row>
    <row r="12">
      <c r="A12" s="1303" t="inlineStr">
        <is>
          <t>Bank SPb  7500-22-020286/23  ( PPP  )</t>
        </is>
      </c>
      <c r="B12" t="n">
        <v>1</v>
      </c>
    </row>
    <row r="13">
      <c r="A13" s="1303" t="inlineStr">
        <is>
          <t>Bank SPb  7500-22-020286/24  ( PPP  )</t>
        </is>
      </c>
      <c r="B13" t="n">
        <v>1</v>
      </c>
    </row>
    <row r="14">
      <c r="A14" s="1303" t="inlineStr">
        <is>
          <t>Bank SPb  7500-22-020286/25 ( PPP  )</t>
        </is>
      </c>
      <c r="B14" t="n">
        <v>1</v>
      </c>
    </row>
    <row r="15">
      <c r="A15" s="1303" t="inlineStr">
        <is>
          <t>Bank SPb  7500-22-020286/26  ( PPP  )</t>
        </is>
      </c>
      <c r="B15" t="n">
        <v>1</v>
      </c>
    </row>
    <row r="16">
      <c r="A16" s="1303" t="inlineStr">
        <is>
          <t>Bank SPb  7500-22-020286/27 ( PPP )</t>
        </is>
      </c>
      <c r="B16" t="n">
        <v>1</v>
      </c>
    </row>
    <row r="17">
      <c r="A17" s="1303" t="inlineStr">
        <is>
          <t>Bank SPb  7500-22-020286/28 ( PPP  )</t>
        </is>
      </c>
      <c r="B17" t="n">
        <v>1</v>
      </c>
    </row>
    <row r="18">
      <c r="A18" s="1303" t="inlineStr">
        <is>
          <t>Bank SPb  7500-22-020286/29 ( PPP )</t>
        </is>
      </c>
      <c r="B18" t="n">
        <v>1</v>
      </c>
    </row>
    <row r="19">
      <c r="A19" s="1303" t="inlineStr">
        <is>
          <t>Bank SPb  7500-22-020286/31 ( PPP )</t>
        </is>
      </c>
      <c r="B19" t="n">
        <v>1</v>
      </c>
    </row>
    <row r="20">
      <c r="A20" s="1303" t="inlineStr">
        <is>
          <t>Bank SPb  7500-22-020286/32 ( PPP )</t>
        </is>
      </c>
      <c r="B20" t="n">
        <v>1</v>
      </c>
    </row>
    <row r="21">
      <c r="A21" s="1303" t="inlineStr">
        <is>
          <t>Bank SPb  7500-22-020286/33 ( PPP  )</t>
        </is>
      </c>
      <c r="B21" t="n">
        <v>1</v>
      </c>
    </row>
    <row r="22">
      <c r="A22" s="1303" t="inlineStr">
        <is>
          <t>Bank SPb  7500-22-020286/34 ( PPP  )</t>
        </is>
      </c>
      <c r="B22" t="n">
        <v>1</v>
      </c>
    </row>
    <row r="23">
      <c r="A23" s="1303" t="inlineStr">
        <is>
          <t>Bank SPb  7500-22-020286/35 ( PPP )</t>
        </is>
      </c>
      <c r="B23" t="n">
        <v>1</v>
      </c>
    </row>
    <row r="24">
      <c r="A24" s="1303" t="inlineStr">
        <is>
          <t>Bank SPb  7500-22-020286/36 ( PPP )</t>
        </is>
      </c>
      <c r="B24" t="n">
        <v>1</v>
      </c>
    </row>
    <row r="25">
      <c r="A25" s="1303" t="inlineStr">
        <is>
          <t>Bank SPb  7500-22-020286/37 ( PPP )</t>
        </is>
      </c>
      <c r="B25" t="n">
        <v>1</v>
      </c>
    </row>
    <row r="26">
      <c r="A26" s="1303" t="inlineStr">
        <is>
          <t>Bank SPb  7500-22-020286/4 ( PPP  )</t>
        </is>
      </c>
      <c r="B26" t="n">
        <v>1</v>
      </c>
    </row>
    <row r="27">
      <c r="A27" s="1303" t="inlineStr">
        <is>
          <t>Bank SPb  7500-23-042170 ( PPP  )</t>
        </is>
      </c>
      <c r="B27" t="n">
        <v>1</v>
      </c>
    </row>
    <row r="28">
      <c r="A28" s="1303" t="inlineStr">
        <is>
          <t>Bank SPb  7500-24-003260  ( PPP  )</t>
        </is>
      </c>
      <c r="B28" t="n">
        <v>1</v>
      </c>
    </row>
    <row r="29">
      <c r="A29" s="1303" t="inlineStr">
        <is>
          <t>Bank SPb  7500-24-018253/1  ( NNPP  )</t>
        </is>
      </c>
      <c r="B29" t="n">
        <v>1</v>
      </c>
    </row>
    <row r="30">
      <c r="A30" s="1303" t="inlineStr">
        <is>
          <t>Bank SPb  7500-24-018253/2 ( NNPP  )</t>
        </is>
      </c>
      <c r="B30" t="n">
        <v>1</v>
      </c>
    </row>
    <row r="31">
      <c r="A31" s="1303" t="inlineStr">
        <is>
          <t>Bank SPb  7500-24-018253/3 ( NNPP  )</t>
        </is>
      </c>
      <c r="B31" t="n">
        <v>1</v>
      </c>
    </row>
    <row r="32">
      <c r="A32" s="1303" t="inlineStr">
        <is>
          <t>Bank SPb  7500-24-018253/4  ( NNPP  )</t>
        </is>
      </c>
      <c r="B32" t="n">
        <v>1</v>
      </c>
    </row>
    <row r="33">
      <c r="A33" s="1303" t="inlineStr">
        <is>
          <t>Bank SPb  7500-24-018253/5 ( NNPP )</t>
        </is>
      </c>
      <c r="B33" t="n">
        <v>1</v>
      </c>
    </row>
    <row r="34">
      <c r="A34" s="1303" t="inlineStr">
        <is>
          <t>Bank SPb  7500-24-018253/6 ( NNPP )</t>
        </is>
      </c>
      <c r="B34" t="n">
        <v>1</v>
      </c>
    </row>
    <row r="35">
      <c r="A35" s="1303" t="inlineStr">
        <is>
          <t>Bank SPb  7500-24-018253/7 ( NNPP )</t>
        </is>
      </c>
      <c r="B35" t="n">
        <v>1</v>
      </c>
    </row>
    <row r="36">
      <c r="A36" s="1303" t="inlineStr">
        <is>
          <t>Bank SPb  7500-25-000001-1  ( Kornevo  )</t>
        </is>
      </c>
      <c r="B36" t="n">
        <v>1</v>
      </c>
    </row>
    <row r="37">
      <c r="A37" s="1303" t="inlineStr">
        <is>
          <t>Gasprombank  0117-053   ( PPP-2  )</t>
        </is>
      </c>
      <c r="B37" t="n">
        <v>1</v>
      </c>
    </row>
    <row r="38">
      <c r="A38" s="1303" t="inlineStr">
        <is>
          <t>Gasprombank  0118-045  ( PPP-2  )</t>
        </is>
      </c>
      <c r="B38" t="n">
        <v>1</v>
      </c>
    </row>
    <row r="39">
      <c r="A39" s="1303" t="inlineStr">
        <is>
          <t>Gasprombank  0118-046   ( PPP-2  )</t>
        </is>
      </c>
      <c r="B39" t="n">
        <v>1</v>
      </c>
    </row>
    <row r="40">
      <c r="A40" s="1303" t="inlineStr">
        <is>
          <t>Gasprombank  0118-066 ( Rechnoe   )</t>
        </is>
      </c>
      <c r="B40" t="n">
        <v>1</v>
      </c>
    </row>
    <row r="41">
      <c r="A41" s="1303" t="inlineStr">
        <is>
          <t>Gasprombank  0121-014  ( NNPP  )</t>
        </is>
      </c>
      <c r="B41" t="n">
        <v>1</v>
      </c>
    </row>
    <row r="42">
      <c r="A42" s="1303" t="inlineStr">
        <is>
          <t>Gasprombank  0121-015  ( NNPP  )</t>
        </is>
      </c>
      <c r="B42" t="n">
        <v>1</v>
      </c>
    </row>
    <row r="43">
      <c r="A43" s="1303" t="inlineStr">
        <is>
          <t>Gasprombank  0121-018  ( PPP  )</t>
        </is>
      </c>
      <c r="B43" t="n">
        <v>1</v>
      </c>
    </row>
    <row r="44">
      <c r="A44" s="1303" t="inlineStr">
        <is>
          <t>Gasprombank  0124-023  ( PPP-2  )</t>
        </is>
      </c>
      <c r="B44" t="n">
        <v>1</v>
      </c>
    </row>
    <row r="45">
      <c r="A45" s="1303" t="inlineStr">
        <is>
          <t>Gasprombank  0124-025  ( PPP-2  )</t>
        </is>
      </c>
      <c r="B45" t="n">
        <v>1</v>
      </c>
    </row>
    <row r="46">
      <c r="A46" s="1303" t="inlineStr">
        <is>
          <t>Gasprombank  0124-031 ( PPP-2  )</t>
        </is>
      </c>
      <c r="B46" t="n">
        <v>1</v>
      </c>
    </row>
    <row r="47">
      <c r="A47" s="1303" t="inlineStr">
        <is>
          <t>Gasprombank  0124-033 ( PPP-2  )</t>
        </is>
      </c>
      <c r="B47" t="n">
        <v>1</v>
      </c>
    </row>
    <row r="48">
      <c r="A48" s="1303" t="inlineStr">
        <is>
          <t>Gasprombank  0124-034 ( PPP-2  )</t>
        </is>
      </c>
      <c r="B48" t="n">
        <v>1</v>
      </c>
    </row>
    <row r="49">
      <c r="A49" s="1303" t="inlineStr">
        <is>
          <t>Gasprombank  0125-002 ( PPP-2  )</t>
        </is>
      </c>
      <c r="B49" t="n">
        <v>1</v>
      </c>
    </row>
    <row r="50">
      <c r="A50" s="1303" t="inlineStr">
        <is>
          <t>Gasprombank  0125-004 ( PPP-2  )</t>
        </is>
      </c>
      <c r="B50" t="n">
        <v>1</v>
      </c>
    </row>
    <row r="51">
      <c r="A51" s="1303" t="inlineStr">
        <is>
          <t>Sberbank    601521222 ( RBPI Voronezh  )</t>
        </is>
      </c>
      <c r="B51" t="n">
        <v>1</v>
      </c>
    </row>
    <row r="52">
      <c r="A52" s="1303" t="inlineStr">
        <is>
          <t>Sberbank    601521249 ( RBPI Voronezh  )</t>
        </is>
      </c>
      <c r="B52" t="n">
        <v>1</v>
      </c>
    </row>
    <row r="53">
      <c r="A53" s="1303" t="inlineStr">
        <is>
          <t>Sberbank   550B00FYXMF  ( NNPP  )</t>
        </is>
      </c>
      <c r="B53" t="n">
        <v>1</v>
      </c>
    </row>
    <row r="54">
      <c r="A54" s="1303" t="inlineStr">
        <is>
          <t>Sberbank   130B013FZMF ( AKZ  )</t>
        </is>
      </c>
      <c r="B54" t="n">
        <v>1</v>
      </c>
    </row>
    <row r="55">
      <c r="A55" s="1303" t="inlineStr">
        <is>
          <t>Sberbank   130C010142LZMF ( Oskol  )</t>
        </is>
      </c>
      <c r="B55" t="n">
        <v>1</v>
      </c>
    </row>
    <row r="56">
      <c r="A56" s="1303" t="inlineStr">
        <is>
          <t>Sberbank  130B0132S2LZMF ( Oskol  )</t>
        </is>
      </c>
      <c r="B56" t="n">
        <v>1</v>
      </c>
    </row>
    <row r="57">
      <c r="A57" s="1303" t="inlineStr">
        <is>
          <t>Sberbank  130B013BZMF ( AKZ  )</t>
        </is>
      </c>
      <c r="B57" t="n">
        <v>1</v>
      </c>
    </row>
    <row r="58">
      <c r="A58" s="1303" t="inlineStr">
        <is>
          <t>Sberbank  130B013H0MF ( AKZ  )</t>
        </is>
      </c>
      <c r="B58" t="n">
        <v>1</v>
      </c>
    </row>
    <row r="59">
      <c r="A59" s="1303" t="inlineStr">
        <is>
          <t>Sberbank  130B014TY2LZMF ( DB  )</t>
        </is>
      </c>
      <c r="B59" t="n">
        <v>1</v>
      </c>
    </row>
    <row r="60">
      <c r="A60" s="1303" t="inlineStr">
        <is>
          <t>Sberbank  130B015II2LZMF ( AO  )</t>
        </is>
      </c>
      <c r="B60" t="n">
        <v>1</v>
      </c>
    </row>
    <row r="61">
      <c r="A61" s="1303" t="inlineStr">
        <is>
          <t>Sberbank  130B015Q02LZMF ( AB  )</t>
        </is>
      </c>
      <c r="B61" t="n">
        <v>1</v>
      </c>
    </row>
    <row r="62">
      <c r="A62" s="1303" t="inlineStr">
        <is>
          <t>Sberbank  130B015SN2LZMF ( AB  )</t>
        </is>
      </c>
      <c r="B62" t="n">
        <v>1</v>
      </c>
    </row>
    <row r="63">
      <c r="A63" s="1303" t="inlineStr">
        <is>
          <t>Sberbank  130B015WWMF ( Oskol  )</t>
        </is>
      </c>
      <c r="B63" t="n">
        <v>1</v>
      </c>
    </row>
    <row r="64">
      <c r="A64" s="1303" t="inlineStr">
        <is>
          <t>Sberbank  130B016AT2LZMF ( DB  )</t>
        </is>
      </c>
      <c r="B64" t="n">
        <v>1</v>
      </c>
    </row>
    <row r="65">
      <c r="A65" s="1303" t="inlineStr">
        <is>
          <t>Sberbank  130B016EZ2LZMF ( AB  )</t>
        </is>
      </c>
      <c r="B65" t="n">
        <v>1</v>
      </c>
    </row>
    <row r="66">
      <c r="A66" s="1303" t="inlineStr">
        <is>
          <t>Sberbank  130B016F12LZMF ( AB  )</t>
        </is>
      </c>
      <c r="B66" t="n">
        <v>1</v>
      </c>
    </row>
    <row r="67">
      <c r="A67" s="1303" t="inlineStr">
        <is>
          <t>Sberbank  130B016FM2LZMF ( AB  )</t>
        </is>
      </c>
      <c r="B67" t="n">
        <v>1</v>
      </c>
    </row>
    <row r="68">
      <c r="A68" s="1303" t="inlineStr">
        <is>
          <t>Sberbank  130B01763АСРМMF ( Oskol  )</t>
        </is>
      </c>
      <c r="B68" t="n">
        <v>1</v>
      </c>
    </row>
    <row r="69">
      <c r="A69" s="1303" t="inlineStr">
        <is>
          <t>Sberbank  130B017AYАСРМMF ( Oskol  )</t>
        </is>
      </c>
      <c r="B69" t="n">
        <v>1</v>
      </c>
    </row>
    <row r="70">
      <c r="A70" s="1303" t="inlineStr">
        <is>
          <t>Sberbank  130B017IBMF ( AO  )</t>
        </is>
      </c>
      <c r="B70" t="n">
        <v>1</v>
      </c>
    </row>
    <row r="71">
      <c r="A71" s="1303" t="inlineStr">
        <is>
          <t>Sberbank  130B017JKMF ( AO  )</t>
        </is>
      </c>
      <c r="B71" t="n">
        <v>1</v>
      </c>
    </row>
    <row r="72">
      <c r="A72" s="1303" t="inlineStr">
        <is>
          <t>Sberbank  130B018152LZMF ( DB  )</t>
        </is>
      </c>
      <c r="B72" t="n">
        <v>1</v>
      </c>
    </row>
    <row r="73">
      <c r="A73" s="1303" t="inlineStr">
        <is>
          <t>Sberbank  130B01882MF ( AKZ  )</t>
        </is>
      </c>
      <c r="B73" t="n">
        <v>1</v>
      </c>
    </row>
    <row r="74">
      <c r="A74" s="1303" t="inlineStr">
        <is>
          <t>Sberbank  130B018CKАСРМMF ( AB  )</t>
        </is>
      </c>
      <c r="B74" t="n">
        <v>1</v>
      </c>
    </row>
    <row r="75">
      <c r="A75" s="1303" t="inlineStr">
        <is>
          <t>Sberbank  130C00Z832LZMF ( AB  )</t>
        </is>
      </c>
      <c r="B75" t="n">
        <v>1</v>
      </c>
    </row>
    <row r="76">
      <c r="A76" s="1303" t="inlineStr">
        <is>
          <t>Sberbank  130C00ZGI2LZMF ( Oskol  )</t>
        </is>
      </c>
      <c r="B76" t="n">
        <v>1</v>
      </c>
    </row>
    <row r="77">
      <c r="A77" s="1303" t="inlineStr">
        <is>
          <t>Sberbank  130C00ZOB2LZMF ( AB  )</t>
        </is>
      </c>
      <c r="B77" t="n">
        <v>1</v>
      </c>
    </row>
    <row r="78">
      <c r="A78" s="1303" t="inlineStr">
        <is>
          <t>Sberbank  130C00ZY92LZMF ( AO  )</t>
        </is>
      </c>
      <c r="B78" t="n">
        <v>1</v>
      </c>
    </row>
    <row r="79">
      <c r="A79" s="1303" t="inlineStr">
        <is>
          <t>Sberbank  130C011H02LZMF ( AB  )</t>
        </is>
      </c>
      <c r="B79" t="n">
        <v>1</v>
      </c>
    </row>
    <row r="80">
      <c r="A80" s="1303" t="inlineStr">
        <is>
          <t>Sberbank  130C011JG2LZMF ( AB  )</t>
        </is>
      </c>
      <c r="B80" t="n">
        <v>1</v>
      </c>
    </row>
    <row r="81">
      <c r="A81" s="1303" t="inlineStr">
        <is>
          <t>Sberbank  550B017B82LZMF ( NNPP  )</t>
        </is>
      </c>
      <c r="B81" t="n">
        <v>1</v>
      </c>
    </row>
    <row r="82">
      <c r="A82" s="1303" t="inlineStr">
        <is>
          <t>Sberbank  550B017PHАСРМMF ( NNPP  )</t>
        </is>
      </c>
      <c r="B82" t="n">
        <v>1</v>
      </c>
    </row>
    <row r="83">
      <c r="A83" s="1303" t="inlineStr">
        <is>
          <t>Sberbank  550COOOZK12LZMF  ( Kornevo  )</t>
        </is>
      </c>
      <c r="B83" t="n">
        <v>1</v>
      </c>
    </row>
    <row r="84">
      <c r="A84" s="1303" t="inlineStr">
        <is>
          <t>Sberbank  550С00YFH2LZMF  ( Kornevo  )</t>
        </is>
      </c>
      <c r="B84" t="n">
        <v>1</v>
      </c>
    </row>
    <row r="85">
      <c r="A85" s="1303" t="inlineStr">
        <is>
          <t>Sberbank  550С010922LZMF  ( Kornevo  )</t>
        </is>
      </c>
      <c r="B85" t="n">
        <v>1</v>
      </c>
    </row>
    <row r="86">
      <c r="A86" s="1303" t="inlineStr">
        <is>
          <t>Sberbank 130B016BF2LZMF ( DB  )</t>
        </is>
      </c>
      <c r="B86" t="n">
        <v>1</v>
      </c>
    </row>
    <row r="87">
      <c r="A87" s="1303" t="inlineStr">
        <is>
          <t>Sberbank 130B016UA2LZMF ( AKZ  )</t>
        </is>
      </c>
      <c r="B87" t="n">
        <v>1</v>
      </c>
    </row>
    <row r="88">
      <c r="A88" s="1303" t="inlineStr">
        <is>
          <t>Sberbank 130B017BA2LZMF ( AKZ  )</t>
        </is>
      </c>
      <c r="B88" t="n">
        <v>1</v>
      </c>
    </row>
    <row r="89">
      <c r="A89" s="1303" t="inlineStr">
        <is>
          <t>Sberbank 130B017BN2LZMF ( AKZ  )</t>
        </is>
      </c>
      <c r="B89" t="n">
        <v>1</v>
      </c>
    </row>
    <row r="90">
      <c r="A90" s="1303" t="inlineStr">
        <is>
          <t>Sberbank 550B018WIАСРМMF ( NNPP )</t>
        </is>
      </c>
      <c r="B90" t="n">
        <v>1</v>
      </c>
    </row>
    <row r="91">
      <c r="A91" s="1303" t="inlineStr">
        <is>
          <t>VTB BANK   15/18  ( NNPP-2  )</t>
        </is>
      </c>
      <c r="B91" t="n">
        <v>1</v>
      </c>
    </row>
    <row r="92">
      <c r="A92" s="1303" t="inlineStr">
        <is>
          <t>VTB BANK   СВЛ/061225-069229 ( NNPP-2  )</t>
        </is>
      </c>
      <c r="B92" t="n">
        <v>1</v>
      </c>
    </row>
    <row r="93">
      <c r="A93" s="1303" t="inlineStr">
        <is>
          <t>VTB BANK   СВЛ/061225-163942 ( NNPP-2  )</t>
        </is>
      </c>
      <c r="B93" t="n">
        <v>1</v>
      </c>
    </row>
    <row r="94">
      <c r="A94" s="1303" t="inlineStr">
        <is>
          <t>Bank SPb  7500-22-020286/38 ( PPP )</t>
        </is>
      </c>
      <c r="B94" t="n">
        <v>1</v>
      </c>
    </row>
    <row r="95">
      <c r="A95" s="1303" t="inlineStr">
        <is>
          <t>Bank SPb  7500-22-020286/39 ( PPP )</t>
        </is>
      </c>
      <c r="B95" t="n">
        <v>1</v>
      </c>
    </row>
    <row r="96">
      <c r="A96" s="1303" t="inlineStr">
        <is>
          <t>Bank SPb  7500-22-020286/40 ( PPP )</t>
        </is>
      </c>
      <c r="B96" t="n">
        <v>1</v>
      </c>
    </row>
    <row r="97">
      <c r="A97" s="1303" t="inlineStr">
        <is>
          <t>Bank SPb  7500-22-020286/3  ( PPP  )</t>
        </is>
      </c>
      <c r="B97" t="n">
        <v>1</v>
      </c>
    </row>
    <row r="98">
      <c r="A98" s="1303" t="inlineStr">
        <is>
          <t>Sberbank  130B018FGMF ( AKZ  )</t>
        </is>
      </c>
      <c r="B98" t="n">
        <v>1</v>
      </c>
    </row>
    <row r="99">
      <c r="A99" s="1303" t="inlineStr">
        <is>
          <t>Sberbank  130B018LHMF ( AKZ  )</t>
        </is>
      </c>
      <c r="B99" t="n">
        <v>1</v>
      </c>
    </row>
    <row r="100">
      <c r="A100" s="1303" t="inlineStr">
        <is>
          <t>Sberbank  130B01A532LZMF ( DB  )</t>
        </is>
      </c>
      <c r="B100" t="n">
        <v>1</v>
      </c>
    </row>
    <row r="101">
      <c r="A101" s="1303" t="inlineStr">
        <is>
          <t>Bank SPb  7500-22-020286/41 ( PPP  )</t>
        </is>
      </c>
      <c r="B101" t="n">
        <v>1</v>
      </c>
    </row>
    <row r="102">
      <c r="A102" s="1303" t="inlineStr">
        <is>
          <t>Bank SPb  7500-22-020286/42 ( PPP  )</t>
        </is>
      </c>
      <c r="B102" t="n">
        <v>1</v>
      </c>
    </row>
    <row r="103">
      <c r="A103" s="1303" t="inlineStr">
        <is>
          <t>Sberbank  130B019CBАСРМMF ( AB  )</t>
        </is>
      </c>
      <c r="B103" t="n">
        <v>1</v>
      </c>
    </row>
    <row r="104">
      <c r="A104" s="1303" t="inlineStr">
        <is>
          <t>Grand Total</t>
        </is>
      </c>
      <c r="B104" t="n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B1:AL17"/>
  <sheetViews>
    <sheetView showGridLines="0" zoomScale="70" zoomScaleNormal="70" workbookViewId="0">
      <selection activeCell="A1" sqref="A1:XFD1048576"/>
    </sheetView>
  </sheetViews>
  <sheetFormatPr baseColWidth="8" defaultColWidth="8.77734375" defaultRowHeight="39" customHeight="1"/>
  <cols>
    <col width="3.6640625" customWidth="1" style="145" min="1" max="1"/>
    <col width="37.6640625" customWidth="1" style="146" min="2" max="2"/>
    <col width="16.21875" customWidth="1" style="144" min="3" max="3"/>
    <col width="15.21875" customWidth="1" style="144" min="4" max="4"/>
    <col width="12.6640625" customWidth="1" style="144" min="5" max="7"/>
    <col width="14.21875" customWidth="1" style="144" min="8" max="9"/>
    <col width="11.21875" customWidth="1" style="144" min="10" max="18"/>
    <col width="13.6640625" customWidth="1" style="632" min="19" max="19"/>
    <col width="14" customWidth="1" style="94" min="20" max="34"/>
    <col hidden="1" width="14" customWidth="1" style="94" min="35" max="38"/>
    <col width="8.77734375" customWidth="1" style="145" min="39" max="16384"/>
  </cols>
  <sheetData>
    <row r="1" ht="39" customHeight="1">
      <c r="B1" s="143" t="inlineStr">
        <is>
          <t>CPF RUSSIA CPFI loan Cash flow report</t>
        </is>
      </c>
    </row>
    <row r="2" ht="31.95" customHeight="1">
      <c r="B2" s="143" t="inlineStr">
        <is>
          <t>As of 10 / 04 / 2022</t>
        </is>
      </c>
      <c r="J2" s="147" t="n"/>
      <c r="K2" s="147" t="n"/>
      <c r="L2" s="147" t="n"/>
      <c r="M2" s="147" t="n"/>
      <c r="N2" s="147" t="n"/>
      <c r="O2" s="147" t="n"/>
      <c r="P2" s="147" t="n"/>
      <c r="Q2" s="147" t="n"/>
      <c r="R2" s="147" t="n"/>
      <c r="S2" s="633" t="inlineStr">
        <is>
          <t>Unit : M.RUB</t>
        </is>
      </c>
    </row>
    <row r="3" ht="39" customFormat="1" customHeight="1" s="150">
      <c r="B3" s="1741" t="inlineStr">
        <is>
          <t>Description</t>
        </is>
      </c>
      <c r="C3" s="149" t="inlineStr">
        <is>
          <t>Budget</t>
        </is>
      </c>
      <c r="D3" s="1378" t="inlineStr">
        <is>
          <t>Loan</t>
        </is>
      </c>
      <c r="E3" s="1742" t="inlineStr">
        <is>
          <t>Own cash</t>
        </is>
      </c>
      <c r="F3" s="149" t="inlineStr">
        <is>
          <t>Paid</t>
        </is>
      </c>
      <c r="G3" s="1742" t="inlineStr">
        <is>
          <t>Loan
Balance</t>
        </is>
      </c>
      <c r="H3" s="148" t="inlineStr">
        <is>
          <t>Wk.15</t>
        </is>
      </c>
      <c r="I3" s="149" t="inlineStr">
        <is>
          <t>Wk.16</t>
        </is>
      </c>
      <c r="J3" s="149" t="inlineStr">
        <is>
          <t>Wk.17</t>
        </is>
      </c>
      <c r="K3" s="149" t="inlineStr">
        <is>
          <t>Wk.18</t>
        </is>
      </c>
      <c r="L3" s="149" t="inlineStr">
        <is>
          <t>Wk.19</t>
        </is>
      </c>
      <c r="M3" s="149" t="inlineStr">
        <is>
          <t>Wk.20</t>
        </is>
      </c>
      <c r="N3" s="149" t="inlineStr">
        <is>
          <t>Wk.21</t>
        </is>
      </c>
      <c r="O3" s="149" t="inlineStr">
        <is>
          <t>Wk.22</t>
        </is>
      </c>
      <c r="P3" s="149" t="inlineStr">
        <is>
          <t>Wk.23</t>
        </is>
      </c>
      <c r="Q3" s="149" t="inlineStr">
        <is>
          <t>Wk.24</t>
        </is>
      </c>
      <c r="R3" s="149" t="inlineStr">
        <is>
          <t>Wk.25</t>
        </is>
      </c>
      <c r="S3" s="634" t="inlineStr">
        <is>
          <t>Wk.26</t>
        </is>
      </c>
      <c r="T3" s="634" t="inlineStr">
        <is>
          <t>Wk.27</t>
        </is>
      </c>
      <c r="U3" s="634" t="inlineStr">
        <is>
          <t>Wk.28</t>
        </is>
      </c>
      <c r="V3" s="634" t="inlineStr">
        <is>
          <t>Wk.29</t>
        </is>
      </c>
      <c r="W3" s="634" t="inlineStr">
        <is>
          <t>Wk.30</t>
        </is>
      </c>
      <c r="X3" s="634" t="inlineStr">
        <is>
          <t>Wk.31</t>
        </is>
      </c>
      <c r="Y3" s="634" t="inlineStr">
        <is>
          <t>Wk.31</t>
        </is>
      </c>
      <c r="Z3" s="634" t="inlineStr">
        <is>
          <t>Wk.32</t>
        </is>
      </c>
      <c r="AA3" s="634" t="inlineStr">
        <is>
          <t>Wk.33</t>
        </is>
      </c>
      <c r="AB3" s="634" t="inlineStr">
        <is>
          <t>Wk.34</t>
        </is>
      </c>
      <c r="AC3" s="634" t="inlineStr">
        <is>
          <t>Wk.35</t>
        </is>
      </c>
      <c r="AD3" s="634" t="inlineStr">
        <is>
          <t>Wk.36</t>
        </is>
      </c>
      <c r="AE3" s="634" t="inlineStr">
        <is>
          <t>Wk.32</t>
        </is>
      </c>
      <c r="AF3" s="634" t="inlineStr">
        <is>
          <t>Wk.32</t>
        </is>
      </c>
      <c r="AG3" s="634" t="inlineStr">
        <is>
          <t>Wk.32</t>
        </is>
      </c>
      <c r="AH3" s="634" t="inlineStr">
        <is>
          <t>Wk.32</t>
        </is>
      </c>
      <c r="AI3" s="634" t="inlineStr">
        <is>
          <t>Wk.32</t>
        </is>
      </c>
      <c r="AJ3" s="634" t="inlineStr">
        <is>
          <t>Wk.32</t>
        </is>
      </c>
      <c r="AK3" s="634" t="inlineStr">
        <is>
          <t>Wk.32</t>
        </is>
      </c>
      <c r="AL3" s="634" t="inlineStr">
        <is>
          <t>Wk.32</t>
        </is>
      </c>
    </row>
    <row r="4" ht="39" customFormat="1" customHeight="1" s="153">
      <c r="B4" s="1743" t="n"/>
      <c r="C4" s="1743" t="n"/>
      <c r="D4" s="1379" t="inlineStr">
        <is>
          <t>Act. received</t>
        </is>
      </c>
      <c r="E4" s="1743" t="n"/>
      <c r="F4" s="1743" t="n"/>
      <c r="G4" s="1743" t="n"/>
      <c r="H4" s="151" t="n">
        <v>44667</v>
      </c>
      <c r="I4" s="152">
        <f>H4+7</f>
        <v/>
      </c>
      <c r="J4" s="152">
        <f>I4+7</f>
        <v/>
      </c>
      <c r="K4" s="152">
        <f>J4+7</f>
        <v/>
      </c>
      <c r="L4" s="152">
        <f>K4+7</f>
        <v/>
      </c>
      <c r="M4" s="152">
        <f>L4+7</f>
        <v/>
      </c>
      <c r="N4" s="152">
        <f>M4+7</f>
        <v/>
      </c>
      <c r="O4" s="152">
        <f>N4+7</f>
        <v/>
      </c>
      <c r="P4" s="152">
        <f>O4+7</f>
        <v/>
      </c>
      <c r="Q4" s="152">
        <f>P4+7</f>
        <v/>
      </c>
      <c r="R4" s="152">
        <f>Q4+7</f>
        <v/>
      </c>
      <c r="S4" s="635">
        <f>R4+7</f>
        <v/>
      </c>
      <c r="T4" s="635">
        <f>S4+7</f>
        <v/>
      </c>
      <c r="U4" s="635">
        <f>T4+7</f>
        <v/>
      </c>
      <c r="V4" s="635">
        <f>U4+7</f>
        <v/>
      </c>
      <c r="W4" s="635">
        <f>V4+7</f>
        <v/>
      </c>
      <c r="X4" s="635">
        <f>W4+7</f>
        <v/>
      </c>
      <c r="Y4" s="635">
        <f>X4+7</f>
        <v/>
      </c>
      <c r="Z4" s="635">
        <f>Y4+7</f>
        <v/>
      </c>
      <c r="AA4" s="635">
        <f>Z4+7</f>
        <v/>
      </c>
      <c r="AB4" s="635">
        <f>AA4+7</f>
        <v/>
      </c>
      <c r="AC4" s="635">
        <f>AB4+7</f>
        <v/>
      </c>
      <c r="AD4" s="635">
        <f>AC4+7</f>
        <v/>
      </c>
      <c r="AE4" s="635">
        <f>AD4+7</f>
        <v/>
      </c>
      <c r="AF4" s="635">
        <f>AE4+7</f>
        <v/>
      </c>
      <c r="AG4" s="635">
        <f>AF4+7</f>
        <v/>
      </c>
      <c r="AH4" s="635">
        <f>AG4+7</f>
        <v/>
      </c>
      <c r="AI4" s="635">
        <f>AH4+7</f>
        <v/>
      </c>
      <c r="AJ4" s="635">
        <f>AI4+7</f>
        <v/>
      </c>
      <c r="AK4" s="635">
        <f>AJ4+7</f>
        <v/>
      </c>
      <c r="AL4" s="635">
        <f>AK4+7</f>
        <v/>
      </c>
    </row>
    <row r="5" ht="39" customHeight="1">
      <c r="B5" s="160" t="inlineStr">
        <is>
          <t>CPFO ( Received loan 21,341,870.08 USD at 12.04.2022 )</t>
        </is>
      </c>
      <c r="C5" s="154" t="n"/>
      <c r="D5" s="154" t="n"/>
      <c r="E5" s="154" t="n"/>
      <c r="F5" s="154" t="n"/>
      <c r="G5" s="154" t="n"/>
      <c r="H5" s="154" t="n"/>
      <c r="I5" s="154" t="n"/>
      <c r="J5" s="154" t="n"/>
      <c r="K5" s="154" t="n"/>
      <c r="L5" s="154" t="n"/>
      <c r="M5" s="154" t="n"/>
      <c r="N5" s="154" t="n"/>
      <c r="O5" s="154" t="n"/>
      <c r="P5" s="154" t="n"/>
      <c r="Q5" s="154" t="n"/>
      <c r="R5" s="154" t="n"/>
      <c r="S5" s="636" t="n"/>
      <c r="T5" s="636" t="n"/>
      <c r="U5" s="636" t="n"/>
      <c r="V5" s="636" t="n"/>
      <c r="W5" s="636" t="n"/>
      <c r="X5" s="636" t="n"/>
      <c r="Y5" s="636" t="n"/>
      <c r="Z5" s="636" t="n"/>
      <c r="AA5" s="636" t="n"/>
      <c r="AB5" s="636" t="n"/>
      <c r="AC5" s="636" t="n"/>
      <c r="AD5" s="636" t="n"/>
      <c r="AE5" s="636" t="n"/>
      <c r="AF5" s="636" t="n"/>
      <c r="AG5" s="636" t="n"/>
      <c r="AH5" s="636" t="n"/>
      <c r="AI5" s="636" t="n"/>
      <c r="AJ5" s="636" t="n"/>
      <c r="AK5" s="636" t="n"/>
      <c r="AL5" s="636" t="n"/>
    </row>
    <row r="6" ht="39" customHeight="1">
      <c r="B6" s="161" t="inlineStr">
        <is>
          <t>To finish construct Ryazan farm</t>
        </is>
      </c>
      <c r="C6" s="155" t="n">
        <v>735</v>
      </c>
      <c r="D6" s="155" t="n"/>
      <c r="E6" s="155" t="n"/>
      <c r="F6" s="155">
        <f>SUM(H6:AL6)</f>
        <v/>
      </c>
      <c r="G6" s="155" t="n"/>
      <c r="H6" s="155" t="n">
        <v>140.43013597</v>
      </c>
      <c r="I6" s="155" t="n">
        <v>14.991</v>
      </c>
      <c r="J6" s="155" t="n">
        <v>32</v>
      </c>
      <c r="K6" s="155" t="n"/>
      <c r="L6" s="155" t="n"/>
      <c r="M6" s="155" t="n">
        <v>5.389</v>
      </c>
      <c r="N6" s="155" t="n"/>
      <c r="O6" s="155" t="n">
        <v>43.7636</v>
      </c>
      <c r="P6" s="155" t="n"/>
      <c r="Q6" s="155" t="n">
        <v>105.7</v>
      </c>
      <c r="R6" s="155" t="n"/>
      <c r="S6" s="637" t="n"/>
      <c r="T6" s="637" t="n"/>
      <c r="U6" s="637" t="n"/>
      <c r="V6" s="637" t="n"/>
      <c r="W6" s="637" t="n">
        <v>100.36511</v>
      </c>
      <c r="X6" s="637" t="n"/>
      <c r="Y6" s="637" t="n">
        <v>23.04</v>
      </c>
      <c r="Z6" s="637" t="n"/>
      <c r="AA6" s="637" t="n">
        <v>3.785861135</v>
      </c>
      <c r="AB6" s="637" t="n"/>
      <c r="AC6" s="637" t="n"/>
      <c r="AD6" s="637" t="n"/>
      <c r="AE6" s="637" t="n">
        <v>56.360891</v>
      </c>
      <c r="AF6" s="637" t="n">
        <v>57.7383</v>
      </c>
      <c r="AG6" s="637" t="n"/>
      <c r="AH6" s="637" t="n">
        <v>57.624148</v>
      </c>
      <c r="AI6" s="637" t="n"/>
      <c r="AJ6" s="637" t="n"/>
      <c r="AK6" s="637" t="n"/>
      <c r="AL6" s="637" t="n"/>
    </row>
    <row r="7" ht="39" customHeight="1">
      <c r="B7" s="161" t="inlineStr">
        <is>
          <t>Renovation Klemovo farm</t>
        </is>
      </c>
      <c r="C7" s="155" t="n">
        <v>375</v>
      </c>
      <c r="D7" s="155" t="n"/>
      <c r="E7" s="155" t="n"/>
      <c r="F7" s="155">
        <f>SUM(H7:AL7)</f>
        <v/>
      </c>
      <c r="G7" s="155" t="n"/>
      <c r="H7" s="155" t="n">
        <v>32.11144947</v>
      </c>
      <c r="I7" s="155" t="n">
        <v>19.992</v>
      </c>
      <c r="J7" s="155" t="n"/>
      <c r="K7" s="155" t="n"/>
      <c r="L7" s="155" t="n"/>
      <c r="M7" s="155" t="n">
        <v>4.247738</v>
      </c>
      <c r="N7" s="155" t="n"/>
      <c r="O7" s="155" t="n"/>
      <c r="P7" s="155" t="n"/>
      <c r="Q7" s="155" t="n"/>
      <c r="R7" s="155" t="n"/>
      <c r="S7" s="637" t="n"/>
      <c r="T7" s="637" t="n"/>
      <c r="U7" s="637" t="n"/>
      <c r="V7" s="637" t="n"/>
      <c r="W7" s="637" t="n"/>
      <c r="X7" s="637" t="n"/>
      <c r="Y7" s="637" t="n"/>
      <c r="Z7" s="637" t="n"/>
      <c r="AA7" s="637" t="n"/>
      <c r="AB7" s="637" t="n"/>
      <c r="AC7" s="637" t="n"/>
      <c r="AD7" s="637" t="n"/>
      <c r="AE7" s="637" t="n"/>
      <c r="AF7" s="637" t="n"/>
      <c r="AG7" s="637" t="n"/>
      <c r="AH7" s="637" t="n"/>
      <c r="AI7" s="637" t="n"/>
      <c r="AJ7" s="637" t="n"/>
      <c r="AK7" s="637" t="n"/>
      <c r="AL7" s="637" t="n"/>
    </row>
    <row r="8" ht="39" customHeight="1">
      <c r="B8" s="161" t="inlineStr">
        <is>
          <t>Cropping &amp; Feed mill</t>
        </is>
      </c>
      <c r="C8" s="155" t="n">
        <v>890</v>
      </c>
      <c r="D8" s="155" t="n"/>
      <c r="E8" s="155" t="n"/>
      <c r="F8" s="155">
        <f>SUM(H8:AL8)</f>
        <v/>
      </c>
      <c r="G8" s="155" t="n"/>
      <c r="H8" s="155" t="n">
        <v>221.86917797</v>
      </c>
      <c r="I8" s="155" t="n">
        <v>59.721</v>
      </c>
      <c r="J8" s="155" t="n"/>
      <c r="K8" s="155" t="n"/>
      <c r="L8" s="155" t="n"/>
      <c r="M8" s="155" t="n">
        <v>6.894</v>
      </c>
      <c r="N8" s="155" t="n"/>
      <c r="O8" s="155" t="n">
        <v>40.747</v>
      </c>
      <c r="P8" s="155" t="n"/>
      <c r="Q8" s="155" t="n"/>
      <c r="R8" s="155" t="n">
        <v>2.66476858</v>
      </c>
      <c r="S8" s="637" t="n">
        <v>120.64806</v>
      </c>
      <c r="T8" s="637" t="n"/>
      <c r="U8" s="637" t="n"/>
      <c r="V8" s="637" t="n">
        <v>13.7136552336</v>
      </c>
      <c r="W8" s="637" t="n"/>
      <c r="X8" s="637" t="n">
        <v>44.2577375</v>
      </c>
      <c r="Y8" s="637" t="n">
        <v>1.761</v>
      </c>
      <c r="Z8" s="637" t="n"/>
      <c r="AA8" s="637" t="n"/>
      <c r="AB8" s="637" t="n"/>
      <c r="AC8" s="637" t="n"/>
      <c r="AD8" s="637" t="n"/>
      <c r="AE8" s="637" t="n"/>
      <c r="AF8" s="637" t="n"/>
      <c r="AG8" s="637" t="n"/>
      <c r="AH8" s="637" t="n"/>
      <c r="AI8" s="637" t="n"/>
      <c r="AJ8" s="637" t="n"/>
      <c r="AK8" s="637" t="n"/>
      <c r="AL8" s="637" t="n"/>
    </row>
    <row r="9" ht="39" customFormat="1" customHeight="1" s="150" thickBot="1">
      <c r="B9" s="156" t="inlineStr">
        <is>
          <t xml:space="preserve">  Total</t>
        </is>
      </c>
      <c r="C9" s="157">
        <f>SUM(C6:C8)</f>
        <v/>
      </c>
      <c r="D9" s="157" t="n">
        <v>1209.8156328586</v>
      </c>
      <c r="E9" s="157">
        <f>+C9-D9</f>
        <v/>
      </c>
      <c r="F9" s="157">
        <f>SUM(H9:AL9)</f>
        <v/>
      </c>
      <c r="G9" s="157">
        <f>D9-F9</f>
        <v/>
      </c>
      <c r="H9" s="157">
        <f>SUM(H6:H8)</f>
        <v/>
      </c>
      <c r="I9" s="157">
        <f>SUM(I6:I8)</f>
        <v/>
      </c>
      <c r="J9" s="157">
        <f>SUM(J6:J8)</f>
        <v/>
      </c>
      <c r="K9" s="157">
        <f>SUM(K6:K8)</f>
        <v/>
      </c>
      <c r="L9" s="157">
        <f>SUM(L6:L8)</f>
        <v/>
      </c>
      <c r="M9" s="157">
        <f>SUM(M6:M8)</f>
        <v/>
      </c>
      <c r="N9" s="157">
        <f>SUM(N6:N8)</f>
        <v/>
      </c>
      <c r="O9" s="157">
        <f>SUM(O6:O8)</f>
        <v/>
      </c>
      <c r="P9" s="157">
        <f>SUM(P6:P8)</f>
        <v/>
      </c>
      <c r="Q9" s="157">
        <f>SUM(Q6:Q8)</f>
        <v/>
      </c>
      <c r="R9" s="157">
        <f>SUM(R6:R8)</f>
        <v/>
      </c>
      <c r="S9" s="638">
        <f>SUM(S6:S8)</f>
        <v/>
      </c>
      <c r="T9" s="638">
        <f>SUM(T6:T8)</f>
        <v/>
      </c>
      <c r="U9" s="638">
        <f>SUM(U6:U8)</f>
        <v/>
      </c>
      <c r="V9" s="638">
        <f>SUM(V6:V8)</f>
        <v/>
      </c>
      <c r="W9" s="638">
        <f>SUM(W6:W8)</f>
        <v/>
      </c>
      <c r="X9" s="638">
        <f>SUM(X6:X8)</f>
        <v/>
      </c>
      <c r="Y9" s="638">
        <f>SUM(Y6:Y8)</f>
        <v/>
      </c>
      <c r="Z9" s="638">
        <f>SUM(Z6:Z8)</f>
        <v/>
      </c>
      <c r="AA9" s="638">
        <f>SUM(AA6:AA8)</f>
        <v/>
      </c>
      <c r="AB9" s="638">
        <f>SUM(AB6:AB8)</f>
        <v/>
      </c>
      <c r="AC9" s="638">
        <f>SUM(AC6:AC8)</f>
        <v/>
      </c>
      <c r="AD9" s="638">
        <f>SUM(AD6:AD8)</f>
        <v/>
      </c>
      <c r="AE9" s="638">
        <f>SUM(AE6:AE8)</f>
        <v/>
      </c>
      <c r="AF9" s="638">
        <f>SUM(AF6:AF8)</f>
        <v/>
      </c>
      <c r="AG9" s="638">
        <f>SUM(AG6:AG8)</f>
        <v/>
      </c>
      <c r="AH9" s="638">
        <f>SUM(AH6:AH8)</f>
        <v/>
      </c>
      <c r="AI9" s="638">
        <f>SUM(AI6:AI8)</f>
        <v/>
      </c>
      <c r="AJ9" s="638">
        <f>SUM(AJ6:AJ8)</f>
        <v/>
      </c>
      <c r="AK9" s="638">
        <f>SUM(AK6:AK8)</f>
        <v/>
      </c>
      <c r="AL9" s="638">
        <f>SUM(AL6:AL8)</f>
        <v/>
      </c>
    </row>
    <row r="10" ht="12" customHeight="1" thickTop="1">
      <c r="B10" s="158" t="n"/>
      <c r="C10" s="159" t="n"/>
      <c r="D10" s="159" t="n"/>
      <c r="E10" s="159" t="n"/>
      <c r="F10" s="159" t="n"/>
      <c r="G10" s="159" t="n"/>
      <c r="H10" s="159" t="n"/>
      <c r="I10" s="159" t="n"/>
      <c r="J10" s="159" t="n"/>
      <c r="K10" s="1375" t="inlineStr">
        <is>
          <t>use own cash</t>
        </is>
      </c>
      <c r="L10" s="1744" t="n"/>
      <c r="M10" s="159" t="n"/>
      <c r="N10" s="159" t="n"/>
      <c r="O10" s="159" t="n"/>
      <c r="P10" s="159" t="n"/>
      <c r="Q10" s="159" t="n"/>
      <c r="R10" s="159" t="n"/>
      <c r="S10" s="639" t="n"/>
      <c r="T10" s="639" t="n"/>
      <c r="U10" s="639" t="n"/>
      <c r="V10" s="639" t="n"/>
      <c r="W10" s="639" t="n"/>
      <c r="X10" s="639" t="n"/>
      <c r="Y10" s="639" t="n"/>
      <c r="Z10" s="639" t="n"/>
      <c r="AA10" s="639" t="n"/>
      <c r="AB10" s="639" t="n"/>
      <c r="AC10" s="639" t="n"/>
      <c r="AD10" s="639" t="n"/>
      <c r="AE10" s="639" t="n"/>
      <c r="AF10" s="639" t="n"/>
      <c r="AG10" s="639" t="n"/>
      <c r="AH10" s="639" t="n"/>
      <c r="AI10" s="639" t="n"/>
      <c r="AJ10" s="639" t="n"/>
      <c r="AK10" s="639" t="n"/>
      <c r="AL10" s="639" t="n"/>
    </row>
    <row r="11" ht="39" customHeight="1">
      <c r="B11" s="160" t="inlineStr">
        <is>
          <t>RBPI ( Received loan 26,076,103.86 USD at 13.04.2022 )</t>
        </is>
      </c>
      <c r="C11" s="154" t="n"/>
      <c r="D11" s="154" t="n"/>
      <c r="E11" s="154" t="n"/>
      <c r="F11" s="154" t="n"/>
      <c r="G11" s="154" t="n"/>
      <c r="H11" s="154" t="n"/>
      <c r="I11" s="154" t="n"/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636" t="n"/>
      <c r="T11" s="636" t="n"/>
      <c r="U11" s="636" t="n"/>
      <c r="V11" s="636" t="n"/>
      <c r="W11" s="636" t="n"/>
      <c r="X11" s="636" t="n"/>
      <c r="Y11" s="636" t="n"/>
      <c r="Z11" s="636" t="n"/>
      <c r="AA11" s="636" t="n"/>
      <c r="AB11" s="636" t="n"/>
      <c r="AC11" s="636" t="n"/>
      <c r="AD11" s="636" t="n"/>
      <c r="AE11" s="636" t="n"/>
      <c r="AF11" s="636" t="n"/>
      <c r="AG11" s="636" t="n"/>
      <c r="AH11" s="636" t="n"/>
      <c r="AI11" s="636" t="n"/>
      <c r="AJ11" s="636" t="n"/>
      <c r="AK11" s="636" t="n"/>
      <c r="AL11" s="636" t="n"/>
    </row>
    <row r="12" ht="39" customHeight="1">
      <c r="B12" s="161" t="inlineStr">
        <is>
          <t>Construct NNPP-3</t>
        </is>
      </c>
      <c r="C12" s="155">
        <f>C14-C13</f>
        <v/>
      </c>
      <c r="D12" s="155" t="n"/>
      <c r="E12" s="155" t="n"/>
      <c r="F12" s="155">
        <f>SUM(H12:X12)</f>
        <v/>
      </c>
      <c r="G12" s="155" t="n"/>
      <c r="H12" s="155" t="n">
        <v>75</v>
      </c>
      <c r="I12" s="155" t="n">
        <v>0</v>
      </c>
      <c r="J12" s="410" t="n">
        <v>108.2</v>
      </c>
      <c r="K12" s="155" t="n">
        <v>30.1</v>
      </c>
      <c r="L12" s="155" t="n">
        <v>17.5</v>
      </c>
      <c r="M12" s="155" t="n">
        <v>13</v>
      </c>
      <c r="N12" s="155" t="n">
        <v>50</v>
      </c>
      <c r="O12" s="155" t="n">
        <v>76</v>
      </c>
      <c r="P12" s="155" t="n">
        <v>80.09999999999999</v>
      </c>
      <c r="Q12" s="155" t="n">
        <v>13</v>
      </c>
      <c r="R12" s="155" t="n">
        <v>28.7</v>
      </c>
      <c r="S12" s="637" t="n">
        <v>0</v>
      </c>
      <c r="T12" s="637" t="n">
        <v>0</v>
      </c>
      <c r="U12" s="637">
        <f>22.5+34.2</f>
        <v/>
      </c>
      <c r="V12" s="637" t="n">
        <v>28.1</v>
      </c>
      <c r="W12" s="637" t="n">
        <v>0</v>
      </c>
      <c r="X12" s="637" t="n">
        <v>37.4</v>
      </c>
      <c r="Y12" s="637" t="n"/>
      <c r="Z12" s="637" t="n"/>
      <c r="AA12" s="637" t="n"/>
      <c r="AB12" s="637" t="n"/>
      <c r="AC12" s="637" t="n"/>
      <c r="AD12" s="637" t="n"/>
      <c r="AE12" s="637" t="n"/>
      <c r="AF12" s="637" t="n"/>
      <c r="AG12" s="637" t="n"/>
      <c r="AH12" s="637" t="n"/>
      <c r="AI12" s="637" t="n"/>
      <c r="AJ12" s="637" t="n"/>
      <c r="AK12" s="637" t="n"/>
      <c r="AL12" s="637" t="n"/>
    </row>
    <row r="13" ht="39" customHeight="1">
      <c r="B13" s="161" t="inlineStr">
        <is>
          <t>Construct NNPP-4</t>
        </is>
      </c>
      <c r="C13" s="155" t="n">
        <v>1300</v>
      </c>
      <c r="D13" s="155" t="n"/>
      <c r="E13" s="155" t="n"/>
      <c r="F13" s="155">
        <f>SUM(H13:X13)</f>
        <v/>
      </c>
      <c r="G13" s="155" t="n"/>
      <c r="H13" s="155" t="n">
        <v>75</v>
      </c>
      <c r="I13" s="155" t="n">
        <v>0</v>
      </c>
      <c r="J13" s="410" t="n">
        <v>67.8</v>
      </c>
      <c r="K13" s="155" t="n">
        <v>54.5</v>
      </c>
      <c r="L13" s="155" t="n">
        <v>2.5</v>
      </c>
      <c r="M13" s="155" t="n">
        <v>104.5</v>
      </c>
      <c r="N13" s="155" t="n">
        <v>59.5</v>
      </c>
      <c r="O13" s="155" t="n">
        <v>45.5</v>
      </c>
      <c r="P13" s="155" t="n">
        <v>16.7</v>
      </c>
      <c r="Q13" s="155" t="n">
        <v>34.5</v>
      </c>
      <c r="R13" s="155" t="n">
        <v>27.8</v>
      </c>
      <c r="S13" s="637" t="n">
        <v>0</v>
      </c>
      <c r="T13" s="637" t="n">
        <v>0</v>
      </c>
      <c r="U13" s="637">
        <f>52.6+78.85</f>
        <v/>
      </c>
      <c r="V13" s="637" t="n">
        <v>249.6</v>
      </c>
      <c r="W13" s="637" t="n">
        <v>0</v>
      </c>
      <c r="X13" s="637" t="n">
        <v>57.2</v>
      </c>
      <c r="Y13" s="637" t="n"/>
      <c r="Z13" s="637" t="n"/>
      <c r="AA13" s="637" t="n"/>
      <c r="AB13" s="637" t="n"/>
      <c r="AC13" s="637" t="n"/>
      <c r="AD13" s="637" t="n"/>
      <c r="AE13" s="637" t="n"/>
      <c r="AF13" s="637" t="n"/>
      <c r="AG13" s="637" t="n"/>
      <c r="AH13" s="637" t="n"/>
      <c r="AI13" s="637" t="n"/>
      <c r="AJ13" s="637" t="n"/>
      <c r="AK13" s="637" t="n"/>
      <c r="AL13" s="637" t="n"/>
    </row>
    <row r="14" ht="39" customFormat="1" customHeight="1" s="150" thickBot="1">
      <c r="B14" s="156" t="inlineStr">
        <is>
          <t xml:space="preserve">  Total</t>
        </is>
      </c>
      <c r="C14" s="157" t="n">
        <v>2175</v>
      </c>
      <c r="D14" s="157" t="n">
        <v>1540.35</v>
      </c>
      <c r="E14" s="157">
        <f>+C14-D14</f>
        <v/>
      </c>
      <c r="F14" s="157">
        <f>SUM(H14:X14)</f>
        <v/>
      </c>
      <c r="G14" s="157">
        <f>D14-F14</f>
        <v/>
      </c>
      <c r="H14" s="157">
        <f>SUM(H12:H13)</f>
        <v/>
      </c>
      <c r="I14" s="157">
        <f>SUM(I12:I13)</f>
        <v/>
      </c>
      <c r="J14" s="157">
        <f>SUM(J12:J13)</f>
        <v/>
      </c>
      <c r="K14" s="157">
        <f>SUM(K12:K13)</f>
        <v/>
      </c>
      <c r="L14" s="157">
        <f>SUM(L12:L13)</f>
        <v/>
      </c>
      <c r="M14" s="157">
        <f>SUM(M12:M13)</f>
        <v/>
      </c>
      <c r="N14" s="157">
        <f>SUM(N12:N13)</f>
        <v/>
      </c>
      <c r="O14" s="157">
        <f>SUM(O12:O13)</f>
        <v/>
      </c>
      <c r="P14" s="157">
        <f>SUM(P12:P13)</f>
        <v/>
      </c>
      <c r="Q14" s="157">
        <f>SUM(Q12:Q13)</f>
        <v/>
      </c>
      <c r="R14" s="157">
        <f>SUM(R12:R13)</f>
        <v/>
      </c>
      <c r="S14" s="638">
        <f>SUM(S12:S13)</f>
        <v/>
      </c>
      <c r="T14" s="638">
        <f>SUM(T12:T13)</f>
        <v/>
      </c>
      <c r="U14" s="638">
        <f>SUM(U12:U13)</f>
        <v/>
      </c>
      <c r="V14" s="638">
        <f>SUM(V12:V13)</f>
        <v/>
      </c>
      <c r="W14" s="638">
        <f>SUM(W12:W13)</f>
        <v/>
      </c>
      <c r="X14" s="638">
        <f>SUM(X12:X13)</f>
        <v/>
      </c>
      <c r="Y14" s="638">
        <f>SUM(Y12:Y13)</f>
        <v/>
      </c>
      <c r="Z14" s="638">
        <f>SUM(Z12:Z13)</f>
        <v/>
      </c>
      <c r="AA14" s="638">
        <f>SUM(AA12:AA13)</f>
        <v/>
      </c>
      <c r="AB14" s="638">
        <f>SUM(AB12:AB13)</f>
        <v/>
      </c>
      <c r="AC14" s="638">
        <f>SUM(AC12:AC13)</f>
        <v/>
      </c>
      <c r="AD14" s="638">
        <f>SUM(AD12:AD13)</f>
        <v/>
      </c>
      <c r="AE14" s="638">
        <f>SUM(AE12:AE13)</f>
        <v/>
      </c>
      <c r="AF14" s="638">
        <f>SUM(AF12:AF13)</f>
        <v/>
      </c>
      <c r="AG14" s="638">
        <f>SUM(AG12:AG13)</f>
        <v/>
      </c>
      <c r="AH14" s="638">
        <f>SUM(AH12:AH13)</f>
        <v/>
      </c>
      <c r="AI14" s="638">
        <f>SUM(AI12:AI13)</f>
        <v/>
      </c>
      <c r="AJ14" s="638">
        <f>SUM(AJ12:AJ13)</f>
        <v/>
      </c>
      <c r="AK14" s="638">
        <f>SUM(AK12:AK13)</f>
        <v/>
      </c>
      <c r="AL14" s="638">
        <f>SUM(AL12:AL13)</f>
        <v/>
      </c>
    </row>
    <row r="15" ht="39" customHeight="1" thickTop="1">
      <c r="D15" s="1745" t="n"/>
      <c r="I15" s="640" t="n"/>
      <c r="K15" s="640" t="n"/>
    </row>
    <row r="16" ht="39" customHeight="1">
      <c r="D16" s="1745" t="n"/>
    </row>
    <row r="17" ht="39" customHeight="1">
      <c r="D17" s="924" t="n"/>
    </row>
  </sheetData>
  <mergeCells count="6">
    <mergeCell ref="C3:C4"/>
    <mergeCell ref="B3:B4"/>
    <mergeCell ref="G3:G4"/>
    <mergeCell ref="E3:E4"/>
    <mergeCell ref="K10:L10"/>
    <mergeCell ref="F3:F4"/>
  </mergeCells>
  <pageMargins left="0.7" right="0.7" top="0.75" bottom="0.75" header="0.3" footer="0.3"/>
  <pageSetup orientation="landscape" scale="24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I137"/>
  <sheetViews>
    <sheetView showGridLines="0" showZeros="0" zoomScale="90" zoomScaleNormal="90" zoomScaleSheetLayoutView="80" workbookViewId="0">
      <pane ySplit="3" topLeftCell="A4" activePane="bottomLeft" state="frozen"/>
      <selection pane="bottomLeft" activeCell="A1" sqref="A1:XFD1048576"/>
    </sheetView>
  </sheetViews>
  <sheetFormatPr baseColWidth="8" defaultColWidth="8.77734375" defaultRowHeight="15"/>
  <cols>
    <col width="11.6640625" customWidth="1" style="188" min="1" max="1"/>
    <col width="21.77734375" customWidth="1" style="188" min="2" max="2"/>
    <col width="25.21875" customWidth="1" style="189" min="3" max="3"/>
    <col width="9.21875" customWidth="1" style="187" min="4" max="4"/>
    <col width="46.6640625" bestFit="1" customWidth="1" style="190" min="5" max="5"/>
    <col width="19.21875" customWidth="1" style="190" min="6" max="6"/>
    <col width="21.77734375" customWidth="1" style="187" min="7" max="7"/>
    <col width="16.77734375" customWidth="1" style="192" min="8" max="8"/>
    <col width="9.6640625" bestFit="1" customWidth="1" style="187" min="9" max="9"/>
    <col width="34.21875" customWidth="1" style="193" min="10" max="10"/>
    <col width="8.77734375" customWidth="1" style="193" min="11" max="232"/>
    <col width="19.21875" customWidth="1" style="193" min="233" max="233"/>
    <col width="8.77734375" customWidth="1" style="193" min="234" max="235"/>
    <col width="27.21875" customWidth="1" style="193" min="236" max="236"/>
    <col width="9.21875" bestFit="1" customWidth="1" style="193" min="237" max="237"/>
    <col width="27" customWidth="1" style="193" min="238" max="238"/>
    <col width="10.21875" bestFit="1" customWidth="1" style="193" min="239" max="239"/>
    <col width="23.21875" customWidth="1" style="193" min="240" max="240"/>
    <col width="26.21875" customWidth="1" style="193" min="241" max="241"/>
    <col width="9" bestFit="1" customWidth="1" style="193" min="242" max="242"/>
    <col width="13.21875" bestFit="1" customWidth="1" style="193" min="243" max="243"/>
    <col width="4.77734375" bestFit="1" customWidth="1" style="193" min="244" max="244"/>
    <col width="4.21875" bestFit="1" customWidth="1" style="193" min="245" max="245"/>
    <col width="9.21875" bestFit="1" customWidth="1" style="193" min="246" max="246"/>
    <col width="9.21875" customWidth="1" style="193" min="247" max="247"/>
    <col width="2.21875" bestFit="1" customWidth="1" style="193" min="248" max="248"/>
    <col width="7.21875" bestFit="1" customWidth="1" style="193" min="249" max="249"/>
    <col width="2.21875" bestFit="1" customWidth="1" style="193" min="250" max="250"/>
    <col width="7.21875" bestFit="1" customWidth="1" style="193" min="251" max="251"/>
    <col width="2.21875" bestFit="1" customWidth="1" style="193" min="252" max="252"/>
    <col width="7.21875" bestFit="1" customWidth="1" style="193" min="253" max="253"/>
    <col width="16.21875" bestFit="1" customWidth="1" style="193" min="254" max="254"/>
    <col width="23.21875" customWidth="1" style="193" min="255" max="255"/>
    <col width="27.21875" customWidth="1" style="193" min="256" max="256"/>
    <col width="8.77734375" customWidth="1" style="193" min="257" max="261"/>
    <col width="44.77734375" bestFit="1" customWidth="1" style="193" min="262" max="262"/>
    <col width="8.77734375" customWidth="1" style="193" min="263" max="488"/>
    <col width="19.21875" customWidth="1" style="193" min="489" max="489"/>
    <col width="8.77734375" customWidth="1" style="193" min="490" max="491"/>
    <col width="27.21875" customWidth="1" style="193" min="492" max="492"/>
    <col width="9.21875" bestFit="1" customWidth="1" style="193" min="493" max="493"/>
    <col width="27" customWidth="1" style="193" min="494" max="494"/>
    <col width="10.21875" bestFit="1" customWidth="1" style="193" min="495" max="495"/>
    <col width="23.21875" customWidth="1" style="193" min="496" max="496"/>
    <col width="26.21875" customWidth="1" style="193" min="497" max="497"/>
    <col width="9" bestFit="1" customWidth="1" style="193" min="498" max="498"/>
    <col width="13.21875" bestFit="1" customWidth="1" style="193" min="499" max="499"/>
    <col width="4.77734375" bestFit="1" customWidth="1" style="193" min="500" max="500"/>
    <col width="4.21875" bestFit="1" customWidth="1" style="193" min="501" max="501"/>
    <col width="9.21875" bestFit="1" customWidth="1" style="193" min="502" max="502"/>
    <col width="9.21875" customWidth="1" style="193" min="503" max="503"/>
    <col width="2.21875" bestFit="1" customWidth="1" style="193" min="504" max="504"/>
    <col width="7.21875" bestFit="1" customWidth="1" style="193" min="505" max="505"/>
    <col width="2.21875" bestFit="1" customWidth="1" style="193" min="506" max="506"/>
    <col width="7.21875" bestFit="1" customWidth="1" style="193" min="507" max="507"/>
    <col width="2.21875" bestFit="1" customWidth="1" style="193" min="508" max="508"/>
    <col width="7.21875" bestFit="1" customWidth="1" style="193" min="509" max="509"/>
    <col width="16.21875" bestFit="1" customWidth="1" style="193" min="510" max="510"/>
    <col width="23.21875" customWidth="1" style="193" min="511" max="511"/>
    <col width="27.21875" customWidth="1" style="193" min="512" max="512"/>
    <col width="8.77734375" customWidth="1" style="193" min="513" max="517"/>
    <col width="44.77734375" bestFit="1" customWidth="1" style="193" min="518" max="518"/>
    <col width="8.77734375" customWidth="1" style="193" min="519" max="744"/>
    <col width="19.21875" customWidth="1" style="193" min="745" max="745"/>
    <col width="8.77734375" customWidth="1" style="193" min="746" max="747"/>
    <col width="27.21875" customWidth="1" style="193" min="748" max="748"/>
    <col width="9.21875" bestFit="1" customWidth="1" style="193" min="749" max="749"/>
    <col width="27" customWidth="1" style="193" min="750" max="750"/>
    <col width="10.21875" bestFit="1" customWidth="1" style="193" min="751" max="751"/>
    <col width="23.21875" customWidth="1" style="193" min="752" max="752"/>
    <col width="26.21875" customWidth="1" style="193" min="753" max="753"/>
    <col width="9" bestFit="1" customWidth="1" style="193" min="754" max="754"/>
    <col width="13.21875" bestFit="1" customWidth="1" style="193" min="755" max="755"/>
    <col width="4.77734375" bestFit="1" customWidth="1" style="193" min="756" max="756"/>
    <col width="4.21875" bestFit="1" customWidth="1" style="193" min="757" max="757"/>
    <col width="9.21875" bestFit="1" customWidth="1" style="193" min="758" max="758"/>
    <col width="9.21875" customWidth="1" style="193" min="759" max="759"/>
    <col width="2.21875" bestFit="1" customWidth="1" style="193" min="760" max="760"/>
    <col width="7.21875" bestFit="1" customWidth="1" style="193" min="761" max="761"/>
    <col width="2.21875" bestFit="1" customWidth="1" style="193" min="762" max="762"/>
    <col width="7.21875" bestFit="1" customWidth="1" style="193" min="763" max="763"/>
    <col width="2.21875" bestFit="1" customWidth="1" style="193" min="764" max="764"/>
    <col width="7.21875" bestFit="1" customWidth="1" style="193" min="765" max="765"/>
    <col width="16.21875" bestFit="1" customWidth="1" style="193" min="766" max="766"/>
    <col width="23.21875" customWidth="1" style="193" min="767" max="767"/>
    <col width="27.21875" customWidth="1" style="193" min="768" max="768"/>
    <col width="8.77734375" customWidth="1" style="193" min="769" max="773"/>
    <col width="44.77734375" bestFit="1" customWidth="1" style="193" min="774" max="774"/>
    <col width="8.77734375" customWidth="1" style="193" min="775" max="1000"/>
    <col width="19.21875" customWidth="1" style="193" min="1001" max="1001"/>
    <col width="8.77734375" customWidth="1" style="193" min="1002" max="1003"/>
    <col width="27.21875" customWidth="1" style="193" min="1004" max="1004"/>
    <col width="9.21875" bestFit="1" customWidth="1" style="193" min="1005" max="1005"/>
    <col width="27" customWidth="1" style="193" min="1006" max="1006"/>
    <col width="10.21875" bestFit="1" customWidth="1" style="193" min="1007" max="1007"/>
    <col width="23.21875" customWidth="1" style="193" min="1008" max="1008"/>
    <col width="26.21875" customWidth="1" style="193" min="1009" max="1009"/>
    <col width="9" bestFit="1" customWidth="1" style="193" min="1010" max="1010"/>
    <col width="13.21875" bestFit="1" customWidth="1" style="193" min="1011" max="1011"/>
    <col width="4.77734375" bestFit="1" customWidth="1" style="193" min="1012" max="1012"/>
    <col width="4.21875" bestFit="1" customWidth="1" style="193" min="1013" max="1013"/>
    <col width="9.21875" bestFit="1" customWidth="1" style="193" min="1014" max="1014"/>
    <col width="9.21875" customWidth="1" style="193" min="1015" max="1015"/>
    <col width="2.21875" bestFit="1" customWidth="1" style="193" min="1016" max="1016"/>
    <col width="7.21875" bestFit="1" customWidth="1" style="193" min="1017" max="1017"/>
    <col width="2.21875" bestFit="1" customWidth="1" style="193" min="1018" max="1018"/>
    <col width="7.21875" bestFit="1" customWidth="1" style="193" min="1019" max="1019"/>
    <col width="2.21875" bestFit="1" customWidth="1" style="193" min="1020" max="1020"/>
    <col width="7.21875" bestFit="1" customWidth="1" style="193" min="1021" max="1021"/>
    <col width="16.21875" bestFit="1" customWidth="1" style="193" min="1022" max="1022"/>
    <col width="23.21875" customWidth="1" style="193" min="1023" max="1023"/>
    <col width="27.21875" customWidth="1" style="193" min="1024" max="1024"/>
    <col width="8.77734375" customWidth="1" style="193" min="1025" max="1029"/>
    <col width="44.77734375" bestFit="1" customWidth="1" style="193" min="1030" max="1030"/>
    <col width="8.77734375" customWidth="1" style="193" min="1031" max="1256"/>
    <col width="19.21875" customWidth="1" style="193" min="1257" max="1257"/>
    <col width="8.77734375" customWidth="1" style="193" min="1258" max="1259"/>
    <col width="27.21875" customWidth="1" style="193" min="1260" max="1260"/>
    <col width="9.21875" bestFit="1" customWidth="1" style="193" min="1261" max="1261"/>
    <col width="27" customWidth="1" style="193" min="1262" max="1262"/>
    <col width="10.21875" bestFit="1" customWidth="1" style="193" min="1263" max="1263"/>
    <col width="23.21875" customWidth="1" style="193" min="1264" max="1264"/>
    <col width="26.21875" customWidth="1" style="193" min="1265" max="1265"/>
    <col width="9" bestFit="1" customWidth="1" style="193" min="1266" max="1266"/>
    <col width="13.21875" bestFit="1" customWidth="1" style="193" min="1267" max="1267"/>
    <col width="4.77734375" bestFit="1" customWidth="1" style="193" min="1268" max="1268"/>
    <col width="4.21875" bestFit="1" customWidth="1" style="193" min="1269" max="1269"/>
    <col width="9.21875" bestFit="1" customWidth="1" style="193" min="1270" max="1270"/>
    <col width="9.21875" customWidth="1" style="193" min="1271" max="1271"/>
    <col width="2.21875" bestFit="1" customWidth="1" style="193" min="1272" max="1272"/>
    <col width="7.21875" bestFit="1" customWidth="1" style="193" min="1273" max="1273"/>
    <col width="2.21875" bestFit="1" customWidth="1" style="193" min="1274" max="1274"/>
    <col width="7.21875" bestFit="1" customWidth="1" style="193" min="1275" max="1275"/>
    <col width="2.21875" bestFit="1" customWidth="1" style="193" min="1276" max="1276"/>
    <col width="7.21875" bestFit="1" customWidth="1" style="193" min="1277" max="1277"/>
    <col width="16.21875" bestFit="1" customWidth="1" style="193" min="1278" max="1278"/>
    <col width="23.21875" customWidth="1" style="193" min="1279" max="1279"/>
    <col width="27.21875" customWidth="1" style="193" min="1280" max="1280"/>
    <col width="8.77734375" customWidth="1" style="193" min="1281" max="1285"/>
    <col width="44.77734375" bestFit="1" customWidth="1" style="193" min="1286" max="1286"/>
    <col width="8.77734375" customWidth="1" style="193" min="1287" max="1512"/>
    <col width="19.21875" customWidth="1" style="193" min="1513" max="1513"/>
    <col width="8.77734375" customWidth="1" style="193" min="1514" max="1515"/>
    <col width="27.21875" customWidth="1" style="193" min="1516" max="1516"/>
    <col width="9.21875" bestFit="1" customWidth="1" style="193" min="1517" max="1517"/>
    <col width="27" customWidth="1" style="193" min="1518" max="1518"/>
    <col width="10.21875" bestFit="1" customWidth="1" style="193" min="1519" max="1519"/>
    <col width="23.21875" customWidth="1" style="193" min="1520" max="1520"/>
    <col width="26.21875" customWidth="1" style="193" min="1521" max="1521"/>
    <col width="9" bestFit="1" customWidth="1" style="193" min="1522" max="1522"/>
    <col width="13.21875" bestFit="1" customWidth="1" style="193" min="1523" max="1523"/>
    <col width="4.77734375" bestFit="1" customWidth="1" style="193" min="1524" max="1524"/>
    <col width="4.21875" bestFit="1" customWidth="1" style="193" min="1525" max="1525"/>
    <col width="9.21875" bestFit="1" customWidth="1" style="193" min="1526" max="1526"/>
    <col width="9.21875" customWidth="1" style="193" min="1527" max="1527"/>
    <col width="2.21875" bestFit="1" customWidth="1" style="193" min="1528" max="1528"/>
    <col width="7.21875" bestFit="1" customWidth="1" style="193" min="1529" max="1529"/>
    <col width="2.21875" bestFit="1" customWidth="1" style="193" min="1530" max="1530"/>
    <col width="7.21875" bestFit="1" customWidth="1" style="193" min="1531" max="1531"/>
    <col width="2.21875" bestFit="1" customWidth="1" style="193" min="1532" max="1532"/>
    <col width="7.21875" bestFit="1" customWidth="1" style="193" min="1533" max="1533"/>
    <col width="16.21875" bestFit="1" customWidth="1" style="193" min="1534" max="1534"/>
    <col width="23.21875" customWidth="1" style="193" min="1535" max="1535"/>
    <col width="27.21875" customWidth="1" style="193" min="1536" max="1536"/>
    <col width="8.77734375" customWidth="1" style="193" min="1537" max="1541"/>
    <col width="44.77734375" bestFit="1" customWidth="1" style="193" min="1542" max="1542"/>
    <col width="8.77734375" customWidth="1" style="193" min="1543" max="1768"/>
    <col width="19.21875" customWidth="1" style="193" min="1769" max="1769"/>
    <col width="8.77734375" customWidth="1" style="193" min="1770" max="1771"/>
    <col width="27.21875" customWidth="1" style="193" min="1772" max="1772"/>
    <col width="9.21875" bestFit="1" customWidth="1" style="193" min="1773" max="1773"/>
    <col width="27" customWidth="1" style="193" min="1774" max="1774"/>
    <col width="10.21875" bestFit="1" customWidth="1" style="193" min="1775" max="1775"/>
    <col width="23.21875" customWidth="1" style="193" min="1776" max="1776"/>
    <col width="26.21875" customWidth="1" style="193" min="1777" max="1777"/>
    <col width="9" bestFit="1" customWidth="1" style="193" min="1778" max="1778"/>
    <col width="13.21875" bestFit="1" customWidth="1" style="193" min="1779" max="1779"/>
    <col width="4.77734375" bestFit="1" customWidth="1" style="193" min="1780" max="1780"/>
    <col width="4.21875" bestFit="1" customWidth="1" style="193" min="1781" max="1781"/>
    <col width="9.21875" bestFit="1" customWidth="1" style="193" min="1782" max="1782"/>
    <col width="9.21875" customWidth="1" style="193" min="1783" max="1783"/>
    <col width="2.21875" bestFit="1" customWidth="1" style="193" min="1784" max="1784"/>
    <col width="7.21875" bestFit="1" customWidth="1" style="193" min="1785" max="1785"/>
    <col width="2.21875" bestFit="1" customWidth="1" style="193" min="1786" max="1786"/>
    <col width="7.21875" bestFit="1" customWidth="1" style="193" min="1787" max="1787"/>
    <col width="2.21875" bestFit="1" customWidth="1" style="193" min="1788" max="1788"/>
    <col width="7.21875" bestFit="1" customWidth="1" style="193" min="1789" max="1789"/>
    <col width="16.21875" bestFit="1" customWidth="1" style="193" min="1790" max="1790"/>
    <col width="23.21875" customWidth="1" style="193" min="1791" max="1791"/>
    <col width="27.21875" customWidth="1" style="193" min="1792" max="1792"/>
    <col width="8.77734375" customWidth="1" style="193" min="1793" max="1797"/>
    <col width="44.77734375" bestFit="1" customWidth="1" style="193" min="1798" max="1798"/>
    <col width="8.77734375" customWidth="1" style="193" min="1799" max="2024"/>
    <col width="19.21875" customWidth="1" style="193" min="2025" max="2025"/>
    <col width="8.77734375" customWidth="1" style="193" min="2026" max="2027"/>
    <col width="27.21875" customWidth="1" style="193" min="2028" max="2028"/>
    <col width="9.21875" bestFit="1" customWidth="1" style="193" min="2029" max="2029"/>
    <col width="27" customWidth="1" style="193" min="2030" max="2030"/>
    <col width="10.21875" bestFit="1" customWidth="1" style="193" min="2031" max="2031"/>
    <col width="23.21875" customWidth="1" style="193" min="2032" max="2032"/>
    <col width="26.21875" customWidth="1" style="193" min="2033" max="2033"/>
    <col width="9" bestFit="1" customWidth="1" style="193" min="2034" max="2034"/>
    <col width="13.21875" bestFit="1" customWidth="1" style="193" min="2035" max="2035"/>
    <col width="4.77734375" bestFit="1" customWidth="1" style="193" min="2036" max="2036"/>
    <col width="4.21875" bestFit="1" customWidth="1" style="193" min="2037" max="2037"/>
    <col width="9.21875" bestFit="1" customWidth="1" style="193" min="2038" max="2038"/>
    <col width="9.21875" customWidth="1" style="193" min="2039" max="2039"/>
    <col width="2.21875" bestFit="1" customWidth="1" style="193" min="2040" max="2040"/>
    <col width="7.21875" bestFit="1" customWidth="1" style="193" min="2041" max="2041"/>
    <col width="2.21875" bestFit="1" customWidth="1" style="193" min="2042" max="2042"/>
    <col width="7.21875" bestFit="1" customWidth="1" style="193" min="2043" max="2043"/>
    <col width="2.21875" bestFit="1" customWidth="1" style="193" min="2044" max="2044"/>
    <col width="7.21875" bestFit="1" customWidth="1" style="193" min="2045" max="2045"/>
    <col width="16.21875" bestFit="1" customWidth="1" style="193" min="2046" max="2046"/>
    <col width="23.21875" customWidth="1" style="193" min="2047" max="2047"/>
    <col width="27.21875" customWidth="1" style="193" min="2048" max="2048"/>
    <col width="8.77734375" customWidth="1" style="193" min="2049" max="2053"/>
    <col width="44.77734375" bestFit="1" customWidth="1" style="193" min="2054" max="2054"/>
    <col width="8.77734375" customWidth="1" style="193" min="2055" max="2280"/>
    <col width="19.21875" customWidth="1" style="193" min="2281" max="2281"/>
    <col width="8.77734375" customWidth="1" style="193" min="2282" max="2283"/>
    <col width="27.21875" customWidth="1" style="193" min="2284" max="2284"/>
    <col width="9.21875" bestFit="1" customWidth="1" style="193" min="2285" max="2285"/>
    <col width="27" customWidth="1" style="193" min="2286" max="2286"/>
    <col width="10.21875" bestFit="1" customWidth="1" style="193" min="2287" max="2287"/>
    <col width="23.21875" customWidth="1" style="193" min="2288" max="2288"/>
    <col width="26.21875" customWidth="1" style="193" min="2289" max="2289"/>
    <col width="9" bestFit="1" customWidth="1" style="193" min="2290" max="2290"/>
    <col width="13.21875" bestFit="1" customWidth="1" style="193" min="2291" max="2291"/>
    <col width="4.77734375" bestFit="1" customWidth="1" style="193" min="2292" max="2292"/>
    <col width="4.21875" bestFit="1" customWidth="1" style="193" min="2293" max="2293"/>
    <col width="9.21875" bestFit="1" customWidth="1" style="193" min="2294" max="2294"/>
    <col width="9.21875" customWidth="1" style="193" min="2295" max="2295"/>
    <col width="2.21875" bestFit="1" customWidth="1" style="193" min="2296" max="2296"/>
    <col width="7.21875" bestFit="1" customWidth="1" style="193" min="2297" max="2297"/>
    <col width="2.21875" bestFit="1" customWidth="1" style="193" min="2298" max="2298"/>
    <col width="7.21875" bestFit="1" customWidth="1" style="193" min="2299" max="2299"/>
    <col width="2.21875" bestFit="1" customWidth="1" style="193" min="2300" max="2300"/>
    <col width="7.21875" bestFit="1" customWidth="1" style="193" min="2301" max="2301"/>
    <col width="16.21875" bestFit="1" customWidth="1" style="193" min="2302" max="2302"/>
    <col width="23.21875" customWidth="1" style="193" min="2303" max="2303"/>
    <col width="27.21875" customWidth="1" style="193" min="2304" max="2304"/>
    <col width="8.77734375" customWidth="1" style="193" min="2305" max="2309"/>
    <col width="44.77734375" bestFit="1" customWidth="1" style="193" min="2310" max="2310"/>
    <col width="8.77734375" customWidth="1" style="193" min="2311" max="2536"/>
    <col width="19.21875" customWidth="1" style="193" min="2537" max="2537"/>
    <col width="8.77734375" customWidth="1" style="193" min="2538" max="2539"/>
    <col width="27.21875" customWidth="1" style="193" min="2540" max="2540"/>
    <col width="9.21875" bestFit="1" customWidth="1" style="193" min="2541" max="2541"/>
    <col width="27" customWidth="1" style="193" min="2542" max="2542"/>
    <col width="10.21875" bestFit="1" customWidth="1" style="193" min="2543" max="2543"/>
    <col width="23.21875" customWidth="1" style="193" min="2544" max="2544"/>
    <col width="26.21875" customWidth="1" style="193" min="2545" max="2545"/>
    <col width="9" bestFit="1" customWidth="1" style="193" min="2546" max="2546"/>
    <col width="13.21875" bestFit="1" customWidth="1" style="193" min="2547" max="2547"/>
    <col width="4.77734375" bestFit="1" customWidth="1" style="193" min="2548" max="2548"/>
    <col width="4.21875" bestFit="1" customWidth="1" style="193" min="2549" max="2549"/>
    <col width="9.21875" bestFit="1" customWidth="1" style="193" min="2550" max="2550"/>
    <col width="9.21875" customWidth="1" style="193" min="2551" max="2551"/>
    <col width="2.21875" bestFit="1" customWidth="1" style="193" min="2552" max="2552"/>
    <col width="7.21875" bestFit="1" customWidth="1" style="193" min="2553" max="2553"/>
    <col width="2.21875" bestFit="1" customWidth="1" style="193" min="2554" max="2554"/>
    <col width="7.21875" bestFit="1" customWidth="1" style="193" min="2555" max="2555"/>
    <col width="2.21875" bestFit="1" customWidth="1" style="193" min="2556" max="2556"/>
    <col width="7.21875" bestFit="1" customWidth="1" style="193" min="2557" max="2557"/>
    <col width="16.21875" bestFit="1" customWidth="1" style="193" min="2558" max="2558"/>
    <col width="23.21875" customWidth="1" style="193" min="2559" max="2559"/>
    <col width="27.21875" customWidth="1" style="193" min="2560" max="2560"/>
    <col width="8.77734375" customWidth="1" style="193" min="2561" max="2565"/>
    <col width="44.77734375" bestFit="1" customWidth="1" style="193" min="2566" max="2566"/>
    <col width="8.77734375" customWidth="1" style="193" min="2567" max="2792"/>
    <col width="19.21875" customWidth="1" style="193" min="2793" max="2793"/>
    <col width="8.77734375" customWidth="1" style="193" min="2794" max="2795"/>
    <col width="27.21875" customWidth="1" style="193" min="2796" max="2796"/>
    <col width="9.21875" bestFit="1" customWidth="1" style="193" min="2797" max="2797"/>
    <col width="27" customWidth="1" style="193" min="2798" max="2798"/>
    <col width="10.21875" bestFit="1" customWidth="1" style="193" min="2799" max="2799"/>
    <col width="23.21875" customWidth="1" style="193" min="2800" max="2800"/>
    <col width="26.21875" customWidth="1" style="193" min="2801" max="2801"/>
    <col width="9" bestFit="1" customWidth="1" style="193" min="2802" max="2802"/>
    <col width="13.21875" bestFit="1" customWidth="1" style="193" min="2803" max="2803"/>
    <col width="4.77734375" bestFit="1" customWidth="1" style="193" min="2804" max="2804"/>
    <col width="4.21875" bestFit="1" customWidth="1" style="193" min="2805" max="2805"/>
    <col width="9.21875" bestFit="1" customWidth="1" style="193" min="2806" max="2806"/>
    <col width="9.21875" customWidth="1" style="193" min="2807" max="2807"/>
    <col width="2.21875" bestFit="1" customWidth="1" style="193" min="2808" max="2808"/>
    <col width="7.21875" bestFit="1" customWidth="1" style="193" min="2809" max="2809"/>
    <col width="2.21875" bestFit="1" customWidth="1" style="193" min="2810" max="2810"/>
    <col width="7.21875" bestFit="1" customWidth="1" style="193" min="2811" max="2811"/>
    <col width="2.21875" bestFit="1" customWidth="1" style="193" min="2812" max="2812"/>
    <col width="7.21875" bestFit="1" customWidth="1" style="193" min="2813" max="2813"/>
    <col width="16.21875" bestFit="1" customWidth="1" style="193" min="2814" max="2814"/>
    <col width="23.21875" customWidth="1" style="193" min="2815" max="2815"/>
    <col width="27.21875" customWidth="1" style="193" min="2816" max="2816"/>
    <col width="8.77734375" customWidth="1" style="193" min="2817" max="2821"/>
    <col width="44.77734375" bestFit="1" customWidth="1" style="193" min="2822" max="2822"/>
    <col width="8.77734375" customWidth="1" style="193" min="2823" max="3048"/>
    <col width="19.21875" customWidth="1" style="193" min="3049" max="3049"/>
    <col width="8.77734375" customWidth="1" style="193" min="3050" max="3051"/>
    <col width="27.21875" customWidth="1" style="193" min="3052" max="3052"/>
    <col width="9.21875" bestFit="1" customWidth="1" style="193" min="3053" max="3053"/>
    <col width="27" customWidth="1" style="193" min="3054" max="3054"/>
    <col width="10.21875" bestFit="1" customWidth="1" style="193" min="3055" max="3055"/>
    <col width="23.21875" customWidth="1" style="193" min="3056" max="3056"/>
    <col width="26.21875" customWidth="1" style="193" min="3057" max="3057"/>
    <col width="9" bestFit="1" customWidth="1" style="193" min="3058" max="3058"/>
    <col width="13.21875" bestFit="1" customWidth="1" style="193" min="3059" max="3059"/>
    <col width="4.77734375" bestFit="1" customWidth="1" style="193" min="3060" max="3060"/>
    <col width="4.21875" bestFit="1" customWidth="1" style="193" min="3061" max="3061"/>
    <col width="9.21875" bestFit="1" customWidth="1" style="193" min="3062" max="3062"/>
    <col width="9.21875" customWidth="1" style="193" min="3063" max="3063"/>
    <col width="2.21875" bestFit="1" customWidth="1" style="193" min="3064" max="3064"/>
    <col width="7.21875" bestFit="1" customWidth="1" style="193" min="3065" max="3065"/>
    <col width="2.21875" bestFit="1" customWidth="1" style="193" min="3066" max="3066"/>
    <col width="7.21875" bestFit="1" customWidth="1" style="193" min="3067" max="3067"/>
    <col width="2.21875" bestFit="1" customWidth="1" style="193" min="3068" max="3068"/>
    <col width="7.21875" bestFit="1" customWidth="1" style="193" min="3069" max="3069"/>
    <col width="16.21875" bestFit="1" customWidth="1" style="193" min="3070" max="3070"/>
    <col width="23.21875" customWidth="1" style="193" min="3071" max="3071"/>
    <col width="27.21875" customWidth="1" style="193" min="3072" max="3072"/>
    <col width="8.77734375" customWidth="1" style="193" min="3073" max="3077"/>
    <col width="44.77734375" bestFit="1" customWidth="1" style="193" min="3078" max="3078"/>
    <col width="8.77734375" customWidth="1" style="193" min="3079" max="3304"/>
    <col width="19.21875" customWidth="1" style="193" min="3305" max="3305"/>
    <col width="8.77734375" customWidth="1" style="193" min="3306" max="3307"/>
    <col width="27.21875" customWidth="1" style="193" min="3308" max="3308"/>
    <col width="9.21875" bestFit="1" customWidth="1" style="193" min="3309" max="3309"/>
    <col width="27" customWidth="1" style="193" min="3310" max="3310"/>
    <col width="10.21875" bestFit="1" customWidth="1" style="193" min="3311" max="3311"/>
    <col width="23.21875" customWidth="1" style="193" min="3312" max="3312"/>
    <col width="26.21875" customWidth="1" style="193" min="3313" max="3313"/>
    <col width="9" bestFit="1" customWidth="1" style="193" min="3314" max="3314"/>
    <col width="13.21875" bestFit="1" customWidth="1" style="193" min="3315" max="3315"/>
    <col width="4.77734375" bestFit="1" customWidth="1" style="193" min="3316" max="3316"/>
    <col width="4.21875" bestFit="1" customWidth="1" style="193" min="3317" max="3317"/>
    <col width="9.21875" bestFit="1" customWidth="1" style="193" min="3318" max="3318"/>
    <col width="9.21875" customWidth="1" style="193" min="3319" max="3319"/>
    <col width="2.21875" bestFit="1" customWidth="1" style="193" min="3320" max="3320"/>
    <col width="7.21875" bestFit="1" customWidth="1" style="193" min="3321" max="3321"/>
    <col width="2.21875" bestFit="1" customWidth="1" style="193" min="3322" max="3322"/>
    <col width="7.21875" bestFit="1" customWidth="1" style="193" min="3323" max="3323"/>
    <col width="2.21875" bestFit="1" customWidth="1" style="193" min="3324" max="3324"/>
    <col width="7.21875" bestFit="1" customWidth="1" style="193" min="3325" max="3325"/>
    <col width="16.21875" bestFit="1" customWidth="1" style="193" min="3326" max="3326"/>
    <col width="23.21875" customWidth="1" style="193" min="3327" max="3327"/>
    <col width="27.21875" customWidth="1" style="193" min="3328" max="3328"/>
    <col width="8.77734375" customWidth="1" style="193" min="3329" max="3333"/>
    <col width="44.77734375" bestFit="1" customWidth="1" style="193" min="3334" max="3334"/>
    <col width="8.77734375" customWidth="1" style="193" min="3335" max="3560"/>
    <col width="19.21875" customWidth="1" style="193" min="3561" max="3561"/>
    <col width="8.77734375" customWidth="1" style="193" min="3562" max="3563"/>
    <col width="27.21875" customWidth="1" style="193" min="3564" max="3564"/>
    <col width="9.21875" bestFit="1" customWidth="1" style="193" min="3565" max="3565"/>
    <col width="27" customWidth="1" style="193" min="3566" max="3566"/>
    <col width="10.21875" bestFit="1" customWidth="1" style="193" min="3567" max="3567"/>
    <col width="23.21875" customWidth="1" style="193" min="3568" max="3568"/>
    <col width="26.21875" customWidth="1" style="193" min="3569" max="3569"/>
    <col width="9" bestFit="1" customWidth="1" style="193" min="3570" max="3570"/>
    <col width="13.21875" bestFit="1" customWidth="1" style="193" min="3571" max="3571"/>
    <col width="4.77734375" bestFit="1" customWidth="1" style="193" min="3572" max="3572"/>
    <col width="4.21875" bestFit="1" customWidth="1" style="193" min="3573" max="3573"/>
    <col width="9.21875" bestFit="1" customWidth="1" style="193" min="3574" max="3574"/>
    <col width="9.21875" customWidth="1" style="193" min="3575" max="3575"/>
    <col width="2.21875" bestFit="1" customWidth="1" style="193" min="3576" max="3576"/>
    <col width="7.21875" bestFit="1" customWidth="1" style="193" min="3577" max="3577"/>
    <col width="2.21875" bestFit="1" customWidth="1" style="193" min="3578" max="3578"/>
    <col width="7.21875" bestFit="1" customWidth="1" style="193" min="3579" max="3579"/>
    <col width="2.21875" bestFit="1" customWidth="1" style="193" min="3580" max="3580"/>
    <col width="7.21875" bestFit="1" customWidth="1" style="193" min="3581" max="3581"/>
    <col width="16.21875" bestFit="1" customWidth="1" style="193" min="3582" max="3582"/>
    <col width="23.21875" customWidth="1" style="193" min="3583" max="3583"/>
    <col width="27.21875" customWidth="1" style="193" min="3584" max="3584"/>
    <col width="8.77734375" customWidth="1" style="193" min="3585" max="3589"/>
    <col width="44.77734375" bestFit="1" customWidth="1" style="193" min="3590" max="3590"/>
    <col width="8.77734375" customWidth="1" style="193" min="3591" max="3816"/>
    <col width="19.21875" customWidth="1" style="193" min="3817" max="3817"/>
    <col width="8.77734375" customWidth="1" style="193" min="3818" max="3819"/>
    <col width="27.21875" customWidth="1" style="193" min="3820" max="3820"/>
    <col width="9.21875" bestFit="1" customWidth="1" style="193" min="3821" max="3821"/>
    <col width="27" customWidth="1" style="193" min="3822" max="3822"/>
    <col width="10.21875" bestFit="1" customWidth="1" style="193" min="3823" max="3823"/>
    <col width="23.21875" customWidth="1" style="193" min="3824" max="3824"/>
    <col width="26.21875" customWidth="1" style="193" min="3825" max="3825"/>
    <col width="9" bestFit="1" customWidth="1" style="193" min="3826" max="3826"/>
    <col width="13.21875" bestFit="1" customWidth="1" style="193" min="3827" max="3827"/>
    <col width="4.77734375" bestFit="1" customWidth="1" style="193" min="3828" max="3828"/>
    <col width="4.21875" bestFit="1" customWidth="1" style="193" min="3829" max="3829"/>
    <col width="9.21875" bestFit="1" customWidth="1" style="193" min="3830" max="3830"/>
    <col width="9.21875" customWidth="1" style="193" min="3831" max="3831"/>
    <col width="2.21875" bestFit="1" customWidth="1" style="193" min="3832" max="3832"/>
    <col width="7.21875" bestFit="1" customWidth="1" style="193" min="3833" max="3833"/>
    <col width="2.21875" bestFit="1" customWidth="1" style="193" min="3834" max="3834"/>
    <col width="7.21875" bestFit="1" customWidth="1" style="193" min="3835" max="3835"/>
    <col width="2.21875" bestFit="1" customWidth="1" style="193" min="3836" max="3836"/>
    <col width="7.21875" bestFit="1" customWidth="1" style="193" min="3837" max="3837"/>
    <col width="16.21875" bestFit="1" customWidth="1" style="193" min="3838" max="3838"/>
    <col width="23.21875" customWidth="1" style="193" min="3839" max="3839"/>
    <col width="27.21875" customWidth="1" style="193" min="3840" max="3840"/>
    <col width="8.77734375" customWidth="1" style="193" min="3841" max="3845"/>
    <col width="44.77734375" bestFit="1" customWidth="1" style="193" min="3846" max="3846"/>
    <col width="8.77734375" customWidth="1" style="193" min="3847" max="4072"/>
    <col width="19.21875" customWidth="1" style="193" min="4073" max="4073"/>
    <col width="8.77734375" customWidth="1" style="193" min="4074" max="4075"/>
    <col width="27.21875" customWidth="1" style="193" min="4076" max="4076"/>
    <col width="9.21875" bestFit="1" customWidth="1" style="193" min="4077" max="4077"/>
    <col width="27" customWidth="1" style="193" min="4078" max="4078"/>
    <col width="10.21875" bestFit="1" customWidth="1" style="193" min="4079" max="4079"/>
    <col width="23.21875" customWidth="1" style="193" min="4080" max="4080"/>
    <col width="26.21875" customWidth="1" style="193" min="4081" max="4081"/>
    <col width="9" bestFit="1" customWidth="1" style="193" min="4082" max="4082"/>
    <col width="13.21875" bestFit="1" customWidth="1" style="193" min="4083" max="4083"/>
    <col width="4.77734375" bestFit="1" customWidth="1" style="193" min="4084" max="4084"/>
    <col width="4.21875" bestFit="1" customWidth="1" style="193" min="4085" max="4085"/>
    <col width="9.21875" bestFit="1" customWidth="1" style="193" min="4086" max="4086"/>
    <col width="9.21875" customWidth="1" style="193" min="4087" max="4087"/>
    <col width="2.21875" bestFit="1" customWidth="1" style="193" min="4088" max="4088"/>
    <col width="7.21875" bestFit="1" customWidth="1" style="193" min="4089" max="4089"/>
    <col width="2.21875" bestFit="1" customWidth="1" style="193" min="4090" max="4090"/>
    <col width="7.21875" bestFit="1" customWidth="1" style="193" min="4091" max="4091"/>
    <col width="2.21875" bestFit="1" customWidth="1" style="193" min="4092" max="4092"/>
    <col width="7.21875" bestFit="1" customWidth="1" style="193" min="4093" max="4093"/>
    <col width="16.21875" bestFit="1" customWidth="1" style="193" min="4094" max="4094"/>
    <col width="23.21875" customWidth="1" style="193" min="4095" max="4095"/>
    <col width="27.21875" customWidth="1" style="193" min="4096" max="4096"/>
    <col width="8.77734375" customWidth="1" style="193" min="4097" max="4101"/>
    <col width="44.77734375" bestFit="1" customWidth="1" style="193" min="4102" max="4102"/>
    <col width="8.77734375" customWidth="1" style="193" min="4103" max="4328"/>
    <col width="19.21875" customWidth="1" style="193" min="4329" max="4329"/>
    <col width="8.77734375" customWidth="1" style="193" min="4330" max="4331"/>
    <col width="27.21875" customWidth="1" style="193" min="4332" max="4332"/>
    <col width="9.21875" bestFit="1" customWidth="1" style="193" min="4333" max="4333"/>
    <col width="27" customWidth="1" style="193" min="4334" max="4334"/>
    <col width="10.21875" bestFit="1" customWidth="1" style="193" min="4335" max="4335"/>
    <col width="23.21875" customWidth="1" style="193" min="4336" max="4336"/>
    <col width="26.21875" customWidth="1" style="193" min="4337" max="4337"/>
    <col width="9" bestFit="1" customWidth="1" style="193" min="4338" max="4338"/>
    <col width="13.21875" bestFit="1" customWidth="1" style="193" min="4339" max="4339"/>
    <col width="4.77734375" bestFit="1" customWidth="1" style="193" min="4340" max="4340"/>
    <col width="4.21875" bestFit="1" customWidth="1" style="193" min="4341" max="4341"/>
    <col width="9.21875" bestFit="1" customWidth="1" style="193" min="4342" max="4342"/>
    <col width="9.21875" customWidth="1" style="193" min="4343" max="4343"/>
    <col width="2.21875" bestFit="1" customWidth="1" style="193" min="4344" max="4344"/>
    <col width="7.21875" bestFit="1" customWidth="1" style="193" min="4345" max="4345"/>
    <col width="2.21875" bestFit="1" customWidth="1" style="193" min="4346" max="4346"/>
    <col width="7.21875" bestFit="1" customWidth="1" style="193" min="4347" max="4347"/>
    <col width="2.21875" bestFit="1" customWidth="1" style="193" min="4348" max="4348"/>
    <col width="7.21875" bestFit="1" customWidth="1" style="193" min="4349" max="4349"/>
    <col width="16.21875" bestFit="1" customWidth="1" style="193" min="4350" max="4350"/>
    <col width="23.21875" customWidth="1" style="193" min="4351" max="4351"/>
    <col width="27.21875" customWidth="1" style="193" min="4352" max="4352"/>
    <col width="8.77734375" customWidth="1" style="193" min="4353" max="4357"/>
    <col width="44.77734375" bestFit="1" customWidth="1" style="193" min="4358" max="4358"/>
    <col width="8.77734375" customWidth="1" style="193" min="4359" max="4584"/>
    <col width="19.21875" customWidth="1" style="193" min="4585" max="4585"/>
    <col width="8.77734375" customWidth="1" style="193" min="4586" max="4587"/>
    <col width="27.21875" customWidth="1" style="193" min="4588" max="4588"/>
    <col width="9.21875" bestFit="1" customWidth="1" style="193" min="4589" max="4589"/>
    <col width="27" customWidth="1" style="193" min="4590" max="4590"/>
    <col width="10.21875" bestFit="1" customWidth="1" style="193" min="4591" max="4591"/>
    <col width="23.21875" customWidth="1" style="193" min="4592" max="4592"/>
    <col width="26.21875" customWidth="1" style="193" min="4593" max="4593"/>
    <col width="9" bestFit="1" customWidth="1" style="193" min="4594" max="4594"/>
    <col width="13.21875" bestFit="1" customWidth="1" style="193" min="4595" max="4595"/>
    <col width="4.77734375" bestFit="1" customWidth="1" style="193" min="4596" max="4596"/>
    <col width="4.21875" bestFit="1" customWidth="1" style="193" min="4597" max="4597"/>
    <col width="9.21875" bestFit="1" customWidth="1" style="193" min="4598" max="4598"/>
    <col width="9.21875" customWidth="1" style="193" min="4599" max="4599"/>
    <col width="2.21875" bestFit="1" customWidth="1" style="193" min="4600" max="4600"/>
    <col width="7.21875" bestFit="1" customWidth="1" style="193" min="4601" max="4601"/>
    <col width="2.21875" bestFit="1" customWidth="1" style="193" min="4602" max="4602"/>
    <col width="7.21875" bestFit="1" customWidth="1" style="193" min="4603" max="4603"/>
    <col width="2.21875" bestFit="1" customWidth="1" style="193" min="4604" max="4604"/>
    <col width="7.21875" bestFit="1" customWidth="1" style="193" min="4605" max="4605"/>
    <col width="16.21875" bestFit="1" customWidth="1" style="193" min="4606" max="4606"/>
    <col width="23.21875" customWidth="1" style="193" min="4607" max="4607"/>
    <col width="27.21875" customWidth="1" style="193" min="4608" max="4608"/>
    <col width="8.77734375" customWidth="1" style="193" min="4609" max="4613"/>
    <col width="44.77734375" bestFit="1" customWidth="1" style="193" min="4614" max="4614"/>
    <col width="8.77734375" customWidth="1" style="193" min="4615" max="4840"/>
    <col width="19.21875" customWidth="1" style="193" min="4841" max="4841"/>
    <col width="8.77734375" customWidth="1" style="193" min="4842" max="4843"/>
    <col width="27.21875" customWidth="1" style="193" min="4844" max="4844"/>
    <col width="9.21875" bestFit="1" customWidth="1" style="193" min="4845" max="4845"/>
    <col width="27" customWidth="1" style="193" min="4846" max="4846"/>
    <col width="10.21875" bestFit="1" customWidth="1" style="193" min="4847" max="4847"/>
    <col width="23.21875" customWidth="1" style="193" min="4848" max="4848"/>
    <col width="26.21875" customWidth="1" style="193" min="4849" max="4849"/>
    <col width="9" bestFit="1" customWidth="1" style="193" min="4850" max="4850"/>
    <col width="13.21875" bestFit="1" customWidth="1" style="193" min="4851" max="4851"/>
    <col width="4.77734375" bestFit="1" customWidth="1" style="193" min="4852" max="4852"/>
    <col width="4.21875" bestFit="1" customWidth="1" style="193" min="4853" max="4853"/>
    <col width="9.21875" bestFit="1" customWidth="1" style="193" min="4854" max="4854"/>
    <col width="9.21875" customWidth="1" style="193" min="4855" max="4855"/>
    <col width="2.21875" bestFit="1" customWidth="1" style="193" min="4856" max="4856"/>
    <col width="7.21875" bestFit="1" customWidth="1" style="193" min="4857" max="4857"/>
    <col width="2.21875" bestFit="1" customWidth="1" style="193" min="4858" max="4858"/>
    <col width="7.21875" bestFit="1" customWidth="1" style="193" min="4859" max="4859"/>
    <col width="2.21875" bestFit="1" customWidth="1" style="193" min="4860" max="4860"/>
    <col width="7.21875" bestFit="1" customWidth="1" style="193" min="4861" max="4861"/>
    <col width="16.21875" bestFit="1" customWidth="1" style="193" min="4862" max="4862"/>
    <col width="23.21875" customWidth="1" style="193" min="4863" max="4863"/>
    <col width="27.21875" customWidth="1" style="193" min="4864" max="4864"/>
    <col width="8.77734375" customWidth="1" style="193" min="4865" max="4869"/>
    <col width="44.77734375" bestFit="1" customWidth="1" style="193" min="4870" max="4870"/>
    <col width="8.77734375" customWidth="1" style="193" min="4871" max="5096"/>
    <col width="19.21875" customWidth="1" style="193" min="5097" max="5097"/>
    <col width="8.77734375" customWidth="1" style="193" min="5098" max="5099"/>
    <col width="27.21875" customWidth="1" style="193" min="5100" max="5100"/>
    <col width="9.21875" bestFit="1" customWidth="1" style="193" min="5101" max="5101"/>
    <col width="27" customWidth="1" style="193" min="5102" max="5102"/>
    <col width="10.21875" bestFit="1" customWidth="1" style="193" min="5103" max="5103"/>
    <col width="23.21875" customWidth="1" style="193" min="5104" max="5104"/>
    <col width="26.21875" customWidth="1" style="193" min="5105" max="5105"/>
    <col width="9" bestFit="1" customWidth="1" style="193" min="5106" max="5106"/>
    <col width="13.21875" bestFit="1" customWidth="1" style="193" min="5107" max="5107"/>
    <col width="4.77734375" bestFit="1" customWidth="1" style="193" min="5108" max="5108"/>
    <col width="4.21875" bestFit="1" customWidth="1" style="193" min="5109" max="5109"/>
    <col width="9.21875" bestFit="1" customWidth="1" style="193" min="5110" max="5110"/>
    <col width="9.21875" customWidth="1" style="193" min="5111" max="5111"/>
    <col width="2.21875" bestFit="1" customWidth="1" style="193" min="5112" max="5112"/>
    <col width="7.21875" bestFit="1" customWidth="1" style="193" min="5113" max="5113"/>
    <col width="2.21875" bestFit="1" customWidth="1" style="193" min="5114" max="5114"/>
    <col width="7.21875" bestFit="1" customWidth="1" style="193" min="5115" max="5115"/>
    <col width="2.21875" bestFit="1" customWidth="1" style="193" min="5116" max="5116"/>
    <col width="7.21875" bestFit="1" customWidth="1" style="193" min="5117" max="5117"/>
    <col width="16.21875" bestFit="1" customWidth="1" style="193" min="5118" max="5118"/>
    <col width="23.21875" customWidth="1" style="193" min="5119" max="5119"/>
    <col width="27.21875" customWidth="1" style="193" min="5120" max="5120"/>
    <col width="8.77734375" customWidth="1" style="193" min="5121" max="5125"/>
    <col width="44.77734375" bestFit="1" customWidth="1" style="193" min="5126" max="5126"/>
    <col width="8.77734375" customWidth="1" style="193" min="5127" max="5352"/>
    <col width="19.21875" customWidth="1" style="193" min="5353" max="5353"/>
    <col width="8.77734375" customWidth="1" style="193" min="5354" max="5355"/>
    <col width="27.21875" customWidth="1" style="193" min="5356" max="5356"/>
    <col width="9.21875" bestFit="1" customWidth="1" style="193" min="5357" max="5357"/>
    <col width="27" customWidth="1" style="193" min="5358" max="5358"/>
    <col width="10.21875" bestFit="1" customWidth="1" style="193" min="5359" max="5359"/>
    <col width="23.21875" customWidth="1" style="193" min="5360" max="5360"/>
    <col width="26.21875" customWidth="1" style="193" min="5361" max="5361"/>
    <col width="9" bestFit="1" customWidth="1" style="193" min="5362" max="5362"/>
    <col width="13.21875" bestFit="1" customWidth="1" style="193" min="5363" max="5363"/>
    <col width="4.77734375" bestFit="1" customWidth="1" style="193" min="5364" max="5364"/>
    <col width="4.21875" bestFit="1" customWidth="1" style="193" min="5365" max="5365"/>
    <col width="9.21875" bestFit="1" customWidth="1" style="193" min="5366" max="5366"/>
    <col width="9.21875" customWidth="1" style="193" min="5367" max="5367"/>
    <col width="2.21875" bestFit="1" customWidth="1" style="193" min="5368" max="5368"/>
    <col width="7.21875" bestFit="1" customWidth="1" style="193" min="5369" max="5369"/>
    <col width="2.21875" bestFit="1" customWidth="1" style="193" min="5370" max="5370"/>
    <col width="7.21875" bestFit="1" customWidth="1" style="193" min="5371" max="5371"/>
    <col width="2.21875" bestFit="1" customWidth="1" style="193" min="5372" max="5372"/>
    <col width="7.21875" bestFit="1" customWidth="1" style="193" min="5373" max="5373"/>
    <col width="16.21875" bestFit="1" customWidth="1" style="193" min="5374" max="5374"/>
    <col width="23.21875" customWidth="1" style="193" min="5375" max="5375"/>
    <col width="27.21875" customWidth="1" style="193" min="5376" max="5376"/>
    <col width="8.77734375" customWidth="1" style="193" min="5377" max="5381"/>
    <col width="44.77734375" bestFit="1" customWidth="1" style="193" min="5382" max="5382"/>
    <col width="8.77734375" customWidth="1" style="193" min="5383" max="5608"/>
    <col width="19.21875" customWidth="1" style="193" min="5609" max="5609"/>
    <col width="8.77734375" customWidth="1" style="193" min="5610" max="5611"/>
    <col width="27.21875" customWidth="1" style="193" min="5612" max="5612"/>
    <col width="9.21875" bestFit="1" customWidth="1" style="193" min="5613" max="5613"/>
    <col width="27" customWidth="1" style="193" min="5614" max="5614"/>
    <col width="10.21875" bestFit="1" customWidth="1" style="193" min="5615" max="5615"/>
    <col width="23.21875" customWidth="1" style="193" min="5616" max="5616"/>
    <col width="26.21875" customWidth="1" style="193" min="5617" max="5617"/>
    <col width="9" bestFit="1" customWidth="1" style="193" min="5618" max="5618"/>
    <col width="13.21875" bestFit="1" customWidth="1" style="193" min="5619" max="5619"/>
    <col width="4.77734375" bestFit="1" customWidth="1" style="193" min="5620" max="5620"/>
    <col width="4.21875" bestFit="1" customWidth="1" style="193" min="5621" max="5621"/>
    <col width="9.21875" bestFit="1" customWidth="1" style="193" min="5622" max="5622"/>
    <col width="9.21875" customWidth="1" style="193" min="5623" max="5623"/>
    <col width="2.21875" bestFit="1" customWidth="1" style="193" min="5624" max="5624"/>
    <col width="7.21875" bestFit="1" customWidth="1" style="193" min="5625" max="5625"/>
    <col width="2.21875" bestFit="1" customWidth="1" style="193" min="5626" max="5626"/>
    <col width="7.21875" bestFit="1" customWidth="1" style="193" min="5627" max="5627"/>
    <col width="2.21875" bestFit="1" customWidth="1" style="193" min="5628" max="5628"/>
    <col width="7.21875" bestFit="1" customWidth="1" style="193" min="5629" max="5629"/>
    <col width="16.21875" bestFit="1" customWidth="1" style="193" min="5630" max="5630"/>
    <col width="23.21875" customWidth="1" style="193" min="5631" max="5631"/>
    <col width="27.21875" customWidth="1" style="193" min="5632" max="5632"/>
    <col width="8.77734375" customWidth="1" style="193" min="5633" max="5637"/>
    <col width="44.77734375" bestFit="1" customWidth="1" style="193" min="5638" max="5638"/>
    <col width="8.77734375" customWidth="1" style="193" min="5639" max="5864"/>
    <col width="19.21875" customWidth="1" style="193" min="5865" max="5865"/>
    <col width="8.77734375" customWidth="1" style="193" min="5866" max="5867"/>
    <col width="27.21875" customWidth="1" style="193" min="5868" max="5868"/>
    <col width="9.21875" bestFit="1" customWidth="1" style="193" min="5869" max="5869"/>
    <col width="27" customWidth="1" style="193" min="5870" max="5870"/>
    <col width="10.21875" bestFit="1" customWidth="1" style="193" min="5871" max="5871"/>
    <col width="23.21875" customWidth="1" style="193" min="5872" max="5872"/>
    <col width="26.21875" customWidth="1" style="193" min="5873" max="5873"/>
    <col width="9" bestFit="1" customWidth="1" style="193" min="5874" max="5874"/>
    <col width="13.21875" bestFit="1" customWidth="1" style="193" min="5875" max="5875"/>
    <col width="4.77734375" bestFit="1" customWidth="1" style="193" min="5876" max="5876"/>
    <col width="4.21875" bestFit="1" customWidth="1" style="193" min="5877" max="5877"/>
    <col width="9.21875" bestFit="1" customWidth="1" style="193" min="5878" max="5878"/>
    <col width="9.21875" customWidth="1" style="193" min="5879" max="5879"/>
    <col width="2.21875" bestFit="1" customWidth="1" style="193" min="5880" max="5880"/>
    <col width="7.21875" bestFit="1" customWidth="1" style="193" min="5881" max="5881"/>
    <col width="2.21875" bestFit="1" customWidth="1" style="193" min="5882" max="5882"/>
    <col width="7.21875" bestFit="1" customWidth="1" style="193" min="5883" max="5883"/>
    <col width="2.21875" bestFit="1" customWidth="1" style="193" min="5884" max="5884"/>
    <col width="7.21875" bestFit="1" customWidth="1" style="193" min="5885" max="5885"/>
    <col width="16.21875" bestFit="1" customWidth="1" style="193" min="5886" max="5886"/>
    <col width="23.21875" customWidth="1" style="193" min="5887" max="5887"/>
    <col width="27.21875" customWidth="1" style="193" min="5888" max="5888"/>
    <col width="8.77734375" customWidth="1" style="193" min="5889" max="5893"/>
    <col width="44.77734375" bestFit="1" customWidth="1" style="193" min="5894" max="5894"/>
    <col width="8.77734375" customWidth="1" style="193" min="5895" max="6120"/>
    <col width="19.21875" customWidth="1" style="193" min="6121" max="6121"/>
    <col width="8.77734375" customWidth="1" style="193" min="6122" max="6123"/>
    <col width="27.21875" customWidth="1" style="193" min="6124" max="6124"/>
    <col width="9.21875" bestFit="1" customWidth="1" style="193" min="6125" max="6125"/>
    <col width="27" customWidth="1" style="193" min="6126" max="6126"/>
    <col width="10.21875" bestFit="1" customWidth="1" style="193" min="6127" max="6127"/>
    <col width="23.21875" customWidth="1" style="193" min="6128" max="6128"/>
    <col width="26.21875" customWidth="1" style="193" min="6129" max="6129"/>
    <col width="9" bestFit="1" customWidth="1" style="193" min="6130" max="6130"/>
    <col width="13.21875" bestFit="1" customWidth="1" style="193" min="6131" max="6131"/>
    <col width="4.77734375" bestFit="1" customWidth="1" style="193" min="6132" max="6132"/>
    <col width="4.21875" bestFit="1" customWidth="1" style="193" min="6133" max="6133"/>
    <col width="9.21875" bestFit="1" customWidth="1" style="193" min="6134" max="6134"/>
    <col width="9.21875" customWidth="1" style="193" min="6135" max="6135"/>
    <col width="2.21875" bestFit="1" customWidth="1" style="193" min="6136" max="6136"/>
    <col width="7.21875" bestFit="1" customWidth="1" style="193" min="6137" max="6137"/>
    <col width="2.21875" bestFit="1" customWidth="1" style="193" min="6138" max="6138"/>
    <col width="7.21875" bestFit="1" customWidth="1" style="193" min="6139" max="6139"/>
    <col width="2.21875" bestFit="1" customWidth="1" style="193" min="6140" max="6140"/>
    <col width="7.21875" bestFit="1" customWidth="1" style="193" min="6141" max="6141"/>
    <col width="16.21875" bestFit="1" customWidth="1" style="193" min="6142" max="6142"/>
    <col width="23.21875" customWidth="1" style="193" min="6143" max="6143"/>
    <col width="27.21875" customWidth="1" style="193" min="6144" max="6144"/>
    <col width="8.77734375" customWidth="1" style="193" min="6145" max="6149"/>
    <col width="44.77734375" bestFit="1" customWidth="1" style="193" min="6150" max="6150"/>
    <col width="8.77734375" customWidth="1" style="193" min="6151" max="6376"/>
    <col width="19.21875" customWidth="1" style="193" min="6377" max="6377"/>
    <col width="8.77734375" customWidth="1" style="193" min="6378" max="6379"/>
    <col width="27.21875" customWidth="1" style="193" min="6380" max="6380"/>
    <col width="9.21875" bestFit="1" customWidth="1" style="193" min="6381" max="6381"/>
    <col width="27" customWidth="1" style="193" min="6382" max="6382"/>
    <col width="10.21875" bestFit="1" customWidth="1" style="193" min="6383" max="6383"/>
    <col width="23.21875" customWidth="1" style="193" min="6384" max="6384"/>
    <col width="26.21875" customWidth="1" style="193" min="6385" max="6385"/>
    <col width="9" bestFit="1" customWidth="1" style="193" min="6386" max="6386"/>
    <col width="13.21875" bestFit="1" customWidth="1" style="193" min="6387" max="6387"/>
    <col width="4.77734375" bestFit="1" customWidth="1" style="193" min="6388" max="6388"/>
    <col width="4.21875" bestFit="1" customWidth="1" style="193" min="6389" max="6389"/>
    <col width="9.21875" bestFit="1" customWidth="1" style="193" min="6390" max="6390"/>
    <col width="9.21875" customWidth="1" style="193" min="6391" max="6391"/>
    <col width="2.21875" bestFit="1" customWidth="1" style="193" min="6392" max="6392"/>
    <col width="7.21875" bestFit="1" customWidth="1" style="193" min="6393" max="6393"/>
    <col width="2.21875" bestFit="1" customWidth="1" style="193" min="6394" max="6394"/>
    <col width="7.21875" bestFit="1" customWidth="1" style="193" min="6395" max="6395"/>
    <col width="2.21875" bestFit="1" customWidth="1" style="193" min="6396" max="6396"/>
    <col width="7.21875" bestFit="1" customWidth="1" style="193" min="6397" max="6397"/>
    <col width="16.21875" bestFit="1" customWidth="1" style="193" min="6398" max="6398"/>
    <col width="23.21875" customWidth="1" style="193" min="6399" max="6399"/>
    <col width="27.21875" customWidth="1" style="193" min="6400" max="6400"/>
    <col width="8.77734375" customWidth="1" style="193" min="6401" max="6405"/>
    <col width="44.77734375" bestFit="1" customWidth="1" style="193" min="6406" max="6406"/>
    <col width="8.77734375" customWidth="1" style="193" min="6407" max="6632"/>
    <col width="19.21875" customWidth="1" style="193" min="6633" max="6633"/>
    <col width="8.77734375" customWidth="1" style="193" min="6634" max="6635"/>
    <col width="27.21875" customWidth="1" style="193" min="6636" max="6636"/>
    <col width="9.21875" bestFit="1" customWidth="1" style="193" min="6637" max="6637"/>
    <col width="27" customWidth="1" style="193" min="6638" max="6638"/>
    <col width="10.21875" bestFit="1" customWidth="1" style="193" min="6639" max="6639"/>
    <col width="23.21875" customWidth="1" style="193" min="6640" max="6640"/>
    <col width="26.21875" customWidth="1" style="193" min="6641" max="6641"/>
    <col width="9" bestFit="1" customWidth="1" style="193" min="6642" max="6642"/>
    <col width="13.21875" bestFit="1" customWidth="1" style="193" min="6643" max="6643"/>
    <col width="4.77734375" bestFit="1" customWidth="1" style="193" min="6644" max="6644"/>
    <col width="4.21875" bestFit="1" customWidth="1" style="193" min="6645" max="6645"/>
    <col width="9.21875" bestFit="1" customWidth="1" style="193" min="6646" max="6646"/>
    <col width="9.21875" customWidth="1" style="193" min="6647" max="6647"/>
    <col width="2.21875" bestFit="1" customWidth="1" style="193" min="6648" max="6648"/>
    <col width="7.21875" bestFit="1" customWidth="1" style="193" min="6649" max="6649"/>
    <col width="2.21875" bestFit="1" customWidth="1" style="193" min="6650" max="6650"/>
    <col width="7.21875" bestFit="1" customWidth="1" style="193" min="6651" max="6651"/>
    <col width="2.21875" bestFit="1" customWidth="1" style="193" min="6652" max="6652"/>
    <col width="7.21875" bestFit="1" customWidth="1" style="193" min="6653" max="6653"/>
    <col width="16.21875" bestFit="1" customWidth="1" style="193" min="6654" max="6654"/>
    <col width="23.21875" customWidth="1" style="193" min="6655" max="6655"/>
    <col width="27.21875" customWidth="1" style="193" min="6656" max="6656"/>
    <col width="8.77734375" customWidth="1" style="193" min="6657" max="6661"/>
    <col width="44.77734375" bestFit="1" customWidth="1" style="193" min="6662" max="6662"/>
    <col width="8.77734375" customWidth="1" style="193" min="6663" max="6888"/>
    <col width="19.21875" customWidth="1" style="193" min="6889" max="6889"/>
    <col width="8.77734375" customWidth="1" style="193" min="6890" max="6891"/>
    <col width="27.21875" customWidth="1" style="193" min="6892" max="6892"/>
    <col width="9.21875" bestFit="1" customWidth="1" style="193" min="6893" max="6893"/>
    <col width="27" customWidth="1" style="193" min="6894" max="6894"/>
    <col width="10.21875" bestFit="1" customWidth="1" style="193" min="6895" max="6895"/>
    <col width="23.21875" customWidth="1" style="193" min="6896" max="6896"/>
    <col width="26.21875" customWidth="1" style="193" min="6897" max="6897"/>
    <col width="9" bestFit="1" customWidth="1" style="193" min="6898" max="6898"/>
    <col width="13.21875" bestFit="1" customWidth="1" style="193" min="6899" max="6899"/>
    <col width="4.77734375" bestFit="1" customWidth="1" style="193" min="6900" max="6900"/>
    <col width="4.21875" bestFit="1" customWidth="1" style="193" min="6901" max="6901"/>
    <col width="9.21875" bestFit="1" customWidth="1" style="193" min="6902" max="6902"/>
    <col width="9.21875" customWidth="1" style="193" min="6903" max="6903"/>
    <col width="2.21875" bestFit="1" customWidth="1" style="193" min="6904" max="6904"/>
    <col width="7.21875" bestFit="1" customWidth="1" style="193" min="6905" max="6905"/>
    <col width="2.21875" bestFit="1" customWidth="1" style="193" min="6906" max="6906"/>
    <col width="7.21875" bestFit="1" customWidth="1" style="193" min="6907" max="6907"/>
    <col width="2.21875" bestFit="1" customWidth="1" style="193" min="6908" max="6908"/>
    <col width="7.21875" bestFit="1" customWidth="1" style="193" min="6909" max="6909"/>
    <col width="16.21875" bestFit="1" customWidth="1" style="193" min="6910" max="6910"/>
    <col width="23.21875" customWidth="1" style="193" min="6911" max="6911"/>
    <col width="27.21875" customWidth="1" style="193" min="6912" max="6912"/>
    <col width="8.77734375" customWidth="1" style="193" min="6913" max="6917"/>
    <col width="44.77734375" bestFit="1" customWidth="1" style="193" min="6918" max="6918"/>
    <col width="8.77734375" customWidth="1" style="193" min="6919" max="7144"/>
    <col width="19.21875" customWidth="1" style="193" min="7145" max="7145"/>
    <col width="8.77734375" customWidth="1" style="193" min="7146" max="7147"/>
    <col width="27.21875" customWidth="1" style="193" min="7148" max="7148"/>
    <col width="9.21875" bestFit="1" customWidth="1" style="193" min="7149" max="7149"/>
    <col width="27" customWidth="1" style="193" min="7150" max="7150"/>
    <col width="10.21875" bestFit="1" customWidth="1" style="193" min="7151" max="7151"/>
    <col width="23.21875" customWidth="1" style="193" min="7152" max="7152"/>
    <col width="26.21875" customWidth="1" style="193" min="7153" max="7153"/>
    <col width="9" bestFit="1" customWidth="1" style="193" min="7154" max="7154"/>
    <col width="13.21875" bestFit="1" customWidth="1" style="193" min="7155" max="7155"/>
    <col width="4.77734375" bestFit="1" customWidth="1" style="193" min="7156" max="7156"/>
    <col width="4.21875" bestFit="1" customWidth="1" style="193" min="7157" max="7157"/>
    <col width="9.21875" bestFit="1" customWidth="1" style="193" min="7158" max="7158"/>
    <col width="9.21875" customWidth="1" style="193" min="7159" max="7159"/>
    <col width="2.21875" bestFit="1" customWidth="1" style="193" min="7160" max="7160"/>
    <col width="7.21875" bestFit="1" customWidth="1" style="193" min="7161" max="7161"/>
    <col width="2.21875" bestFit="1" customWidth="1" style="193" min="7162" max="7162"/>
    <col width="7.21875" bestFit="1" customWidth="1" style="193" min="7163" max="7163"/>
    <col width="2.21875" bestFit="1" customWidth="1" style="193" min="7164" max="7164"/>
    <col width="7.21875" bestFit="1" customWidth="1" style="193" min="7165" max="7165"/>
    <col width="16.21875" bestFit="1" customWidth="1" style="193" min="7166" max="7166"/>
    <col width="23.21875" customWidth="1" style="193" min="7167" max="7167"/>
    <col width="27.21875" customWidth="1" style="193" min="7168" max="7168"/>
    <col width="8.77734375" customWidth="1" style="193" min="7169" max="7173"/>
    <col width="44.77734375" bestFit="1" customWidth="1" style="193" min="7174" max="7174"/>
    <col width="8.77734375" customWidth="1" style="193" min="7175" max="7400"/>
    <col width="19.21875" customWidth="1" style="193" min="7401" max="7401"/>
    <col width="8.77734375" customWidth="1" style="193" min="7402" max="7403"/>
    <col width="27.21875" customWidth="1" style="193" min="7404" max="7404"/>
    <col width="9.21875" bestFit="1" customWidth="1" style="193" min="7405" max="7405"/>
    <col width="27" customWidth="1" style="193" min="7406" max="7406"/>
    <col width="10.21875" bestFit="1" customWidth="1" style="193" min="7407" max="7407"/>
    <col width="23.21875" customWidth="1" style="193" min="7408" max="7408"/>
    <col width="26.21875" customWidth="1" style="193" min="7409" max="7409"/>
    <col width="9" bestFit="1" customWidth="1" style="193" min="7410" max="7410"/>
    <col width="13.21875" bestFit="1" customWidth="1" style="193" min="7411" max="7411"/>
    <col width="4.77734375" bestFit="1" customWidth="1" style="193" min="7412" max="7412"/>
    <col width="4.21875" bestFit="1" customWidth="1" style="193" min="7413" max="7413"/>
    <col width="9.21875" bestFit="1" customWidth="1" style="193" min="7414" max="7414"/>
    <col width="9.21875" customWidth="1" style="193" min="7415" max="7415"/>
    <col width="2.21875" bestFit="1" customWidth="1" style="193" min="7416" max="7416"/>
    <col width="7.21875" bestFit="1" customWidth="1" style="193" min="7417" max="7417"/>
    <col width="2.21875" bestFit="1" customWidth="1" style="193" min="7418" max="7418"/>
    <col width="7.21875" bestFit="1" customWidth="1" style="193" min="7419" max="7419"/>
    <col width="2.21875" bestFit="1" customWidth="1" style="193" min="7420" max="7420"/>
    <col width="7.21875" bestFit="1" customWidth="1" style="193" min="7421" max="7421"/>
    <col width="16.21875" bestFit="1" customWidth="1" style="193" min="7422" max="7422"/>
    <col width="23.21875" customWidth="1" style="193" min="7423" max="7423"/>
    <col width="27.21875" customWidth="1" style="193" min="7424" max="7424"/>
    <col width="8.77734375" customWidth="1" style="193" min="7425" max="7429"/>
    <col width="44.77734375" bestFit="1" customWidth="1" style="193" min="7430" max="7430"/>
    <col width="8.77734375" customWidth="1" style="193" min="7431" max="7656"/>
    <col width="19.21875" customWidth="1" style="193" min="7657" max="7657"/>
    <col width="8.77734375" customWidth="1" style="193" min="7658" max="7659"/>
    <col width="27.21875" customWidth="1" style="193" min="7660" max="7660"/>
    <col width="9.21875" bestFit="1" customWidth="1" style="193" min="7661" max="7661"/>
    <col width="27" customWidth="1" style="193" min="7662" max="7662"/>
    <col width="10.21875" bestFit="1" customWidth="1" style="193" min="7663" max="7663"/>
    <col width="23.21875" customWidth="1" style="193" min="7664" max="7664"/>
    <col width="26.21875" customWidth="1" style="193" min="7665" max="7665"/>
    <col width="9" bestFit="1" customWidth="1" style="193" min="7666" max="7666"/>
    <col width="13.21875" bestFit="1" customWidth="1" style="193" min="7667" max="7667"/>
    <col width="4.77734375" bestFit="1" customWidth="1" style="193" min="7668" max="7668"/>
    <col width="4.21875" bestFit="1" customWidth="1" style="193" min="7669" max="7669"/>
    <col width="9.21875" bestFit="1" customWidth="1" style="193" min="7670" max="7670"/>
    <col width="9.21875" customWidth="1" style="193" min="7671" max="7671"/>
    <col width="2.21875" bestFit="1" customWidth="1" style="193" min="7672" max="7672"/>
    <col width="7.21875" bestFit="1" customWidth="1" style="193" min="7673" max="7673"/>
    <col width="2.21875" bestFit="1" customWidth="1" style="193" min="7674" max="7674"/>
    <col width="7.21875" bestFit="1" customWidth="1" style="193" min="7675" max="7675"/>
    <col width="2.21875" bestFit="1" customWidth="1" style="193" min="7676" max="7676"/>
    <col width="7.21875" bestFit="1" customWidth="1" style="193" min="7677" max="7677"/>
    <col width="16.21875" bestFit="1" customWidth="1" style="193" min="7678" max="7678"/>
    <col width="23.21875" customWidth="1" style="193" min="7679" max="7679"/>
    <col width="27.21875" customWidth="1" style="193" min="7680" max="7680"/>
    <col width="8.77734375" customWidth="1" style="193" min="7681" max="7685"/>
    <col width="44.77734375" bestFit="1" customWidth="1" style="193" min="7686" max="7686"/>
    <col width="8.77734375" customWidth="1" style="193" min="7687" max="7912"/>
    <col width="19.21875" customWidth="1" style="193" min="7913" max="7913"/>
    <col width="8.77734375" customWidth="1" style="193" min="7914" max="7915"/>
    <col width="27.21875" customWidth="1" style="193" min="7916" max="7916"/>
    <col width="9.21875" bestFit="1" customWidth="1" style="193" min="7917" max="7917"/>
    <col width="27" customWidth="1" style="193" min="7918" max="7918"/>
    <col width="10.21875" bestFit="1" customWidth="1" style="193" min="7919" max="7919"/>
    <col width="23.21875" customWidth="1" style="193" min="7920" max="7920"/>
    <col width="26.21875" customWidth="1" style="193" min="7921" max="7921"/>
    <col width="9" bestFit="1" customWidth="1" style="193" min="7922" max="7922"/>
    <col width="13.21875" bestFit="1" customWidth="1" style="193" min="7923" max="7923"/>
    <col width="4.77734375" bestFit="1" customWidth="1" style="193" min="7924" max="7924"/>
    <col width="4.21875" bestFit="1" customWidth="1" style="193" min="7925" max="7925"/>
    <col width="9.21875" bestFit="1" customWidth="1" style="193" min="7926" max="7926"/>
    <col width="9.21875" customWidth="1" style="193" min="7927" max="7927"/>
    <col width="2.21875" bestFit="1" customWidth="1" style="193" min="7928" max="7928"/>
    <col width="7.21875" bestFit="1" customWidth="1" style="193" min="7929" max="7929"/>
    <col width="2.21875" bestFit="1" customWidth="1" style="193" min="7930" max="7930"/>
    <col width="7.21875" bestFit="1" customWidth="1" style="193" min="7931" max="7931"/>
    <col width="2.21875" bestFit="1" customWidth="1" style="193" min="7932" max="7932"/>
    <col width="7.21875" bestFit="1" customWidth="1" style="193" min="7933" max="7933"/>
    <col width="16.21875" bestFit="1" customWidth="1" style="193" min="7934" max="7934"/>
    <col width="23.21875" customWidth="1" style="193" min="7935" max="7935"/>
    <col width="27.21875" customWidth="1" style="193" min="7936" max="7936"/>
    <col width="8.77734375" customWidth="1" style="193" min="7937" max="7941"/>
    <col width="44.77734375" bestFit="1" customWidth="1" style="193" min="7942" max="7942"/>
    <col width="8.77734375" customWidth="1" style="193" min="7943" max="8168"/>
    <col width="19.21875" customWidth="1" style="193" min="8169" max="8169"/>
    <col width="8.77734375" customWidth="1" style="193" min="8170" max="8171"/>
    <col width="27.21875" customWidth="1" style="193" min="8172" max="8172"/>
    <col width="9.21875" bestFit="1" customWidth="1" style="193" min="8173" max="8173"/>
    <col width="27" customWidth="1" style="193" min="8174" max="8174"/>
    <col width="10.21875" bestFit="1" customWidth="1" style="193" min="8175" max="8175"/>
    <col width="23.21875" customWidth="1" style="193" min="8176" max="8176"/>
    <col width="26.21875" customWidth="1" style="193" min="8177" max="8177"/>
    <col width="9" bestFit="1" customWidth="1" style="193" min="8178" max="8178"/>
    <col width="13.21875" bestFit="1" customWidth="1" style="193" min="8179" max="8179"/>
    <col width="4.77734375" bestFit="1" customWidth="1" style="193" min="8180" max="8180"/>
    <col width="4.21875" bestFit="1" customWidth="1" style="193" min="8181" max="8181"/>
    <col width="9.21875" bestFit="1" customWidth="1" style="193" min="8182" max="8182"/>
    <col width="9.21875" customWidth="1" style="193" min="8183" max="8183"/>
    <col width="2.21875" bestFit="1" customWidth="1" style="193" min="8184" max="8184"/>
    <col width="7.21875" bestFit="1" customWidth="1" style="193" min="8185" max="8185"/>
    <col width="2.21875" bestFit="1" customWidth="1" style="193" min="8186" max="8186"/>
    <col width="7.21875" bestFit="1" customWidth="1" style="193" min="8187" max="8187"/>
    <col width="2.21875" bestFit="1" customWidth="1" style="193" min="8188" max="8188"/>
    <col width="7.21875" bestFit="1" customWidth="1" style="193" min="8189" max="8189"/>
    <col width="16.21875" bestFit="1" customWidth="1" style="193" min="8190" max="8190"/>
    <col width="23.21875" customWidth="1" style="193" min="8191" max="8191"/>
    <col width="27.21875" customWidth="1" style="193" min="8192" max="8192"/>
    <col width="8.77734375" customWidth="1" style="193" min="8193" max="8197"/>
    <col width="44.77734375" bestFit="1" customWidth="1" style="193" min="8198" max="8198"/>
    <col width="8.77734375" customWidth="1" style="193" min="8199" max="8424"/>
    <col width="19.21875" customWidth="1" style="193" min="8425" max="8425"/>
    <col width="8.77734375" customWidth="1" style="193" min="8426" max="8427"/>
    <col width="27.21875" customWidth="1" style="193" min="8428" max="8428"/>
    <col width="9.21875" bestFit="1" customWidth="1" style="193" min="8429" max="8429"/>
    <col width="27" customWidth="1" style="193" min="8430" max="8430"/>
    <col width="10.21875" bestFit="1" customWidth="1" style="193" min="8431" max="8431"/>
    <col width="23.21875" customWidth="1" style="193" min="8432" max="8432"/>
    <col width="26.21875" customWidth="1" style="193" min="8433" max="8433"/>
    <col width="9" bestFit="1" customWidth="1" style="193" min="8434" max="8434"/>
    <col width="13.21875" bestFit="1" customWidth="1" style="193" min="8435" max="8435"/>
    <col width="4.77734375" bestFit="1" customWidth="1" style="193" min="8436" max="8436"/>
    <col width="4.21875" bestFit="1" customWidth="1" style="193" min="8437" max="8437"/>
    <col width="9.21875" bestFit="1" customWidth="1" style="193" min="8438" max="8438"/>
    <col width="9.21875" customWidth="1" style="193" min="8439" max="8439"/>
    <col width="2.21875" bestFit="1" customWidth="1" style="193" min="8440" max="8440"/>
    <col width="7.21875" bestFit="1" customWidth="1" style="193" min="8441" max="8441"/>
    <col width="2.21875" bestFit="1" customWidth="1" style="193" min="8442" max="8442"/>
    <col width="7.21875" bestFit="1" customWidth="1" style="193" min="8443" max="8443"/>
    <col width="2.21875" bestFit="1" customWidth="1" style="193" min="8444" max="8444"/>
    <col width="7.21875" bestFit="1" customWidth="1" style="193" min="8445" max="8445"/>
    <col width="16.21875" bestFit="1" customWidth="1" style="193" min="8446" max="8446"/>
    <col width="23.21875" customWidth="1" style="193" min="8447" max="8447"/>
    <col width="27.21875" customWidth="1" style="193" min="8448" max="8448"/>
    <col width="8.77734375" customWidth="1" style="193" min="8449" max="8453"/>
    <col width="44.77734375" bestFit="1" customWidth="1" style="193" min="8454" max="8454"/>
    <col width="8.77734375" customWidth="1" style="193" min="8455" max="8680"/>
    <col width="19.21875" customWidth="1" style="193" min="8681" max="8681"/>
    <col width="8.77734375" customWidth="1" style="193" min="8682" max="8683"/>
    <col width="27.21875" customWidth="1" style="193" min="8684" max="8684"/>
    <col width="9.21875" bestFit="1" customWidth="1" style="193" min="8685" max="8685"/>
    <col width="27" customWidth="1" style="193" min="8686" max="8686"/>
    <col width="10.21875" bestFit="1" customWidth="1" style="193" min="8687" max="8687"/>
    <col width="23.21875" customWidth="1" style="193" min="8688" max="8688"/>
    <col width="26.21875" customWidth="1" style="193" min="8689" max="8689"/>
    <col width="9" bestFit="1" customWidth="1" style="193" min="8690" max="8690"/>
    <col width="13.21875" bestFit="1" customWidth="1" style="193" min="8691" max="8691"/>
    <col width="4.77734375" bestFit="1" customWidth="1" style="193" min="8692" max="8692"/>
    <col width="4.21875" bestFit="1" customWidth="1" style="193" min="8693" max="8693"/>
    <col width="9.21875" bestFit="1" customWidth="1" style="193" min="8694" max="8694"/>
    <col width="9.21875" customWidth="1" style="193" min="8695" max="8695"/>
    <col width="2.21875" bestFit="1" customWidth="1" style="193" min="8696" max="8696"/>
    <col width="7.21875" bestFit="1" customWidth="1" style="193" min="8697" max="8697"/>
    <col width="2.21875" bestFit="1" customWidth="1" style="193" min="8698" max="8698"/>
    <col width="7.21875" bestFit="1" customWidth="1" style="193" min="8699" max="8699"/>
    <col width="2.21875" bestFit="1" customWidth="1" style="193" min="8700" max="8700"/>
    <col width="7.21875" bestFit="1" customWidth="1" style="193" min="8701" max="8701"/>
    <col width="16.21875" bestFit="1" customWidth="1" style="193" min="8702" max="8702"/>
    <col width="23.21875" customWidth="1" style="193" min="8703" max="8703"/>
    <col width="27.21875" customWidth="1" style="193" min="8704" max="8704"/>
    <col width="8.77734375" customWidth="1" style="193" min="8705" max="8709"/>
    <col width="44.77734375" bestFit="1" customWidth="1" style="193" min="8710" max="8710"/>
    <col width="8.77734375" customWidth="1" style="193" min="8711" max="8936"/>
    <col width="19.21875" customWidth="1" style="193" min="8937" max="8937"/>
    <col width="8.77734375" customWidth="1" style="193" min="8938" max="8939"/>
    <col width="27.21875" customWidth="1" style="193" min="8940" max="8940"/>
    <col width="9.21875" bestFit="1" customWidth="1" style="193" min="8941" max="8941"/>
    <col width="27" customWidth="1" style="193" min="8942" max="8942"/>
    <col width="10.21875" bestFit="1" customWidth="1" style="193" min="8943" max="8943"/>
    <col width="23.21875" customWidth="1" style="193" min="8944" max="8944"/>
    <col width="26.21875" customWidth="1" style="193" min="8945" max="8945"/>
    <col width="9" bestFit="1" customWidth="1" style="193" min="8946" max="8946"/>
    <col width="13.21875" bestFit="1" customWidth="1" style="193" min="8947" max="8947"/>
    <col width="4.77734375" bestFit="1" customWidth="1" style="193" min="8948" max="8948"/>
    <col width="4.21875" bestFit="1" customWidth="1" style="193" min="8949" max="8949"/>
    <col width="9.21875" bestFit="1" customWidth="1" style="193" min="8950" max="8950"/>
    <col width="9.21875" customWidth="1" style="193" min="8951" max="8951"/>
    <col width="2.21875" bestFit="1" customWidth="1" style="193" min="8952" max="8952"/>
    <col width="7.21875" bestFit="1" customWidth="1" style="193" min="8953" max="8953"/>
    <col width="2.21875" bestFit="1" customWidth="1" style="193" min="8954" max="8954"/>
    <col width="7.21875" bestFit="1" customWidth="1" style="193" min="8955" max="8955"/>
    <col width="2.21875" bestFit="1" customWidth="1" style="193" min="8956" max="8956"/>
    <col width="7.21875" bestFit="1" customWidth="1" style="193" min="8957" max="8957"/>
    <col width="16.21875" bestFit="1" customWidth="1" style="193" min="8958" max="8958"/>
    <col width="23.21875" customWidth="1" style="193" min="8959" max="8959"/>
    <col width="27.21875" customWidth="1" style="193" min="8960" max="8960"/>
    <col width="8.77734375" customWidth="1" style="193" min="8961" max="8965"/>
    <col width="44.77734375" bestFit="1" customWidth="1" style="193" min="8966" max="8966"/>
    <col width="8.77734375" customWidth="1" style="193" min="8967" max="9192"/>
    <col width="19.21875" customWidth="1" style="193" min="9193" max="9193"/>
    <col width="8.77734375" customWidth="1" style="193" min="9194" max="9195"/>
    <col width="27.21875" customWidth="1" style="193" min="9196" max="9196"/>
    <col width="9.21875" bestFit="1" customWidth="1" style="193" min="9197" max="9197"/>
    <col width="27" customWidth="1" style="193" min="9198" max="9198"/>
    <col width="10.21875" bestFit="1" customWidth="1" style="193" min="9199" max="9199"/>
    <col width="23.21875" customWidth="1" style="193" min="9200" max="9200"/>
    <col width="26.21875" customWidth="1" style="193" min="9201" max="9201"/>
    <col width="9" bestFit="1" customWidth="1" style="193" min="9202" max="9202"/>
    <col width="13.21875" bestFit="1" customWidth="1" style="193" min="9203" max="9203"/>
    <col width="4.77734375" bestFit="1" customWidth="1" style="193" min="9204" max="9204"/>
    <col width="4.21875" bestFit="1" customWidth="1" style="193" min="9205" max="9205"/>
    <col width="9.21875" bestFit="1" customWidth="1" style="193" min="9206" max="9206"/>
    <col width="9.21875" customWidth="1" style="193" min="9207" max="9207"/>
    <col width="2.21875" bestFit="1" customWidth="1" style="193" min="9208" max="9208"/>
    <col width="7.21875" bestFit="1" customWidth="1" style="193" min="9209" max="9209"/>
    <col width="2.21875" bestFit="1" customWidth="1" style="193" min="9210" max="9210"/>
    <col width="7.21875" bestFit="1" customWidth="1" style="193" min="9211" max="9211"/>
    <col width="2.21875" bestFit="1" customWidth="1" style="193" min="9212" max="9212"/>
    <col width="7.21875" bestFit="1" customWidth="1" style="193" min="9213" max="9213"/>
    <col width="16.21875" bestFit="1" customWidth="1" style="193" min="9214" max="9214"/>
    <col width="23.21875" customWidth="1" style="193" min="9215" max="9215"/>
    <col width="27.21875" customWidth="1" style="193" min="9216" max="9216"/>
    <col width="8.77734375" customWidth="1" style="193" min="9217" max="9221"/>
    <col width="44.77734375" bestFit="1" customWidth="1" style="193" min="9222" max="9222"/>
    <col width="8.77734375" customWidth="1" style="193" min="9223" max="9448"/>
    <col width="19.21875" customWidth="1" style="193" min="9449" max="9449"/>
    <col width="8.77734375" customWidth="1" style="193" min="9450" max="9451"/>
    <col width="27.21875" customWidth="1" style="193" min="9452" max="9452"/>
    <col width="9.21875" bestFit="1" customWidth="1" style="193" min="9453" max="9453"/>
    <col width="27" customWidth="1" style="193" min="9454" max="9454"/>
    <col width="10.21875" bestFit="1" customWidth="1" style="193" min="9455" max="9455"/>
    <col width="23.21875" customWidth="1" style="193" min="9456" max="9456"/>
    <col width="26.21875" customWidth="1" style="193" min="9457" max="9457"/>
    <col width="9" bestFit="1" customWidth="1" style="193" min="9458" max="9458"/>
    <col width="13.21875" bestFit="1" customWidth="1" style="193" min="9459" max="9459"/>
    <col width="4.77734375" bestFit="1" customWidth="1" style="193" min="9460" max="9460"/>
    <col width="4.21875" bestFit="1" customWidth="1" style="193" min="9461" max="9461"/>
    <col width="9.21875" bestFit="1" customWidth="1" style="193" min="9462" max="9462"/>
    <col width="9.21875" customWidth="1" style="193" min="9463" max="9463"/>
    <col width="2.21875" bestFit="1" customWidth="1" style="193" min="9464" max="9464"/>
    <col width="7.21875" bestFit="1" customWidth="1" style="193" min="9465" max="9465"/>
    <col width="2.21875" bestFit="1" customWidth="1" style="193" min="9466" max="9466"/>
    <col width="7.21875" bestFit="1" customWidth="1" style="193" min="9467" max="9467"/>
    <col width="2.21875" bestFit="1" customWidth="1" style="193" min="9468" max="9468"/>
    <col width="7.21875" bestFit="1" customWidth="1" style="193" min="9469" max="9469"/>
    <col width="16.21875" bestFit="1" customWidth="1" style="193" min="9470" max="9470"/>
    <col width="23.21875" customWidth="1" style="193" min="9471" max="9471"/>
    <col width="27.21875" customWidth="1" style="193" min="9472" max="9472"/>
    <col width="8.77734375" customWidth="1" style="193" min="9473" max="9477"/>
    <col width="44.77734375" bestFit="1" customWidth="1" style="193" min="9478" max="9478"/>
    <col width="8.77734375" customWidth="1" style="193" min="9479" max="9704"/>
    <col width="19.21875" customWidth="1" style="193" min="9705" max="9705"/>
    <col width="8.77734375" customWidth="1" style="193" min="9706" max="9707"/>
    <col width="27.21875" customWidth="1" style="193" min="9708" max="9708"/>
    <col width="9.21875" bestFit="1" customWidth="1" style="193" min="9709" max="9709"/>
    <col width="27" customWidth="1" style="193" min="9710" max="9710"/>
    <col width="10.21875" bestFit="1" customWidth="1" style="193" min="9711" max="9711"/>
    <col width="23.21875" customWidth="1" style="193" min="9712" max="9712"/>
    <col width="26.21875" customWidth="1" style="193" min="9713" max="9713"/>
    <col width="9" bestFit="1" customWidth="1" style="193" min="9714" max="9714"/>
    <col width="13.21875" bestFit="1" customWidth="1" style="193" min="9715" max="9715"/>
    <col width="4.77734375" bestFit="1" customWidth="1" style="193" min="9716" max="9716"/>
    <col width="4.21875" bestFit="1" customWidth="1" style="193" min="9717" max="9717"/>
    <col width="9.21875" bestFit="1" customWidth="1" style="193" min="9718" max="9718"/>
    <col width="9.21875" customWidth="1" style="193" min="9719" max="9719"/>
    <col width="2.21875" bestFit="1" customWidth="1" style="193" min="9720" max="9720"/>
    <col width="7.21875" bestFit="1" customWidth="1" style="193" min="9721" max="9721"/>
    <col width="2.21875" bestFit="1" customWidth="1" style="193" min="9722" max="9722"/>
    <col width="7.21875" bestFit="1" customWidth="1" style="193" min="9723" max="9723"/>
    <col width="2.21875" bestFit="1" customWidth="1" style="193" min="9724" max="9724"/>
    <col width="7.21875" bestFit="1" customWidth="1" style="193" min="9725" max="9725"/>
    <col width="16.21875" bestFit="1" customWidth="1" style="193" min="9726" max="9726"/>
    <col width="23.21875" customWidth="1" style="193" min="9727" max="9727"/>
    <col width="27.21875" customWidth="1" style="193" min="9728" max="9728"/>
    <col width="8.77734375" customWidth="1" style="193" min="9729" max="9733"/>
    <col width="44.77734375" bestFit="1" customWidth="1" style="193" min="9734" max="9734"/>
    <col width="8.77734375" customWidth="1" style="193" min="9735" max="9960"/>
    <col width="19.21875" customWidth="1" style="193" min="9961" max="9961"/>
    <col width="8.77734375" customWidth="1" style="193" min="9962" max="9963"/>
    <col width="27.21875" customWidth="1" style="193" min="9964" max="9964"/>
    <col width="9.21875" bestFit="1" customWidth="1" style="193" min="9965" max="9965"/>
    <col width="27" customWidth="1" style="193" min="9966" max="9966"/>
    <col width="10.21875" bestFit="1" customWidth="1" style="193" min="9967" max="9967"/>
    <col width="23.21875" customWidth="1" style="193" min="9968" max="9968"/>
    <col width="26.21875" customWidth="1" style="193" min="9969" max="9969"/>
    <col width="9" bestFit="1" customWidth="1" style="193" min="9970" max="9970"/>
    <col width="13.21875" bestFit="1" customWidth="1" style="193" min="9971" max="9971"/>
    <col width="4.77734375" bestFit="1" customWidth="1" style="193" min="9972" max="9972"/>
    <col width="4.21875" bestFit="1" customWidth="1" style="193" min="9973" max="9973"/>
    <col width="9.21875" bestFit="1" customWidth="1" style="193" min="9974" max="9974"/>
    <col width="9.21875" customWidth="1" style="193" min="9975" max="9975"/>
    <col width="2.21875" bestFit="1" customWidth="1" style="193" min="9976" max="9976"/>
    <col width="7.21875" bestFit="1" customWidth="1" style="193" min="9977" max="9977"/>
    <col width="2.21875" bestFit="1" customWidth="1" style="193" min="9978" max="9978"/>
    <col width="7.21875" bestFit="1" customWidth="1" style="193" min="9979" max="9979"/>
    <col width="2.21875" bestFit="1" customWidth="1" style="193" min="9980" max="9980"/>
    <col width="7.21875" bestFit="1" customWidth="1" style="193" min="9981" max="9981"/>
    <col width="16.21875" bestFit="1" customWidth="1" style="193" min="9982" max="9982"/>
    <col width="23.21875" customWidth="1" style="193" min="9983" max="9983"/>
    <col width="27.21875" customWidth="1" style="193" min="9984" max="9984"/>
    <col width="8.77734375" customWidth="1" style="193" min="9985" max="9989"/>
    <col width="44.77734375" bestFit="1" customWidth="1" style="193" min="9990" max="9990"/>
    <col width="8.77734375" customWidth="1" style="193" min="9991" max="10216"/>
    <col width="19.21875" customWidth="1" style="193" min="10217" max="10217"/>
    <col width="8.77734375" customWidth="1" style="193" min="10218" max="10219"/>
    <col width="27.21875" customWidth="1" style="193" min="10220" max="10220"/>
    <col width="9.21875" bestFit="1" customWidth="1" style="193" min="10221" max="10221"/>
    <col width="27" customWidth="1" style="193" min="10222" max="10222"/>
    <col width="10.21875" bestFit="1" customWidth="1" style="193" min="10223" max="10223"/>
    <col width="23.21875" customWidth="1" style="193" min="10224" max="10224"/>
    <col width="26.21875" customWidth="1" style="193" min="10225" max="10225"/>
    <col width="9" bestFit="1" customWidth="1" style="193" min="10226" max="10226"/>
    <col width="13.21875" bestFit="1" customWidth="1" style="193" min="10227" max="10227"/>
    <col width="4.77734375" bestFit="1" customWidth="1" style="193" min="10228" max="10228"/>
    <col width="4.21875" bestFit="1" customWidth="1" style="193" min="10229" max="10229"/>
    <col width="9.21875" bestFit="1" customWidth="1" style="193" min="10230" max="10230"/>
    <col width="9.21875" customWidth="1" style="193" min="10231" max="10231"/>
    <col width="2.21875" bestFit="1" customWidth="1" style="193" min="10232" max="10232"/>
    <col width="7.21875" bestFit="1" customWidth="1" style="193" min="10233" max="10233"/>
    <col width="2.21875" bestFit="1" customWidth="1" style="193" min="10234" max="10234"/>
    <col width="7.21875" bestFit="1" customWidth="1" style="193" min="10235" max="10235"/>
    <col width="2.21875" bestFit="1" customWidth="1" style="193" min="10236" max="10236"/>
    <col width="7.21875" bestFit="1" customWidth="1" style="193" min="10237" max="10237"/>
    <col width="16.21875" bestFit="1" customWidth="1" style="193" min="10238" max="10238"/>
    <col width="23.21875" customWidth="1" style="193" min="10239" max="10239"/>
    <col width="27.21875" customWidth="1" style="193" min="10240" max="10240"/>
    <col width="8.77734375" customWidth="1" style="193" min="10241" max="10245"/>
    <col width="44.77734375" bestFit="1" customWidth="1" style="193" min="10246" max="10246"/>
    <col width="8.77734375" customWidth="1" style="193" min="10247" max="10472"/>
    <col width="19.21875" customWidth="1" style="193" min="10473" max="10473"/>
    <col width="8.77734375" customWidth="1" style="193" min="10474" max="10475"/>
    <col width="27.21875" customWidth="1" style="193" min="10476" max="10476"/>
    <col width="9.21875" bestFit="1" customWidth="1" style="193" min="10477" max="10477"/>
    <col width="27" customWidth="1" style="193" min="10478" max="10478"/>
    <col width="10.21875" bestFit="1" customWidth="1" style="193" min="10479" max="10479"/>
    <col width="23.21875" customWidth="1" style="193" min="10480" max="10480"/>
    <col width="26.21875" customWidth="1" style="193" min="10481" max="10481"/>
    <col width="9" bestFit="1" customWidth="1" style="193" min="10482" max="10482"/>
    <col width="13.21875" bestFit="1" customWidth="1" style="193" min="10483" max="10483"/>
    <col width="4.77734375" bestFit="1" customWidth="1" style="193" min="10484" max="10484"/>
    <col width="4.21875" bestFit="1" customWidth="1" style="193" min="10485" max="10485"/>
    <col width="9.21875" bestFit="1" customWidth="1" style="193" min="10486" max="10486"/>
    <col width="9.21875" customWidth="1" style="193" min="10487" max="10487"/>
    <col width="2.21875" bestFit="1" customWidth="1" style="193" min="10488" max="10488"/>
    <col width="7.21875" bestFit="1" customWidth="1" style="193" min="10489" max="10489"/>
    <col width="2.21875" bestFit="1" customWidth="1" style="193" min="10490" max="10490"/>
    <col width="7.21875" bestFit="1" customWidth="1" style="193" min="10491" max="10491"/>
    <col width="2.21875" bestFit="1" customWidth="1" style="193" min="10492" max="10492"/>
    <col width="7.21875" bestFit="1" customWidth="1" style="193" min="10493" max="10493"/>
    <col width="16.21875" bestFit="1" customWidth="1" style="193" min="10494" max="10494"/>
    <col width="23.21875" customWidth="1" style="193" min="10495" max="10495"/>
    <col width="27.21875" customWidth="1" style="193" min="10496" max="10496"/>
    <col width="8.77734375" customWidth="1" style="193" min="10497" max="10501"/>
    <col width="44.77734375" bestFit="1" customWidth="1" style="193" min="10502" max="10502"/>
    <col width="8.77734375" customWidth="1" style="193" min="10503" max="10728"/>
    <col width="19.21875" customWidth="1" style="193" min="10729" max="10729"/>
    <col width="8.77734375" customWidth="1" style="193" min="10730" max="10731"/>
    <col width="27.21875" customWidth="1" style="193" min="10732" max="10732"/>
    <col width="9.21875" bestFit="1" customWidth="1" style="193" min="10733" max="10733"/>
    <col width="27" customWidth="1" style="193" min="10734" max="10734"/>
    <col width="10.21875" bestFit="1" customWidth="1" style="193" min="10735" max="10735"/>
    <col width="23.21875" customWidth="1" style="193" min="10736" max="10736"/>
    <col width="26.21875" customWidth="1" style="193" min="10737" max="10737"/>
    <col width="9" bestFit="1" customWidth="1" style="193" min="10738" max="10738"/>
    <col width="13.21875" bestFit="1" customWidth="1" style="193" min="10739" max="10739"/>
    <col width="4.77734375" bestFit="1" customWidth="1" style="193" min="10740" max="10740"/>
    <col width="4.21875" bestFit="1" customWidth="1" style="193" min="10741" max="10741"/>
    <col width="9.21875" bestFit="1" customWidth="1" style="193" min="10742" max="10742"/>
    <col width="9.21875" customWidth="1" style="193" min="10743" max="10743"/>
    <col width="2.21875" bestFit="1" customWidth="1" style="193" min="10744" max="10744"/>
    <col width="7.21875" bestFit="1" customWidth="1" style="193" min="10745" max="10745"/>
    <col width="2.21875" bestFit="1" customWidth="1" style="193" min="10746" max="10746"/>
    <col width="7.21875" bestFit="1" customWidth="1" style="193" min="10747" max="10747"/>
    <col width="2.21875" bestFit="1" customWidth="1" style="193" min="10748" max="10748"/>
    <col width="7.21875" bestFit="1" customWidth="1" style="193" min="10749" max="10749"/>
    <col width="16.21875" bestFit="1" customWidth="1" style="193" min="10750" max="10750"/>
    <col width="23.21875" customWidth="1" style="193" min="10751" max="10751"/>
    <col width="27.21875" customWidth="1" style="193" min="10752" max="10752"/>
    <col width="8.77734375" customWidth="1" style="193" min="10753" max="10757"/>
    <col width="44.77734375" bestFit="1" customWidth="1" style="193" min="10758" max="10758"/>
    <col width="8.77734375" customWidth="1" style="193" min="10759" max="10984"/>
    <col width="19.21875" customWidth="1" style="193" min="10985" max="10985"/>
    <col width="8.77734375" customWidth="1" style="193" min="10986" max="10987"/>
    <col width="27.21875" customWidth="1" style="193" min="10988" max="10988"/>
    <col width="9.21875" bestFit="1" customWidth="1" style="193" min="10989" max="10989"/>
    <col width="27" customWidth="1" style="193" min="10990" max="10990"/>
    <col width="10.21875" bestFit="1" customWidth="1" style="193" min="10991" max="10991"/>
    <col width="23.21875" customWidth="1" style="193" min="10992" max="10992"/>
    <col width="26.21875" customWidth="1" style="193" min="10993" max="10993"/>
    <col width="9" bestFit="1" customWidth="1" style="193" min="10994" max="10994"/>
    <col width="13.21875" bestFit="1" customWidth="1" style="193" min="10995" max="10995"/>
    <col width="4.77734375" bestFit="1" customWidth="1" style="193" min="10996" max="10996"/>
    <col width="4.21875" bestFit="1" customWidth="1" style="193" min="10997" max="10997"/>
    <col width="9.21875" bestFit="1" customWidth="1" style="193" min="10998" max="10998"/>
    <col width="9.21875" customWidth="1" style="193" min="10999" max="10999"/>
    <col width="2.21875" bestFit="1" customWidth="1" style="193" min="11000" max="11000"/>
    <col width="7.21875" bestFit="1" customWidth="1" style="193" min="11001" max="11001"/>
    <col width="2.21875" bestFit="1" customWidth="1" style="193" min="11002" max="11002"/>
    <col width="7.21875" bestFit="1" customWidth="1" style="193" min="11003" max="11003"/>
    <col width="2.21875" bestFit="1" customWidth="1" style="193" min="11004" max="11004"/>
    <col width="7.21875" bestFit="1" customWidth="1" style="193" min="11005" max="11005"/>
    <col width="16.21875" bestFit="1" customWidth="1" style="193" min="11006" max="11006"/>
    <col width="23.21875" customWidth="1" style="193" min="11007" max="11007"/>
    <col width="27.21875" customWidth="1" style="193" min="11008" max="11008"/>
    <col width="8.77734375" customWidth="1" style="193" min="11009" max="11013"/>
    <col width="44.77734375" bestFit="1" customWidth="1" style="193" min="11014" max="11014"/>
    <col width="8.77734375" customWidth="1" style="193" min="11015" max="11240"/>
    <col width="19.21875" customWidth="1" style="193" min="11241" max="11241"/>
    <col width="8.77734375" customWidth="1" style="193" min="11242" max="11243"/>
    <col width="27.21875" customWidth="1" style="193" min="11244" max="11244"/>
    <col width="9.21875" bestFit="1" customWidth="1" style="193" min="11245" max="11245"/>
    <col width="27" customWidth="1" style="193" min="11246" max="11246"/>
    <col width="10.21875" bestFit="1" customWidth="1" style="193" min="11247" max="11247"/>
    <col width="23.21875" customWidth="1" style="193" min="11248" max="11248"/>
    <col width="26.21875" customWidth="1" style="193" min="11249" max="11249"/>
    <col width="9" bestFit="1" customWidth="1" style="193" min="11250" max="11250"/>
    <col width="13.21875" bestFit="1" customWidth="1" style="193" min="11251" max="11251"/>
    <col width="4.77734375" bestFit="1" customWidth="1" style="193" min="11252" max="11252"/>
    <col width="4.21875" bestFit="1" customWidth="1" style="193" min="11253" max="11253"/>
    <col width="9.21875" bestFit="1" customWidth="1" style="193" min="11254" max="11254"/>
    <col width="9.21875" customWidth="1" style="193" min="11255" max="11255"/>
    <col width="2.21875" bestFit="1" customWidth="1" style="193" min="11256" max="11256"/>
    <col width="7.21875" bestFit="1" customWidth="1" style="193" min="11257" max="11257"/>
    <col width="2.21875" bestFit="1" customWidth="1" style="193" min="11258" max="11258"/>
    <col width="7.21875" bestFit="1" customWidth="1" style="193" min="11259" max="11259"/>
    <col width="2.21875" bestFit="1" customWidth="1" style="193" min="11260" max="11260"/>
    <col width="7.21875" bestFit="1" customWidth="1" style="193" min="11261" max="11261"/>
    <col width="16.21875" bestFit="1" customWidth="1" style="193" min="11262" max="11262"/>
    <col width="23.21875" customWidth="1" style="193" min="11263" max="11263"/>
    <col width="27.21875" customWidth="1" style="193" min="11264" max="11264"/>
    <col width="8.77734375" customWidth="1" style="193" min="11265" max="11269"/>
    <col width="44.77734375" bestFit="1" customWidth="1" style="193" min="11270" max="11270"/>
    <col width="8.77734375" customWidth="1" style="193" min="11271" max="11496"/>
    <col width="19.21875" customWidth="1" style="193" min="11497" max="11497"/>
    <col width="8.77734375" customWidth="1" style="193" min="11498" max="11499"/>
    <col width="27.21875" customWidth="1" style="193" min="11500" max="11500"/>
    <col width="9.21875" bestFit="1" customWidth="1" style="193" min="11501" max="11501"/>
    <col width="27" customWidth="1" style="193" min="11502" max="11502"/>
    <col width="10.21875" bestFit="1" customWidth="1" style="193" min="11503" max="11503"/>
    <col width="23.21875" customWidth="1" style="193" min="11504" max="11504"/>
    <col width="26.21875" customWidth="1" style="193" min="11505" max="11505"/>
    <col width="9" bestFit="1" customWidth="1" style="193" min="11506" max="11506"/>
    <col width="13.21875" bestFit="1" customWidth="1" style="193" min="11507" max="11507"/>
    <col width="4.77734375" bestFit="1" customWidth="1" style="193" min="11508" max="11508"/>
    <col width="4.21875" bestFit="1" customWidth="1" style="193" min="11509" max="11509"/>
    <col width="9.21875" bestFit="1" customWidth="1" style="193" min="11510" max="11510"/>
    <col width="9.21875" customWidth="1" style="193" min="11511" max="11511"/>
    <col width="2.21875" bestFit="1" customWidth="1" style="193" min="11512" max="11512"/>
    <col width="7.21875" bestFit="1" customWidth="1" style="193" min="11513" max="11513"/>
    <col width="2.21875" bestFit="1" customWidth="1" style="193" min="11514" max="11514"/>
    <col width="7.21875" bestFit="1" customWidth="1" style="193" min="11515" max="11515"/>
    <col width="2.21875" bestFit="1" customWidth="1" style="193" min="11516" max="11516"/>
    <col width="7.21875" bestFit="1" customWidth="1" style="193" min="11517" max="11517"/>
    <col width="16.21875" bestFit="1" customWidth="1" style="193" min="11518" max="11518"/>
    <col width="23.21875" customWidth="1" style="193" min="11519" max="11519"/>
    <col width="27.21875" customWidth="1" style="193" min="11520" max="11520"/>
    <col width="8.77734375" customWidth="1" style="193" min="11521" max="11525"/>
    <col width="44.77734375" bestFit="1" customWidth="1" style="193" min="11526" max="11526"/>
    <col width="8.77734375" customWidth="1" style="193" min="11527" max="11752"/>
    <col width="19.21875" customWidth="1" style="193" min="11753" max="11753"/>
    <col width="8.77734375" customWidth="1" style="193" min="11754" max="11755"/>
    <col width="27.21875" customWidth="1" style="193" min="11756" max="11756"/>
    <col width="9.21875" bestFit="1" customWidth="1" style="193" min="11757" max="11757"/>
    <col width="27" customWidth="1" style="193" min="11758" max="11758"/>
    <col width="10.21875" bestFit="1" customWidth="1" style="193" min="11759" max="11759"/>
    <col width="23.21875" customWidth="1" style="193" min="11760" max="11760"/>
    <col width="26.21875" customWidth="1" style="193" min="11761" max="11761"/>
    <col width="9" bestFit="1" customWidth="1" style="193" min="11762" max="11762"/>
    <col width="13.21875" bestFit="1" customWidth="1" style="193" min="11763" max="11763"/>
    <col width="4.77734375" bestFit="1" customWidth="1" style="193" min="11764" max="11764"/>
    <col width="4.21875" bestFit="1" customWidth="1" style="193" min="11765" max="11765"/>
    <col width="9.21875" bestFit="1" customWidth="1" style="193" min="11766" max="11766"/>
    <col width="9.21875" customWidth="1" style="193" min="11767" max="11767"/>
    <col width="2.21875" bestFit="1" customWidth="1" style="193" min="11768" max="11768"/>
    <col width="7.21875" bestFit="1" customWidth="1" style="193" min="11769" max="11769"/>
    <col width="2.21875" bestFit="1" customWidth="1" style="193" min="11770" max="11770"/>
    <col width="7.21875" bestFit="1" customWidth="1" style="193" min="11771" max="11771"/>
    <col width="2.21875" bestFit="1" customWidth="1" style="193" min="11772" max="11772"/>
    <col width="7.21875" bestFit="1" customWidth="1" style="193" min="11773" max="11773"/>
    <col width="16.21875" bestFit="1" customWidth="1" style="193" min="11774" max="11774"/>
    <col width="23.21875" customWidth="1" style="193" min="11775" max="11775"/>
    <col width="27.21875" customWidth="1" style="193" min="11776" max="11776"/>
    <col width="8.77734375" customWidth="1" style="193" min="11777" max="11781"/>
    <col width="44.77734375" bestFit="1" customWidth="1" style="193" min="11782" max="11782"/>
    <col width="8.77734375" customWidth="1" style="193" min="11783" max="12008"/>
    <col width="19.21875" customWidth="1" style="193" min="12009" max="12009"/>
    <col width="8.77734375" customWidth="1" style="193" min="12010" max="12011"/>
    <col width="27.21875" customWidth="1" style="193" min="12012" max="12012"/>
    <col width="9.21875" bestFit="1" customWidth="1" style="193" min="12013" max="12013"/>
    <col width="27" customWidth="1" style="193" min="12014" max="12014"/>
    <col width="10.21875" bestFit="1" customWidth="1" style="193" min="12015" max="12015"/>
    <col width="23.21875" customWidth="1" style="193" min="12016" max="12016"/>
    <col width="26.21875" customWidth="1" style="193" min="12017" max="12017"/>
    <col width="9" bestFit="1" customWidth="1" style="193" min="12018" max="12018"/>
    <col width="13.21875" bestFit="1" customWidth="1" style="193" min="12019" max="12019"/>
    <col width="4.77734375" bestFit="1" customWidth="1" style="193" min="12020" max="12020"/>
    <col width="4.21875" bestFit="1" customWidth="1" style="193" min="12021" max="12021"/>
    <col width="9.21875" bestFit="1" customWidth="1" style="193" min="12022" max="12022"/>
    <col width="9.21875" customWidth="1" style="193" min="12023" max="12023"/>
    <col width="2.21875" bestFit="1" customWidth="1" style="193" min="12024" max="12024"/>
    <col width="7.21875" bestFit="1" customWidth="1" style="193" min="12025" max="12025"/>
    <col width="2.21875" bestFit="1" customWidth="1" style="193" min="12026" max="12026"/>
    <col width="7.21875" bestFit="1" customWidth="1" style="193" min="12027" max="12027"/>
    <col width="2.21875" bestFit="1" customWidth="1" style="193" min="12028" max="12028"/>
    <col width="7.21875" bestFit="1" customWidth="1" style="193" min="12029" max="12029"/>
    <col width="16.21875" bestFit="1" customWidth="1" style="193" min="12030" max="12030"/>
    <col width="23.21875" customWidth="1" style="193" min="12031" max="12031"/>
    <col width="27.21875" customWidth="1" style="193" min="12032" max="12032"/>
    <col width="8.77734375" customWidth="1" style="193" min="12033" max="12037"/>
    <col width="44.77734375" bestFit="1" customWidth="1" style="193" min="12038" max="12038"/>
    <col width="8.77734375" customWidth="1" style="193" min="12039" max="12264"/>
    <col width="19.21875" customWidth="1" style="193" min="12265" max="12265"/>
    <col width="8.77734375" customWidth="1" style="193" min="12266" max="12267"/>
    <col width="27.21875" customWidth="1" style="193" min="12268" max="12268"/>
    <col width="9.21875" bestFit="1" customWidth="1" style="193" min="12269" max="12269"/>
    <col width="27" customWidth="1" style="193" min="12270" max="12270"/>
    <col width="10.21875" bestFit="1" customWidth="1" style="193" min="12271" max="12271"/>
    <col width="23.21875" customWidth="1" style="193" min="12272" max="12272"/>
    <col width="26.21875" customWidth="1" style="193" min="12273" max="12273"/>
    <col width="9" bestFit="1" customWidth="1" style="193" min="12274" max="12274"/>
    <col width="13.21875" bestFit="1" customWidth="1" style="193" min="12275" max="12275"/>
    <col width="4.77734375" bestFit="1" customWidth="1" style="193" min="12276" max="12276"/>
    <col width="4.21875" bestFit="1" customWidth="1" style="193" min="12277" max="12277"/>
    <col width="9.21875" bestFit="1" customWidth="1" style="193" min="12278" max="12278"/>
    <col width="9.21875" customWidth="1" style="193" min="12279" max="12279"/>
    <col width="2.21875" bestFit="1" customWidth="1" style="193" min="12280" max="12280"/>
    <col width="7.21875" bestFit="1" customWidth="1" style="193" min="12281" max="12281"/>
    <col width="2.21875" bestFit="1" customWidth="1" style="193" min="12282" max="12282"/>
    <col width="7.21875" bestFit="1" customWidth="1" style="193" min="12283" max="12283"/>
    <col width="2.21875" bestFit="1" customWidth="1" style="193" min="12284" max="12284"/>
    <col width="7.21875" bestFit="1" customWidth="1" style="193" min="12285" max="12285"/>
    <col width="16.21875" bestFit="1" customWidth="1" style="193" min="12286" max="12286"/>
    <col width="23.21875" customWidth="1" style="193" min="12287" max="12287"/>
    <col width="27.21875" customWidth="1" style="193" min="12288" max="12288"/>
    <col width="8.77734375" customWidth="1" style="193" min="12289" max="12293"/>
    <col width="44.77734375" bestFit="1" customWidth="1" style="193" min="12294" max="12294"/>
    <col width="8.77734375" customWidth="1" style="193" min="12295" max="12520"/>
    <col width="19.21875" customWidth="1" style="193" min="12521" max="12521"/>
    <col width="8.77734375" customWidth="1" style="193" min="12522" max="12523"/>
    <col width="27.21875" customWidth="1" style="193" min="12524" max="12524"/>
    <col width="9.21875" bestFit="1" customWidth="1" style="193" min="12525" max="12525"/>
    <col width="27" customWidth="1" style="193" min="12526" max="12526"/>
    <col width="10.21875" bestFit="1" customWidth="1" style="193" min="12527" max="12527"/>
    <col width="23.21875" customWidth="1" style="193" min="12528" max="12528"/>
    <col width="26.21875" customWidth="1" style="193" min="12529" max="12529"/>
    <col width="9" bestFit="1" customWidth="1" style="193" min="12530" max="12530"/>
    <col width="13.21875" bestFit="1" customWidth="1" style="193" min="12531" max="12531"/>
    <col width="4.77734375" bestFit="1" customWidth="1" style="193" min="12532" max="12532"/>
    <col width="4.21875" bestFit="1" customWidth="1" style="193" min="12533" max="12533"/>
    <col width="9.21875" bestFit="1" customWidth="1" style="193" min="12534" max="12534"/>
    <col width="9.21875" customWidth="1" style="193" min="12535" max="12535"/>
    <col width="2.21875" bestFit="1" customWidth="1" style="193" min="12536" max="12536"/>
    <col width="7.21875" bestFit="1" customWidth="1" style="193" min="12537" max="12537"/>
    <col width="2.21875" bestFit="1" customWidth="1" style="193" min="12538" max="12538"/>
    <col width="7.21875" bestFit="1" customWidth="1" style="193" min="12539" max="12539"/>
    <col width="2.21875" bestFit="1" customWidth="1" style="193" min="12540" max="12540"/>
    <col width="7.21875" bestFit="1" customWidth="1" style="193" min="12541" max="12541"/>
    <col width="16.21875" bestFit="1" customWidth="1" style="193" min="12542" max="12542"/>
    <col width="23.21875" customWidth="1" style="193" min="12543" max="12543"/>
    <col width="27.21875" customWidth="1" style="193" min="12544" max="12544"/>
    <col width="8.77734375" customWidth="1" style="193" min="12545" max="12549"/>
    <col width="44.77734375" bestFit="1" customWidth="1" style="193" min="12550" max="12550"/>
    <col width="8.77734375" customWidth="1" style="193" min="12551" max="12776"/>
    <col width="19.21875" customWidth="1" style="193" min="12777" max="12777"/>
    <col width="8.77734375" customWidth="1" style="193" min="12778" max="12779"/>
    <col width="27.21875" customWidth="1" style="193" min="12780" max="12780"/>
    <col width="9.21875" bestFit="1" customWidth="1" style="193" min="12781" max="12781"/>
    <col width="27" customWidth="1" style="193" min="12782" max="12782"/>
    <col width="10.21875" bestFit="1" customWidth="1" style="193" min="12783" max="12783"/>
    <col width="23.21875" customWidth="1" style="193" min="12784" max="12784"/>
    <col width="26.21875" customWidth="1" style="193" min="12785" max="12785"/>
    <col width="9" bestFit="1" customWidth="1" style="193" min="12786" max="12786"/>
    <col width="13.21875" bestFit="1" customWidth="1" style="193" min="12787" max="12787"/>
    <col width="4.77734375" bestFit="1" customWidth="1" style="193" min="12788" max="12788"/>
    <col width="4.21875" bestFit="1" customWidth="1" style="193" min="12789" max="12789"/>
    <col width="9.21875" bestFit="1" customWidth="1" style="193" min="12790" max="12790"/>
    <col width="9.21875" customWidth="1" style="193" min="12791" max="12791"/>
    <col width="2.21875" bestFit="1" customWidth="1" style="193" min="12792" max="12792"/>
    <col width="7.21875" bestFit="1" customWidth="1" style="193" min="12793" max="12793"/>
    <col width="2.21875" bestFit="1" customWidth="1" style="193" min="12794" max="12794"/>
    <col width="7.21875" bestFit="1" customWidth="1" style="193" min="12795" max="12795"/>
    <col width="2.21875" bestFit="1" customWidth="1" style="193" min="12796" max="12796"/>
    <col width="7.21875" bestFit="1" customWidth="1" style="193" min="12797" max="12797"/>
    <col width="16.21875" bestFit="1" customWidth="1" style="193" min="12798" max="12798"/>
    <col width="23.21875" customWidth="1" style="193" min="12799" max="12799"/>
    <col width="27.21875" customWidth="1" style="193" min="12800" max="12800"/>
    <col width="8.77734375" customWidth="1" style="193" min="12801" max="12805"/>
    <col width="44.77734375" bestFit="1" customWidth="1" style="193" min="12806" max="12806"/>
    <col width="8.77734375" customWidth="1" style="193" min="12807" max="13032"/>
    <col width="19.21875" customWidth="1" style="193" min="13033" max="13033"/>
    <col width="8.77734375" customWidth="1" style="193" min="13034" max="13035"/>
    <col width="27.21875" customWidth="1" style="193" min="13036" max="13036"/>
    <col width="9.21875" bestFit="1" customWidth="1" style="193" min="13037" max="13037"/>
    <col width="27" customWidth="1" style="193" min="13038" max="13038"/>
    <col width="10.21875" bestFit="1" customWidth="1" style="193" min="13039" max="13039"/>
    <col width="23.21875" customWidth="1" style="193" min="13040" max="13040"/>
    <col width="26.21875" customWidth="1" style="193" min="13041" max="13041"/>
    <col width="9" bestFit="1" customWidth="1" style="193" min="13042" max="13042"/>
    <col width="13.21875" bestFit="1" customWidth="1" style="193" min="13043" max="13043"/>
    <col width="4.77734375" bestFit="1" customWidth="1" style="193" min="13044" max="13044"/>
    <col width="4.21875" bestFit="1" customWidth="1" style="193" min="13045" max="13045"/>
    <col width="9.21875" bestFit="1" customWidth="1" style="193" min="13046" max="13046"/>
    <col width="9.21875" customWidth="1" style="193" min="13047" max="13047"/>
    <col width="2.21875" bestFit="1" customWidth="1" style="193" min="13048" max="13048"/>
    <col width="7.21875" bestFit="1" customWidth="1" style="193" min="13049" max="13049"/>
    <col width="2.21875" bestFit="1" customWidth="1" style="193" min="13050" max="13050"/>
    <col width="7.21875" bestFit="1" customWidth="1" style="193" min="13051" max="13051"/>
    <col width="2.21875" bestFit="1" customWidth="1" style="193" min="13052" max="13052"/>
    <col width="7.21875" bestFit="1" customWidth="1" style="193" min="13053" max="13053"/>
    <col width="16.21875" bestFit="1" customWidth="1" style="193" min="13054" max="13054"/>
    <col width="23.21875" customWidth="1" style="193" min="13055" max="13055"/>
    <col width="27.21875" customWidth="1" style="193" min="13056" max="13056"/>
    <col width="8.77734375" customWidth="1" style="193" min="13057" max="13061"/>
    <col width="44.77734375" bestFit="1" customWidth="1" style="193" min="13062" max="13062"/>
    <col width="8.77734375" customWidth="1" style="193" min="13063" max="13288"/>
    <col width="19.21875" customWidth="1" style="193" min="13289" max="13289"/>
    <col width="8.77734375" customWidth="1" style="193" min="13290" max="13291"/>
    <col width="27.21875" customWidth="1" style="193" min="13292" max="13292"/>
    <col width="9.21875" bestFit="1" customWidth="1" style="193" min="13293" max="13293"/>
    <col width="27" customWidth="1" style="193" min="13294" max="13294"/>
    <col width="10.21875" bestFit="1" customWidth="1" style="193" min="13295" max="13295"/>
    <col width="23.21875" customWidth="1" style="193" min="13296" max="13296"/>
    <col width="26.21875" customWidth="1" style="193" min="13297" max="13297"/>
    <col width="9" bestFit="1" customWidth="1" style="193" min="13298" max="13298"/>
    <col width="13.21875" bestFit="1" customWidth="1" style="193" min="13299" max="13299"/>
    <col width="4.77734375" bestFit="1" customWidth="1" style="193" min="13300" max="13300"/>
    <col width="4.21875" bestFit="1" customWidth="1" style="193" min="13301" max="13301"/>
    <col width="9.21875" bestFit="1" customWidth="1" style="193" min="13302" max="13302"/>
    <col width="9.21875" customWidth="1" style="193" min="13303" max="13303"/>
    <col width="2.21875" bestFit="1" customWidth="1" style="193" min="13304" max="13304"/>
    <col width="7.21875" bestFit="1" customWidth="1" style="193" min="13305" max="13305"/>
    <col width="2.21875" bestFit="1" customWidth="1" style="193" min="13306" max="13306"/>
    <col width="7.21875" bestFit="1" customWidth="1" style="193" min="13307" max="13307"/>
    <col width="2.21875" bestFit="1" customWidth="1" style="193" min="13308" max="13308"/>
    <col width="7.21875" bestFit="1" customWidth="1" style="193" min="13309" max="13309"/>
    <col width="16.21875" bestFit="1" customWidth="1" style="193" min="13310" max="13310"/>
    <col width="23.21875" customWidth="1" style="193" min="13311" max="13311"/>
    <col width="27.21875" customWidth="1" style="193" min="13312" max="13312"/>
    <col width="8.77734375" customWidth="1" style="193" min="13313" max="13317"/>
    <col width="44.77734375" bestFit="1" customWidth="1" style="193" min="13318" max="13318"/>
    <col width="8.77734375" customWidth="1" style="193" min="13319" max="13544"/>
    <col width="19.21875" customWidth="1" style="193" min="13545" max="13545"/>
    <col width="8.77734375" customWidth="1" style="193" min="13546" max="13547"/>
    <col width="27.21875" customWidth="1" style="193" min="13548" max="13548"/>
    <col width="9.21875" bestFit="1" customWidth="1" style="193" min="13549" max="13549"/>
    <col width="27" customWidth="1" style="193" min="13550" max="13550"/>
    <col width="10.21875" bestFit="1" customWidth="1" style="193" min="13551" max="13551"/>
    <col width="23.21875" customWidth="1" style="193" min="13552" max="13552"/>
    <col width="26.21875" customWidth="1" style="193" min="13553" max="13553"/>
    <col width="9" bestFit="1" customWidth="1" style="193" min="13554" max="13554"/>
    <col width="13.21875" bestFit="1" customWidth="1" style="193" min="13555" max="13555"/>
    <col width="4.77734375" bestFit="1" customWidth="1" style="193" min="13556" max="13556"/>
    <col width="4.21875" bestFit="1" customWidth="1" style="193" min="13557" max="13557"/>
    <col width="9.21875" bestFit="1" customWidth="1" style="193" min="13558" max="13558"/>
    <col width="9.21875" customWidth="1" style="193" min="13559" max="13559"/>
    <col width="2.21875" bestFit="1" customWidth="1" style="193" min="13560" max="13560"/>
    <col width="7.21875" bestFit="1" customWidth="1" style="193" min="13561" max="13561"/>
    <col width="2.21875" bestFit="1" customWidth="1" style="193" min="13562" max="13562"/>
    <col width="7.21875" bestFit="1" customWidth="1" style="193" min="13563" max="13563"/>
    <col width="2.21875" bestFit="1" customWidth="1" style="193" min="13564" max="13564"/>
    <col width="7.21875" bestFit="1" customWidth="1" style="193" min="13565" max="13565"/>
    <col width="16.21875" bestFit="1" customWidth="1" style="193" min="13566" max="13566"/>
    <col width="23.21875" customWidth="1" style="193" min="13567" max="13567"/>
    <col width="27.21875" customWidth="1" style="193" min="13568" max="13568"/>
    <col width="8.77734375" customWidth="1" style="193" min="13569" max="13573"/>
    <col width="44.77734375" bestFit="1" customWidth="1" style="193" min="13574" max="13574"/>
    <col width="8.77734375" customWidth="1" style="193" min="13575" max="13800"/>
    <col width="19.21875" customWidth="1" style="193" min="13801" max="13801"/>
    <col width="8.77734375" customWidth="1" style="193" min="13802" max="13803"/>
    <col width="27.21875" customWidth="1" style="193" min="13804" max="13804"/>
    <col width="9.21875" bestFit="1" customWidth="1" style="193" min="13805" max="13805"/>
    <col width="27" customWidth="1" style="193" min="13806" max="13806"/>
    <col width="10.21875" bestFit="1" customWidth="1" style="193" min="13807" max="13807"/>
    <col width="23.21875" customWidth="1" style="193" min="13808" max="13808"/>
    <col width="26.21875" customWidth="1" style="193" min="13809" max="13809"/>
    <col width="9" bestFit="1" customWidth="1" style="193" min="13810" max="13810"/>
    <col width="13.21875" bestFit="1" customWidth="1" style="193" min="13811" max="13811"/>
    <col width="4.77734375" bestFit="1" customWidth="1" style="193" min="13812" max="13812"/>
    <col width="4.21875" bestFit="1" customWidth="1" style="193" min="13813" max="13813"/>
    <col width="9.21875" bestFit="1" customWidth="1" style="193" min="13814" max="13814"/>
    <col width="9.21875" customWidth="1" style="193" min="13815" max="13815"/>
    <col width="2.21875" bestFit="1" customWidth="1" style="193" min="13816" max="13816"/>
    <col width="7.21875" bestFit="1" customWidth="1" style="193" min="13817" max="13817"/>
    <col width="2.21875" bestFit="1" customWidth="1" style="193" min="13818" max="13818"/>
    <col width="7.21875" bestFit="1" customWidth="1" style="193" min="13819" max="13819"/>
    <col width="2.21875" bestFit="1" customWidth="1" style="193" min="13820" max="13820"/>
    <col width="7.21875" bestFit="1" customWidth="1" style="193" min="13821" max="13821"/>
    <col width="16.21875" bestFit="1" customWidth="1" style="193" min="13822" max="13822"/>
    <col width="23.21875" customWidth="1" style="193" min="13823" max="13823"/>
    <col width="27.21875" customWidth="1" style="193" min="13824" max="13824"/>
    <col width="8.77734375" customWidth="1" style="193" min="13825" max="13829"/>
    <col width="44.77734375" bestFit="1" customWidth="1" style="193" min="13830" max="13830"/>
    <col width="8.77734375" customWidth="1" style="193" min="13831" max="14056"/>
    <col width="19.21875" customWidth="1" style="193" min="14057" max="14057"/>
    <col width="8.77734375" customWidth="1" style="193" min="14058" max="14059"/>
    <col width="27.21875" customWidth="1" style="193" min="14060" max="14060"/>
    <col width="9.21875" bestFit="1" customWidth="1" style="193" min="14061" max="14061"/>
    <col width="27" customWidth="1" style="193" min="14062" max="14062"/>
    <col width="10.21875" bestFit="1" customWidth="1" style="193" min="14063" max="14063"/>
    <col width="23.21875" customWidth="1" style="193" min="14064" max="14064"/>
    <col width="26.21875" customWidth="1" style="193" min="14065" max="14065"/>
    <col width="9" bestFit="1" customWidth="1" style="193" min="14066" max="14066"/>
    <col width="13.21875" bestFit="1" customWidth="1" style="193" min="14067" max="14067"/>
    <col width="4.77734375" bestFit="1" customWidth="1" style="193" min="14068" max="14068"/>
    <col width="4.21875" bestFit="1" customWidth="1" style="193" min="14069" max="14069"/>
    <col width="9.21875" bestFit="1" customWidth="1" style="193" min="14070" max="14070"/>
    <col width="9.21875" customWidth="1" style="193" min="14071" max="14071"/>
    <col width="2.21875" bestFit="1" customWidth="1" style="193" min="14072" max="14072"/>
    <col width="7.21875" bestFit="1" customWidth="1" style="193" min="14073" max="14073"/>
    <col width="2.21875" bestFit="1" customWidth="1" style="193" min="14074" max="14074"/>
    <col width="7.21875" bestFit="1" customWidth="1" style="193" min="14075" max="14075"/>
    <col width="2.21875" bestFit="1" customWidth="1" style="193" min="14076" max="14076"/>
    <col width="7.21875" bestFit="1" customWidth="1" style="193" min="14077" max="14077"/>
    <col width="16.21875" bestFit="1" customWidth="1" style="193" min="14078" max="14078"/>
    <col width="23.21875" customWidth="1" style="193" min="14079" max="14079"/>
    <col width="27.21875" customWidth="1" style="193" min="14080" max="14080"/>
    <col width="8.77734375" customWidth="1" style="193" min="14081" max="14085"/>
    <col width="44.77734375" bestFit="1" customWidth="1" style="193" min="14086" max="14086"/>
    <col width="8.77734375" customWidth="1" style="193" min="14087" max="14312"/>
    <col width="19.21875" customWidth="1" style="193" min="14313" max="14313"/>
    <col width="8.77734375" customWidth="1" style="193" min="14314" max="14315"/>
    <col width="27.21875" customWidth="1" style="193" min="14316" max="14316"/>
    <col width="9.21875" bestFit="1" customWidth="1" style="193" min="14317" max="14317"/>
    <col width="27" customWidth="1" style="193" min="14318" max="14318"/>
    <col width="10.21875" bestFit="1" customWidth="1" style="193" min="14319" max="14319"/>
    <col width="23.21875" customWidth="1" style="193" min="14320" max="14320"/>
    <col width="26.21875" customWidth="1" style="193" min="14321" max="14321"/>
    <col width="9" bestFit="1" customWidth="1" style="193" min="14322" max="14322"/>
    <col width="13.21875" bestFit="1" customWidth="1" style="193" min="14323" max="14323"/>
    <col width="4.77734375" bestFit="1" customWidth="1" style="193" min="14324" max="14324"/>
    <col width="4.21875" bestFit="1" customWidth="1" style="193" min="14325" max="14325"/>
    <col width="9.21875" bestFit="1" customWidth="1" style="193" min="14326" max="14326"/>
    <col width="9.21875" customWidth="1" style="193" min="14327" max="14327"/>
    <col width="2.21875" bestFit="1" customWidth="1" style="193" min="14328" max="14328"/>
    <col width="7.21875" bestFit="1" customWidth="1" style="193" min="14329" max="14329"/>
    <col width="2.21875" bestFit="1" customWidth="1" style="193" min="14330" max="14330"/>
    <col width="7.21875" bestFit="1" customWidth="1" style="193" min="14331" max="14331"/>
    <col width="2.21875" bestFit="1" customWidth="1" style="193" min="14332" max="14332"/>
    <col width="7.21875" bestFit="1" customWidth="1" style="193" min="14333" max="14333"/>
    <col width="16.21875" bestFit="1" customWidth="1" style="193" min="14334" max="14334"/>
    <col width="23.21875" customWidth="1" style="193" min="14335" max="14335"/>
    <col width="27.21875" customWidth="1" style="193" min="14336" max="14336"/>
    <col width="8.77734375" customWidth="1" style="193" min="14337" max="14341"/>
    <col width="44.77734375" bestFit="1" customWidth="1" style="193" min="14342" max="14342"/>
    <col width="8.77734375" customWidth="1" style="193" min="14343" max="14568"/>
    <col width="19.21875" customWidth="1" style="193" min="14569" max="14569"/>
    <col width="8.77734375" customWidth="1" style="193" min="14570" max="14571"/>
    <col width="27.21875" customWidth="1" style="193" min="14572" max="14572"/>
    <col width="9.21875" bestFit="1" customWidth="1" style="193" min="14573" max="14573"/>
    <col width="27" customWidth="1" style="193" min="14574" max="14574"/>
    <col width="10.21875" bestFit="1" customWidth="1" style="193" min="14575" max="14575"/>
    <col width="23.21875" customWidth="1" style="193" min="14576" max="14576"/>
    <col width="26.21875" customWidth="1" style="193" min="14577" max="14577"/>
    <col width="9" bestFit="1" customWidth="1" style="193" min="14578" max="14578"/>
    <col width="13.21875" bestFit="1" customWidth="1" style="193" min="14579" max="14579"/>
    <col width="4.77734375" bestFit="1" customWidth="1" style="193" min="14580" max="14580"/>
    <col width="4.21875" bestFit="1" customWidth="1" style="193" min="14581" max="14581"/>
    <col width="9.21875" bestFit="1" customWidth="1" style="193" min="14582" max="14582"/>
    <col width="9.21875" customWidth="1" style="193" min="14583" max="14583"/>
    <col width="2.21875" bestFit="1" customWidth="1" style="193" min="14584" max="14584"/>
    <col width="7.21875" bestFit="1" customWidth="1" style="193" min="14585" max="14585"/>
    <col width="2.21875" bestFit="1" customWidth="1" style="193" min="14586" max="14586"/>
    <col width="7.21875" bestFit="1" customWidth="1" style="193" min="14587" max="14587"/>
    <col width="2.21875" bestFit="1" customWidth="1" style="193" min="14588" max="14588"/>
    <col width="7.21875" bestFit="1" customWidth="1" style="193" min="14589" max="14589"/>
    <col width="16.21875" bestFit="1" customWidth="1" style="193" min="14590" max="14590"/>
    <col width="23.21875" customWidth="1" style="193" min="14591" max="14591"/>
    <col width="27.21875" customWidth="1" style="193" min="14592" max="14592"/>
    <col width="8.77734375" customWidth="1" style="193" min="14593" max="14597"/>
    <col width="44.77734375" bestFit="1" customWidth="1" style="193" min="14598" max="14598"/>
    <col width="8.77734375" customWidth="1" style="193" min="14599" max="14824"/>
    <col width="19.21875" customWidth="1" style="193" min="14825" max="14825"/>
    <col width="8.77734375" customWidth="1" style="193" min="14826" max="14827"/>
    <col width="27.21875" customWidth="1" style="193" min="14828" max="14828"/>
    <col width="9.21875" bestFit="1" customWidth="1" style="193" min="14829" max="14829"/>
    <col width="27" customWidth="1" style="193" min="14830" max="14830"/>
    <col width="10.21875" bestFit="1" customWidth="1" style="193" min="14831" max="14831"/>
    <col width="23.21875" customWidth="1" style="193" min="14832" max="14832"/>
    <col width="26.21875" customWidth="1" style="193" min="14833" max="14833"/>
    <col width="9" bestFit="1" customWidth="1" style="193" min="14834" max="14834"/>
    <col width="13.21875" bestFit="1" customWidth="1" style="193" min="14835" max="14835"/>
    <col width="4.77734375" bestFit="1" customWidth="1" style="193" min="14836" max="14836"/>
    <col width="4.21875" bestFit="1" customWidth="1" style="193" min="14837" max="14837"/>
    <col width="9.21875" bestFit="1" customWidth="1" style="193" min="14838" max="14838"/>
    <col width="9.21875" customWidth="1" style="193" min="14839" max="14839"/>
    <col width="2.21875" bestFit="1" customWidth="1" style="193" min="14840" max="14840"/>
    <col width="7.21875" bestFit="1" customWidth="1" style="193" min="14841" max="14841"/>
    <col width="2.21875" bestFit="1" customWidth="1" style="193" min="14842" max="14842"/>
    <col width="7.21875" bestFit="1" customWidth="1" style="193" min="14843" max="14843"/>
    <col width="2.21875" bestFit="1" customWidth="1" style="193" min="14844" max="14844"/>
    <col width="7.21875" bestFit="1" customWidth="1" style="193" min="14845" max="14845"/>
    <col width="16.21875" bestFit="1" customWidth="1" style="193" min="14846" max="14846"/>
    <col width="23.21875" customWidth="1" style="193" min="14847" max="14847"/>
    <col width="27.21875" customWidth="1" style="193" min="14848" max="14848"/>
    <col width="8.77734375" customWidth="1" style="193" min="14849" max="14853"/>
    <col width="44.77734375" bestFit="1" customWidth="1" style="193" min="14854" max="14854"/>
    <col width="8.77734375" customWidth="1" style="193" min="14855" max="15080"/>
    <col width="19.21875" customWidth="1" style="193" min="15081" max="15081"/>
    <col width="8.77734375" customWidth="1" style="193" min="15082" max="15083"/>
    <col width="27.21875" customWidth="1" style="193" min="15084" max="15084"/>
    <col width="9.21875" bestFit="1" customWidth="1" style="193" min="15085" max="15085"/>
    <col width="27" customWidth="1" style="193" min="15086" max="15086"/>
    <col width="10.21875" bestFit="1" customWidth="1" style="193" min="15087" max="15087"/>
    <col width="23.21875" customWidth="1" style="193" min="15088" max="15088"/>
    <col width="26.21875" customWidth="1" style="193" min="15089" max="15089"/>
    <col width="9" bestFit="1" customWidth="1" style="193" min="15090" max="15090"/>
    <col width="13.21875" bestFit="1" customWidth="1" style="193" min="15091" max="15091"/>
    <col width="4.77734375" bestFit="1" customWidth="1" style="193" min="15092" max="15092"/>
    <col width="4.21875" bestFit="1" customWidth="1" style="193" min="15093" max="15093"/>
    <col width="9.21875" bestFit="1" customWidth="1" style="193" min="15094" max="15094"/>
    <col width="9.21875" customWidth="1" style="193" min="15095" max="15095"/>
    <col width="2.21875" bestFit="1" customWidth="1" style="193" min="15096" max="15096"/>
    <col width="7.21875" bestFit="1" customWidth="1" style="193" min="15097" max="15097"/>
    <col width="2.21875" bestFit="1" customWidth="1" style="193" min="15098" max="15098"/>
    <col width="7.21875" bestFit="1" customWidth="1" style="193" min="15099" max="15099"/>
    <col width="2.21875" bestFit="1" customWidth="1" style="193" min="15100" max="15100"/>
    <col width="7.21875" bestFit="1" customWidth="1" style="193" min="15101" max="15101"/>
    <col width="16.21875" bestFit="1" customWidth="1" style="193" min="15102" max="15102"/>
    <col width="23.21875" customWidth="1" style="193" min="15103" max="15103"/>
    <col width="27.21875" customWidth="1" style="193" min="15104" max="15104"/>
    <col width="8.77734375" customWidth="1" style="193" min="15105" max="15109"/>
    <col width="44.77734375" bestFit="1" customWidth="1" style="193" min="15110" max="15110"/>
    <col width="8.77734375" customWidth="1" style="193" min="15111" max="15336"/>
    <col width="19.21875" customWidth="1" style="193" min="15337" max="15337"/>
    <col width="8.77734375" customWidth="1" style="193" min="15338" max="15339"/>
    <col width="27.21875" customWidth="1" style="193" min="15340" max="15340"/>
    <col width="9.21875" bestFit="1" customWidth="1" style="193" min="15341" max="15341"/>
    <col width="27" customWidth="1" style="193" min="15342" max="15342"/>
    <col width="10.21875" bestFit="1" customWidth="1" style="193" min="15343" max="15343"/>
    <col width="23.21875" customWidth="1" style="193" min="15344" max="15344"/>
    <col width="26.21875" customWidth="1" style="193" min="15345" max="15345"/>
    <col width="9" bestFit="1" customWidth="1" style="193" min="15346" max="15346"/>
    <col width="13.21875" bestFit="1" customWidth="1" style="193" min="15347" max="15347"/>
    <col width="4.77734375" bestFit="1" customWidth="1" style="193" min="15348" max="15348"/>
    <col width="4.21875" bestFit="1" customWidth="1" style="193" min="15349" max="15349"/>
    <col width="9.21875" bestFit="1" customWidth="1" style="193" min="15350" max="15350"/>
    <col width="9.21875" customWidth="1" style="193" min="15351" max="15351"/>
    <col width="2.21875" bestFit="1" customWidth="1" style="193" min="15352" max="15352"/>
    <col width="7.21875" bestFit="1" customWidth="1" style="193" min="15353" max="15353"/>
    <col width="2.21875" bestFit="1" customWidth="1" style="193" min="15354" max="15354"/>
    <col width="7.21875" bestFit="1" customWidth="1" style="193" min="15355" max="15355"/>
    <col width="2.21875" bestFit="1" customWidth="1" style="193" min="15356" max="15356"/>
    <col width="7.21875" bestFit="1" customWidth="1" style="193" min="15357" max="15357"/>
    <col width="16.21875" bestFit="1" customWidth="1" style="193" min="15358" max="15358"/>
    <col width="23.21875" customWidth="1" style="193" min="15359" max="15359"/>
    <col width="27.21875" customWidth="1" style="193" min="15360" max="15360"/>
    <col width="8.77734375" customWidth="1" style="193" min="15361" max="15365"/>
    <col width="44.77734375" bestFit="1" customWidth="1" style="193" min="15366" max="15366"/>
    <col width="8.77734375" customWidth="1" style="193" min="15367" max="15592"/>
    <col width="19.21875" customWidth="1" style="193" min="15593" max="15593"/>
    <col width="8.77734375" customWidth="1" style="193" min="15594" max="15595"/>
    <col width="27.21875" customWidth="1" style="193" min="15596" max="15596"/>
    <col width="9.21875" bestFit="1" customWidth="1" style="193" min="15597" max="15597"/>
    <col width="27" customWidth="1" style="193" min="15598" max="15598"/>
    <col width="10.21875" bestFit="1" customWidth="1" style="193" min="15599" max="15599"/>
    <col width="23.21875" customWidth="1" style="193" min="15600" max="15600"/>
    <col width="26.21875" customWidth="1" style="193" min="15601" max="15601"/>
    <col width="9" bestFit="1" customWidth="1" style="193" min="15602" max="15602"/>
    <col width="13.21875" bestFit="1" customWidth="1" style="193" min="15603" max="15603"/>
    <col width="4.77734375" bestFit="1" customWidth="1" style="193" min="15604" max="15604"/>
    <col width="4.21875" bestFit="1" customWidth="1" style="193" min="15605" max="15605"/>
    <col width="9.21875" bestFit="1" customWidth="1" style="193" min="15606" max="15606"/>
    <col width="9.21875" customWidth="1" style="193" min="15607" max="15607"/>
    <col width="2.21875" bestFit="1" customWidth="1" style="193" min="15608" max="15608"/>
    <col width="7.21875" bestFit="1" customWidth="1" style="193" min="15609" max="15609"/>
    <col width="2.21875" bestFit="1" customWidth="1" style="193" min="15610" max="15610"/>
    <col width="7.21875" bestFit="1" customWidth="1" style="193" min="15611" max="15611"/>
    <col width="2.21875" bestFit="1" customWidth="1" style="193" min="15612" max="15612"/>
    <col width="7.21875" bestFit="1" customWidth="1" style="193" min="15613" max="15613"/>
    <col width="16.21875" bestFit="1" customWidth="1" style="193" min="15614" max="15614"/>
    <col width="23.21875" customWidth="1" style="193" min="15615" max="15615"/>
    <col width="27.21875" customWidth="1" style="193" min="15616" max="15616"/>
    <col width="8.77734375" customWidth="1" style="193" min="15617" max="15621"/>
    <col width="44.77734375" bestFit="1" customWidth="1" style="193" min="15622" max="15622"/>
    <col width="8.77734375" customWidth="1" style="193" min="15623" max="15848"/>
    <col width="19.21875" customWidth="1" style="193" min="15849" max="15849"/>
    <col width="8.77734375" customWidth="1" style="193" min="15850" max="15851"/>
    <col width="27.21875" customWidth="1" style="193" min="15852" max="15852"/>
    <col width="9.21875" bestFit="1" customWidth="1" style="193" min="15853" max="15853"/>
    <col width="27" customWidth="1" style="193" min="15854" max="15854"/>
    <col width="10.21875" bestFit="1" customWidth="1" style="193" min="15855" max="15855"/>
    <col width="23.21875" customWidth="1" style="193" min="15856" max="15856"/>
    <col width="26.21875" customWidth="1" style="193" min="15857" max="15857"/>
    <col width="9" bestFit="1" customWidth="1" style="193" min="15858" max="15858"/>
    <col width="13.21875" bestFit="1" customWidth="1" style="193" min="15859" max="15859"/>
    <col width="4.77734375" bestFit="1" customWidth="1" style="193" min="15860" max="15860"/>
    <col width="4.21875" bestFit="1" customWidth="1" style="193" min="15861" max="15861"/>
    <col width="9.21875" bestFit="1" customWidth="1" style="193" min="15862" max="15862"/>
    <col width="9.21875" customWidth="1" style="193" min="15863" max="15863"/>
    <col width="2.21875" bestFit="1" customWidth="1" style="193" min="15864" max="15864"/>
    <col width="7.21875" bestFit="1" customWidth="1" style="193" min="15865" max="15865"/>
    <col width="2.21875" bestFit="1" customWidth="1" style="193" min="15866" max="15866"/>
    <col width="7.21875" bestFit="1" customWidth="1" style="193" min="15867" max="15867"/>
    <col width="2.21875" bestFit="1" customWidth="1" style="193" min="15868" max="15868"/>
    <col width="7.21875" bestFit="1" customWidth="1" style="193" min="15869" max="15869"/>
    <col width="16.21875" bestFit="1" customWidth="1" style="193" min="15870" max="15870"/>
    <col width="23.21875" customWidth="1" style="193" min="15871" max="15871"/>
    <col width="27.21875" customWidth="1" style="193" min="15872" max="15872"/>
    <col width="8.77734375" customWidth="1" style="193" min="15873" max="15877"/>
    <col width="44.77734375" bestFit="1" customWidth="1" style="193" min="15878" max="15878"/>
    <col width="8.77734375" customWidth="1" style="193" min="15879" max="16104"/>
    <col width="19.21875" customWidth="1" style="193" min="16105" max="16105"/>
    <col width="8.77734375" customWidth="1" style="193" min="16106" max="16107"/>
    <col width="27.21875" customWidth="1" style="193" min="16108" max="16108"/>
    <col width="9.21875" bestFit="1" customWidth="1" style="193" min="16109" max="16109"/>
    <col width="27" customWidth="1" style="193" min="16110" max="16110"/>
    <col width="10.21875" bestFit="1" customWidth="1" style="193" min="16111" max="16111"/>
    <col width="23.21875" customWidth="1" style="193" min="16112" max="16112"/>
    <col width="26.21875" customWidth="1" style="193" min="16113" max="16113"/>
    <col width="9" bestFit="1" customWidth="1" style="193" min="16114" max="16114"/>
    <col width="13.21875" bestFit="1" customWidth="1" style="193" min="16115" max="16115"/>
    <col width="4.77734375" bestFit="1" customWidth="1" style="193" min="16116" max="16116"/>
    <col width="4.21875" bestFit="1" customWidth="1" style="193" min="16117" max="16117"/>
    <col width="9.21875" bestFit="1" customWidth="1" style="193" min="16118" max="16118"/>
    <col width="9.21875" customWidth="1" style="193" min="16119" max="16119"/>
    <col width="2.21875" bestFit="1" customWidth="1" style="193" min="16120" max="16120"/>
    <col width="7.21875" bestFit="1" customWidth="1" style="193" min="16121" max="16121"/>
    <col width="2.21875" bestFit="1" customWidth="1" style="193" min="16122" max="16122"/>
    <col width="7.21875" bestFit="1" customWidth="1" style="193" min="16123" max="16123"/>
    <col width="2.21875" bestFit="1" customWidth="1" style="193" min="16124" max="16124"/>
    <col width="7.21875" bestFit="1" customWidth="1" style="193" min="16125" max="16125"/>
    <col width="16.21875" bestFit="1" customWidth="1" style="193" min="16126" max="16126"/>
    <col width="23.21875" customWidth="1" style="193" min="16127" max="16127"/>
    <col width="27.21875" customWidth="1" style="193" min="16128" max="16128"/>
    <col width="8.77734375" customWidth="1" style="193" min="16129" max="16133"/>
    <col width="44.77734375" bestFit="1" customWidth="1" style="193" min="16134" max="16134"/>
    <col width="8.77734375" customWidth="1" style="193" min="16135" max="16350"/>
    <col width="9.21875" customWidth="1" style="193" min="16351" max="16384"/>
  </cols>
  <sheetData>
    <row r="1" ht="23.4" customHeight="1">
      <c r="A1" s="1553" t="inlineStr">
        <is>
          <t>CPF RUSSIA Intercompany Loan report</t>
        </is>
      </c>
      <c r="D1" s="1746" t="inlineStr">
        <is>
          <t>as of 30-04-2022</t>
        </is>
      </c>
    </row>
    <row r="2">
      <c r="A2" s="193" t="n"/>
      <c r="B2" s="193" t="n"/>
    </row>
    <row r="3" ht="34.2" customFormat="1" customHeight="1" s="166">
      <c r="A3" s="162" t="inlineStr">
        <is>
          <t>Group</t>
        </is>
      </c>
      <c r="B3" s="162" t="inlineStr">
        <is>
          <t>Lender</t>
        </is>
      </c>
      <c r="C3" s="163" t="inlineStr">
        <is>
          <t>Borrower</t>
        </is>
      </c>
      <c r="D3" s="164" t="inlineStr">
        <is>
          <t>Term</t>
        </is>
      </c>
      <c r="E3" s="164" t="inlineStr">
        <is>
          <t>Agreement</t>
        </is>
      </c>
      <c r="F3" s="164" t="inlineStr">
        <is>
          <t>Date of agreement</t>
        </is>
      </c>
      <c r="G3" s="165" t="inlineStr">
        <is>
          <t>Balance ,mln</t>
        </is>
      </c>
      <c r="H3" s="165" t="inlineStr">
        <is>
          <t>Interest rate</t>
        </is>
      </c>
      <c r="I3" s="165" t="inlineStr">
        <is>
          <t>Currency</t>
        </is>
      </c>
    </row>
    <row r="4" ht="15" customFormat="1" customHeight="1" s="166">
      <c r="A4" s="167" t="inlineStr">
        <is>
          <t>RBPI</t>
        </is>
      </c>
      <c r="B4" s="167" t="inlineStr">
        <is>
          <t>RBPI</t>
        </is>
      </c>
      <c r="C4" s="167" t="inlineStr">
        <is>
          <t>Finagro</t>
        </is>
      </c>
      <c r="D4" s="168" t="inlineStr">
        <is>
          <t>LT</t>
        </is>
      </c>
      <c r="E4" s="169" t="inlineStr">
        <is>
          <t>nn</t>
        </is>
      </c>
      <c r="F4" s="1747" t="inlineStr">
        <is>
          <t>31.03.2016</t>
        </is>
      </c>
      <c r="G4" s="171" t="n">
        <v>1.180097</v>
      </c>
      <c r="H4" s="172" t="n">
        <v>0.05</v>
      </c>
      <c r="I4" s="168" t="inlineStr">
        <is>
          <t>EUR</t>
        </is>
      </c>
    </row>
    <row r="5" ht="15" customFormat="1" customHeight="1" s="166">
      <c r="A5" s="167" t="inlineStr">
        <is>
          <t>RBPI</t>
        </is>
      </c>
      <c r="B5" s="167" t="inlineStr">
        <is>
          <t>RBPI</t>
        </is>
      </c>
      <c r="C5" s="167" t="inlineStr">
        <is>
          <t>Finagro</t>
        </is>
      </c>
      <c r="D5" s="168" t="inlineStr">
        <is>
          <t>LT</t>
        </is>
      </c>
      <c r="E5" s="169" t="inlineStr">
        <is>
          <t>nn</t>
        </is>
      </c>
      <c r="F5" s="1747" t="inlineStr">
        <is>
          <t>25.06.2019</t>
        </is>
      </c>
      <c r="G5" s="171" t="n">
        <v>521.02</v>
      </c>
      <c r="H5" s="172" t="n">
        <v>0.09</v>
      </c>
      <c r="I5" s="168" t="inlineStr">
        <is>
          <t>RUR</t>
        </is>
      </c>
    </row>
    <row r="6" ht="15" customFormat="1" customHeight="1" s="166">
      <c r="A6" s="167" t="inlineStr">
        <is>
          <t>RBPI</t>
        </is>
      </c>
      <c r="B6" s="167" t="inlineStr">
        <is>
          <t>Finagro</t>
        </is>
      </c>
      <c r="C6" s="169" t="inlineStr">
        <is>
          <t xml:space="preserve">Management Company </t>
        </is>
      </c>
      <c r="D6" s="168" t="inlineStr">
        <is>
          <t>LT</t>
        </is>
      </c>
      <c r="E6" s="169" t="inlineStr">
        <is>
          <t>2018-RUB-08</t>
        </is>
      </c>
      <c r="F6" s="1747" t="inlineStr">
        <is>
          <t>20.08.2018</t>
        </is>
      </c>
      <c r="G6" s="171" t="n">
        <v>113</v>
      </c>
      <c r="H6" s="172" t="n">
        <v>0.09</v>
      </c>
      <c r="I6" s="168" t="inlineStr">
        <is>
          <t>RUR</t>
        </is>
      </c>
    </row>
    <row r="7" ht="15" customFormat="1" customHeight="1" s="166">
      <c r="A7" s="167" t="inlineStr">
        <is>
          <t>RBPI</t>
        </is>
      </c>
      <c r="B7" s="167" t="inlineStr">
        <is>
          <t>Finagro</t>
        </is>
      </c>
      <c r="C7" s="169" t="inlineStr">
        <is>
          <t xml:space="preserve">Management Company </t>
        </is>
      </c>
      <c r="D7" s="168" t="inlineStr">
        <is>
          <t>LT</t>
        </is>
      </c>
      <c r="E7" s="169" t="inlineStr">
        <is>
          <t>2019-RUB-12</t>
        </is>
      </c>
      <c r="F7" s="1747" t="inlineStr">
        <is>
          <t>06.12.2019</t>
        </is>
      </c>
      <c r="G7" s="171" t="n">
        <v>20</v>
      </c>
      <c r="H7" s="172" t="n">
        <v>0.09</v>
      </c>
      <c r="I7" s="168" t="inlineStr">
        <is>
          <t>RUR</t>
        </is>
      </c>
    </row>
    <row r="8" ht="15" customFormat="1" customHeight="1" s="166">
      <c r="A8" s="167" t="inlineStr">
        <is>
          <t>RBPI</t>
        </is>
      </c>
      <c r="B8" s="167" t="inlineStr">
        <is>
          <t>Finagro</t>
        </is>
      </c>
      <c r="C8" s="169" t="inlineStr">
        <is>
          <t xml:space="preserve">Management Company </t>
        </is>
      </c>
      <c r="D8" s="168" t="inlineStr">
        <is>
          <t>LT</t>
        </is>
      </c>
      <c r="E8" s="169" t="inlineStr">
        <is>
          <t>2019-RUB-12-01</t>
        </is>
      </c>
      <c r="F8" s="1747" t="inlineStr">
        <is>
          <t>11.12.2019</t>
        </is>
      </c>
      <c r="G8" s="171" t="n">
        <v>45</v>
      </c>
      <c r="H8" s="172" t="n">
        <v>0.09</v>
      </c>
      <c r="I8" s="168" t="inlineStr">
        <is>
          <t>RUR</t>
        </is>
      </c>
    </row>
    <row r="9" ht="15" customFormat="1" customHeight="1" s="166">
      <c r="A9" s="167" t="inlineStr">
        <is>
          <t>RBPI</t>
        </is>
      </c>
      <c r="B9" s="167" t="inlineStr">
        <is>
          <t>Finagro</t>
        </is>
      </c>
      <c r="C9" s="169" t="inlineStr">
        <is>
          <t xml:space="preserve">PPP </t>
        </is>
      </c>
      <c r="D9" s="168" t="inlineStr">
        <is>
          <t>LT</t>
        </is>
      </c>
      <c r="E9" s="169" t="inlineStr">
        <is>
          <t>2008-30m-euro</t>
        </is>
      </c>
      <c r="F9" s="1747" t="inlineStr">
        <is>
          <t>26.03.2008</t>
        </is>
      </c>
      <c r="G9" s="171" t="n">
        <v>6.5392</v>
      </c>
      <c r="H9" s="172" t="n">
        <v>0.05</v>
      </c>
      <c r="I9" s="168" t="inlineStr">
        <is>
          <t>EUR</t>
        </is>
      </c>
    </row>
    <row r="10" ht="15" customFormat="1" customHeight="1" s="166">
      <c r="A10" s="167" t="inlineStr">
        <is>
          <t>RBPI</t>
        </is>
      </c>
      <c r="B10" s="167" t="inlineStr">
        <is>
          <t>Finagro</t>
        </is>
      </c>
      <c r="C10" s="169" t="inlineStr">
        <is>
          <t xml:space="preserve">PPP </t>
        </is>
      </c>
      <c r="D10" s="168" t="inlineStr">
        <is>
          <t>LT</t>
        </is>
      </c>
      <c r="E10" s="169" t="inlineStr">
        <is>
          <t>2018-RUB-08</t>
        </is>
      </c>
      <c r="F10" s="1747" t="inlineStr">
        <is>
          <t>13.08.2018</t>
        </is>
      </c>
      <c r="G10" s="171" t="n">
        <v>345.72</v>
      </c>
      <c r="H10" s="172" t="n">
        <v>0.09</v>
      </c>
      <c r="I10" s="168" t="inlineStr">
        <is>
          <t>RUR</t>
        </is>
      </c>
    </row>
    <row r="11" ht="15" customFormat="1" customHeight="1" s="166">
      <c r="A11" s="167" t="inlineStr">
        <is>
          <t>RBPI</t>
        </is>
      </c>
      <c r="B11" s="167" t="inlineStr">
        <is>
          <t>Finagro</t>
        </is>
      </c>
      <c r="C11" s="169" t="inlineStr">
        <is>
          <t>Kornevo</t>
        </is>
      </c>
      <c r="D11" s="168" t="inlineStr">
        <is>
          <t>LT</t>
        </is>
      </c>
      <c r="E11" s="169" t="inlineStr">
        <is>
          <t>2016-200m-RUB</t>
        </is>
      </c>
      <c r="F11" s="1747" t="n">
        <v>42453</v>
      </c>
      <c r="G11" s="171" t="n">
        <v>44</v>
      </c>
      <c r="H11" s="172" t="n">
        <v>0.09</v>
      </c>
      <c r="I11" s="168" t="inlineStr">
        <is>
          <t>RUR</t>
        </is>
      </c>
    </row>
    <row r="12" ht="15" customFormat="1" customHeight="1" s="166">
      <c r="A12" s="167" t="inlineStr">
        <is>
          <t>RBPI</t>
        </is>
      </c>
      <c r="B12" s="167" t="inlineStr">
        <is>
          <t>PPP</t>
        </is>
      </c>
      <c r="C12" s="169" t="inlineStr">
        <is>
          <t xml:space="preserve">Management Company </t>
        </is>
      </c>
      <c r="D12" s="168" t="inlineStr">
        <is>
          <t>LT</t>
        </is>
      </c>
      <c r="E12" s="169" t="inlineStr">
        <is>
          <t>ПСП-УК-2021</t>
        </is>
      </c>
      <c r="F12" s="1747" t="n">
        <v>44295</v>
      </c>
      <c r="G12" s="171" t="n">
        <v>41.322</v>
      </c>
      <c r="H12" s="172" t="n">
        <v>0.09</v>
      </c>
      <c r="I12" s="168" t="inlineStr">
        <is>
          <t>RUR</t>
        </is>
      </c>
    </row>
    <row r="13" ht="15" customFormat="1" customHeight="1" s="166">
      <c r="A13" s="167" t="inlineStr">
        <is>
          <t>RBPI</t>
        </is>
      </c>
      <c r="B13" s="167" t="inlineStr">
        <is>
          <t>PPP</t>
        </is>
      </c>
      <c r="C13" s="169" t="inlineStr">
        <is>
          <t xml:space="preserve">Management Company </t>
        </is>
      </c>
      <c r="D13" s="168" t="inlineStr">
        <is>
          <t>LT</t>
        </is>
      </c>
      <c r="E13" s="169" t="inlineStr">
        <is>
          <t xml:space="preserve">ПСП-УК-2021-08 </t>
        </is>
      </c>
      <c r="F13" s="1747" t="n">
        <v>44433</v>
      </c>
      <c r="G13" s="171" t="n">
        <v>74.535</v>
      </c>
      <c r="H13" s="172" t="n">
        <v>0.09</v>
      </c>
      <c r="I13" s="168" t="inlineStr">
        <is>
          <t>RUR</t>
        </is>
      </c>
    </row>
    <row r="14" ht="15" customFormat="1" customHeight="1" s="166">
      <c r="A14" s="167" t="inlineStr">
        <is>
          <t>RBPI</t>
        </is>
      </c>
      <c r="B14" s="167" t="inlineStr">
        <is>
          <t>PPP</t>
        </is>
      </c>
      <c r="C14" s="169" t="inlineStr">
        <is>
          <t>PPP-2</t>
        </is>
      </c>
      <c r="D14" s="168" t="inlineStr">
        <is>
          <t>LT</t>
        </is>
      </c>
      <c r="E14" s="169" t="inlineStr">
        <is>
          <t>ПСП-ПСП-2-2018</t>
        </is>
      </c>
      <c r="F14" s="1747" t="n">
        <v>43150</v>
      </c>
      <c r="G14" s="171" t="n">
        <v>392</v>
      </c>
      <c r="H14" s="172" t="n">
        <v>0.1</v>
      </c>
      <c r="I14" s="168" t="inlineStr">
        <is>
          <t>RUR</t>
        </is>
      </c>
    </row>
    <row r="15" ht="15" customFormat="1" customHeight="1" s="166">
      <c r="A15" s="167" t="inlineStr">
        <is>
          <t>RBPI</t>
        </is>
      </c>
      <c r="B15" s="167" t="inlineStr">
        <is>
          <t>PPP</t>
        </is>
      </c>
      <c r="C15" s="169" t="inlineStr">
        <is>
          <t>PPP-2</t>
        </is>
      </c>
      <c r="D15" s="168" t="inlineStr">
        <is>
          <t>LT</t>
        </is>
      </c>
      <c r="E15" s="169" t="inlineStr">
        <is>
          <t xml:space="preserve">ПСП-2 N 000001 </t>
        </is>
      </c>
      <c r="F15" s="1747" t="n">
        <v>43245</v>
      </c>
      <c r="G15" s="171" t="n">
        <v>213.5507</v>
      </c>
      <c r="H15" s="172" t="n">
        <v>0.1</v>
      </c>
      <c r="I15" s="168" t="inlineStr">
        <is>
          <t>RUR</t>
        </is>
      </c>
    </row>
    <row r="16" ht="15" customFormat="1" customHeight="1" s="166">
      <c r="A16" s="167" t="inlineStr">
        <is>
          <t>RBPI</t>
        </is>
      </c>
      <c r="B16" s="167" t="inlineStr">
        <is>
          <t>PPP</t>
        </is>
      </c>
      <c r="C16" s="169" t="inlineStr">
        <is>
          <t>PPP-2</t>
        </is>
      </c>
      <c r="D16" s="168" t="inlineStr">
        <is>
          <t>LT</t>
        </is>
      </c>
      <c r="E16" s="169" t="inlineStr">
        <is>
          <t>ПСП-2 N 000002</t>
        </is>
      </c>
      <c r="F16" s="1747" t="n">
        <v>43313</v>
      </c>
      <c r="G16" s="171" t="n">
        <v>37.51938</v>
      </c>
      <c r="H16" s="172" t="n">
        <v>0.1</v>
      </c>
      <c r="I16" s="168" t="inlineStr">
        <is>
          <t>RUR</t>
        </is>
      </c>
    </row>
    <row r="17" ht="15" customFormat="1" customHeight="1" s="166">
      <c r="A17" s="167" t="inlineStr">
        <is>
          <t>RBPI</t>
        </is>
      </c>
      <c r="B17" s="167" t="inlineStr">
        <is>
          <t>PPP</t>
        </is>
      </c>
      <c r="C17" s="169" t="inlineStr">
        <is>
          <t>PPP-2</t>
        </is>
      </c>
      <c r="D17" s="168" t="inlineStr">
        <is>
          <t>LT</t>
        </is>
      </c>
      <c r="E17" s="169" t="inlineStr">
        <is>
          <t>ПСП-2 N 000003</t>
        </is>
      </c>
      <c r="F17" s="1747" t="n">
        <v>43405</v>
      </c>
      <c r="G17" s="171" t="n">
        <v>193.48476</v>
      </c>
      <c r="H17" s="172" t="n">
        <v>0.1</v>
      </c>
      <c r="I17" s="168" t="inlineStr">
        <is>
          <t>RUR</t>
        </is>
      </c>
    </row>
    <row r="18" ht="15" customFormat="1" customHeight="1" s="166">
      <c r="A18" s="167" t="inlineStr">
        <is>
          <t>RBPI</t>
        </is>
      </c>
      <c r="B18" s="167" t="inlineStr">
        <is>
          <t>PPP</t>
        </is>
      </c>
      <c r="C18" s="169" t="inlineStr">
        <is>
          <t>PPP-2</t>
        </is>
      </c>
      <c r="D18" s="168" t="inlineStr">
        <is>
          <t>LT</t>
        </is>
      </c>
      <c r="E18" s="169" t="inlineStr">
        <is>
          <t>ПСП-2 N 000004</t>
        </is>
      </c>
      <c r="F18" s="1747" t="n">
        <v>43440</v>
      </c>
      <c r="G18" s="171" t="n">
        <v>193.95249</v>
      </c>
      <c r="H18" s="172" t="n">
        <v>0.1</v>
      </c>
      <c r="I18" s="168" t="inlineStr">
        <is>
          <t>RUR</t>
        </is>
      </c>
    </row>
    <row r="19" ht="15" customFormat="1" customHeight="1" s="166">
      <c r="A19" s="167" t="inlineStr">
        <is>
          <t>RBPI</t>
        </is>
      </c>
      <c r="B19" s="167" t="inlineStr">
        <is>
          <t>PPP</t>
        </is>
      </c>
      <c r="C19" s="169" t="inlineStr">
        <is>
          <t>PPP-2</t>
        </is>
      </c>
      <c r="D19" s="168" t="inlineStr">
        <is>
          <t>LT</t>
        </is>
      </c>
      <c r="E19" s="169" t="inlineStr">
        <is>
          <t>ПСП-2 N 000006</t>
        </is>
      </c>
      <c r="F19" s="1747" t="n">
        <v>43517</v>
      </c>
      <c r="G19" s="171" t="n">
        <v>52.25213</v>
      </c>
      <c r="H19" s="172" t="n">
        <v>0.1</v>
      </c>
      <c r="I19" s="168" t="inlineStr">
        <is>
          <t>RUR</t>
        </is>
      </c>
    </row>
    <row r="20" ht="15" customFormat="1" customHeight="1" s="166">
      <c r="A20" s="167" t="inlineStr">
        <is>
          <t>RBPI</t>
        </is>
      </c>
      <c r="B20" s="167" t="inlineStr">
        <is>
          <t>PPP</t>
        </is>
      </c>
      <c r="C20" s="169" t="inlineStr">
        <is>
          <t>PPP-2</t>
        </is>
      </c>
      <c r="D20" s="168" t="inlineStr">
        <is>
          <t>LT</t>
        </is>
      </c>
      <c r="E20" s="169" t="inlineStr">
        <is>
          <t>ПСП-2 N 000008</t>
        </is>
      </c>
      <c r="F20" s="1747" t="n">
        <v>43746</v>
      </c>
      <c r="G20" s="171" t="n">
        <v>25.56164</v>
      </c>
      <c r="H20" s="172" t="n">
        <v>0.1</v>
      </c>
      <c r="I20" s="168" t="inlineStr">
        <is>
          <t>RUR</t>
        </is>
      </c>
    </row>
    <row r="21" ht="15" customFormat="1" customHeight="1" s="166">
      <c r="A21" s="167" t="inlineStr">
        <is>
          <t>RBPI</t>
        </is>
      </c>
      <c r="B21" s="167" t="inlineStr">
        <is>
          <t>PPP</t>
        </is>
      </c>
      <c r="C21" s="169" t="inlineStr">
        <is>
          <t>PPP-2</t>
        </is>
      </c>
      <c r="D21" s="168" t="inlineStr">
        <is>
          <t>LT</t>
        </is>
      </c>
      <c r="E21" s="169" t="inlineStr">
        <is>
          <t>ПСП-2 N 000009</t>
        </is>
      </c>
      <c r="F21" s="1747" t="n">
        <v>44484</v>
      </c>
      <c r="G21" s="171" t="n">
        <v>51.16438</v>
      </c>
      <c r="H21" s="172" t="n">
        <v>0.1</v>
      </c>
      <c r="I21" s="168" t="inlineStr">
        <is>
          <t>RUR</t>
        </is>
      </c>
    </row>
    <row r="22" ht="15" customFormat="1" customHeight="1" s="166">
      <c r="A22" s="167" t="inlineStr">
        <is>
          <t>RBPI</t>
        </is>
      </c>
      <c r="B22" s="167" t="inlineStr">
        <is>
          <t>PPP</t>
        </is>
      </c>
      <c r="C22" s="169" t="inlineStr">
        <is>
          <t>NNPP-2</t>
        </is>
      </c>
      <c r="D22" s="168" t="inlineStr">
        <is>
          <t>LT</t>
        </is>
      </c>
      <c r="E22" s="169" t="inlineStr">
        <is>
          <t>ПСП-ННПП2-2018</t>
        </is>
      </c>
      <c r="F22" s="1747" t="n">
        <v>43158</v>
      </c>
      <c r="G22" s="171" t="n">
        <v>120.57795</v>
      </c>
      <c r="H22" s="172" t="n">
        <v>0.1</v>
      </c>
      <c r="I22" s="168" t="inlineStr">
        <is>
          <t>RUR</t>
        </is>
      </c>
    </row>
    <row r="23" ht="15" customFormat="1" customHeight="1" s="166">
      <c r="A23" s="167" t="inlineStr">
        <is>
          <t>RBPI</t>
        </is>
      </c>
      <c r="B23" s="167" t="inlineStr">
        <is>
          <t>PPP</t>
        </is>
      </c>
      <c r="C23" s="169" t="inlineStr">
        <is>
          <t>Rechnoe</t>
        </is>
      </c>
      <c r="D23" s="168" t="inlineStr">
        <is>
          <t>LT</t>
        </is>
      </c>
      <c r="E23" s="169" t="inlineStr">
        <is>
          <t>ПСП-Речное-2021-09</t>
        </is>
      </c>
      <c r="F23" s="1747" t="n">
        <v>44454</v>
      </c>
      <c r="G23" s="171" t="n">
        <v>106</v>
      </c>
      <c r="H23" s="172" t="n">
        <v>0.08</v>
      </c>
      <c r="I23" s="168" t="inlineStr">
        <is>
          <t>RUR</t>
        </is>
      </c>
    </row>
    <row r="24" ht="15" customFormat="1" customHeight="1" s="166">
      <c r="A24" s="167" t="inlineStr">
        <is>
          <t>RBPI</t>
        </is>
      </c>
      <c r="B24" s="167" t="inlineStr">
        <is>
          <t>PPP</t>
        </is>
      </c>
      <c r="C24" s="169" t="inlineStr">
        <is>
          <t>Rechnoe</t>
        </is>
      </c>
      <c r="D24" s="168" t="inlineStr">
        <is>
          <t>LT</t>
        </is>
      </c>
      <c r="E24" s="169" t="inlineStr">
        <is>
          <t>вексель РЕ 000001</t>
        </is>
      </c>
      <c r="F24" s="1747" t="n">
        <v>43892</v>
      </c>
      <c r="G24" s="171" t="n">
        <v>25.243</v>
      </c>
      <c r="H24" s="172" t="n">
        <v>0.065</v>
      </c>
      <c r="I24" s="168" t="inlineStr">
        <is>
          <t>RUR</t>
        </is>
      </c>
    </row>
    <row r="25" ht="15" customFormat="1" customHeight="1" s="166">
      <c r="A25" s="167" t="inlineStr">
        <is>
          <t>RBPI</t>
        </is>
      </c>
      <c r="B25" s="167" t="inlineStr">
        <is>
          <t>PPP</t>
        </is>
      </c>
      <c r="C25" s="169" t="inlineStr">
        <is>
          <t>Rechnoe</t>
        </is>
      </c>
      <c r="D25" s="168" t="inlineStr">
        <is>
          <t>LT</t>
        </is>
      </c>
      <c r="E25" s="169" t="inlineStr">
        <is>
          <t>вексель РЕ 000002</t>
        </is>
      </c>
      <c r="F25" s="1747" t="n">
        <v>44166</v>
      </c>
      <c r="G25" s="171" t="n">
        <v>14.042</v>
      </c>
      <c r="H25" s="172" t="n">
        <v>0.09</v>
      </c>
      <c r="I25" s="168" t="inlineStr">
        <is>
          <t>RUR</t>
        </is>
      </c>
    </row>
    <row r="26" ht="15" customFormat="1" customHeight="1" s="166">
      <c r="A26" s="167" t="inlineStr">
        <is>
          <t>RBPI</t>
        </is>
      </c>
      <c r="B26" s="167" t="inlineStr">
        <is>
          <t>PPP</t>
        </is>
      </c>
      <c r="C26" s="169" t="inlineStr">
        <is>
          <t>Rechnoe</t>
        </is>
      </c>
      <c r="D26" s="168" t="inlineStr">
        <is>
          <t>LT</t>
        </is>
      </c>
      <c r="E26" s="169" t="inlineStr">
        <is>
          <t>вексель РЕ 000003</t>
        </is>
      </c>
      <c r="F26" s="1747" t="n">
        <v>44166</v>
      </c>
      <c r="G26" s="171" t="n">
        <v>152.283</v>
      </c>
      <c r="H26" s="172" t="n">
        <v>0.09</v>
      </c>
      <c r="I26" s="168" t="inlineStr">
        <is>
          <t>RUR</t>
        </is>
      </c>
    </row>
    <row r="27" ht="15" customFormat="1" customHeight="1" s="166">
      <c r="A27" s="167" t="inlineStr">
        <is>
          <t>RBPI</t>
        </is>
      </c>
      <c r="B27" s="167" t="inlineStr">
        <is>
          <t>PPP</t>
        </is>
      </c>
      <c r="C27" s="169" t="inlineStr">
        <is>
          <t>Rechnoe</t>
        </is>
      </c>
      <c r="D27" s="168" t="inlineStr">
        <is>
          <t>LT</t>
        </is>
      </c>
      <c r="E27" s="169" t="inlineStr">
        <is>
          <t>вексель РЕ 000004</t>
        </is>
      </c>
      <c r="F27" s="1747" t="n">
        <v>44256</v>
      </c>
      <c r="G27" s="171" t="n">
        <v>49.848</v>
      </c>
      <c r="H27" s="172" t="n">
        <v>0.09</v>
      </c>
      <c r="I27" s="168" t="inlineStr">
        <is>
          <t>RUR</t>
        </is>
      </c>
    </row>
    <row r="28" ht="15" customFormat="1" customHeight="1" s="166">
      <c r="A28" s="167" t="inlineStr">
        <is>
          <t>RBPI</t>
        </is>
      </c>
      <c r="B28" s="167" t="inlineStr">
        <is>
          <t>PPP</t>
        </is>
      </c>
      <c r="C28" s="169" t="inlineStr">
        <is>
          <t>Rechnoe</t>
        </is>
      </c>
      <c r="D28" s="168" t="inlineStr">
        <is>
          <t>LT</t>
        </is>
      </c>
      <c r="E28" s="169" t="inlineStr">
        <is>
          <t>вексель РЕ 000005</t>
        </is>
      </c>
      <c r="F28" s="1747" t="n">
        <v>44348</v>
      </c>
      <c r="G28" s="171" t="n">
        <v>2.08043</v>
      </c>
      <c r="H28" s="172" t="n">
        <v>0.09</v>
      </c>
      <c r="I28" s="168" t="inlineStr">
        <is>
          <t>RUR</t>
        </is>
      </c>
    </row>
    <row r="29" ht="15" customFormat="1" customHeight="1" s="166">
      <c r="A29" s="167" t="inlineStr">
        <is>
          <t>RBPI</t>
        </is>
      </c>
      <c r="B29" s="167" t="inlineStr">
        <is>
          <t>PPP</t>
        </is>
      </c>
      <c r="C29" s="169" t="inlineStr">
        <is>
          <t>Rechnoe</t>
        </is>
      </c>
      <c r="D29" s="168" t="inlineStr">
        <is>
          <t>LT</t>
        </is>
      </c>
      <c r="E29" s="169" t="inlineStr">
        <is>
          <t>вексель РЕ 000006</t>
        </is>
      </c>
      <c r="F29" s="1747" t="n">
        <v>44348</v>
      </c>
      <c r="G29" s="171" t="n">
        <v>10.88136</v>
      </c>
      <c r="H29" s="172" t="n">
        <v>0.09</v>
      </c>
      <c r="I29" s="168" t="inlineStr">
        <is>
          <t>RUR</t>
        </is>
      </c>
    </row>
    <row r="30" ht="15" customFormat="1" customHeight="1" s="166">
      <c r="A30" s="167" t="inlineStr">
        <is>
          <t>RBPI</t>
        </is>
      </c>
      <c r="B30" s="167" t="inlineStr">
        <is>
          <t>PPP</t>
        </is>
      </c>
      <c r="C30" s="169" t="inlineStr">
        <is>
          <t>Rechnoe</t>
        </is>
      </c>
      <c r="D30" s="168" t="inlineStr">
        <is>
          <t>LT</t>
        </is>
      </c>
      <c r="E30" s="169" t="inlineStr">
        <is>
          <t>вексель РЕ 000007</t>
        </is>
      </c>
      <c r="F30" s="1747" t="n">
        <v>44452</v>
      </c>
      <c r="G30" s="171" t="n">
        <v>10.06397</v>
      </c>
      <c r="H30" s="172" t="n">
        <v>0.08</v>
      </c>
      <c r="I30" s="168" t="inlineStr">
        <is>
          <t>RUR</t>
        </is>
      </c>
    </row>
    <row r="31" ht="15" customFormat="1" customHeight="1" s="166">
      <c r="A31" s="167" t="inlineStr">
        <is>
          <t>RBPI</t>
        </is>
      </c>
      <c r="B31" s="167" t="inlineStr">
        <is>
          <t>PPP</t>
        </is>
      </c>
      <c r="C31" s="169" t="inlineStr">
        <is>
          <t>Rechnoe</t>
        </is>
      </c>
      <c r="D31" s="168" t="inlineStr">
        <is>
          <t>LT</t>
        </is>
      </c>
      <c r="E31" s="169" t="inlineStr">
        <is>
          <t>вексель РЕ 000008</t>
        </is>
      </c>
      <c r="F31" s="1747" t="n">
        <v>44452</v>
      </c>
      <c r="G31" s="171" t="n">
        <v>20.29059</v>
      </c>
      <c r="H31" s="172" t="n">
        <v>0.08</v>
      </c>
      <c r="I31" s="168" t="inlineStr">
        <is>
          <t>RUR</t>
        </is>
      </c>
    </row>
    <row r="32" ht="15" customFormat="1" customHeight="1" s="166">
      <c r="A32" s="167" t="inlineStr">
        <is>
          <t>RBPI</t>
        </is>
      </c>
      <c r="B32" s="167" t="inlineStr">
        <is>
          <t>PPP</t>
        </is>
      </c>
      <c r="C32" s="169" t="inlineStr">
        <is>
          <t>Rechnoe</t>
        </is>
      </c>
      <c r="D32" s="168" t="inlineStr">
        <is>
          <t>LT</t>
        </is>
      </c>
      <c r="E32" s="169" t="inlineStr">
        <is>
          <t>вексель РЕ 000009</t>
        </is>
      </c>
      <c r="F32" s="1747" t="n">
        <v>44582</v>
      </c>
      <c r="G32" s="171" t="n">
        <v>95.3158</v>
      </c>
      <c r="H32" s="172" t="n">
        <v>0.08</v>
      </c>
      <c r="I32" s="168" t="inlineStr">
        <is>
          <t>RUR</t>
        </is>
      </c>
    </row>
    <row r="33" ht="15" customFormat="1" customHeight="1" s="166">
      <c r="A33" s="167" t="inlineStr">
        <is>
          <t>RBPI</t>
        </is>
      </c>
      <c r="B33" s="167" t="inlineStr">
        <is>
          <t>PPP</t>
        </is>
      </c>
      <c r="C33" s="169" t="inlineStr">
        <is>
          <t>Rechnoe</t>
        </is>
      </c>
      <c r="D33" s="168" t="inlineStr">
        <is>
          <t>LT</t>
        </is>
      </c>
      <c r="E33" s="169" t="inlineStr">
        <is>
          <t>вексель РЕ 000010</t>
        </is>
      </c>
      <c r="F33" s="1747" t="n">
        <v>44582</v>
      </c>
      <c r="G33" s="171" t="n">
        <v>9.247640000000001</v>
      </c>
      <c r="H33" s="172" t="n">
        <v>0.08</v>
      </c>
      <c r="I33" s="168" t="inlineStr">
        <is>
          <t>RUR</t>
        </is>
      </c>
    </row>
    <row r="34" ht="15" customFormat="1" customHeight="1" s="166">
      <c r="A34" s="167" t="inlineStr">
        <is>
          <t>RBPI</t>
        </is>
      </c>
      <c r="B34" s="167" t="inlineStr">
        <is>
          <t>PPP</t>
        </is>
      </c>
      <c r="C34" s="169" t="inlineStr">
        <is>
          <t>Rechnoe</t>
        </is>
      </c>
      <c r="D34" s="168" t="inlineStr">
        <is>
          <t>LT</t>
        </is>
      </c>
      <c r="E34" s="169" t="inlineStr">
        <is>
          <t>вексель РЕ 000011</t>
        </is>
      </c>
      <c r="F34" s="1747" t="n">
        <v>44582</v>
      </c>
      <c r="G34" s="171" t="n">
        <v>6.02762</v>
      </c>
      <c r="H34" s="172" t="n">
        <v>0.08</v>
      </c>
      <c r="I34" s="168" t="inlineStr">
        <is>
          <t>RUR</t>
        </is>
      </c>
    </row>
    <row r="35" ht="15" customFormat="1" customHeight="1" s="166">
      <c r="A35" s="167" t="inlineStr">
        <is>
          <t>RBPI</t>
        </is>
      </c>
      <c r="B35" s="167" t="inlineStr">
        <is>
          <t>PPP</t>
        </is>
      </c>
      <c r="C35" s="169" t="inlineStr">
        <is>
          <t>Rechnoe</t>
        </is>
      </c>
      <c r="D35" s="168" t="inlineStr">
        <is>
          <t>LT</t>
        </is>
      </c>
      <c r="E35" s="169" t="inlineStr">
        <is>
          <t>ПСП-Речное-2021-08</t>
        </is>
      </c>
      <c r="F35" s="1747" t="n">
        <v>44420</v>
      </c>
      <c r="G35" s="171" t="n">
        <v>6.1</v>
      </c>
      <c r="H35" s="172" t="n">
        <v>0.08</v>
      </c>
      <c r="I35" s="168" t="inlineStr">
        <is>
          <t>RUR</t>
        </is>
      </c>
    </row>
    <row r="36" ht="15" customFormat="1" customHeight="1" s="166">
      <c r="A36" s="167" t="inlineStr">
        <is>
          <t>RBPI</t>
        </is>
      </c>
      <c r="B36" s="167" t="inlineStr">
        <is>
          <t>PPP</t>
        </is>
      </c>
      <c r="C36" s="169" t="inlineStr">
        <is>
          <t>Rechnoe</t>
        </is>
      </c>
      <c r="D36" s="168" t="inlineStr">
        <is>
          <t>LT</t>
        </is>
      </c>
      <c r="E36" s="169" t="inlineStr">
        <is>
          <t>2021-100RUB-03</t>
        </is>
      </c>
      <c r="F36" s="1747" t="n">
        <v>44271</v>
      </c>
      <c r="G36" s="171" t="n">
        <v>25</v>
      </c>
      <c r="H36" s="172" t="n">
        <v>0.09</v>
      </c>
      <c r="I36" s="168" t="inlineStr">
        <is>
          <t>RUR</t>
        </is>
      </c>
    </row>
    <row r="37" ht="15" customFormat="1" customHeight="1" s="166">
      <c r="A37" s="167" t="inlineStr">
        <is>
          <t>RBPI</t>
        </is>
      </c>
      <c r="B37" s="167" t="inlineStr">
        <is>
          <t>PPP</t>
        </is>
      </c>
      <c r="C37" s="169" t="inlineStr">
        <is>
          <t>RBPI Partner West</t>
        </is>
      </c>
      <c r="D37" s="168" t="inlineStr">
        <is>
          <t>LT</t>
        </is>
      </c>
      <c r="E37" s="169" t="inlineStr">
        <is>
          <t>ПСП-РБПИ-2020</t>
        </is>
      </c>
      <c r="F37" s="1747" t="n">
        <v>43917</v>
      </c>
      <c r="G37" s="171" t="n">
        <v>40</v>
      </c>
      <c r="H37" s="172" t="n">
        <v>0.09</v>
      </c>
      <c r="I37" s="168" t="inlineStr">
        <is>
          <t>RUR</t>
        </is>
      </c>
    </row>
    <row r="38" ht="15" customFormat="1" customHeight="1" s="166">
      <c r="A38" s="167" t="inlineStr">
        <is>
          <t>RBPI</t>
        </is>
      </c>
      <c r="B38" s="167" t="inlineStr">
        <is>
          <t>PPP</t>
        </is>
      </c>
      <c r="C38" s="169" t="inlineStr">
        <is>
          <t>RBPI Elite Seeds</t>
        </is>
      </c>
      <c r="D38" s="168" t="inlineStr">
        <is>
          <t>LT</t>
        </is>
      </c>
      <c r="E38" s="169" t="inlineStr">
        <is>
          <t xml:space="preserve">ПСП-ЭС-2020 </t>
        </is>
      </c>
      <c r="F38" s="1747" t="n">
        <v>44153</v>
      </c>
      <c r="G38" s="171" t="n">
        <v>333.425</v>
      </c>
      <c r="H38" s="172" t="n">
        <v>0.09</v>
      </c>
      <c r="I38" s="168" t="inlineStr">
        <is>
          <t>RUR</t>
        </is>
      </c>
    </row>
    <row r="39" ht="15" customFormat="1" customHeight="1" s="166">
      <c r="A39" s="167" t="inlineStr">
        <is>
          <t>RBPI</t>
        </is>
      </c>
      <c r="B39" s="167" t="inlineStr">
        <is>
          <t>NNPP</t>
        </is>
      </c>
      <c r="C39" s="169" t="inlineStr">
        <is>
          <t xml:space="preserve">Management Company </t>
        </is>
      </c>
      <c r="D39" s="168" t="inlineStr">
        <is>
          <t>LT</t>
        </is>
      </c>
      <c r="E39" s="169" t="inlineStr">
        <is>
          <t>nn</t>
        </is>
      </c>
      <c r="F39" s="1747" t="n">
        <v>41613</v>
      </c>
      <c r="G39" s="171" t="n">
        <v>44.97105</v>
      </c>
      <c r="H39" s="173" t="n">
        <v>0</v>
      </c>
      <c r="I39" s="168" t="inlineStr">
        <is>
          <t>RUR</t>
        </is>
      </c>
    </row>
    <row r="40" ht="15" customFormat="1" customHeight="1" s="166">
      <c r="A40" s="167" t="inlineStr">
        <is>
          <t>RBPI</t>
        </is>
      </c>
      <c r="B40" s="167" t="inlineStr">
        <is>
          <t>NNPP</t>
        </is>
      </c>
      <c r="C40" s="169" t="inlineStr">
        <is>
          <t xml:space="preserve">Management Company </t>
        </is>
      </c>
      <c r="D40" s="168" t="inlineStr">
        <is>
          <t>LT</t>
        </is>
      </c>
      <c r="E40" s="169" t="inlineStr">
        <is>
          <t>ННПП-УК-02-2018</t>
        </is>
      </c>
      <c r="F40" s="1747" t="n">
        <v>43145</v>
      </c>
      <c r="G40" s="171" t="n">
        <v>3.445</v>
      </c>
      <c r="H40" s="172" t="n">
        <v>0.1</v>
      </c>
      <c r="I40" s="168" t="inlineStr">
        <is>
          <t>RUR</t>
        </is>
      </c>
    </row>
    <row r="41" ht="15" customFormat="1" customHeight="1" s="166">
      <c r="A41" s="167" t="inlineStr">
        <is>
          <t>RBPI</t>
        </is>
      </c>
      <c r="B41" s="167" t="inlineStr">
        <is>
          <t>NNPP</t>
        </is>
      </c>
      <c r="C41" s="169" t="inlineStr">
        <is>
          <t xml:space="preserve">Management Company </t>
        </is>
      </c>
      <c r="D41" s="168" t="inlineStr">
        <is>
          <t>LT</t>
        </is>
      </c>
      <c r="E41" s="169" t="inlineStr">
        <is>
          <t xml:space="preserve">ННПП-УК-2020 </t>
        </is>
      </c>
      <c r="F41" s="1747" t="n">
        <v>43997</v>
      </c>
      <c r="G41" s="171" t="n">
        <v>22.5</v>
      </c>
      <c r="H41" s="172" t="n">
        <v>0.09</v>
      </c>
      <c r="I41" s="168" t="inlineStr">
        <is>
          <t>RUR</t>
        </is>
      </c>
    </row>
    <row r="42" ht="15" customFormat="1" customHeight="1" s="166">
      <c r="A42" s="167" t="inlineStr">
        <is>
          <t>RBPI</t>
        </is>
      </c>
      <c r="B42" s="167" t="inlineStr">
        <is>
          <t>NNPP</t>
        </is>
      </c>
      <c r="C42" s="169" t="inlineStr">
        <is>
          <t>PPP-2</t>
        </is>
      </c>
      <c r="D42" s="168" t="inlineStr">
        <is>
          <t>LT</t>
        </is>
      </c>
      <c r="E42" s="169" t="inlineStr">
        <is>
          <t>ПСП-2 N 000005</t>
        </is>
      </c>
      <c r="F42" s="1747" t="n">
        <v>43444</v>
      </c>
      <c r="G42" s="171" t="n">
        <v>25.31</v>
      </c>
      <c r="H42" s="174" t="n">
        <v>0.1</v>
      </c>
      <c r="I42" s="168" t="inlineStr">
        <is>
          <t>RUR</t>
        </is>
      </c>
    </row>
    <row r="43" ht="15" customFormat="1" customHeight="1" s="166">
      <c r="A43" s="167" t="inlineStr">
        <is>
          <t>RBPI</t>
        </is>
      </c>
      <c r="B43" s="167" t="inlineStr">
        <is>
          <t>NNPP</t>
        </is>
      </c>
      <c r="C43" s="169" t="inlineStr">
        <is>
          <t>PPP-2</t>
        </is>
      </c>
      <c r="D43" s="168" t="inlineStr">
        <is>
          <t>LT</t>
        </is>
      </c>
      <c r="E43" s="169" t="inlineStr">
        <is>
          <t>ПСП-2 N 000007</t>
        </is>
      </c>
      <c r="F43" s="1747" t="n">
        <v>43517</v>
      </c>
      <c r="G43" s="171" t="n">
        <v>65.586</v>
      </c>
      <c r="H43" s="174" t="n">
        <v>0.1</v>
      </c>
      <c r="I43" s="168" t="inlineStr">
        <is>
          <t>RUR</t>
        </is>
      </c>
    </row>
    <row r="44" ht="15" customFormat="1" customHeight="1" s="166">
      <c r="A44" s="167" t="inlineStr">
        <is>
          <t>RBPI</t>
        </is>
      </c>
      <c r="B44" s="167" t="inlineStr">
        <is>
          <t>NNPP</t>
        </is>
      </c>
      <c r="C44" s="169" t="inlineStr">
        <is>
          <t>NNPP-2</t>
        </is>
      </c>
      <c r="D44" s="168" t="inlineStr">
        <is>
          <t>LT</t>
        </is>
      </c>
      <c r="E44" s="169" t="inlineStr">
        <is>
          <t>2018-01</t>
        </is>
      </c>
      <c r="F44" s="1747" t="n">
        <v>43336</v>
      </c>
      <c r="G44" s="171" t="n">
        <v>100</v>
      </c>
      <c r="H44" s="172" t="n">
        <v>0.1</v>
      </c>
      <c r="I44" s="168" t="inlineStr">
        <is>
          <t>RUR</t>
        </is>
      </c>
    </row>
    <row r="45" ht="15" customFormat="1" customHeight="1" s="166">
      <c r="A45" s="167" t="inlineStr">
        <is>
          <t>RBPI</t>
        </is>
      </c>
      <c r="B45" s="167" t="inlineStr">
        <is>
          <t>NNPP</t>
        </is>
      </c>
      <c r="C45" s="169" t="inlineStr">
        <is>
          <t>NNPP-2</t>
        </is>
      </c>
      <c r="D45" s="168" t="inlineStr">
        <is>
          <t>LT</t>
        </is>
      </c>
      <c r="E45" s="169" t="inlineStr">
        <is>
          <t>ННПП-ННПП2-2018-02</t>
        </is>
      </c>
      <c r="F45" s="1747" t="n">
        <v>43398</v>
      </c>
      <c r="G45" s="171" t="n">
        <v>196.441</v>
      </c>
      <c r="H45" s="172" t="n">
        <v>0.1</v>
      </c>
      <c r="I45" s="168" t="inlineStr">
        <is>
          <t>RUR</t>
        </is>
      </c>
    </row>
    <row r="46" ht="15" customFormat="1" customHeight="1" s="166">
      <c r="A46" s="167" t="inlineStr">
        <is>
          <t>RBPI</t>
        </is>
      </c>
      <c r="B46" s="167" t="inlineStr">
        <is>
          <t>NNPP</t>
        </is>
      </c>
      <c r="C46" s="169" t="inlineStr">
        <is>
          <t>NNPP-2</t>
        </is>
      </c>
      <c r="D46" s="168" t="inlineStr">
        <is>
          <t>LT</t>
        </is>
      </c>
      <c r="E46" s="169" t="inlineStr">
        <is>
          <t>ННПП-ННПП2-2021-01</t>
        </is>
      </c>
      <c r="F46" s="1747" t="n">
        <v>44473</v>
      </c>
      <c r="G46" s="171" t="n">
        <v>115</v>
      </c>
      <c r="H46" s="174" t="n">
        <v>0.08</v>
      </c>
      <c r="I46" s="168" t="inlineStr">
        <is>
          <t>RUR</t>
        </is>
      </c>
    </row>
    <row r="47" ht="15" customFormat="1" customHeight="1" s="166">
      <c r="A47" s="167" t="inlineStr">
        <is>
          <t>RBPI</t>
        </is>
      </c>
      <c r="B47" s="167" t="inlineStr">
        <is>
          <t>NNPP-2</t>
        </is>
      </c>
      <c r="C47" s="169" t="inlineStr">
        <is>
          <t xml:space="preserve">Management Company </t>
        </is>
      </c>
      <c r="D47" s="168" t="inlineStr">
        <is>
          <t>LT</t>
        </is>
      </c>
      <c r="E47" s="169" t="inlineStr">
        <is>
          <t>ННПП2-УК-2016-06</t>
        </is>
      </c>
      <c r="F47" s="1747" t="n">
        <v>42530</v>
      </c>
      <c r="G47" s="171" t="n">
        <v>22.36562</v>
      </c>
      <c r="H47" s="172" t="n">
        <v>0.1</v>
      </c>
      <c r="I47" s="168" t="inlineStr">
        <is>
          <t>RUR</t>
        </is>
      </c>
    </row>
    <row r="48" ht="15" customFormat="1" customHeight="1" s="166">
      <c r="A48" s="167" t="inlineStr">
        <is>
          <t>RBPI</t>
        </is>
      </c>
      <c r="B48" s="167" t="inlineStr">
        <is>
          <t>NNPP-2</t>
        </is>
      </c>
      <c r="C48" s="169" t="inlineStr">
        <is>
          <t xml:space="preserve">Management Company </t>
        </is>
      </c>
      <c r="D48" s="168" t="inlineStr">
        <is>
          <t>LT</t>
        </is>
      </c>
      <c r="E48" s="169" t="inlineStr">
        <is>
          <t>ННПП2-УК-08-2017</t>
        </is>
      </c>
      <c r="F48" s="1747" t="n">
        <v>42971</v>
      </c>
      <c r="G48" s="171" t="n">
        <v>17.19359</v>
      </c>
      <c r="H48" s="172" t="n">
        <v>0.1</v>
      </c>
      <c r="I48" s="168" t="inlineStr">
        <is>
          <t>RUR</t>
        </is>
      </c>
    </row>
    <row r="49" ht="15" customFormat="1" customHeight="1" s="166">
      <c r="A49" s="167" t="inlineStr">
        <is>
          <t>RBPI</t>
        </is>
      </c>
      <c r="B49" s="167" t="inlineStr">
        <is>
          <t>NNPP-2</t>
        </is>
      </c>
      <c r="C49" s="169" t="inlineStr">
        <is>
          <t xml:space="preserve">Management Company </t>
        </is>
      </c>
      <c r="D49" s="168" t="inlineStr">
        <is>
          <t>LT</t>
        </is>
      </c>
      <c r="E49" s="169" t="inlineStr">
        <is>
          <t>ННПП2-УК-01-2018</t>
        </is>
      </c>
      <c r="F49" s="1747" t="n">
        <v>43118</v>
      </c>
      <c r="G49" s="171" t="n">
        <v>12</v>
      </c>
      <c r="H49" s="174" t="n">
        <v>0.1</v>
      </c>
      <c r="I49" s="168" t="inlineStr">
        <is>
          <t>RUR</t>
        </is>
      </c>
    </row>
    <row r="50" ht="15" customFormat="1" customHeight="1" s="166">
      <c r="A50" s="167" t="n"/>
      <c r="B50" s="167" t="n"/>
      <c r="C50" s="169" t="n"/>
      <c r="D50" s="168" t="n"/>
      <c r="E50" s="169" t="n"/>
      <c r="F50" s="1747" t="n"/>
      <c r="G50" s="171" t="n"/>
      <c r="H50" s="174" t="n"/>
      <c r="I50" s="168" t="n"/>
    </row>
    <row r="51" ht="15" customFormat="1" customHeight="1" s="166">
      <c r="A51" s="167" t="inlineStr">
        <is>
          <t>S&amp;W</t>
        </is>
      </c>
      <c r="B51" s="167" t="inlineStr">
        <is>
          <t>SEVERNAYA</t>
        </is>
      </c>
      <c r="C51" s="169" t="inlineStr">
        <is>
          <t>CPFT</t>
        </is>
      </c>
      <c r="D51" s="168" t="inlineStr">
        <is>
          <t>ST</t>
        </is>
      </c>
      <c r="E51" s="169" t="inlineStr">
        <is>
          <t>Договор займа № 3 от 08.04.21 (до 31.12.22)</t>
        </is>
      </c>
      <c r="F51" s="1747" t="n">
        <v>44294</v>
      </c>
      <c r="G51" s="171" t="n">
        <v>6</v>
      </c>
      <c r="H51" s="174" t="n">
        <v>0.095</v>
      </c>
      <c r="I51" s="168" t="inlineStr">
        <is>
          <t>RUR</t>
        </is>
      </c>
    </row>
    <row r="52" ht="15" customFormat="1" customHeight="1" s="166">
      <c r="A52" s="167" t="inlineStr">
        <is>
          <t>S&amp;W</t>
        </is>
      </c>
      <c r="B52" s="167" t="inlineStr">
        <is>
          <t>SEVERNAYA</t>
        </is>
      </c>
      <c r="C52" s="169" t="inlineStr">
        <is>
          <t>CPFT</t>
        </is>
      </c>
      <c r="D52" s="168" t="inlineStr">
        <is>
          <t>ST</t>
        </is>
      </c>
      <c r="E52" s="169" t="inlineStr">
        <is>
          <t>Договор займа № 4 от 12.10.21 (до 31.12.23)</t>
        </is>
      </c>
      <c r="F52" s="1747" t="n">
        <v>44481</v>
      </c>
      <c r="G52" s="171" t="n">
        <v>10</v>
      </c>
      <c r="H52" s="174" t="n">
        <v>0.095</v>
      </c>
      <c r="I52" s="168" t="inlineStr">
        <is>
          <t>RUR</t>
        </is>
      </c>
    </row>
    <row r="53" ht="15" customFormat="1" customHeight="1" s="166">
      <c r="A53" s="167" t="inlineStr">
        <is>
          <t>S&amp;W</t>
        </is>
      </c>
      <c r="B53" s="167" t="inlineStr">
        <is>
          <t>SEVERNAYA</t>
        </is>
      </c>
      <c r="C53" s="169" t="inlineStr">
        <is>
          <t>CPFT</t>
        </is>
      </c>
      <c r="D53" s="168" t="inlineStr">
        <is>
          <t>ST</t>
        </is>
      </c>
      <c r="E53" s="169" t="inlineStr">
        <is>
          <t>Договор займа № 5/СПФТ от 01.02.22 (до 31.12.23)</t>
        </is>
      </c>
      <c r="F53" s="1747" t="n">
        <v>44593</v>
      </c>
      <c r="G53" s="171" t="n">
        <v>3</v>
      </c>
      <c r="H53" s="174" t="n">
        <v>0.09</v>
      </c>
      <c r="I53" s="168" t="inlineStr">
        <is>
          <t>RUR</t>
        </is>
      </c>
    </row>
    <row r="54" ht="15" customFormat="1" customHeight="1" s="166">
      <c r="A54" s="167" t="n"/>
      <c r="B54" s="167" t="n"/>
      <c r="C54" s="169" t="n"/>
      <c r="D54" s="168" t="n"/>
      <c r="E54" s="169" t="n"/>
      <c r="F54" s="1747" t="n"/>
      <c r="G54" s="171" t="n"/>
      <c r="H54" s="174" t="n"/>
      <c r="I54" s="168" t="n"/>
    </row>
    <row r="55" ht="15" customFormat="1" customHeight="1" s="166">
      <c r="A55" s="167" t="inlineStr">
        <is>
          <t>CPFO</t>
        </is>
      </c>
      <c r="B55" s="167" t="inlineStr">
        <is>
          <t>CPFO</t>
        </is>
      </c>
      <c r="C55" s="169" t="inlineStr">
        <is>
          <t>CPFA</t>
        </is>
      </c>
      <c r="D55" s="168" t="inlineStr">
        <is>
          <t>ST</t>
        </is>
      </c>
      <c r="E55" s="169" t="inlineStr">
        <is>
          <t>Договор займа №6 от 14.07.2017</t>
        </is>
      </c>
      <c r="F55" s="1747" t="inlineStr">
        <is>
          <t>14.07.2017</t>
        </is>
      </c>
      <c r="G55" s="171" t="n">
        <v>339</v>
      </c>
      <c r="H55" s="174" t="n">
        <v>0.09</v>
      </c>
      <c r="I55" s="168" t="inlineStr">
        <is>
          <t>RUR</t>
        </is>
      </c>
    </row>
    <row r="56" ht="15" customFormat="1" customHeight="1" s="166">
      <c r="A56" s="167" t="inlineStr">
        <is>
          <t>CPFO</t>
        </is>
      </c>
      <c r="B56" s="167" t="inlineStr">
        <is>
          <t>CPFO</t>
        </is>
      </c>
      <c r="C56" s="169" t="inlineStr">
        <is>
          <t>CPFR</t>
        </is>
      </c>
      <c r="D56" s="168" t="inlineStr">
        <is>
          <t>ST</t>
        </is>
      </c>
      <c r="E56" s="169" t="inlineStr">
        <is>
          <t>Договор займа №3 от 15.08.2017 (500 млн)</t>
        </is>
      </c>
      <c r="F56" s="1747" t="inlineStr">
        <is>
          <t>15.08.2017</t>
        </is>
      </c>
      <c r="G56" s="171" t="n">
        <v>365</v>
      </c>
      <c r="H56" s="174" t="n">
        <v>0.09</v>
      </c>
      <c r="I56" s="168" t="inlineStr">
        <is>
          <t>RUR</t>
        </is>
      </c>
    </row>
    <row r="57" ht="15" customFormat="1" customHeight="1" s="166">
      <c r="A57" s="167" t="inlineStr">
        <is>
          <t>CPFO</t>
        </is>
      </c>
      <c r="B57" s="167" t="inlineStr">
        <is>
          <t>CPFO</t>
        </is>
      </c>
      <c r="C57" s="169" t="inlineStr">
        <is>
          <t>CPFF</t>
        </is>
      </c>
      <c r="D57" s="168" t="inlineStr">
        <is>
          <t>ST</t>
        </is>
      </c>
      <c r="E57" s="169" t="inlineStr">
        <is>
          <t>Договор займа №3 от 10.03.2017 г. (500 000 000)</t>
        </is>
      </c>
      <c r="F57" s="1747" t="inlineStr">
        <is>
          <t>10.03.2017</t>
        </is>
      </c>
      <c r="G57" s="171" t="n">
        <v>6</v>
      </c>
      <c r="H57" s="174" t="n">
        <v>0.09</v>
      </c>
      <c r="I57" s="168" t="inlineStr">
        <is>
          <t>RUR</t>
        </is>
      </c>
    </row>
    <row r="58" ht="15" customFormat="1" customHeight="1" s="166">
      <c r="A58" s="167" t="inlineStr">
        <is>
          <t>CPFO</t>
        </is>
      </c>
      <c r="B58" s="167" t="inlineStr">
        <is>
          <t>CPFO</t>
        </is>
      </c>
      <c r="C58" s="169" t="inlineStr">
        <is>
          <t>CPFC</t>
        </is>
      </c>
      <c r="D58" s="168" t="inlineStr">
        <is>
          <t>ST</t>
        </is>
      </c>
      <c r="E58" s="169" t="inlineStr">
        <is>
          <t>Договор займа №7 от 02.11.2017г (50 млн)</t>
        </is>
      </c>
      <c r="F58" s="1747" t="inlineStr">
        <is>
          <t>02.11.2017</t>
        </is>
      </c>
      <c r="G58" s="171" t="n">
        <v>34</v>
      </c>
      <c r="H58" s="174" t="n">
        <v>0.09</v>
      </c>
      <c r="I58" s="168" t="inlineStr">
        <is>
          <t>RUR</t>
        </is>
      </c>
    </row>
    <row r="59" ht="15" customFormat="1" customHeight="1" s="166">
      <c r="A59" s="167" t="n"/>
      <c r="B59" s="167" t="n"/>
      <c r="C59" s="169" t="n"/>
      <c r="D59" s="168" t="n"/>
      <c r="E59" s="167" t="n"/>
      <c r="F59" s="1747" t="n"/>
      <c r="G59" s="171" t="n"/>
      <c r="H59" s="172" t="n"/>
      <c r="I59" s="168" t="n"/>
    </row>
    <row r="60" ht="15" customFormat="1" customHeight="1" s="181">
      <c r="A60" s="182" t="inlineStr">
        <is>
          <t>RBPI</t>
        </is>
      </c>
      <c r="B60" s="182" t="n"/>
      <c r="C60" s="182" t="inlineStr">
        <is>
          <t>Short-term loans</t>
        </is>
      </c>
      <c r="D60" s="183" t="inlineStr">
        <is>
          <t>ST</t>
        </is>
      </c>
      <c r="E60" s="182" t="n"/>
      <c r="F60" s="1748" t="n"/>
      <c r="G60" s="185">
        <f>SUMIFS($G$4:$G$59,$D$4:$D$59,D60,$I$4:$I$59,I60,$A$4:$A$59,A60)</f>
        <v/>
      </c>
      <c r="H60" s="186" t="n"/>
      <c r="I60" s="186" t="inlineStr">
        <is>
          <t>RUR</t>
        </is>
      </c>
    </row>
    <row r="61" ht="15" customFormat="1" customHeight="1" s="181">
      <c r="A61" s="182" t="inlineStr">
        <is>
          <t>RBPI</t>
        </is>
      </c>
      <c r="B61" s="182" t="n"/>
      <c r="C61" s="182" t="inlineStr">
        <is>
          <t>Long-term loans</t>
        </is>
      </c>
      <c r="D61" s="183" t="inlineStr">
        <is>
          <t>LT</t>
        </is>
      </c>
      <c r="E61" s="182" t="n"/>
      <c r="F61" s="1748" t="n"/>
      <c r="G61" s="185">
        <f>SUMIFS($G$4:$G$59,$D$4:$D$59,D61,$I$4:$I$59,I61,$A$4:$A$59,A61)</f>
        <v/>
      </c>
      <c r="H61" s="186" t="n"/>
      <c r="I61" s="186" t="inlineStr">
        <is>
          <t>RUR</t>
        </is>
      </c>
    </row>
    <row r="62" customFormat="1" s="166">
      <c r="A62" s="195" t="inlineStr">
        <is>
          <t>RBPI</t>
        </is>
      </c>
      <c r="B62" s="195" t="n"/>
      <c r="C62" s="195" t="inlineStr">
        <is>
          <t>Total</t>
        </is>
      </c>
      <c r="D62" s="196" t="n"/>
      <c r="E62" s="197" t="n"/>
      <c r="F62" s="197" t="n"/>
      <c r="G62" s="198">
        <f>SUM(G60:G61)</f>
        <v/>
      </c>
      <c r="H62" s="199" t="n"/>
      <c r="I62" s="200" t="inlineStr">
        <is>
          <t>RUR</t>
        </is>
      </c>
    </row>
    <row r="63" ht="15" customFormat="1" customHeight="1" s="181">
      <c r="A63" s="175" t="inlineStr">
        <is>
          <t>RBPI</t>
        </is>
      </c>
      <c r="B63" s="175" t="n"/>
      <c r="C63" s="176" t="n"/>
      <c r="D63" s="177" t="inlineStr">
        <is>
          <t>LT</t>
        </is>
      </c>
      <c r="E63" s="175" t="n"/>
      <c r="F63" s="1749" t="n"/>
      <c r="G63" s="179">
        <f>SUMIFS($G$4:$G$59,$D$4:$D$59,D63,$I$4:$I$59,I63,$A$4:$A$59,A63)</f>
        <v/>
      </c>
      <c r="H63" s="180" t="n"/>
      <c r="I63" s="180" t="inlineStr">
        <is>
          <t>EUR</t>
        </is>
      </c>
    </row>
    <row r="64" customFormat="1" s="166">
      <c r="A64" s="167" t="n"/>
      <c r="B64" s="167" t="n"/>
      <c r="C64" s="169" t="n"/>
      <c r="D64" s="168" t="n"/>
      <c r="E64" s="169" t="n"/>
      <c r="F64" s="169" t="n"/>
      <c r="G64" s="168" t="n"/>
      <c r="H64" s="187" t="n"/>
      <c r="I64" s="168" t="n"/>
    </row>
    <row r="65" ht="15" customFormat="1" customHeight="1" s="181">
      <c r="A65" s="182" t="inlineStr">
        <is>
          <t>CPFO</t>
        </is>
      </c>
      <c r="B65" s="182" t="n"/>
      <c r="C65" s="182" t="inlineStr">
        <is>
          <t>Short-term loans</t>
        </is>
      </c>
      <c r="D65" s="183" t="inlineStr">
        <is>
          <t>ST</t>
        </is>
      </c>
      <c r="E65" s="182" t="n"/>
      <c r="F65" s="1748" t="n"/>
      <c r="G65" s="185">
        <f>SUMIFS($G$4:$G$59,$D$4:$D$59,D65,$I$4:$I$59,I65,$A$4:$A$59,A65)</f>
        <v/>
      </c>
      <c r="H65" s="186" t="n"/>
      <c r="I65" s="186" t="inlineStr">
        <is>
          <t>RUR</t>
        </is>
      </c>
    </row>
    <row r="66" ht="15" customFormat="1" customHeight="1" s="181">
      <c r="A66" s="182" t="inlineStr">
        <is>
          <t>CPFO</t>
        </is>
      </c>
      <c r="B66" s="182" t="n"/>
      <c r="C66" s="182" t="inlineStr">
        <is>
          <t>Long-term loans</t>
        </is>
      </c>
      <c r="D66" s="183" t="inlineStr">
        <is>
          <t>LT</t>
        </is>
      </c>
      <c r="E66" s="182" t="n"/>
      <c r="F66" s="1748" t="n"/>
      <c r="G66" s="185">
        <f>SUMIFS($G$4:$G$59,$D$4:$D$59,D66,$I$4:$I$59,I66,$A$4:$A$59,A66)</f>
        <v/>
      </c>
      <c r="H66" s="186" t="n"/>
      <c r="I66" s="186" t="inlineStr">
        <is>
          <t>RUR</t>
        </is>
      </c>
    </row>
    <row r="67" customFormat="1" s="166">
      <c r="A67" s="195" t="inlineStr">
        <is>
          <t>CPFO</t>
        </is>
      </c>
      <c r="B67" s="195" t="n"/>
      <c r="C67" s="195" t="inlineStr">
        <is>
          <t>Total</t>
        </is>
      </c>
      <c r="D67" s="196" t="n"/>
      <c r="E67" s="197" t="n"/>
      <c r="F67" s="197" t="n"/>
      <c r="G67" s="198">
        <f>SUM(G65:G66)</f>
        <v/>
      </c>
      <c r="H67" s="199" t="n"/>
      <c r="I67" s="200" t="inlineStr">
        <is>
          <t>RUR</t>
        </is>
      </c>
    </row>
    <row r="68" hidden="1">
      <c r="G68" s="191" t="n"/>
    </row>
    <row r="69">
      <c r="G69" s="191" t="n"/>
    </row>
    <row r="70" ht="15" customFormat="1" customHeight="1" s="181">
      <c r="A70" s="182" t="inlineStr">
        <is>
          <t>S&amp;W</t>
        </is>
      </c>
      <c r="B70" s="182" t="n"/>
      <c r="C70" s="182" t="inlineStr">
        <is>
          <t>Short-term loans</t>
        </is>
      </c>
      <c r="D70" s="183" t="inlineStr">
        <is>
          <t>ST</t>
        </is>
      </c>
      <c r="E70" s="182" t="n"/>
      <c r="F70" s="1748" t="n"/>
      <c r="G70" s="185">
        <f>SUMIFS($G$4:$G$59,$D$4:$D$59,D70,$I$4:$I$59,I70,$A$4:$A$59,A70)</f>
        <v/>
      </c>
      <c r="H70" s="186" t="n"/>
      <c r="I70" s="186" t="inlineStr">
        <is>
          <t>RUR</t>
        </is>
      </c>
    </row>
    <row r="71" ht="15" customFormat="1" customHeight="1" s="181">
      <c r="A71" s="182" t="inlineStr">
        <is>
          <t>S&amp;W</t>
        </is>
      </c>
      <c r="B71" s="182" t="n"/>
      <c r="C71" s="182" t="inlineStr">
        <is>
          <t>Long-term loans</t>
        </is>
      </c>
      <c r="D71" s="183" t="inlineStr">
        <is>
          <t>LT</t>
        </is>
      </c>
      <c r="E71" s="182" t="n"/>
      <c r="F71" s="1748" t="n"/>
      <c r="G71" s="185">
        <f>SUMIFS($G$4:$G$59,$D$4:$D$59,D71,$I$4:$I$59,I71,$A$4:$A$59,A71)</f>
        <v/>
      </c>
      <c r="H71" s="186" t="n"/>
      <c r="I71" s="186" t="inlineStr">
        <is>
          <t>RUR</t>
        </is>
      </c>
    </row>
    <row r="72" customFormat="1" s="166">
      <c r="A72" s="195" t="inlineStr">
        <is>
          <t>S&amp;W</t>
        </is>
      </c>
      <c r="B72" s="195" t="n"/>
      <c r="C72" s="195" t="inlineStr">
        <is>
          <t>Total</t>
        </is>
      </c>
      <c r="D72" s="196" t="n"/>
      <c r="E72" s="197" t="n"/>
      <c r="F72" s="197" t="n"/>
      <c r="G72" s="198">
        <f>SUM(G70:G71)</f>
        <v/>
      </c>
      <c r="H72" s="199" t="n"/>
      <c r="I72" s="200" t="inlineStr">
        <is>
          <t>RUR</t>
        </is>
      </c>
    </row>
    <row r="74" ht="15" customFormat="1" customHeight="1" s="181">
      <c r="A74" s="182" t="inlineStr">
        <is>
          <t>Total</t>
        </is>
      </c>
      <c r="B74" s="182" t="n"/>
      <c r="C74" s="182" t="inlineStr">
        <is>
          <t>Short-term loans</t>
        </is>
      </c>
      <c r="D74" s="183" t="inlineStr">
        <is>
          <t>ST</t>
        </is>
      </c>
      <c r="E74" s="182" t="n"/>
      <c r="F74" s="1748" t="n"/>
      <c r="G74" s="185">
        <f>G60+G65+G70</f>
        <v/>
      </c>
      <c r="H74" s="186" t="n"/>
      <c r="I74" s="186" t="inlineStr">
        <is>
          <t>RUR</t>
        </is>
      </c>
    </row>
    <row r="75" ht="15" customFormat="1" customHeight="1" s="181">
      <c r="A75" s="182" t="n"/>
      <c r="B75" s="182" t="n"/>
      <c r="C75" s="182" t="inlineStr">
        <is>
          <t>Long-term loans</t>
        </is>
      </c>
      <c r="D75" s="183" t="inlineStr">
        <is>
          <t>LT</t>
        </is>
      </c>
      <c r="E75" s="182" t="n"/>
      <c r="F75" s="1748" t="n"/>
      <c r="G75" s="185">
        <f>G61+G66+G71</f>
        <v/>
      </c>
      <c r="H75" s="186" t="n"/>
      <c r="I75" s="186" t="inlineStr">
        <is>
          <t>RUR</t>
        </is>
      </c>
    </row>
    <row r="76" customFormat="1" s="166">
      <c r="A76" s="195" t="n"/>
      <c r="B76" s="195" t="n"/>
      <c r="C76" s="195" t="inlineStr">
        <is>
          <t>Total</t>
        </is>
      </c>
      <c r="D76" s="196" t="n"/>
      <c r="E76" s="197" t="n"/>
      <c r="F76" s="197" t="n"/>
      <c r="G76" s="198">
        <f>SUM(G74:G75)</f>
        <v/>
      </c>
      <c r="H76" s="199" t="n"/>
      <c r="I76" s="200" t="inlineStr">
        <is>
          <t>RUR</t>
        </is>
      </c>
    </row>
    <row r="77" ht="15" customFormat="1" customHeight="1" s="181">
      <c r="A77" s="175" t="n"/>
      <c r="B77" s="175" t="n"/>
      <c r="C77" s="176" t="n"/>
      <c r="D77" s="177" t="inlineStr">
        <is>
          <t>LT</t>
        </is>
      </c>
      <c r="E77" s="175" t="n"/>
      <c r="F77" s="1749" t="n"/>
      <c r="G77" s="179">
        <f>G63+G68+G73</f>
        <v/>
      </c>
      <c r="H77" s="180" t="n"/>
      <c r="I77" s="180" t="inlineStr">
        <is>
          <t>EUR</t>
        </is>
      </c>
    </row>
    <row r="78">
      <c r="G78" s="201">
        <f>SUM(G4:G58)-G76-G77</f>
        <v/>
      </c>
      <c r="H78" s="194" t="n"/>
    </row>
    <row r="79">
      <c r="H79" s="194" t="n"/>
    </row>
    <row r="80">
      <c r="H80" s="194" t="n"/>
    </row>
    <row r="81">
      <c r="H81" s="194" t="n"/>
    </row>
    <row r="82">
      <c r="H82" s="194" t="n"/>
    </row>
    <row r="83">
      <c r="H83" s="194" t="n"/>
    </row>
    <row r="84">
      <c r="H84" s="194" t="n"/>
    </row>
    <row r="85">
      <c r="H85" s="194" t="n"/>
    </row>
    <row r="86">
      <c r="H86" s="194" t="n"/>
    </row>
    <row r="87">
      <c r="H87" s="194" t="n"/>
    </row>
    <row r="88">
      <c r="H88" s="194" t="n"/>
    </row>
    <row r="89">
      <c r="H89" s="194" t="n"/>
    </row>
    <row r="90">
      <c r="H90" s="194" t="n"/>
    </row>
    <row r="91">
      <c r="H91" s="187" t="n"/>
    </row>
    <row r="92">
      <c r="H92" s="187" t="n"/>
    </row>
    <row r="93">
      <c r="H93" s="187" t="n"/>
    </row>
    <row r="94">
      <c r="H94" s="187" t="n"/>
    </row>
    <row r="95">
      <c r="H95" s="187" t="n"/>
    </row>
    <row r="96">
      <c r="H96" s="187" t="n"/>
    </row>
    <row r="97">
      <c r="H97" s="187" t="n"/>
    </row>
    <row r="98">
      <c r="H98" s="187" t="n"/>
    </row>
    <row r="99">
      <c r="H99" s="187" t="n"/>
    </row>
    <row r="100">
      <c r="H100" s="187" t="n"/>
    </row>
    <row r="101">
      <c r="H101" s="187" t="n"/>
    </row>
    <row r="102">
      <c r="H102" s="187" t="n"/>
    </row>
    <row r="103">
      <c r="H103" s="187" t="n"/>
    </row>
    <row r="104">
      <c r="H104" s="187" t="n"/>
    </row>
    <row r="105">
      <c r="H105" s="187" t="n"/>
    </row>
    <row r="106">
      <c r="H106" s="187" t="n"/>
    </row>
    <row r="107">
      <c r="H107" s="187" t="n"/>
    </row>
    <row r="108">
      <c r="H108" s="187" t="n"/>
    </row>
    <row r="109">
      <c r="H109" s="187" t="n"/>
    </row>
    <row r="110">
      <c r="H110" s="187" t="n"/>
    </row>
    <row r="111">
      <c r="H111" s="187" t="n"/>
    </row>
    <row r="112">
      <c r="H112" s="187" t="n"/>
    </row>
    <row r="113">
      <c r="H113" s="187" t="n"/>
    </row>
    <row r="114">
      <c r="H114" s="187" t="n"/>
    </row>
    <row r="115">
      <c r="H115" s="187" t="n"/>
    </row>
    <row r="116">
      <c r="H116" s="187" t="n"/>
    </row>
    <row r="117">
      <c r="H117" s="187" t="n"/>
    </row>
    <row r="118">
      <c r="H118" s="187" t="n"/>
    </row>
    <row r="119">
      <c r="H119" s="187" t="n"/>
    </row>
    <row r="120">
      <c r="H120" s="187" t="n"/>
    </row>
    <row r="121">
      <c r="H121" s="187" t="n"/>
    </row>
    <row r="122">
      <c r="H122" s="187" t="n"/>
    </row>
    <row r="123">
      <c r="H123" s="187" t="n"/>
    </row>
    <row r="124">
      <c r="H124" s="187" t="n"/>
    </row>
    <row r="125">
      <c r="H125" s="187" t="n"/>
    </row>
    <row r="126">
      <c r="H126" s="187" t="n"/>
    </row>
    <row r="127">
      <c r="H127" s="187" t="n"/>
    </row>
    <row r="128">
      <c r="H128" s="187" t="n"/>
    </row>
    <row r="129">
      <c r="H129" s="187" t="n"/>
    </row>
    <row r="130">
      <c r="H130" s="187" t="n"/>
    </row>
    <row r="131">
      <c r="H131" s="187" t="n"/>
    </row>
    <row r="132">
      <c r="H132" s="187" t="n"/>
    </row>
    <row r="133">
      <c r="H133" s="187" t="n"/>
    </row>
    <row r="134">
      <c r="H134" s="187" t="n"/>
    </row>
    <row r="135">
      <c r="H135" s="187" t="n"/>
    </row>
    <row r="136">
      <c r="H136" s="187" t="n"/>
    </row>
    <row r="137">
      <c r="H137" s="187" t="n"/>
    </row>
  </sheetData>
  <mergeCells count="1">
    <mergeCell ref="D1:E1"/>
  </mergeCells>
  <pageMargins left="0.7086614173228347" right="0.7086614173228347" top="0.7480314960629921" bottom="0.7480314960629921" header="0.3149606299212598" footer="0.3149606299212598"/>
  <pageSetup orientation="landscape" paperSize="9" scale="39"/>
  <rowBreaks count="1" manualBreakCount="1">
    <brk id="71" min="0" max="16383" man="1"/>
  </rowBreak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F12"/>
  <sheetViews>
    <sheetView showGridLines="0" workbookViewId="0">
      <selection activeCell="B3" sqref="B3"/>
    </sheetView>
  </sheetViews>
  <sheetFormatPr baseColWidth="8" defaultColWidth="8.77734375" defaultRowHeight="30" customHeight="1"/>
  <cols>
    <col width="8.77734375" customWidth="1" style="98" min="1" max="1"/>
    <col width="31" customWidth="1" style="98" min="2" max="2"/>
    <col width="10.6640625" customWidth="1" style="575" min="3" max="5"/>
    <col width="8.77734375" customWidth="1" style="98" min="6" max="16384"/>
  </cols>
  <sheetData>
    <row r="2" ht="30" customHeight="1">
      <c r="E2" s="98" t="n"/>
      <c r="F2" s="576" t="inlineStr">
        <is>
          <t>หน่วย : ล้านรูเบิ้ล</t>
        </is>
      </c>
    </row>
    <row r="3" ht="30" customHeight="1">
      <c r="B3" s="577" t="inlineStr">
        <is>
          <t>Investment (CPFO &amp; RBPI Farm)</t>
        </is>
      </c>
      <c r="C3" s="578" t="inlineStr">
        <is>
          <t>มี.ค.</t>
        </is>
      </c>
      <c r="D3" s="578" t="inlineStr">
        <is>
          <t>เม.ย.</t>
        </is>
      </c>
      <c r="E3" s="578" t="inlineStr">
        <is>
          <t>พ.ค.</t>
        </is>
      </c>
      <c r="F3" s="578" t="inlineStr">
        <is>
          <t>รวม</t>
        </is>
      </c>
    </row>
    <row r="4" ht="30" customHeight="1">
      <c r="B4" s="579" t="inlineStr">
        <is>
          <t>ประมาณการ : 14.03.2022</t>
        </is>
      </c>
      <c r="C4" s="580" t="n">
        <v>3654.41458213</v>
      </c>
      <c r="D4" s="580" t="n">
        <v>1457.477333333333</v>
      </c>
      <c r="E4" s="580" t="n">
        <v>2004.077035658047</v>
      </c>
      <c r="F4" s="580">
        <f>SUM(C4:E4)</f>
        <v/>
      </c>
    </row>
    <row r="5" ht="30" customHeight="1">
      <c r="B5" s="98" t="inlineStr">
        <is>
          <t>เกิดจริง : Updated 07.06.2022</t>
        </is>
      </c>
      <c r="C5" s="581">
        <f>-#REF!</f>
        <v/>
      </c>
      <c r="D5" s="581">
        <f>-#REF!</f>
        <v/>
      </c>
      <c r="E5" s="581">
        <f>-#REF!</f>
        <v/>
      </c>
      <c r="F5" s="581">
        <f>SUM(C5:E5)</f>
        <v/>
      </c>
    </row>
    <row r="6" ht="30" customHeight="1" thickBot="1">
      <c r="B6" s="582" t="inlineStr">
        <is>
          <t>ผลต่าง</t>
        </is>
      </c>
      <c r="C6" s="583">
        <f>C5-C4</f>
        <v/>
      </c>
      <c r="D6" s="583">
        <f>D5-D4</f>
        <v/>
      </c>
      <c r="E6" s="583">
        <f>E5-E4</f>
        <v/>
      </c>
      <c r="F6" s="583">
        <f>SUM(C6:E6)</f>
        <v/>
      </c>
    </row>
    <row r="7" ht="30" customHeight="1" thickTop="1"/>
    <row r="8" ht="30" customHeight="1">
      <c r="E8" s="98" t="n"/>
      <c r="F8" s="576" t="inlineStr">
        <is>
          <t>หน่วย : ล้านรูเบิ้ล</t>
        </is>
      </c>
    </row>
    <row r="9" ht="30" customHeight="1">
      <c r="B9" s="577" t="inlineStr">
        <is>
          <t>Raw Material</t>
        </is>
      </c>
      <c r="C9" s="578" t="inlineStr">
        <is>
          <t>มี.ค.</t>
        </is>
      </c>
      <c r="D9" s="578" t="inlineStr">
        <is>
          <t>เม.ย.</t>
        </is>
      </c>
      <c r="E9" s="578" t="inlineStr">
        <is>
          <t>พ.ค.</t>
        </is>
      </c>
      <c r="F9" s="578" t="inlineStr">
        <is>
          <t>รวม</t>
        </is>
      </c>
    </row>
    <row r="10" ht="30" customHeight="1">
      <c r="B10" s="579">
        <f>B4</f>
        <v/>
      </c>
      <c r="C10" s="580" t="n">
        <v>3250.174182517843</v>
      </c>
      <c r="D10" s="580" t="n">
        <v>2125.893166731258</v>
      </c>
      <c r="E10" s="580" t="n">
        <v>1931.642362274965</v>
      </c>
      <c r="F10" s="580">
        <f>SUM(C10:E10)</f>
        <v/>
      </c>
    </row>
    <row r="11" ht="30" customHeight="1">
      <c r="B11" s="98">
        <f>B5</f>
        <v/>
      </c>
      <c r="C11" s="581">
        <f>-#REF!</f>
        <v/>
      </c>
      <c r="D11" s="581">
        <f>-#REF!</f>
        <v/>
      </c>
      <c r="E11" s="581">
        <f>-#REF!</f>
        <v/>
      </c>
      <c r="F11" s="581">
        <f>SUM(C11:E11)</f>
        <v/>
      </c>
    </row>
    <row r="12" ht="30" customHeight="1" thickBot="1">
      <c r="B12" s="582">
        <f>B6</f>
        <v/>
      </c>
      <c r="C12" s="583">
        <f>C11-C10</f>
        <v/>
      </c>
      <c r="D12" s="583">
        <f>D11-D10</f>
        <v/>
      </c>
      <c r="E12" s="583">
        <f>E11-E10</f>
        <v/>
      </c>
      <c r="F12" s="583">
        <f>SUM(C12:E12)</f>
        <v/>
      </c>
    </row>
    <row r="13" ht="30" customHeight="1" thickTop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7" tint="0.7999816888943144"/>
    <outlinePr summaryBelow="1" summaryRight="1"/>
    <pageSetUpPr/>
  </sheetPr>
  <dimension ref="A1:AD108"/>
  <sheetViews>
    <sheetView showGridLines="0" zoomScale="50" zoomScaleNormal="50" workbookViewId="0">
      <pane xSplit="5" ySplit="2" topLeftCell="R3" activePane="bottomRight" state="frozen"/>
      <selection pane="topRight" activeCell="F1" sqref="F1"/>
      <selection pane="bottomLeft" activeCell="A3" sqref="A3"/>
      <selection pane="bottomRight" activeCell="AJ104" sqref="AJ104"/>
    </sheetView>
  </sheetViews>
  <sheetFormatPr baseColWidth="8" defaultColWidth="8.6640625" defaultRowHeight="24.75" customHeight="1"/>
  <cols>
    <col width="8.6640625" customWidth="1" style="405" min="1" max="1"/>
    <col width="3.21875" customWidth="1" style="203" min="2" max="3"/>
    <col width="27" customWidth="1" style="203" min="4" max="4"/>
    <col width="10.6640625" customWidth="1" style="204" min="5" max="5"/>
    <col hidden="1" width="12.77734375" customWidth="1" style="205" min="6" max="17"/>
    <col width="12.77734375" customWidth="1" style="205" min="18" max="18"/>
    <col width="1.21875" customWidth="1" style="527" min="19" max="19"/>
    <col width="11.77734375" customWidth="1" style="203" min="20" max="21"/>
    <col width="18.21875" customWidth="1" style="203" min="22" max="30"/>
    <col width="11" customWidth="1" style="203" min="31" max="31"/>
    <col width="8.6640625" customWidth="1" style="203" min="32" max="16384"/>
  </cols>
  <sheetData>
    <row r="1" hidden="1" ht="24.75" customHeight="1" thickBot="1">
      <c r="B1" s="476" t="inlineStr">
        <is>
          <t>As at 05.04.2022 Including CPFI loan</t>
        </is>
      </c>
      <c r="H1" s="1750">
        <f>2000+2175</f>
        <v/>
      </c>
      <c r="I1" s="476" t="inlineStr">
        <is>
          <t>M.RUB</t>
        </is>
      </c>
    </row>
    <row r="2" hidden="1" ht="24.75" customHeight="1" thickBot="1">
      <c r="B2" s="207" t="inlineStr">
        <is>
          <t>RUSSIA</t>
        </is>
      </c>
      <c r="C2" s="1556" t="n"/>
      <c r="D2" s="1556" t="n"/>
      <c r="E2" s="1557" t="n"/>
      <c r="F2" s="1383" t="inlineStr">
        <is>
          <t>Jan</t>
        </is>
      </c>
      <c r="G2" s="1383" t="inlineStr">
        <is>
          <t>Feb</t>
        </is>
      </c>
      <c r="H2" s="1383" t="inlineStr">
        <is>
          <t>Mar</t>
        </is>
      </c>
      <c r="I2" s="1383" t="inlineStr">
        <is>
          <t>Apr</t>
        </is>
      </c>
      <c r="J2" s="1383" t="inlineStr">
        <is>
          <t>May</t>
        </is>
      </c>
      <c r="K2" s="1383" t="inlineStr">
        <is>
          <t>Jun</t>
        </is>
      </c>
      <c r="L2" s="1383" t="inlineStr">
        <is>
          <t>Jul</t>
        </is>
      </c>
      <c r="M2" s="1383" t="inlineStr">
        <is>
          <t>Aug</t>
        </is>
      </c>
      <c r="N2" s="1383" t="inlineStr">
        <is>
          <t>Sep</t>
        </is>
      </c>
      <c r="O2" s="1383" t="inlineStr">
        <is>
          <t>Oct</t>
        </is>
      </c>
      <c r="P2" s="1383" t="inlineStr">
        <is>
          <t>Nov</t>
        </is>
      </c>
      <c r="Q2" s="1383" t="inlineStr">
        <is>
          <t>Dec</t>
        </is>
      </c>
      <c r="R2" s="207" t="inlineStr">
        <is>
          <t>Total</t>
        </is>
      </c>
      <c r="S2" s="528" t="n"/>
    </row>
    <row r="3" hidden="1" ht="24.75" customFormat="1" customHeight="1" s="208">
      <c r="A3" s="406" t="n"/>
      <c r="B3" s="505" t="inlineStr">
        <is>
          <t>Cash on hand</t>
        </is>
      </c>
      <c r="C3" s="506" t="n"/>
      <c r="D3" s="507" t="n"/>
      <c r="E3" s="212" t="n">
        <v>-1</v>
      </c>
      <c r="F3" s="364" t="n">
        <v>6206.612891254639</v>
      </c>
      <c r="G3" s="364">
        <f>F14</f>
        <v/>
      </c>
      <c r="H3" s="364">
        <f>G14</f>
        <v/>
      </c>
      <c r="I3" s="364">
        <f>H14</f>
        <v/>
      </c>
      <c r="J3" s="364">
        <f>I14</f>
        <v/>
      </c>
      <c r="K3" s="364">
        <f>J14</f>
        <v/>
      </c>
      <c r="L3" s="364">
        <f>K14</f>
        <v/>
      </c>
      <c r="M3" s="364">
        <f>L14</f>
        <v/>
      </c>
      <c r="N3" s="364">
        <f>M14</f>
        <v/>
      </c>
      <c r="O3" s="364">
        <f>N14</f>
        <v/>
      </c>
      <c r="P3" s="364">
        <f>O14</f>
        <v/>
      </c>
      <c r="Q3" s="364">
        <f>P14</f>
        <v/>
      </c>
      <c r="R3" s="365">
        <f>F3</f>
        <v/>
      </c>
      <c r="S3" s="529" t="n"/>
    </row>
    <row r="4" hidden="1" ht="24.75" customHeight="1">
      <c r="A4" s="405" t="n">
        <v>1</v>
      </c>
      <c r="B4" s="508" t="inlineStr">
        <is>
          <t>In</t>
        </is>
      </c>
      <c r="C4" s="509" t="inlineStr">
        <is>
          <t>Cash from Operating</t>
        </is>
      </c>
      <c r="D4" s="510" t="n"/>
      <c r="F4" s="369" t="n">
        <v>5648.880923136027</v>
      </c>
      <c r="G4" s="369" t="n">
        <v>5412.779081832912</v>
      </c>
      <c r="H4" s="369" t="n">
        <v>5638.299485752822</v>
      </c>
      <c r="I4" s="369" t="n">
        <v>5966.569448405628</v>
      </c>
      <c r="J4" s="369" t="n">
        <v>6216.249889639395</v>
      </c>
      <c r="K4" s="369" t="n">
        <v>5827.192522886337</v>
      </c>
      <c r="L4" s="369" t="n">
        <v>6462.409869835326</v>
      </c>
      <c r="M4" s="369" t="n">
        <v>5942.382539409213</v>
      </c>
      <c r="N4" s="369" t="n">
        <v>6134.149530942174</v>
      </c>
      <c r="O4" s="369" t="n">
        <v>6247.927968295216</v>
      </c>
      <c r="P4" s="369" t="n">
        <v>6255.052535294108</v>
      </c>
      <c r="Q4" s="369" t="n">
        <v>6371.589159091734</v>
      </c>
      <c r="R4" s="370">
        <f>SUM(F4:Q4)</f>
        <v/>
      </c>
      <c r="S4" s="530" t="n"/>
    </row>
    <row r="5" hidden="1" ht="24.75" customHeight="1">
      <c r="A5" s="405" t="n">
        <v>2</v>
      </c>
      <c r="B5" s="511" t="n"/>
      <c r="C5" s="509" t="inlineStr">
        <is>
          <t>Loan</t>
        </is>
      </c>
      <c r="D5" s="510" t="n"/>
      <c r="F5" s="369" t="n">
        <v>1667.599905963333</v>
      </c>
      <c r="G5" s="369" t="n">
        <v>1062.270505703333</v>
      </c>
      <c r="H5" s="369" t="n">
        <v>822.0003333333333</v>
      </c>
      <c r="I5" s="503" t="n">
        <v>5303.333333333334</v>
      </c>
      <c r="J5" s="369" t="n">
        <v>1416.270333333333</v>
      </c>
      <c r="K5" s="369" t="n">
        <v>1441.270333333333</v>
      </c>
      <c r="L5" s="369" t="n">
        <v>1916.270333333333</v>
      </c>
      <c r="M5" s="369" t="n">
        <v>808.3333333333333</v>
      </c>
      <c r="N5" s="369" t="n">
        <v>933.3333333333333</v>
      </c>
      <c r="O5" s="381" t="n">
        <v>808.3333333333333</v>
      </c>
      <c r="P5" s="381" t="n">
        <v>808.3333333333333</v>
      </c>
      <c r="Q5" s="369" t="n">
        <v>754.6183333333332</v>
      </c>
      <c r="R5" s="370">
        <f>SUM(F5:Q5)</f>
        <v/>
      </c>
      <c r="S5" s="530" t="n"/>
    </row>
    <row r="6" hidden="1" ht="24.75" customHeight="1" thickBot="1">
      <c r="B6" s="512" t="n"/>
      <c r="C6" s="513" t="inlineStr">
        <is>
          <t>Total Cash In</t>
        </is>
      </c>
      <c r="D6" s="514" t="n"/>
      <c r="E6" s="223" t="n">
        <v>-2</v>
      </c>
      <c r="F6" s="375">
        <f>SUM(F4:F5)</f>
        <v/>
      </c>
      <c r="G6" s="375">
        <f>SUM(G4:G5)</f>
        <v/>
      </c>
      <c r="H6" s="375">
        <f>SUM(H4:H5)</f>
        <v/>
      </c>
      <c r="I6" s="375">
        <f>SUM(I4:I5)</f>
        <v/>
      </c>
      <c r="J6" s="375">
        <f>SUM(J4:J5)</f>
        <v/>
      </c>
      <c r="K6" s="375">
        <f>SUM(K4:K5)</f>
        <v/>
      </c>
      <c r="L6" s="375">
        <f>SUM(L4:L5)</f>
        <v/>
      </c>
      <c r="M6" s="375">
        <f>SUM(M4:M5)</f>
        <v/>
      </c>
      <c r="N6" s="375">
        <f>SUM(N4:N5)</f>
        <v/>
      </c>
      <c r="O6" s="375">
        <f>SUM(O4:O5)</f>
        <v/>
      </c>
      <c r="P6" s="375">
        <f>SUM(P4:P5)</f>
        <v/>
      </c>
      <c r="Q6" s="375">
        <f>SUM(Q4:Q5)</f>
        <v/>
      </c>
      <c r="R6" s="376">
        <f>SUM(F6:Q6)</f>
        <v/>
      </c>
      <c r="S6" s="531" t="n"/>
    </row>
    <row r="7" hidden="1" ht="24.75" customHeight="1" thickTop="1">
      <c r="A7" s="405" t="n">
        <v>3</v>
      </c>
      <c r="B7" s="508" t="inlineStr">
        <is>
          <t>Out</t>
        </is>
      </c>
      <c r="C7" s="515" t="n"/>
      <c r="D7" s="516" t="inlineStr">
        <is>
          <t>Operating expenses</t>
        </is>
      </c>
      <c r="E7" s="249" t="n"/>
      <c r="F7" s="369" t="n">
        <v>-3116.641836919037</v>
      </c>
      <c r="G7" s="369" t="n">
        <v>-3135.183864466049</v>
      </c>
      <c r="H7" s="369" t="n">
        <v>-3321.941279173593</v>
      </c>
      <c r="I7" s="369" t="n">
        <v>-3053.221665086425</v>
      </c>
      <c r="J7" s="369" t="n">
        <v>-2754.455003517515</v>
      </c>
      <c r="K7" s="369" t="n">
        <v>-2625.950532433644</v>
      </c>
      <c r="L7" s="369" t="n">
        <v>-2969.451566323356</v>
      </c>
      <c r="M7" s="369" t="n">
        <v>-2937.988950994988</v>
      </c>
      <c r="N7" s="369" t="n">
        <v>-2799.410765537594</v>
      </c>
      <c r="O7" s="369" t="n">
        <v>-2779.442141323825</v>
      </c>
      <c r="P7" s="369" t="n">
        <v>-2766.40892507833</v>
      </c>
      <c r="Q7" s="369" t="n">
        <v>-2841.782696979586</v>
      </c>
      <c r="R7" s="379">
        <f>SUM(F7:Q7)</f>
        <v/>
      </c>
      <c r="S7" s="531" t="n"/>
    </row>
    <row r="8" hidden="1" ht="24.75" customHeight="1">
      <c r="A8" s="405" t="n">
        <v>4</v>
      </c>
      <c r="B8" s="508" t="n"/>
      <c r="C8" s="510" t="n"/>
      <c r="D8" s="516" t="inlineStr">
        <is>
          <t>Investment</t>
        </is>
      </c>
      <c r="F8" s="369" t="n">
        <v>-1047.775077504665</v>
      </c>
      <c r="G8" s="369" t="n">
        <v>-1496.262288367958</v>
      </c>
      <c r="H8" s="369" t="n">
        <v>-2298.54467542</v>
      </c>
      <c r="I8" s="369" t="n">
        <v>-1871.344</v>
      </c>
      <c r="J8" s="369" t="n">
        <v>-2510.72849633</v>
      </c>
      <c r="K8" s="369" t="n">
        <v>-1676.60808433</v>
      </c>
      <c r="L8" s="369" t="n">
        <v>-748.26649233</v>
      </c>
      <c r="M8" s="369" t="n">
        <v>-370.72149633</v>
      </c>
      <c r="N8" s="369" t="n">
        <v>-153.062</v>
      </c>
      <c r="O8" s="369" t="n">
        <v>-204.0485</v>
      </c>
      <c r="P8" s="369" t="n">
        <v>-165.688</v>
      </c>
      <c r="Q8" s="369" t="n">
        <v>-169.828</v>
      </c>
      <c r="R8" s="370">
        <f>SUM(F8:Q8)</f>
        <v/>
      </c>
      <c r="S8" s="530" t="n"/>
    </row>
    <row r="9" hidden="1" ht="24.75" customHeight="1">
      <c r="A9" s="405" t="n">
        <v>5</v>
      </c>
      <c r="B9" s="511" t="n"/>
      <c r="C9" s="510" t="n"/>
      <c r="D9" s="516" t="inlineStr">
        <is>
          <t>Raw Material</t>
        </is>
      </c>
      <c r="E9" s="228" t="n"/>
      <c r="F9" s="369" t="n">
        <v>-771.9589472883432</v>
      </c>
      <c r="G9" s="369" t="n">
        <v>-2072.849421557213</v>
      </c>
      <c r="H9" s="369" t="n">
        <v>-3437.719397208463</v>
      </c>
      <c r="I9" s="369" t="n">
        <v>-2171.033447038903</v>
      </c>
      <c r="J9" s="369" t="n">
        <v>-2098.450927564027</v>
      </c>
      <c r="K9" s="369" t="n">
        <v>-1973.972886830756</v>
      </c>
      <c r="L9" s="369" t="n">
        <v>-3376.713997052715</v>
      </c>
      <c r="M9" s="369" t="n">
        <v>-3166.04509803519</v>
      </c>
      <c r="N9" s="369" t="n">
        <v>-2662.197632319782</v>
      </c>
      <c r="O9" s="369" t="n">
        <v>-2658.115265440651</v>
      </c>
      <c r="P9" s="369" t="n">
        <v>-2231.779392527928</v>
      </c>
      <c r="Q9" s="369" t="n">
        <v>-2157.173792738767</v>
      </c>
      <c r="R9" s="370">
        <f>SUM(F9:Q9)</f>
        <v/>
      </c>
      <c r="S9" s="530" t="n"/>
    </row>
    <row r="10" hidden="1" ht="24.75" customHeight="1">
      <c r="A10" s="405" t="n">
        <v>6</v>
      </c>
      <c r="B10" s="511" t="n"/>
      <c r="C10" s="510" t="n"/>
      <c r="D10" s="516" t="inlineStr">
        <is>
          <t>Purchase breeder</t>
        </is>
      </c>
      <c r="E10" s="228" t="n"/>
      <c r="F10" s="381" t="n">
        <v>-21.1123</v>
      </c>
      <c r="G10" s="369" t="n">
        <v>-111.5499572</v>
      </c>
      <c r="H10" s="369" t="n">
        <v>-259.0408788</v>
      </c>
      <c r="I10" s="369" t="n">
        <v>-35.6323</v>
      </c>
      <c r="J10" s="369" t="n">
        <v>-104.9612014</v>
      </c>
      <c r="K10" s="369" t="n">
        <v>-59.7894088</v>
      </c>
      <c r="L10" s="381" t="n">
        <v>-32.4423</v>
      </c>
      <c r="M10" s="369" t="n">
        <v>-201.8408788</v>
      </c>
      <c r="N10" s="369" t="n">
        <v>-39.57019220000001</v>
      </c>
      <c r="O10" s="369" t="n">
        <v>-50.81230000000001</v>
      </c>
      <c r="P10" s="369" t="n">
        <v>-118.0208788</v>
      </c>
      <c r="Q10" s="369" t="n">
        <v>-43.9908788</v>
      </c>
      <c r="R10" s="370">
        <f>SUM(F10:Q10)</f>
        <v/>
      </c>
      <c r="S10" s="530" t="n"/>
    </row>
    <row r="11" hidden="1" ht="24.75" customHeight="1">
      <c r="A11" s="405" t="n">
        <v>7</v>
      </c>
      <c r="B11" s="511" t="n"/>
      <c r="C11" s="510" t="n"/>
      <c r="D11" s="516" t="inlineStr">
        <is>
          <t>Repay Loan + Interest</t>
        </is>
      </c>
      <c r="E11" s="228" t="n"/>
      <c r="F11" s="369" t="n">
        <v>-842.1993812197044</v>
      </c>
      <c r="G11" s="369" t="n">
        <v>-852.2538772272761</v>
      </c>
      <c r="H11" s="369" t="n">
        <v>-1115.089579285716</v>
      </c>
      <c r="I11" s="369" t="n">
        <v>-1707.057660974457</v>
      </c>
      <c r="J11" s="369" t="n">
        <v>-662.3254234114007</v>
      </c>
      <c r="K11" s="369" t="n">
        <v>-2744.287882131078</v>
      </c>
      <c r="L11" s="369" t="n">
        <v>-1179.621006754216</v>
      </c>
      <c r="M11" s="369" t="n">
        <v>-721.8847881516507</v>
      </c>
      <c r="N11" s="369" t="n">
        <v>-3087.427202847449</v>
      </c>
      <c r="O11" s="369" t="n">
        <v>-520.7543714944658</v>
      </c>
      <c r="P11" s="369" t="n">
        <v>-365.7805216811942</v>
      </c>
      <c r="Q11" s="369" t="n">
        <v>-3451.626954837281</v>
      </c>
      <c r="R11" s="370">
        <f>SUM(F11:Q11)</f>
        <v/>
      </c>
      <c r="S11" s="530" t="n"/>
    </row>
    <row r="12" hidden="1" ht="24.75" customHeight="1" thickBot="1">
      <c r="B12" s="517" t="n"/>
      <c r="C12" s="518" t="inlineStr">
        <is>
          <t xml:space="preserve"> Total Cash out</t>
        </is>
      </c>
      <c r="D12" s="519" t="n"/>
      <c r="E12" s="232" t="n">
        <v>-3</v>
      </c>
      <c r="F12" s="385">
        <f>SUM(F7:F11)</f>
        <v/>
      </c>
      <c r="G12" s="385">
        <f>SUM(G7:G11)</f>
        <v/>
      </c>
      <c r="H12" s="385">
        <f>SUM(H7:H11)</f>
        <v/>
      </c>
      <c r="I12" s="385">
        <f>SUM(I7:I11)</f>
        <v/>
      </c>
      <c r="J12" s="385">
        <f>SUM(J7:J11)</f>
        <v/>
      </c>
      <c r="K12" s="385">
        <f>SUM(K7:K11)</f>
        <v/>
      </c>
      <c r="L12" s="385">
        <f>SUM(L7:L11)</f>
        <v/>
      </c>
      <c r="M12" s="385">
        <f>SUM(M7:M11)</f>
        <v/>
      </c>
      <c r="N12" s="385">
        <f>SUM(N7:N11)</f>
        <v/>
      </c>
      <c r="O12" s="385">
        <f>SUM(O7:O11)</f>
        <v/>
      </c>
      <c r="P12" s="385">
        <f>SUM(P7:P11)</f>
        <v/>
      </c>
      <c r="Q12" s="385">
        <f>SUM(Q7:Q11)</f>
        <v/>
      </c>
      <c r="R12" s="386">
        <f>SUM(R7:R11)</f>
        <v/>
      </c>
      <c r="S12" s="531" t="n"/>
    </row>
    <row r="13" hidden="1" ht="24.75" customHeight="1" thickBot="1">
      <c r="B13" s="520" t="n"/>
      <c r="C13" s="388" t="inlineStr">
        <is>
          <t>Summary Cash from Operating</t>
        </is>
      </c>
      <c r="D13" s="521" t="n"/>
      <c r="E13" s="238" t="inlineStr">
        <is>
          <t>(2)+(3)</t>
        </is>
      </c>
      <c r="F13" s="390">
        <f>F6+F12</f>
        <v/>
      </c>
      <c r="G13" s="390">
        <f>G6+G12</f>
        <v/>
      </c>
      <c r="H13" s="390">
        <f>H6+H12</f>
        <v/>
      </c>
      <c r="I13" s="390">
        <f>I6+I12</f>
        <v/>
      </c>
      <c r="J13" s="390">
        <f>J6+J12</f>
        <v/>
      </c>
      <c r="K13" s="390">
        <f>K6+K12</f>
        <v/>
      </c>
      <c r="L13" s="390">
        <f>L6+L12</f>
        <v/>
      </c>
      <c r="M13" s="390">
        <f>M6+M12</f>
        <v/>
      </c>
      <c r="N13" s="390">
        <f>N6+N12</f>
        <v/>
      </c>
      <c r="O13" s="390">
        <f>O6+O12</f>
        <v/>
      </c>
      <c r="P13" s="390">
        <f>P6+P12</f>
        <v/>
      </c>
      <c r="Q13" s="390">
        <f>Q6+Q12</f>
        <v/>
      </c>
      <c r="R13" s="391">
        <f>SUM(F13:Q13)</f>
        <v/>
      </c>
      <c r="S13" s="530" t="n"/>
    </row>
    <row r="14" hidden="1" ht="24.75" customFormat="1" customHeight="1" s="208" thickBot="1">
      <c r="A14" s="406" t="n"/>
      <c r="B14" s="522" t="inlineStr">
        <is>
          <t>Net Cash Balance</t>
        </is>
      </c>
      <c r="C14" s="523" t="n"/>
      <c r="D14" s="524" t="n"/>
      <c r="E14" s="243" t="inlineStr">
        <is>
          <t>(1)+(2)+(3)</t>
        </is>
      </c>
      <c r="F14" s="395">
        <f>F3+F13</f>
        <v/>
      </c>
      <c r="G14" s="395">
        <f>G3+G13</f>
        <v/>
      </c>
      <c r="H14" s="395">
        <f>H3+H13</f>
        <v/>
      </c>
      <c r="I14" s="395">
        <f>I3+I13</f>
        <v/>
      </c>
      <c r="J14" s="395">
        <f>J3+J13</f>
        <v/>
      </c>
      <c r="K14" s="395">
        <f>K3+K13</f>
        <v/>
      </c>
      <c r="L14" s="395">
        <f>L3+L13</f>
        <v/>
      </c>
      <c r="M14" s="395">
        <f>M3+M13</f>
        <v/>
      </c>
      <c r="N14" s="395">
        <f>N3+N13</f>
        <v/>
      </c>
      <c r="O14" s="395">
        <f>O3+O13</f>
        <v/>
      </c>
      <c r="P14" s="395">
        <f>P3+P13</f>
        <v/>
      </c>
      <c r="Q14" s="395">
        <f>Q3+Q13</f>
        <v/>
      </c>
      <c r="R14" s="504">
        <f>R3+R13</f>
        <v/>
      </c>
      <c r="S14" s="529" t="n"/>
    </row>
    <row r="15" hidden="1" ht="24.75" customFormat="1" customHeight="1" s="246">
      <c r="A15" s="407" t="n"/>
      <c r="E15" s="247" t="n"/>
      <c r="F15" s="247" t="n"/>
      <c r="G15" s="247" t="n"/>
      <c r="H15" s="247" t="n"/>
      <c r="I15" s="247" t="n"/>
      <c r="J15" s="247" t="n"/>
      <c r="K15" s="247" t="n"/>
      <c r="L15" s="247" t="n"/>
      <c r="M15" s="247" t="n"/>
      <c r="N15" s="247" t="n"/>
      <c r="O15" s="247" t="n"/>
      <c r="P15" s="247" t="n"/>
      <c r="Q15" s="247" t="n"/>
      <c r="R15" s="247" t="n"/>
      <c r="S15" s="532" t="n"/>
    </row>
    <row r="16" hidden="1" ht="24.75" customFormat="1" customHeight="1" s="246" thickBot="1">
      <c r="A16" s="407" t="n"/>
      <c r="E16" s="247" t="n"/>
      <c r="F16" s="247" t="n"/>
      <c r="G16" s="247" t="n"/>
      <c r="H16" s="247" t="n"/>
      <c r="I16" s="247" t="n"/>
      <c r="J16" s="247" t="n"/>
      <c r="K16" s="247" t="n"/>
      <c r="L16" s="247" t="n"/>
      <c r="M16" s="247" t="n"/>
      <c r="N16" s="247" t="n"/>
      <c r="O16" s="247" t="n"/>
      <c r="P16" s="247" t="n"/>
      <c r="Q16" s="247" t="n"/>
      <c r="R16" s="247" t="n"/>
      <c r="S16" s="532" t="n"/>
    </row>
    <row r="17" hidden="1" ht="24.75" customHeight="1" thickBot="1">
      <c r="B17" s="1383" t="inlineStr">
        <is>
          <t>RUSSIA</t>
        </is>
      </c>
      <c r="C17" s="1556" t="n"/>
      <c r="D17" s="1556" t="n"/>
      <c r="E17" s="206" t="n"/>
      <c r="F17" s="248" t="inlineStr">
        <is>
          <t>Q1</t>
        </is>
      </c>
      <c r="G17" s="1383" t="inlineStr">
        <is>
          <t>Q2</t>
        </is>
      </c>
      <c r="H17" s="1383" t="inlineStr">
        <is>
          <t>Q3</t>
        </is>
      </c>
      <c r="I17" s="1383" t="inlineStr">
        <is>
          <t>Q4</t>
        </is>
      </c>
      <c r="J17" s="207" t="inlineStr">
        <is>
          <t>Total</t>
        </is>
      </c>
      <c r="K17" s="203" t="n"/>
      <c r="L17" s="203" t="n"/>
      <c r="M17" s="203" t="n"/>
      <c r="N17" s="203" t="n"/>
      <c r="O17" s="203" t="n"/>
      <c r="P17" s="203" t="n"/>
      <c r="Q17" s="203" t="n"/>
      <c r="R17" s="203" t="n"/>
      <c r="S17" s="533" t="n"/>
    </row>
    <row r="18" hidden="1" ht="24.75" customFormat="1" customHeight="1" s="208">
      <c r="A18" s="406" t="n"/>
      <c r="B18" s="209" t="inlineStr">
        <is>
          <t>Cash on hand</t>
        </is>
      </c>
      <c r="C18" s="210" t="n"/>
      <c r="D18" s="211" t="n"/>
      <c r="E18" s="212" t="n">
        <v>-1</v>
      </c>
      <c r="F18" s="213">
        <f>F3</f>
        <v/>
      </c>
      <c r="G18" s="213">
        <f>F29</f>
        <v/>
      </c>
      <c r="H18" s="213">
        <f>G29</f>
        <v/>
      </c>
      <c r="I18" s="213">
        <f>H29</f>
        <v/>
      </c>
      <c r="J18" s="214">
        <f>F18</f>
        <v/>
      </c>
      <c r="S18" s="534" t="n"/>
    </row>
    <row r="19" hidden="1" ht="24.75" customHeight="1">
      <c r="B19" s="215" t="inlineStr">
        <is>
          <t>In</t>
        </is>
      </c>
      <c r="C19" s="246" t="inlineStr">
        <is>
          <t>Cash from Operating</t>
        </is>
      </c>
      <c r="F19" s="217">
        <f>F4+G4+H4</f>
        <v/>
      </c>
      <c r="G19" s="217" t="n">
        <v>18010.01186093136</v>
      </c>
      <c r="H19" s="217" t="n">
        <v>18538.94194018671</v>
      </c>
      <c r="I19" s="217" t="n">
        <v>18874.56966268106</v>
      </c>
      <c r="J19" s="218">
        <f>SUM(F19:I19)</f>
        <v/>
      </c>
      <c r="K19" s="203" t="n"/>
      <c r="L19" s="203" t="n"/>
      <c r="M19" s="203" t="n"/>
      <c r="N19" s="203" t="n"/>
      <c r="O19" s="203" t="n"/>
      <c r="P19" s="203" t="n"/>
      <c r="Q19" s="203" t="n"/>
      <c r="R19" s="203" t="n"/>
      <c r="S19" s="533" t="n"/>
    </row>
    <row r="20" hidden="1" ht="24.75" customHeight="1">
      <c r="B20" s="219" t="n"/>
      <c r="C20" s="246" t="inlineStr">
        <is>
          <t>Loan</t>
        </is>
      </c>
      <c r="F20" s="217">
        <f>F5+G5+H5</f>
        <v/>
      </c>
      <c r="G20" s="217" t="n">
        <v>8160.874</v>
      </c>
      <c r="H20" s="217" t="n">
        <v>3657.937</v>
      </c>
      <c r="I20" s="217" t="n">
        <v>2371.285</v>
      </c>
      <c r="J20" s="218">
        <f>SUM(F20:I20)</f>
        <v/>
      </c>
      <c r="K20" s="203" t="n"/>
      <c r="L20" s="203" t="n"/>
      <c r="M20" s="203" t="n"/>
      <c r="N20" s="203" t="n"/>
      <c r="O20" s="203" t="n"/>
      <c r="P20" s="203" t="n"/>
      <c r="Q20" s="203" t="n"/>
      <c r="R20" s="203" t="n"/>
      <c r="S20" s="533" t="n"/>
    </row>
    <row r="21" hidden="1" ht="24.75" customHeight="1" thickBot="1">
      <c r="B21" s="220" t="n"/>
      <c r="C21" s="221" t="inlineStr">
        <is>
          <t>Total Cash In</t>
        </is>
      </c>
      <c r="D21" s="222" t="n"/>
      <c r="E21" s="223" t="n">
        <v>-2</v>
      </c>
      <c r="F21" s="224">
        <f>SUM(F19:F20)</f>
        <v/>
      </c>
      <c r="G21" s="224">
        <f>SUM(G19:G20)</f>
        <v/>
      </c>
      <c r="H21" s="224">
        <f>SUM(H19:H20)</f>
        <v/>
      </c>
      <c r="I21" s="224">
        <f>SUM(I19:I20)</f>
        <v/>
      </c>
      <c r="J21" s="225">
        <f>SUM(F21:I21)</f>
        <v/>
      </c>
      <c r="K21" s="203" t="n"/>
      <c r="L21" s="203" t="n"/>
      <c r="M21" s="203" t="n"/>
      <c r="N21" s="203" t="n"/>
      <c r="O21" s="203" t="n"/>
      <c r="P21" s="203" t="n"/>
      <c r="Q21" s="203" t="n"/>
      <c r="R21" s="203" t="n"/>
      <c r="S21" s="533" t="n"/>
    </row>
    <row r="22" hidden="1" ht="24.75" customHeight="1" thickTop="1">
      <c r="B22" s="215" t="inlineStr">
        <is>
          <t>Out</t>
        </is>
      </c>
      <c r="C22" s="226" t="n"/>
      <c r="D22" s="208" t="inlineStr">
        <is>
          <t>Operating expenses</t>
        </is>
      </c>
      <c r="F22" s="217">
        <f>F7+G7+H7</f>
        <v/>
      </c>
      <c r="G22" s="217" t="n">
        <v>-8433.627201037585</v>
      </c>
      <c r="H22" s="217" t="n">
        <v>-8706.851282855938</v>
      </c>
      <c r="I22" s="217" t="n">
        <v>-8387.63376338174</v>
      </c>
      <c r="J22" s="218">
        <f>SUM(F22:I22)</f>
        <v/>
      </c>
      <c r="K22" s="203" t="n"/>
      <c r="L22" s="203" t="n"/>
      <c r="M22" s="203" t="n"/>
      <c r="N22" s="203" t="n"/>
      <c r="O22" s="203" t="n"/>
      <c r="P22" s="203" t="n"/>
      <c r="Q22" s="203" t="n"/>
      <c r="R22" s="203" t="n"/>
      <c r="S22" s="533" t="n"/>
    </row>
    <row r="23" hidden="1" ht="24.75" customHeight="1">
      <c r="B23" s="215" t="n"/>
      <c r="D23" s="526" t="inlineStr">
        <is>
          <t>Investment</t>
        </is>
      </c>
      <c r="F23" s="217">
        <f>F8+G8+H8</f>
        <v/>
      </c>
      <c r="G23" s="217" t="n">
        <v>-6058.68058066</v>
      </c>
      <c r="H23" s="217" t="n">
        <v>-1272.04998866</v>
      </c>
      <c r="I23" s="217" t="n">
        <v>-539.5645000000001</v>
      </c>
      <c r="J23" s="218">
        <f>SUM(F23:I23)</f>
        <v/>
      </c>
      <c r="K23" s="203" t="n"/>
      <c r="L23" s="203" t="n"/>
      <c r="M23" s="203" t="n"/>
      <c r="N23" s="203" t="n"/>
      <c r="O23" s="203" t="n"/>
      <c r="P23" s="203" t="n"/>
      <c r="Q23" s="203" t="n"/>
      <c r="R23" s="203" t="n"/>
      <c r="S23" s="533" t="n"/>
    </row>
    <row r="24" hidden="1" ht="24.75" customHeight="1">
      <c r="B24" s="219" t="n"/>
      <c r="D24" s="526" t="inlineStr">
        <is>
          <t>Raw Material</t>
        </is>
      </c>
      <c r="E24" s="228" t="n"/>
      <c r="F24" s="250">
        <f>F9+G9+H9</f>
        <v/>
      </c>
      <c r="G24" s="250" t="n">
        <v>-6243.457261433686</v>
      </c>
      <c r="H24" s="250" t="n">
        <v>-9204.956727407687</v>
      </c>
      <c r="I24" s="250" t="n">
        <v>-7047.068450707347</v>
      </c>
      <c r="J24" s="218">
        <f>SUM(F24:I24)</f>
        <v/>
      </c>
      <c r="K24" s="203" t="n"/>
      <c r="L24" s="203" t="n"/>
      <c r="M24" s="203" t="n"/>
      <c r="N24" s="203" t="n"/>
      <c r="O24" s="203" t="n"/>
      <c r="P24" s="203" t="n"/>
      <c r="Q24" s="203" t="n"/>
      <c r="R24" s="203" t="n"/>
      <c r="S24" s="533" t="n"/>
    </row>
    <row r="25" hidden="1" ht="24.75" customHeight="1">
      <c r="B25" s="219" t="n"/>
      <c r="D25" s="526" t="inlineStr">
        <is>
          <t>Purchase breeder</t>
        </is>
      </c>
      <c r="E25" s="228" t="n"/>
      <c r="F25" s="250">
        <f>F10+G10+H10</f>
        <v/>
      </c>
      <c r="G25" s="250" t="n">
        <v>-200.3829102</v>
      </c>
      <c r="H25" s="250" t="n">
        <v>-273.853371</v>
      </c>
      <c r="I25" s="250" t="n">
        <v>-212.8240576</v>
      </c>
      <c r="J25" s="218">
        <f>SUM(F25:I25)</f>
        <v/>
      </c>
      <c r="K25" s="203" t="n"/>
      <c r="L25" s="203" t="n"/>
      <c r="M25" s="203" t="n"/>
      <c r="N25" s="203" t="n"/>
      <c r="O25" s="203" t="n"/>
      <c r="P25" s="203" t="n"/>
      <c r="Q25" s="203" t="n"/>
      <c r="R25" s="203" t="n"/>
      <c r="S25" s="533" t="n"/>
    </row>
    <row r="26" hidden="1" ht="24.75" customHeight="1">
      <c r="B26" s="219" t="n"/>
      <c r="D26" s="526" t="inlineStr">
        <is>
          <t>Repay Loan + Interest</t>
        </is>
      </c>
      <c r="E26" s="228" t="n"/>
      <c r="F26" s="217">
        <f>F11+G11+H11</f>
        <v/>
      </c>
      <c r="G26" s="217" t="n">
        <v>-5113.670966516936</v>
      </c>
      <c r="H26" s="217" t="n">
        <v>-4988.932997753316</v>
      </c>
      <c r="I26" s="217" t="n">
        <v>-4338.161848012941</v>
      </c>
      <c r="J26" s="218">
        <f>SUM(F26:I26)</f>
        <v/>
      </c>
      <c r="K26" s="203" t="n"/>
      <c r="L26" s="203" t="n"/>
      <c r="M26" s="203" t="n"/>
      <c r="N26" s="203" t="n"/>
      <c r="O26" s="203" t="n"/>
      <c r="P26" s="203" t="n"/>
      <c r="Q26" s="203" t="n"/>
      <c r="R26" s="203" t="n"/>
      <c r="S26" s="533" t="n"/>
    </row>
    <row r="27" hidden="1" ht="24.75" customHeight="1">
      <c r="B27" s="229" t="n"/>
      <c r="C27" s="230" t="inlineStr">
        <is>
          <t xml:space="preserve"> Total Cash out</t>
        </is>
      </c>
      <c r="D27" s="231" t="n"/>
      <c r="E27" s="232" t="n">
        <v>-3</v>
      </c>
      <c r="F27" s="233">
        <f>SUM(F22:F26)</f>
        <v/>
      </c>
      <c r="G27" s="233">
        <f>SUM(G22:G26)</f>
        <v/>
      </c>
      <c r="H27" s="233">
        <f>SUM(H22:H26)</f>
        <v/>
      </c>
      <c r="I27" s="233">
        <f>SUM(I22:I26)</f>
        <v/>
      </c>
      <c r="J27" s="234">
        <f>SUM(J22:J26)</f>
        <v/>
      </c>
      <c r="K27" s="203" t="n"/>
      <c r="L27" s="203" t="n"/>
      <c r="M27" s="203" t="n"/>
      <c r="N27" s="203" t="n"/>
      <c r="O27" s="203" t="n"/>
      <c r="P27" s="203" t="n"/>
      <c r="Q27" s="203" t="n"/>
      <c r="R27" s="203" t="n"/>
      <c r="S27" s="533" t="n"/>
    </row>
    <row r="28" hidden="1" ht="24.75" customHeight="1" thickBot="1">
      <c r="B28" s="235" t="n"/>
      <c r="C28" s="236" t="inlineStr">
        <is>
          <t>Summary Cash from Operating</t>
        </is>
      </c>
      <c r="D28" s="237" t="n"/>
      <c r="E28" s="238" t="inlineStr">
        <is>
          <t>(2)+(3)</t>
        </is>
      </c>
      <c r="F28" s="239">
        <f>F21+F27</f>
        <v/>
      </c>
      <c r="G28" s="239">
        <f>G21+G27</f>
        <v/>
      </c>
      <c r="H28" s="239">
        <f>H21+H27</f>
        <v/>
      </c>
      <c r="I28" s="239">
        <f>I21+I27</f>
        <v/>
      </c>
      <c r="J28" s="251">
        <f>SUM(F28:I28)</f>
        <v/>
      </c>
      <c r="K28" s="203" t="n"/>
      <c r="L28" s="203" t="n"/>
      <c r="M28" s="203" t="n"/>
      <c r="N28" s="203" t="n"/>
      <c r="O28" s="203" t="n"/>
      <c r="P28" s="203" t="n"/>
      <c r="Q28" s="203" t="n"/>
      <c r="R28" s="203" t="n"/>
      <c r="S28" s="533" t="n"/>
    </row>
    <row r="29" hidden="1" ht="24.75" customFormat="1" customHeight="1" s="208" thickBot="1">
      <c r="A29" s="406" t="n"/>
      <c r="B29" s="240" t="inlineStr">
        <is>
          <t>Net Cash Balance</t>
        </is>
      </c>
      <c r="C29" s="241" t="n"/>
      <c r="D29" s="242" t="n"/>
      <c r="E29" s="243" t="inlineStr">
        <is>
          <t>(1)+(2)+(3)</t>
        </is>
      </c>
      <c r="F29" s="244">
        <f>F18+F28</f>
        <v/>
      </c>
      <c r="G29" s="244">
        <f>G18+G28</f>
        <v/>
      </c>
      <c r="H29" s="244">
        <f>H18+H28</f>
        <v/>
      </c>
      <c r="I29" s="244">
        <f>I18+I28</f>
        <v/>
      </c>
      <c r="J29" s="245">
        <f>J18+J28</f>
        <v/>
      </c>
      <c r="S29" s="534" t="n"/>
    </row>
    <row r="30" hidden="1" ht="24.75" customHeight="1"/>
    <row r="31" hidden="1" ht="24.75" customHeight="1"/>
    <row r="32" hidden="1" ht="24.75" customHeight="1" thickBot="1">
      <c r="B32" s="476" t="inlineStr">
        <is>
          <t>As at 05.04.2022 Excluding CPFI loan</t>
        </is>
      </c>
      <c r="H32" s="1750">
        <f>2000+2175</f>
        <v/>
      </c>
      <c r="I32" s="476" t="inlineStr">
        <is>
          <t>M.RUB</t>
        </is>
      </c>
    </row>
    <row r="33" hidden="1" ht="24.75" customHeight="1" thickBot="1">
      <c r="B33" s="207" t="inlineStr">
        <is>
          <t>RUSSIA</t>
        </is>
      </c>
      <c r="C33" s="1556" t="n"/>
      <c r="D33" s="1556" t="n"/>
      <c r="E33" s="1557" t="n"/>
      <c r="F33" s="1383" t="inlineStr">
        <is>
          <t>Jan</t>
        </is>
      </c>
      <c r="G33" s="1383" t="inlineStr">
        <is>
          <t>Feb</t>
        </is>
      </c>
      <c r="H33" s="1383" t="inlineStr">
        <is>
          <t>Mar</t>
        </is>
      </c>
      <c r="I33" s="1383" t="inlineStr">
        <is>
          <t>Apr</t>
        </is>
      </c>
      <c r="J33" s="1383" t="inlineStr">
        <is>
          <t>May</t>
        </is>
      </c>
      <c r="K33" s="1383" t="inlineStr">
        <is>
          <t>Jun</t>
        </is>
      </c>
      <c r="L33" s="1383" t="inlineStr">
        <is>
          <t>Jul</t>
        </is>
      </c>
      <c r="M33" s="1383" t="inlineStr">
        <is>
          <t>Aug</t>
        </is>
      </c>
      <c r="N33" s="1383" t="inlineStr">
        <is>
          <t>Sep</t>
        </is>
      </c>
      <c r="O33" s="1383" t="inlineStr">
        <is>
          <t>Oct</t>
        </is>
      </c>
      <c r="P33" s="1383" t="inlineStr">
        <is>
          <t>Nov</t>
        </is>
      </c>
      <c r="Q33" s="1383" t="inlineStr">
        <is>
          <t>Dec</t>
        </is>
      </c>
      <c r="R33" s="207" t="inlineStr">
        <is>
          <t>Total</t>
        </is>
      </c>
      <c r="S33" s="528" t="n"/>
    </row>
    <row r="34" hidden="1" ht="24.75" customFormat="1" customHeight="1" s="208">
      <c r="A34" s="406" t="n"/>
      <c r="B34" s="505" t="inlineStr">
        <is>
          <t>Cash on hand</t>
        </is>
      </c>
      <c r="C34" s="506" t="n"/>
      <c r="D34" s="507" t="n"/>
      <c r="E34" s="212" t="n">
        <v>-1</v>
      </c>
      <c r="F34" s="364">
        <f>F3</f>
        <v/>
      </c>
      <c r="G34" s="364">
        <f>F45</f>
        <v/>
      </c>
      <c r="H34" s="364">
        <f>G45</f>
        <v/>
      </c>
      <c r="I34" s="364">
        <f>H45</f>
        <v/>
      </c>
      <c r="J34" s="364">
        <f>I45</f>
        <v/>
      </c>
      <c r="K34" s="364">
        <f>J45</f>
        <v/>
      </c>
      <c r="L34" s="364">
        <f>K45</f>
        <v/>
      </c>
      <c r="M34" s="364">
        <f>L45</f>
        <v/>
      </c>
      <c r="N34" s="364">
        <f>M45</f>
        <v/>
      </c>
      <c r="O34" s="364">
        <f>N45</f>
        <v/>
      </c>
      <c r="P34" s="364">
        <f>O45</f>
        <v/>
      </c>
      <c r="Q34" s="364">
        <f>P45</f>
        <v/>
      </c>
      <c r="R34" s="365">
        <f>F34</f>
        <v/>
      </c>
      <c r="S34" s="529" t="n"/>
    </row>
    <row r="35" hidden="1" ht="24.75" customHeight="1">
      <c r="A35" s="405" t="n">
        <v>1</v>
      </c>
      <c r="B35" s="508" t="inlineStr">
        <is>
          <t>In</t>
        </is>
      </c>
      <c r="C35" s="509" t="inlineStr">
        <is>
          <t>Cash from Operating</t>
        </is>
      </c>
      <c r="D35" s="510" t="n"/>
      <c r="F35" s="369">
        <f>F4</f>
        <v/>
      </c>
      <c r="G35" s="369">
        <f>G4</f>
        <v/>
      </c>
      <c r="H35" s="369">
        <f>H4</f>
        <v/>
      </c>
      <c r="I35" s="369">
        <f>I4</f>
        <v/>
      </c>
      <c r="J35" s="369">
        <f>J4</f>
        <v/>
      </c>
      <c r="K35" s="369">
        <f>K4</f>
        <v/>
      </c>
      <c r="L35" s="369">
        <f>L4</f>
        <v/>
      </c>
      <c r="M35" s="369">
        <f>M4</f>
        <v/>
      </c>
      <c r="N35" s="369">
        <f>N4</f>
        <v/>
      </c>
      <c r="O35" s="369">
        <f>O4</f>
        <v/>
      </c>
      <c r="P35" s="369">
        <f>P4</f>
        <v/>
      </c>
      <c r="Q35" s="369">
        <f>Q4</f>
        <v/>
      </c>
      <c r="R35" s="370">
        <f>SUM(F35:Q35)</f>
        <v/>
      </c>
      <c r="S35" s="530" t="n"/>
    </row>
    <row r="36" hidden="1" ht="24.75" customHeight="1">
      <c r="A36" s="405" t="n">
        <v>2</v>
      </c>
      <c r="B36" s="511" t="n"/>
      <c r="C36" s="509" t="inlineStr">
        <is>
          <t>Loan</t>
        </is>
      </c>
      <c r="D36" s="510" t="n"/>
      <c r="F36" s="369">
        <f>F5</f>
        <v/>
      </c>
      <c r="G36" s="369">
        <f>G5</f>
        <v/>
      </c>
      <c r="H36" s="369">
        <f>H5</f>
        <v/>
      </c>
      <c r="I36" s="503">
        <f>I5-H32</f>
        <v/>
      </c>
      <c r="J36" s="369">
        <f>J5</f>
        <v/>
      </c>
      <c r="K36" s="369">
        <f>K5</f>
        <v/>
      </c>
      <c r="L36" s="369">
        <f>L5</f>
        <v/>
      </c>
      <c r="M36" s="369">
        <f>M5</f>
        <v/>
      </c>
      <c r="N36" s="369">
        <f>N5</f>
        <v/>
      </c>
      <c r="O36" s="381">
        <f>O5</f>
        <v/>
      </c>
      <c r="P36" s="381">
        <f>P5</f>
        <v/>
      </c>
      <c r="Q36" s="369">
        <f>Q5</f>
        <v/>
      </c>
      <c r="R36" s="370">
        <f>SUM(F36:Q36)</f>
        <v/>
      </c>
      <c r="S36" s="530" t="n"/>
    </row>
    <row r="37" hidden="1" ht="24.75" customHeight="1" thickBot="1">
      <c r="B37" s="512" t="n"/>
      <c r="C37" s="513" t="inlineStr">
        <is>
          <t>Total Cash In</t>
        </is>
      </c>
      <c r="D37" s="514" t="n"/>
      <c r="E37" s="223" t="n">
        <v>-2</v>
      </c>
      <c r="F37" s="375">
        <f>SUM(F35:F36)</f>
        <v/>
      </c>
      <c r="G37" s="375">
        <f>SUM(G35:G36)</f>
        <v/>
      </c>
      <c r="H37" s="375">
        <f>SUM(H35:H36)</f>
        <v/>
      </c>
      <c r="I37" s="375">
        <f>SUM(I35:I36)</f>
        <v/>
      </c>
      <c r="J37" s="375">
        <f>SUM(J35:J36)</f>
        <v/>
      </c>
      <c r="K37" s="375">
        <f>SUM(K35:K36)</f>
        <v/>
      </c>
      <c r="L37" s="375">
        <f>SUM(L35:L36)</f>
        <v/>
      </c>
      <c r="M37" s="375">
        <f>SUM(M35:M36)</f>
        <v/>
      </c>
      <c r="N37" s="375">
        <f>SUM(N35:N36)</f>
        <v/>
      </c>
      <c r="O37" s="375">
        <f>SUM(O35:O36)</f>
        <v/>
      </c>
      <c r="P37" s="375">
        <f>SUM(P35:P36)</f>
        <v/>
      </c>
      <c r="Q37" s="375">
        <f>SUM(Q35:Q36)</f>
        <v/>
      </c>
      <c r="R37" s="376">
        <f>SUM(F37:Q37)</f>
        <v/>
      </c>
      <c r="S37" s="531" t="n"/>
    </row>
    <row r="38" hidden="1" ht="24.75" customHeight="1" thickTop="1">
      <c r="A38" s="405" t="n">
        <v>3</v>
      </c>
      <c r="B38" s="508" t="inlineStr">
        <is>
          <t>Out</t>
        </is>
      </c>
      <c r="C38" s="515" t="n"/>
      <c r="D38" s="516" t="inlineStr">
        <is>
          <t>Operating expenses</t>
        </is>
      </c>
      <c r="E38" s="249" t="n"/>
      <c r="F38" s="369">
        <f>F7</f>
        <v/>
      </c>
      <c r="G38" s="369">
        <f>G7</f>
        <v/>
      </c>
      <c r="H38" s="369">
        <f>H7</f>
        <v/>
      </c>
      <c r="I38" s="369">
        <f>I7</f>
        <v/>
      </c>
      <c r="J38" s="369">
        <f>J7</f>
        <v/>
      </c>
      <c r="K38" s="369">
        <f>K7</f>
        <v/>
      </c>
      <c r="L38" s="369">
        <f>L7</f>
        <v/>
      </c>
      <c r="M38" s="369">
        <f>M7</f>
        <v/>
      </c>
      <c r="N38" s="369">
        <f>N7</f>
        <v/>
      </c>
      <c r="O38" s="369">
        <f>O7</f>
        <v/>
      </c>
      <c r="P38" s="369">
        <f>P7</f>
        <v/>
      </c>
      <c r="Q38" s="369">
        <f>Q7</f>
        <v/>
      </c>
      <c r="R38" s="379">
        <f>SUM(F38:Q38)</f>
        <v/>
      </c>
      <c r="S38" s="531" t="n"/>
    </row>
    <row r="39" hidden="1" ht="24.75" customHeight="1">
      <c r="A39" s="405" t="n">
        <v>4</v>
      </c>
      <c r="B39" s="508" t="n"/>
      <c r="C39" s="510" t="n"/>
      <c r="D39" s="516" t="inlineStr">
        <is>
          <t>Investment</t>
        </is>
      </c>
      <c r="F39" s="369">
        <f>F8</f>
        <v/>
      </c>
      <c r="G39" s="369">
        <f>G8</f>
        <v/>
      </c>
      <c r="H39" s="369">
        <f>H8</f>
        <v/>
      </c>
      <c r="I39" s="369">
        <f>I8</f>
        <v/>
      </c>
      <c r="J39" s="369">
        <f>J8</f>
        <v/>
      </c>
      <c r="K39" s="369">
        <f>K8</f>
        <v/>
      </c>
      <c r="L39" s="369">
        <f>L8</f>
        <v/>
      </c>
      <c r="M39" s="369">
        <f>M8</f>
        <v/>
      </c>
      <c r="N39" s="369">
        <f>N8</f>
        <v/>
      </c>
      <c r="O39" s="369">
        <f>O8</f>
        <v/>
      </c>
      <c r="P39" s="369">
        <f>P8</f>
        <v/>
      </c>
      <c r="Q39" s="369">
        <f>Q8</f>
        <v/>
      </c>
      <c r="R39" s="370">
        <f>SUM(F39:Q39)</f>
        <v/>
      </c>
      <c r="S39" s="530" t="n"/>
    </row>
    <row r="40" hidden="1" ht="24.75" customHeight="1">
      <c r="A40" s="405" t="n">
        <v>5</v>
      </c>
      <c r="B40" s="511" t="n"/>
      <c r="C40" s="510" t="n"/>
      <c r="D40" s="516" t="inlineStr">
        <is>
          <t>Raw Material</t>
        </is>
      </c>
      <c r="E40" s="228" t="n"/>
      <c r="F40" s="369">
        <f>F9</f>
        <v/>
      </c>
      <c r="G40" s="369">
        <f>G9</f>
        <v/>
      </c>
      <c r="H40" s="369">
        <f>H9</f>
        <v/>
      </c>
      <c r="I40" s="369">
        <f>I9</f>
        <v/>
      </c>
      <c r="J40" s="369">
        <f>J9</f>
        <v/>
      </c>
      <c r="K40" s="369">
        <f>K9</f>
        <v/>
      </c>
      <c r="L40" s="369">
        <f>L9</f>
        <v/>
      </c>
      <c r="M40" s="369">
        <f>M9</f>
        <v/>
      </c>
      <c r="N40" s="369">
        <f>N9</f>
        <v/>
      </c>
      <c r="O40" s="369">
        <f>O9</f>
        <v/>
      </c>
      <c r="P40" s="369">
        <f>P9</f>
        <v/>
      </c>
      <c r="Q40" s="369">
        <f>Q9</f>
        <v/>
      </c>
      <c r="R40" s="370">
        <f>SUM(F40:Q40)</f>
        <v/>
      </c>
      <c r="S40" s="530" t="n"/>
    </row>
    <row r="41" hidden="1" ht="24.75" customHeight="1">
      <c r="A41" s="405" t="n">
        <v>6</v>
      </c>
      <c r="B41" s="511" t="n"/>
      <c r="C41" s="510" t="n"/>
      <c r="D41" s="516" t="inlineStr">
        <is>
          <t>Purchase breeder</t>
        </is>
      </c>
      <c r="E41" s="228" t="n"/>
      <c r="F41" s="381">
        <f>F10</f>
        <v/>
      </c>
      <c r="G41" s="369">
        <f>G10</f>
        <v/>
      </c>
      <c r="H41" s="369">
        <f>H10</f>
        <v/>
      </c>
      <c r="I41" s="369">
        <f>I10</f>
        <v/>
      </c>
      <c r="J41" s="369">
        <f>J10</f>
        <v/>
      </c>
      <c r="K41" s="369">
        <f>K10</f>
        <v/>
      </c>
      <c r="L41" s="381">
        <f>L10</f>
        <v/>
      </c>
      <c r="M41" s="369">
        <f>M10</f>
        <v/>
      </c>
      <c r="N41" s="369">
        <f>N10</f>
        <v/>
      </c>
      <c r="O41" s="369">
        <f>O10</f>
        <v/>
      </c>
      <c r="P41" s="369">
        <f>P10</f>
        <v/>
      </c>
      <c r="Q41" s="369">
        <f>Q10</f>
        <v/>
      </c>
      <c r="R41" s="370">
        <f>SUM(F41:Q41)</f>
        <v/>
      </c>
      <c r="S41" s="530" t="n"/>
    </row>
    <row r="42" hidden="1" ht="24.75" customHeight="1">
      <c r="A42" s="405" t="n">
        <v>7</v>
      </c>
      <c r="B42" s="511" t="n"/>
      <c r="C42" s="510" t="n"/>
      <c r="D42" s="516" t="inlineStr">
        <is>
          <t>Repay Loan + Interest</t>
        </is>
      </c>
      <c r="E42" s="228" t="n"/>
      <c r="F42" s="369">
        <f>F11</f>
        <v/>
      </c>
      <c r="G42" s="369">
        <f>G11</f>
        <v/>
      </c>
      <c r="H42" s="369">
        <f>H11</f>
        <v/>
      </c>
      <c r="I42" s="369">
        <f>I11</f>
        <v/>
      </c>
      <c r="J42" s="369">
        <f>J11</f>
        <v/>
      </c>
      <c r="K42" s="369">
        <f>K11</f>
        <v/>
      </c>
      <c r="L42" s="369">
        <f>L11</f>
        <v/>
      </c>
      <c r="M42" s="369">
        <f>M11</f>
        <v/>
      </c>
      <c r="N42" s="369">
        <f>N11</f>
        <v/>
      </c>
      <c r="O42" s="369">
        <f>O11</f>
        <v/>
      </c>
      <c r="P42" s="369">
        <f>P11</f>
        <v/>
      </c>
      <c r="Q42" s="369">
        <f>Q11</f>
        <v/>
      </c>
      <c r="R42" s="370">
        <f>SUM(F42:Q42)</f>
        <v/>
      </c>
      <c r="S42" s="530" t="n"/>
    </row>
    <row r="43" hidden="1" ht="24.75" customHeight="1" thickBot="1">
      <c r="B43" s="517" t="n"/>
      <c r="C43" s="518" t="inlineStr">
        <is>
          <t xml:space="preserve"> Total Cash out</t>
        </is>
      </c>
      <c r="D43" s="519" t="n"/>
      <c r="E43" s="232" t="n">
        <v>-3</v>
      </c>
      <c r="F43" s="385">
        <f>SUM(F38:F42)</f>
        <v/>
      </c>
      <c r="G43" s="385">
        <f>SUM(G38:G42)</f>
        <v/>
      </c>
      <c r="H43" s="385">
        <f>SUM(H38:H42)</f>
        <v/>
      </c>
      <c r="I43" s="385">
        <f>SUM(I38:I42)</f>
        <v/>
      </c>
      <c r="J43" s="385">
        <f>SUM(J38:J42)</f>
        <v/>
      </c>
      <c r="K43" s="385">
        <f>SUM(K38:K42)</f>
        <v/>
      </c>
      <c r="L43" s="385">
        <f>SUM(L38:L42)</f>
        <v/>
      </c>
      <c r="M43" s="385">
        <f>SUM(M38:M42)</f>
        <v/>
      </c>
      <c r="N43" s="385">
        <f>SUM(N38:N42)</f>
        <v/>
      </c>
      <c r="O43" s="385">
        <f>SUM(O38:O42)</f>
        <v/>
      </c>
      <c r="P43" s="385">
        <f>SUM(P38:P42)</f>
        <v/>
      </c>
      <c r="Q43" s="385">
        <f>SUM(Q38:Q42)</f>
        <v/>
      </c>
      <c r="R43" s="386">
        <f>SUM(R38:R42)</f>
        <v/>
      </c>
      <c r="S43" s="531" t="n"/>
    </row>
    <row r="44" hidden="1" ht="24.75" customHeight="1" thickBot="1">
      <c r="B44" s="520" t="n"/>
      <c r="C44" s="388" t="inlineStr">
        <is>
          <t>Summary Cash from Operating</t>
        </is>
      </c>
      <c r="D44" s="521" t="n"/>
      <c r="E44" s="238" t="inlineStr">
        <is>
          <t>(2)+(3)</t>
        </is>
      </c>
      <c r="F44" s="390">
        <f>F37+F43</f>
        <v/>
      </c>
      <c r="G44" s="390">
        <f>G37+G43</f>
        <v/>
      </c>
      <c r="H44" s="390">
        <f>H37+H43</f>
        <v/>
      </c>
      <c r="I44" s="390">
        <f>I37+I43</f>
        <v/>
      </c>
      <c r="J44" s="390">
        <f>J37+J43</f>
        <v/>
      </c>
      <c r="K44" s="390">
        <f>K37+K43</f>
        <v/>
      </c>
      <c r="L44" s="390">
        <f>L37+L43</f>
        <v/>
      </c>
      <c r="M44" s="390">
        <f>M37+M43</f>
        <v/>
      </c>
      <c r="N44" s="390">
        <f>N37+N43</f>
        <v/>
      </c>
      <c r="O44" s="390">
        <f>O37+O43</f>
        <v/>
      </c>
      <c r="P44" s="390">
        <f>P37+P43</f>
        <v/>
      </c>
      <c r="Q44" s="390">
        <f>Q37+Q43</f>
        <v/>
      </c>
      <c r="R44" s="391">
        <f>SUM(F44:Q44)</f>
        <v/>
      </c>
      <c r="S44" s="530" t="n"/>
    </row>
    <row r="45" hidden="1" ht="24.75" customFormat="1" customHeight="1" s="208" thickBot="1">
      <c r="A45" s="406" t="n"/>
      <c r="B45" s="522" t="inlineStr">
        <is>
          <t>Net Cash Balance</t>
        </is>
      </c>
      <c r="C45" s="523" t="n"/>
      <c r="D45" s="524" t="n"/>
      <c r="E45" s="243" t="inlineStr">
        <is>
          <t>(1)+(2)+(3)</t>
        </is>
      </c>
      <c r="F45" s="395">
        <f>F34+F44</f>
        <v/>
      </c>
      <c r="G45" s="395">
        <f>G34+G44</f>
        <v/>
      </c>
      <c r="H45" s="395">
        <f>H34+H44</f>
        <v/>
      </c>
      <c r="I45" s="395">
        <f>I34+I44</f>
        <v/>
      </c>
      <c r="J45" s="395">
        <f>J34+J44</f>
        <v/>
      </c>
      <c r="K45" s="395">
        <f>K34+K44</f>
        <v/>
      </c>
      <c r="L45" s="395">
        <f>L34+L44</f>
        <v/>
      </c>
      <c r="M45" s="395">
        <f>M34+M44</f>
        <v/>
      </c>
      <c r="N45" s="395">
        <f>N34+N44</f>
        <v/>
      </c>
      <c r="O45" s="395">
        <f>O34+O44</f>
        <v/>
      </c>
      <c r="P45" s="395">
        <f>P34+P44</f>
        <v/>
      </c>
      <c r="Q45" s="395">
        <f>Q34+Q44</f>
        <v/>
      </c>
      <c r="R45" s="504">
        <f>R34+R44</f>
        <v/>
      </c>
      <c r="S45" s="529" t="n"/>
    </row>
    <row r="46" hidden="1" ht="24.75" customFormat="1" customHeight="1" s="246">
      <c r="A46" s="407" t="n"/>
      <c r="E46" s="247" t="n"/>
      <c r="F46" s="247" t="n"/>
      <c r="G46" s="247" t="n"/>
      <c r="H46" s="247" t="n"/>
      <c r="I46" s="247" t="n"/>
      <c r="J46" s="247" t="n"/>
      <c r="K46" s="247" t="n"/>
      <c r="L46" s="247" t="n"/>
      <c r="M46" s="247" t="n"/>
      <c r="N46" s="247" t="n"/>
      <c r="O46" s="247" t="n"/>
      <c r="P46" s="247" t="n"/>
      <c r="Q46" s="247" t="n"/>
      <c r="R46" s="247" t="n"/>
      <c r="S46" s="532" t="n"/>
    </row>
    <row r="47" hidden="1" ht="24.75" customFormat="1" customHeight="1" s="246" thickBot="1">
      <c r="A47" s="407" t="n"/>
      <c r="E47" s="247" t="n"/>
      <c r="F47" s="247" t="n"/>
      <c r="G47" s="247" t="n"/>
      <c r="H47" s="247" t="n"/>
      <c r="I47" s="247" t="n"/>
      <c r="J47" s="247" t="n"/>
      <c r="K47" s="247" t="n"/>
      <c r="L47" s="247" t="n"/>
      <c r="M47" s="247" t="n"/>
      <c r="N47" s="247" t="n"/>
      <c r="O47" s="247" t="n"/>
      <c r="P47" s="247" t="n"/>
      <c r="Q47" s="247" t="n"/>
      <c r="R47" s="247" t="n"/>
      <c r="S47" s="532" t="n"/>
    </row>
    <row r="48" hidden="1" ht="24.75" customHeight="1" thickBot="1">
      <c r="B48" s="1383" t="inlineStr">
        <is>
          <t>RUSSIA</t>
        </is>
      </c>
      <c r="C48" s="1556" t="n"/>
      <c r="D48" s="1556" t="n"/>
      <c r="E48" s="206" t="n"/>
      <c r="F48" s="248" t="inlineStr">
        <is>
          <t>Q1</t>
        </is>
      </c>
      <c r="G48" s="1383" t="inlineStr">
        <is>
          <t>Q2</t>
        </is>
      </c>
      <c r="H48" s="1383" t="inlineStr">
        <is>
          <t>Q3</t>
        </is>
      </c>
      <c r="I48" s="1383" t="inlineStr">
        <is>
          <t>Q4</t>
        </is>
      </c>
      <c r="J48" s="207" t="inlineStr">
        <is>
          <t>Total</t>
        </is>
      </c>
      <c r="K48" s="203" t="n"/>
      <c r="L48" s="203" t="n"/>
      <c r="M48" s="203" t="n"/>
      <c r="N48" s="203" t="n"/>
      <c r="O48" s="203" t="n"/>
      <c r="P48" s="203" t="n"/>
      <c r="Q48" s="203" t="n"/>
      <c r="R48" s="203" t="n"/>
      <c r="S48" s="533" t="n"/>
    </row>
    <row r="49" hidden="1" ht="24.75" customFormat="1" customHeight="1" s="208">
      <c r="A49" s="406" t="n"/>
      <c r="B49" s="209" t="inlineStr">
        <is>
          <t>Cash on hand</t>
        </is>
      </c>
      <c r="C49" s="210" t="n"/>
      <c r="D49" s="211" t="n"/>
      <c r="E49" s="212" t="n">
        <v>-1</v>
      </c>
      <c r="F49" s="213">
        <f>F34</f>
        <v/>
      </c>
      <c r="G49" s="213">
        <f>F60</f>
        <v/>
      </c>
      <c r="H49" s="213">
        <f>G60</f>
        <v/>
      </c>
      <c r="I49" s="213">
        <f>H60</f>
        <v/>
      </c>
      <c r="J49" s="214">
        <f>F49</f>
        <v/>
      </c>
      <c r="S49" s="534" t="n"/>
    </row>
    <row r="50" hidden="1" ht="24.75" customHeight="1">
      <c r="B50" s="215" t="inlineStr">
        <is>
          <t>In</t>
        </is>
      </c>
      <c r="C50" s="246" t="inlineStr">
        <is>
          <t>Cash from Operating</t>
        </is>
      </c>
      <c r="F50" s="217">
        <f>F35+G35+H35</f>
        <v/>
      </c>
      <c r="G50" s="217" t="n">
        <v>0</v>
      </c>
      <c r="H50" s="217" t="n">
        <v>0</v>
      </c>
      <c r="I50" s="217" t="n">
        <v>0</v>
      </c>
      <c r="J50" s="218">
        <f>SUM(F50:I50)</f>
        <v/>
      </c>
      <c r="K50" s="203" t="n"/>
      <c r="L50" s="203" t="n"/>
      <c r="M50" s="203" t="n"/>
      <c r="N50" s="203" t="n"/>
      <c r="O50" s="203" t="n"/>
      <c r="P50" s="203" t="n"/>
      <c r="Q50" s="203" t="n"/>
      <c r="R50" s="203" t="n"/>
      <c r="S50" s="533" t="n"/>
    </row>
    <row r="51" hidden="1" ht="24.75" customHeight="1">
      <c r="B51" s="219" t="n"/>
      <c r="C51" s="246" t="inlineStr">
        <is>
          <t>Loan</t>
        </is>
      </c>
      <c r="F51" s="217">
        <f>F36+G36+H36</f>
        <v/>
      </c>
      <c r="G51" s="217" t="n">
        <v>0</v>
      </c>
      <c r="H51" s="217" t="n">
        <v>0</v>
      </c>
      <c r="I51" s="217" t="n">
        <v>0</v>
      </c>
      <c r="J51" s="218">
        <f>SUM(F51:I51)</f>
        <v/>
      </c>
      <c r="K51" s="203" t="n"/>
      <c r="L51" s="203" t="n"/>
      <c r="M51" s="203" t="n"/>
      <c r="N51" s="203" t="n"/>
      <c r="O51" s="203" t="n"/>
      <c r="P51" s="203" t="n"/>
      <c r="Q51" s="203" t="n"/>
      <c r="R51" s="203" t="n"/>
      <c r="S51" s="533" t="n"/>
    </row>
    <row r="52" hidden="1" ht="24.75" customHeight="1" thickBot="1">
      <c r="B52" s="220" t="n"/>
      <c r="C52" s="221" t="inlineStr">
        <is>
          <t>Total Cash In</t>
        </is>
      </c>
      <c r="D52" s="222" t="n"/>
      <c r="E52" s="223" t="n">
        <v>-2</v>
      </c>
      <c r="F52" s="224">
        <f>SUM(F50:F51)</f>
        <v/>
      </c>
      <c r="G52" s="224">
        <f>SUM(G50:G51)</f>
        <v/>
      </c>
      <c r="H52" s="224">
        <f>SUM(H50:H51)</f>
        <v/>
      </c>
      <c r="I52" s="224">
        <f>SUM(I50:I51)</f>
        <v/>
      </c>
      <c r="J52" s="225">
        <f>SUM(F52:I52)</f>
        <v/>
      </c>
      <c r="K52" s="203" t="n"/>
      <c r="L52" s="203" t="n"/>
      <c r="M52" s="203" t="n"/>
      <c r="N52" s="203" t="n"/>
      <c r="O52" s="203" t="n"/>
      <c r="P52" s="203" t="n"/>
      <c r="Q52" s="203" t="n"/>
      <c r="R52" s="203" t="n"/>
      <c r="S52" s="533" t="n"/>
    </row>
    <row r="53" hidden="1" ht="24.75" customHeight="1" thickTop="1">
      <c r="B53" s="215" t="inlineStr">
        <is>
          <t>Out</t>
        </is>
      </c>
      <c r="C53" s="226" t="n"/>
      <c r="D53" s="208" t="inlineStr">
        <is>
          <t>Operating expenses</t>
        </is>
      </c>
      <c r="F53" s="217">
        <f>F38+G38+H38</f>
        <v/>
      </c>
      <c r="G53" s="217" t="n">
        <v>0</v>
      </c>
      <c r="H53" s="217" t="n">
        <v>0</v>
      </c>
      <c r="I53" s="217" t="n">
        <v>0</v>
      </c>
      <c r="J53" s="218">
        <f>SUM(F53:I53)</f>
        <v/>
      </c>
      <c r="K53" s="203" t="n"/>
      <c r="L53" s="203" t="n"/>
      <c r="M53" s="203" t="n"/>
      <c r="N53" s="203" t="n"/>
      <c r="O53" s="203" t="n"/>
      <c r="P53" s="203" t="n"/>
      <c r="Q53" s="203" t="n"/>
      <c r="R53" s="203" t="n"/>
      <c r="S53" s="533" t="n"/>
    </row>
    <row r="54" hidden="1" ht="24.75" customHeight="1">
      <c r="B54" s="215" t="n"/>
      <c r="D54" s="526" t="inlineStr">
        <is>
          <t>Investment</t>
        </is>
      </c>
      <c r="F54" s="217">
        <f>F39+G39+H39</f>
        <v/>
      </c>
      <c r="G54" s="217" t="n">
        <v>0</v>
      </c>
      <c r="H54" s="217" t="n">
        <v>0</v>
      </c>
      <c r="I54" s="217" t="n">
        <v>0</v>
      </c>
      <c r="J54" s="218">
        <f>SUM(F54:I54)</f>
        <v/>
      </c>
      <c r="K54" s="203" t="n"/>
      <c r="L54" s="203" t="n"/>
      <c r="M54" s="203" t="n"/>
      <c r="N54" s="203" t="n"/>
      <c r="O54" s="203" t="n"/>
      <c r="P54" s="203" t="n"/>
      <c r="Q54" s="203" t="n"/>
      <c r="R54" s="203" t="n"/>
      <c r="S54" s="533" t="n"/>
    </row>
    <row r="55" hidden="1" ht="24.75" customHeight="1">
      <c r="B55" s="219" t="n"/>
      <c r="D55" s="526" t="inlineStr">
        <is>
          <t>Raw Material</t>
        </is>
      </c>
      <c r="E55" s="228" t="n"/>
      <c r="F55" s="250">
        <f>F40+G40+H40</f>
        <v/>
      </c>
      <c r="G55" s="250" t="n">
        <v>0</v>
      </c>
      <c r="H55" s="250" t="n">
        <v>0</v>
      </c>
      <c r="I55" s="250" t="n">
        <v>0</v>
      </c>
      <c r="J55" s="218">
        <f>SUM(F55:I55)</f>
        <v/>
      </c>
      <c r="K55" s="203" t="n"/>
      <c r="L55" s="203" t="n"/>
      <c r="M55" s="203" t="n"/>
      <c r="N55" s="203" t="n"/>
      <c r="O55" s="203" t="n"/>
      <c r="P55" s="203" t="n"/>
      <c r="Q55" s="203" t="n"/>
      <c r="R55" s="203" t="n"/>
      <c r="S55" s="533" t="n"/>
    </row>
    <row r="56" hidden="1" ht="24.75" customHeight="1">
      <c r="B56" s="219" t="n"/>
      <c r="D56" s="526" t="inlineStr">
        <is>
          <t>Purchase breeder</t>
        </is>
      </c>
      <c r="E56" s="228" t="n"/>
      <c r="F56" s="250">
        <f>F41+G41+H41</f>
        <v/>
      </c>
      <c r="G56" s="250" t="n">
        <v>0</v>
      </c>
      <c r="H56" s="250" t="n">
        <v>0</v>
      </c>
      <c r="I56" s="250" t="n">
        <v>0</v>
      </c>
      <c r="J56" s="218">
        <f>SUM(F56:I56)</f>
        <v/>
      </c>
      <c r="K56" s="203" t="n"/>
      <c r="L56" s="203" t="n"/>
      <c r="M56" s="203" t="n"/>
      <c r="N56" s="203" t="n"/>
      <c r="O56" s="203" t="n"/>
      <c r="P56" s="203" t="n"/>
      <c r="Q56" s="203" t="n"/>
      <c r="R56" s="203" t="n"/>
      <c r="S56" s="533" t="n"/>
    </row>
    <row r="57" hidden="1" ht="24.75" customHeight="1">
      <c r="B57" s="219" t="n"/>
      <c r="D57" s="526" t="inlineStr">
        <is>
          <t>Repay Loan + Interest</t>
        </is>
      </c>
      <c r="E57" s="228" t="n"/>
      <c r="F57" s="217">
        <f>F42+G42+H42</f>
        <v/>
      </c>
      <c r="G57" s="217" t="n">
        <v>0</v>
      </c>
      <c r="H57" s="217" t="n">
        <v>0</v>
      </c>
      <c r="I57" s="217" t="n">
        <v>0</v>
      </c>
      <c r="J57" s="218">
        <f>SUM(F57:I57)</f>
        <v/>
      </c>
      <c r="K57" s="203" t="n"/>
      <c r="L57" s="203" t="n"/>
      <c r="M57" s="203" t="n"/>
      <c r="N57" s="203" t="n"/>
      <c r="O57" s="203" t="n"/>
      <c r="P57" s="203" t="n"/>
      <c r="Q57" s="203" t="n"/>
      <c r="R57" s="203" t="n"/>
      <c r="S57" s="533" t="n"/>
    </row>
    <row r="58" hidden="1" ht="24.75" customHeight="1">
      <c r="B58" s="229" t="n"/>
      <c r="C58" s="230" t="inlineStr">
        <is>
          <t xml:space="preserve"> Total Cash out</t>
        </is>
      </c>
      <c r="D58" s="231" t="n"/>
      <c r="E58" s="232" t="n">
        <v>-3</v>
      </c>
      <c r="F58" s="233">
        <f>SUM(F53:F57)</f>
        <v/>
      </c>
      <c r="G58" s="233">
        <f>SUM(G53:G57)</f>
        <v/>
      </c>
      <c r="H58" s="233">
        <f>SUM(H53:H57)</f>
        <v/>
      </c>
      <c r="I58" s="233">
        <f>SUM(I53:I57)</f>
        <v/>
      </c>
      <c r="J58" s="234">
        <f>SUM(J53:J57)</f>
        <v/>
      </c>
      <c r="K58" s="203" t="n"/>
      <c r="L58" s="203" t="n"/>
      <c r="M58" s="203" t="n"/>
      <c r="N58" s="203" t="n"/>
      <c r="O58" s="203" t="n"/>
      <c r="P58" s="203" t="n"/>
      <c r="Q58" s="203" t="n"/>
      <c r="R58" s="203" t="n"/>
      <c r="S58" s="533" t="n"/>
    </row>
    <row r="59" hidden="1" ht="24.75" customHeight="1" thickBot="1">
      <c r="B59" s="235" t="n"/>
      <c r="C59" s="236" t="inlineStr">
        <is>
          <t>Summary Cash from Operating</t>
        </is>
      </c>
      <c r="D59" s="237" t="n"/>
      <c r="E59" s="238" t="inlineStr">
        <is>
          <t>(2)+(3)</t>
        </is>
      </c>
      <c r="F59" s="239">
        <f>F52+F58</f>
        <v/>
      </c>
      <c r="G59" s="239">
        <f>G52+G58</f>
        <v/>
      </c>
      <c r="H59" s="239">
        <f>H52+H58</f>
        <v/>
      </c>
      <c r="I59" s="239">
        <f>I52+I58</f>
        <v/>
      </c>
      <c r="J59" s="251">
        <f>SUM(F59:I59)</f>
        <v/>
      </c>
      <c r="K59" s="203" t="n"/>
      <c r="L59" s="203" t="n"/>
      <c r="M59" s="203" t="n"/>
      <c r="N59" s="203" t="n"/>
      <c r="O59" s="203" t="n"/>
      <c r="P59" s="203" t="n"/>
      <c r="Q59" s="203" t="n"/>
      <c r="R59" s="203" t="n"/>
      <c r="S59" s="533" t="n"/>
    </row>
    <row r="60" hidden="1" ht="24.75" customFormat="1" customHeight="1" s="208" thickBot="1">
      <c r="A60" s="406" t="n"/>
      <c r="B60" s="240" t="inlineStr">
        <is>
          <t>Net Cash Balance</t>
        </is>
      </c>
      <c r="C60" s="241" t="n"/>
      <c r="D60" s="242" t="n"/>
      <c r="E60" s="243" t="inlineStr">
        <is>
          <t>(1)+(2)+(3)</t>
        </is>
      </c>
      <c r="F60" s="244">
        <f>F49+F59</f>
        <v/>
      </c>
      <c r="G60" s="244">
        <f>G49+G59</f>
        <v/>
      </c>
      <c r="H60" s="244">
        <f>H49+H59</f>
        <v/>
      </c>
      <c r="I60" s="244">
        <f>I49+I59</f>
        <v/>
      </c>
      <c r="J60" s="245">
        <f>J49+J59</f>
        <v/>
      </c>
      <c r="S60" s="534" t="n"/>
    </row>
    <row r="61" hidden="1" ht="24.75" customHeight="1">
      <c r="H61" s="494" t="n"/>
    </row>
    <row r="62" ht="24.75" customHeight="1" thickBot="1">
      <c r="B62" s="476" t="inlineStr">
        <is>
          <t>Updated 07.06.2022 Including CPFI loan</t>
        </is>
      </c>
      <c r="H62" s="1750">
        <f>H80</f>
        <v/>
      </c>
      <c r="I62" s="476" t="inlineStr">
        <is>
          <t>M.RUB</t>
        </is>
      </c>
    </row>
    <row r="63" ht="24.75" customHeight="1" thickBot="1">
      <c r="B63" s="360" t="inlineStr">
        <is>
          <t>RUSSIA</t>
        </is>
      </c>
      <c r="C63" s="1751" t="n"/>
      <c r="D63" s="1751" t="n"/>
      <c r="E63" s="1555" t="n"/>
      <c r="F63" s="419" t="inlineStr">
        <is>
          <t>Jan</t>
        </is>
      </c>
      <c r="G63" s="419" t="inlineStr">
        <is>
          <t>Feb</t>
        </is>
      </c>
      <c r="H63" s="419" t="inlineStr">
        <is>
          <t>Mar</t>
        </is>
      </c>
      <c r="I63" s="419" t="inlineStr">
        <is>
          <t>Apr</t>
        </is>
      </c>
      <c r="J63" s="419" t="inlineStr">
        <is>
          <t>May</t>
        </is>
      </c>
      <c r="K63" s="419" t="inlineStr">
        <is>
          <t>Jun</t>
        </is>
      </c>
      <c r="L63" s="419" t="inlineStr">
        <is>
          <t>Jul</t>
        </is>
      </c>
      <c r="M63" s="419" t="inlineStr">
        <is>
          <t>Aug</t>
        </is>
      </c>
      <c r="N63" s="419" t="inlineStr">
        <is>
          <t>Sep</t>
        </is>
      </c>
      <c r="O63" s="419" t="inlineStr">
        <is>
          <t>Oct</t>
        </is>
      </c>
      <c r="P63" s="419" t="inlineStr">
        <is>
          <t>Nov</t>
        </is>
      </c>
      <c r="Q63" s="419" t="inlineStr">
        <is>
          <t>Dec</t>
        </is>
      </c>
      <c r="R63" s="360" t="inlineStr">
        <is>
          <t>Total</t>
        </is>
      </c>
      <c r="S63" s="539" t="n"/>
      <c r="T63" s="1752" t="inlineStr">
        <is>
          <t>05.04.22</t>
        </is>
      </c>
      <c r="U63" s="1753" t="inlineStr">
        <is>
          <t>Diff</t>
        </is>
      </c>
      <c r="V63" s="1754" t="inlineStr">
        <is>
          <t>CPFO</t>
        </is>
      </c>
      <c r="W63" s="1751" t="n"/>
      <c r="X63" s="1555" t="n"/>
      <c r="Y63" s="1755" t="inlineStr">
        <is>
          <t>RBPI</t>
        </is>
      </c>
      <c r="Z63" s="1751" t="n"/>
      <c r="AA63" s="1555" t="n"/>
      <c r="AB63" s="1756" t="inlineStr">
        <is>
          <t>SW</t>
        </is>
      </c>
      <c r="AC63" s="1751" t="n"/>
      <c r="AD63" s="1555" t="n"/>
    </row>
    <row r="64" ht="24.75" customHeight="1" thickBot="1">
      <c r="B64" s="1558" t="n"/>
      <c r="C64" s="1757" t="n"/>
      <c r="D64" s="1757" t="n"/>
      <c r="E64" s="1559" t="n"/>
      <c r="F64" s="491" t="inlineStr">
        <is>
          <t>ACT</t>
        </is>
      </c>
      <c r="G64" s="491">
        <f>F64</f>
        <v/>
      </c>
      <c r="H64" s="491">
        <f>G64</f>
        <v/>
      </c>
      <c r="I64" s="491">
        <f>H64</f>
        <v/>
      </c>
      <c r="J64" s="491" t="inlineStr">
        <is>
          <t>EST</t>
        </is>
      </c>
      <c r="K64" s="491">
        <f>J64</f>
        <v/>
      </c>
      <c r="L64" s="491">
        <f>K64</f>
        <v/>
      </c>
      <c r="M64" s="491">
        <f>L64</f>
        <v/>
      </c>
      <c r="N64" s="491">
        <f>M64</f>
        <v/>
      </c>
      <c r="O64" s="491">
        <f>N64</f>
        <v/>
      </c>
      <c r="P64" s="491">
        <f>O64</f>
        <v/>
      </c>
      <c r="Q64" s="491">
        <f>P64</f>
        <v/>
      </c>
      <c r="R64" s="491">
        <f>Q64</f>
        <v/>
      </c>
      <c r="S64" s="539" t="n"/>
      <c r="T64" s="1688" t="n"/>
      <c r="U64" s="1758" t="n"/>
      <c r="V64" s="1558" t="n"/>
      <c r="W64" s="1757" t="n"/>
      <c r="X64" s="1559" t="n"/>
      <c r="Y64" s="1558" t="n"/>
      <c r="Z64" s="1757" t="n"/>
      <c r="AA64" s="1559" t="n"/>
      <c r="AB64" s="1558" t="n"/>
      <c r="AC64" s="1757" t="n"/>
      <c r="AD64" s="1559" t="n"/>
    </row>
    <row r="65" ht="24.75" customFormat="1" customHeight="1" s="208">
      <c r="A65" s="406" t="n"/>
      <c r="B65" s="361" t="inlineStr">
        <is>
          <t>Cash on hand</t>
        </is>
      </c>
      <c r="C65" s="362" t="n"/>
      <c r="D65" s="363" t="n"/>
      <c r="E65" s="212" t="n">
        <v>-1</v>
      </c>
      <c r="F65" s="364">
        <f>+#REF!+#REF!+#REF!+#REF!</f>
        <v/>
      </c>
      <c r="G65" s="364">
        <f>F78</f>
        <v/>
      </c>
      <c r="H65" s="364">
        <f>G78</f>
        <v/>
      </c>
      <c r="I65" s="364">
        <f>H78</f>
        <v/>
      </c>
      <c r="J65" s="364">
        <f>I78</f>
        <v/>
      </c>
      <c r="K65" s="364">
        <f>J78</f>
        <v/>
      </c>
      <c r="L65" s="364">
        <f>K78</f>
        <v/>
      </c>
      <c r="M65" s="364">
        <f>L78</f>
        <v/>
      </c>
      <c r="N65" s="364">
        <f>M78</f>
        <v/>
      </c>
      <c r="O65" s="364">
        <f>N78</f>
        <v/>
      </c>
      <c r="P65" s="364">
        <f>O78</f>
        <v/>
      </c>
      <c r="Q65" s="364">
        <f>P78</f>
        <v/>
      </c>
      <c r="R65" s="365">
        <f>F65</f>
        <v/>
      </c>
      <c r="S65" s="540" t="n"/>
      <c r="T65" s="574">
        <f>R3</f>
        <v/>
      </c>
      <c r="U65" s="1759" t="n"/>
      <c r="V65" s="496" t="inlineStr">
        <is>
          <t>04</t>
        </is>
      </c>
      <c r="W65" s="496" t="inlineStr">
        <is>
          <t>06</t>
        </is>
      </c>
      <c r="X65" s="496" t="inlineStr">
        <is>
          <t>Diff</t>
        </is>
      </c>
      <c r="Y65" s="495" t="inlineStr">
        <is>
          <t>04</t>
        </is>
      </c>
      <c r="Z65" s="495" t="inlineStr">
        <is>
          <t>06</t>
        </is>
      </c>
      <c r="AA65" s="495" t="inlineStr">
        <is>
          <t>Diff</t>
        </is>
      </c>
      <c r="AB65" s="541" t="inlineStr">
        <is>
          <t>04</t>
        </is>
      </c>
      <c r="AC65" s="541" t="inlineStr">
        <is>
          <t>06</t>
        </is>
      </c>
      <c r="AD65" s="541" t="inlineStr">
        <is>
          <t>Diff</t>
        </is>
      </c>
    </row>
    <row r="66" ht="24.75" customHeight="1">
      <c r="B66" s="366" t="inlineStr">
        <is>
          <t>In</t>
        </is>
      </c>
      <c r="C66" s="367" t="inlineStr">
        <is>
          <t>Cash from Operating</t>
        </is>
      </c>
      <c r="D66" s="368" t="n"/>
      <c r="F66" s="369">
        <f>+#REF!+#REF!+#REF!+#REF!</f>
        <v/>
      </c>
      <c r="G66" s="369">
        <f>+#REF!+#REF!+#REF!+#REF!</f>
        <v/>
      </c>
      <c r="H66" s="369">
        <f>+#REF!+#REF!+#REF!+#REF!</f>
        <v/>
      </c>
      <c r="I66" s="369">
        <f>+#REF!+#REF!+#REF!+#REF!</f>
        <v/>
      </c>
      <c r="J66" s="369">
        <f>+#REF!+#REF!+#REF!+#REF!</f>
        <v/>
      </c>
      <c r="K66" s="369">
        <f>+#REF!+#REF!+#REF!+#REF!</f>
        <v/>
      </c>
      <c r="L66" s="369">
        <f>+#REF!+#REF!+#REF!+#REF!</f>
        <v/>
      </c>
      <c r="M66" s="369">
        <f>+#REF!+#REF!+#REF!+#REF!</f>
        <v/>
      </c>
      <c r="N66" s="369">
        <f>+#REF!+#REF!+#REF!+#REF!</f>
        <v/>
      </c>
      <c r="O66" s="369">
        <f>+#REF!+#REF!+#REF!+#REF!</f>
        <v/>
      </c>
      <c r="P66" s="369">
        <f>+#REF!+#REF!+#REF!+#REF!</f>
        <v/>
      </c>
      <c r="Q66" s="369">
        <f>+#REF!+#REF!+#REF!+#REF!</f>
        <v/>
      </c>
      <c r="R66" s="370">
        <f>SUM(F66:Q66)</f>
        <v/>
      </c>
      <c r="S66" s="535" t="n"/>
      <c r="T66" s="497">
        <f>R4</f>
        <v/>
      </c>
      <c r="U66" s="497">
        <f>R66-T66</f>
        <v/>
      </c>
      <c r="V66" s="542" t="n">
        <v>7321.894913638094</v>
      </c>
      <c r="W66" s="542">
        <f>#REF!</f>
        <v/>
      </c>
      <c r="X66" s="542">
        <f>W66-V66</f>
        <v/>
      </c>
      <c r="Y66" s="542" t="n">
        <v>30740.47046132828</v>
      </c>
      <c r="Z66" s="542">
        <f>#REF!+#REF!</f>
        <v/>
      </c>
      <c r="AA66" s="545">
        <f>Z66-Y66</f>
        <v/>
      </c>
      <c r="AB66" s="542" t="n">
        <v>34061.11757955451</v>
      </c>
      <c r="AC66" s="542">
        <f>#REF!</f>
        <v/>
      </c>
      <c r="AD66" s="545">
        <f>AC66-AB66</f>
        <v/>
      </c>
    </row>
    <row r="67" ht="24.75" customHeight="1">
      <c r="B67" s="371" t="n"/>
      <c r="C67" s="367" t="inlineStr">
        <is>
          <t>Bank Loan</t>
        </is>
      </c>
      <c r="D67" s="368" t="n"/>
      <c r="F67" s="369">
        <f>+#REF!+#REF!+#REF!+#REF!</f>
        <v/>
      </c>
      <c r="G67" s="369">
        <f>+#REF!+#REF!+#REF!+#REF!</f>
        <v/>
      </c>
      <c r="H67" s="369">
        <f>+#REF!+#REF!+#REF!+#REF!</f>
        <v/>
      </c>
      <c r="I67" s="369">
        <f>+#REF!+#REF!+#REF!+#REF!</f>
        <v/>
      </c>
      <c r="J67" s="369">
        <f>+#REF!+#REF!+#REF!+#REF!</f>
        <v/>
      </c>
      <c r="K67" s="369">
        <f>+#REF!+#REF!+#REF!+#REF!</f>
        <v/>
      </c>
      <c r="L67" s="369">
        <f>+#REF!+#REF!+#REF!+#REF!</f>
        <v/>
      </c>
      <c r="M67" s="369">
        <f>+#REF!+#REF!+#REF!+#REF!</f>
        <v/>
      </c>
      <c r="N67" s="369">
        <f>+#REF!+#REF!+#REF!+#REF!</f>
        <v/>
      </c>
      <c r="O67" s="369">
        <f>+#REF!+#REF!+#REF!+#REF!</f>
        <v/>
      </c>
      <c r="P67" s="369">
        <f>+#REF!+#REF!+#REF!+#REF!</f>
        <v/>
      </c>
      <c r="Q67" s="369">
        <f>+#REF!+#REF!+#REF!+#REF!</f>
        <v/>
      </c>
      <c r="R67" s="370">
        <f>SUM(F67:Q67)</f>
        <v/>
      </c>
      <c r="S67" s="535" t="n"/>
      <c r="T67" s="497">
        <f>R5</f>
        <v/>
      </c>
      <c r="U67" s="497">
        <f>R67+R68-T67</f>
        <v/>
      </c>
      <c r="V67" s="542" t="n">
        <v>2975</v>
      </c>
      <c r="W67" s="542">
        <f>#REF!+#REF!</f>
        <v/>
      </c>
      <c r="X67" s="545">
        <f>W67-V67</f>
        <v/>
      </c>
      <c r="Y67" s="542" t="n">
        <v>13600.367</v>
      </c>
      <c r="Z67" s="542">
        <f>#REF!+#REF!+#REF!+#REF!</f>
        <v/>
      </c>
      <c r="AA67" s="542">
        <f>Z67-Y67</f>
        <v/>
      </c>
      <c r="AB67" s="542" t="n">
        <v>1166.599745</v>
      </c>
      <c r="AC67" s="542">
        <f>#REF!+#REF!</f>
        <v/>
      </c>
      <c r="AD67" s="542">
        <f>AC67-AB67</f>
        <v/>
      </c>
    </row>
    <row r="68" ht="24.75" customHeight="1">
      <c r="B68" s="371" t="n"/>
      <c r="C68" s="367" t="inlineStr">
        <is>
          <t>I/C Loan</t>
        </is>
      </c>
      <c r="D68" s="368" t="n"/>
      <c r="F68" s="369">
        <f>+#REF!+#REF!+#REF!+#REF!</f>
        <v/>
      </c>
      <c r="G68" s="369">
        <f>+#REF!+#REF!+#REF!+#REF!</f>
        <v/>
      </c>
      <c r="H68" s="369">
        <f>+#REF!+#REF!+#REF!+#REF!</f>
        <v/>
      </c>
      <c r="I68" s="503">
        <f>+#REF!+#REF!+#REF!+#REF!</f>
        <v/>
      </c>
      <c r="J68" s="369">
        <f>+#REF!+#REF!+#REF!+#REF!</f>
        <v/>
      </c>
      <c r="K68" s="369">
        <f>+#REF!+#REF!+#REF!+#REF!</f>
        <v/>
      </c>
      <c r="L68" s="369">
        <f>+#REF!+#REF!+#REF!+#REF!</f>
        <v/>
      </c>
      <c r="M68" s="369">
        <f>+#REF!+#REF!+#REF!+#REF!</f>
        <v/>
      </c>
      <c r="N68" s="369">
        <f>+#REF!+#REF!+#REF!+#REF!</f>
        <v/>
      </c>
      <c r="O68" s="369">
        <f>+#REF!+#REF!+#REF!+#REF!</f>
        <v/>
      </c>
      <c r="P68" s="369">
        <f>+#REF!+#REF!+#REF!+#REF!</f>
        <v/>
      </c>
      <c r="Q68" s="369">
        <f>+#REF!+#REF!+#REF!+#REF!</f>
        <v/>
      </c>
      <c r="R68" s="370">
        <f>SUM(F68:Q68)</f>
        <v/>
      </c>
      <c r="S68" s="535" t="n"/>
      <c r="T68" s="497" t="n"/>
      <c r="U68" s="497" t="n"/>
      <c r="V68" s="542" t="n"/>
      <c r="W68" s="542" t="n"/>
      <c r="X68" s="542" t="n"/>
      <c r="Y68" s="542" t="n"/>
      <c r="Z68" s="542" t="n"/>
      <c r="AA68" s="542" t="n"/>
      <c r="AB68" s="542" t="n"/>
      <c r="AC68" s="542" t="n"/>
      <c r="AD68" s="542" t="n"/>
    </row>
    <row r="69" ht="24.75" customHeight="1" thickBot="1">
      <c r="B69" s="372" t="n"/>
      <c r="C69" s="373" t="inlineStr">
        <is>
          <t>Total Cash In</t>
        </is>
      </c>
      <c r="D69" s="374" t="n"/>
      <c r="E69" s="223" t="n">
        <v>-2</v>
      </c>
      <c r="F69" s="375">
        <f>SUM(F66:F68)</f>
        <v/>
      </c>
      <c r="G69" s="375">
        <f>SUM(G66:G68)</f>
        <v/>
      </c>
      <c r="H69" s="375">
        <f>SUM(H66:H68)</f>
        <v/>
      </c>
      <c r="I69" s="375">
        <f>SUM(I66:I68)</f>
        <v/>
      </c>
      <c r="J69" s="375">
        <f>SUM(J66:J68)</f>
        <v/>
      </c>
      <c r="K69" s="375">
        <f>SUM(K66:K68)</f>
        <v/>
      </c>
      <c r="L69" s="375">
        <f>SUM(L66:L68)</f>
        <v/>
      </c>
      <c r="M69" s="375">
        <f>SUM(M66:M68)</f>
        <v/>
      </c>
      <c r="N69" s="375">
        <f>SUM(N66:N68)</f>
        <v/>
      </c>
      <c r="O69" s="375">
        <f>SUM(O66:O68)</f>
        <v/>
      </c>
      <c r="P69" s="375">
        <f>SUM(P66:P68)</f>
        <v/>
      </c>
      <c r="Q69" s="375">
        <f>SUM(Q66:Q68)</f>
        <v/>
      </c>
      <c r="R69" s="376">
        <f>SUM(R66:R68)</f>
        <v/>
      </c>
      <c r="S69" s="536" t="n"/>
      <c r="T69" s="498">
        <f>SUM(T66:T68)</f>
        <v/>
      </c>
      <c r="U69" s="498">
        <f>SUM(U66:U68)</f>
        <v/>
      </c>
      <c r="V69" s="546" t="n"/>
      <c r="W69" s="546" t="n"/>
      <c r="X69" s="546">
        <f>SUM(X66:X68)</f>
        <v/>
      </c>
      <c r="Y69" s="546" t="n"/>
      <c r="Z69" s="546" t="n"/>
      <c r="AA69" s="546">
        <f>SUM(AA66:AA68)</f>
        <v/>
      </c>
      <c r="AB69" s="546" t="n"/>
      <c r="AC69" s="546" t="n"/>
      <c r="AD69" s="546">
        <f>SUM(AD66:AD68)</f>
        <v/>
      </c>
    </row>
    <row r="70" ht="24.75" customHeight="1" thickTop="1">
      <c r="B70" s="366" t="inlineStr">
        <is>
          <t>Out</t>
        </is>
      </c>
      <c r="C70" s="377" t="n"/>
      <c r="D70" s="367" t="inlineStr">
        <is>
          <t>Operating expenses</t>
        </is>
      </c>
      <c r="E70" s="249" t="n"/>
      <c r="F70" s="378">
        <f>+#REF!+#REF!+#REF!+#REF!</f>
        <v/>
      </c>
      <c r="G70" s="378">
        <f>+#REF!+#REF!+#REF!+#REF!</f>
        <v/>
      </c>
      <c r="H70" s="378">
        <f>+#REF!+#REF!+#REF!+#REF!</f>
        <v/>
      </c>
      <c r="I70" s="378">
        <f>+#REF!+#REF!+#REF!+#REF!</f>
        <v/>
      </c>
      <c r="J70" s="378">
        <f>+#REF!+#REF!+#REF!+#REF!</f>
        <v/>
      </c>
      <c r="K70" s="378">
        <f>+#REF!+#REF!+#REF!+#REF!</f>
        <v/>
      </c>
      <c r="L70" s="378">
        <f>+#REF!+#REF!+#REF!+#REF!</f>
        <v/>
      </c>
      <c r="M70" s="378">
        <f>+#REF!+#REF!+#REF!+#REF!</f>
        <v/>
      </c>
      <c r="N70" s="378">
        <f>+#REF!+#REF!+#REF!+#REF!</f>
        <v/>
      </c>
      <c r="O70" s="378">
        <f>+#REF!+#REF!+#REF!+#REF!</f>
        <v/>
      </c>
      <c r="P70" s="378">
        <f>+#REF!+#REF!+#REF!+#REF!</f>
        <v/>
      </c>
      <c r="Q70" s="378">
        <f>+#REF!+#REF!+#REF!+#REF!</f>
        <v/>
      </c>
      <c r="R70" s="379">
        <f>SUM(F70:Q70)</f>
        <v/>
      </c>
      <c r="S70" s="536" t="n"/>
      <c r="T70" s="499">
        <f>R7</f>
        <v/>
      </c>
      <c r="U70" s="499">
        <f>R70-T70</f>
        <v/>
      </c>
      <c r="V70" s="542" t="n">
        <v>-5618.328295436664</v>
      </c>
      <c r="W70" s="542">
        <f>#REF!</f>
        <v/>
      </c>
      <c r="X70" s="542">
        <f>W70-V70</f>
        <v/>
      </c>
      <c r="Y70" s="542" t="n">
        <v>-21626.47095967746</v>
      </c>
      <c r="Z70" s="542">
        <f>#REF!+#REF!</f>
        <v/>
      </c>
      <c r="AA70" s="542">
        <f>Z70-Y70</f>
        <v/>
      </c>
      <c r="AB70" s="542" t="n">
        <v>-7857.079972719818</v>
      </c>
      <c r="AC70" s="542">
        <f>#REF!</f>
        <v/>
      </c>
      <c r="AD70" s="545">
        <f>AC70-AB70</f>
        <v/>
      </c>
    </row>
    <row r="71" ht="24.75" customHeight="1">
      <c r="B71" s="366" t="n"/>
      <c r="C71" s="368" t="n"/>
      <c r="D71" s="367" t="inlineStr">
        <is>
          <t>Investment</t>
        </is>
      </c>
      <c r="F71" s="369">
        <f>+#REF!+#REF!+#REF!+#REF!</f>
        <v/>
      </c>
      <c r="G71" s="369">
        <f>+#REF!+#REF!+#REF!+#REF!</f>
        <v/>
      </c>
      <c r="H71" s="369">
        <f>+#REF!+#REF!+#REF!+#REF!</f>
        <v/>
      </c>
      <c r="I71" s="380">
        <f>+#REF!+#REF!+#REF!+#REF!</f>
        <v/>
      </c>
      <c r="J71" s="380">
        <f>+#REF!+#REF!+#REF!+#REF!</f>
        <v/>
      </c>
      <c r="K71" s="380">
        <f>+#REF!+#REF!+#REF!+#REF!</f>
        <v/>
      </c>
      <c r="L71" s="369">
        <f>+#REF!+#REF!+#REF!+#REF!</f>
        <v/>
      </c>
      <c r="M71" s="369">
        <f>+#REF!+#REF!+#REF!+#REF!</f>
        <v/>
      </c>
      <c r="N71" s="369">
        <f>+#REF!+#REF!+#REF!+#REF!</f>
        <v/>
      </c>
      <c r="O71" s="369">
        <f>+#REF!+#REF!+#REF!+#REF!</f>
        <v/>
      </c>
      <c r="P71" s="369">
        <f>+#REF!+#REF!+#REF!+#REF!</f>
        <v/>
      </c>
      <c r="Q71" s="369">
        <f>+#REF!+#REF!+#REF!+#REF!</f>
        <v/>
      </c>
      <c r="R71" s="370">
        <f>SUM(F71:Q71)</f>
        <v/>
      </c>
      <c r="S71" s="535" t="n"/>
      <c r="T71" s="497">
        <f>R8</f>
        <v/>
      </c>
      <c r="U71" s="497">
        <f>R71-T71</f>
        <v/>
      </c>
      <c r="V71" s="542" t="n">
        <v>-2323.618011182623</v>
      </c>
      <c r="W71" s="542">
        <f>#REF!</f>
        <v/>
      </c>
      <c r="X71" s="542">
        <f>W71-V71</f>
        <v/>
      </c>
      <c r="Y71" s="542" t="n">
        <v>-6281.322</v>
      </c>
      <c r="Z71" s="542">
        <f>#REF!+#REF!</f>
        <v/>
      </c>
      <c r="AA71" s="545">
        <f>Z71-Y71</f>
        <v/>
      </c>
      <c r="AB71" s="542" t="n">
        <v>-4107.937099429999</v>
      </c>
      <c r="AC71" s="542">
        <f>#REF!</f>
        <v/>
      </c>
      <c r="AD71" s="545">
        <f>AC71-AB71</f>
        <v/>
      </c>
    </row>
    <row r="72" ht="24.75" customHeight="1">
      <c r="B72" s="371" t="n"/>
      <c r="C72" s="368" t="n"/>
      <c r="D72" s="367" t="inlineStr">
        <is>
          <t>Raw Material</t>
        </is>
      </c>
      <c r="E72" s="228" t="n"/>
      <c r="F72" s="369">
        <f>+#REF!+#REF!+#REF!+#REF!</f>
        <v/>
      </c>
      <c r="G72" s="369">
        <f>+#REF!+#REF!+#REF!+#REF!</f>
        <v/>
      </c>
      <c r="H72" s="369">
        <f>+#REF!+#REF!+#REF!+#REF!</f>
        <v/>
      </c>
      <c r="I72" s="369">
        <f>+#REF!+#REF!+#REF!+#REF!</f>
        <v/>
      </c>
      <c r="J72" s="369">
        <f>+#REF!+#REF!+#REF!+#REF!</f>
        <v/>
      </c>
      <c r="K72" s="369">
        <f>+#REF!+#REF!+#REF!+#REF!</f>
        <v/>
      </c>
      <c r="L72" s="369">
        <f>+#REF!+#REF!+#REF!+#REF!</f>
        <v/>
      </c>
      <c r="M72" s="369">
        <f>+#REF!+#REF!+#REF!+#REF!</f>
        <v/>
      </c>
      <c r="N72" s="369">
        <f>+#REF!+#REF!+#REF!+#REF!</f>
        <v/>
      </c>
      <c r="O72" s="369">
        <f>+#REF!+#REF!+#REF!+#REF!</f>
        <v/>
      </c>
      <c r="P72" s="369">
        <f>+#REF!+#REF!+#REF!+#REF!</f>
        <v/>
      </c>
      <c r="Q72" s="369">
        <f>+#REF!+#REF!+#REF!+#REF!</f>
        <v/>
      </c>
      <c r="R72" s="370">
        <f>SUM(F72:Q72)</f>
        <v/>
      </c>
      <c r="S72" s="535" t="n"/>
      <c r="T72" s="497">
        <f>R9</f>
        <v/>
      </c>
      <c r="U72" s="497">
        <f>R72-T72</f>
        <v/>
      </c>
      <c r="V72" s="542" t="n">
        <v>-1714.2046283934</v>
      </c>
      <c r="W72" s="542">
        <f>#REF!</f>
        <v/>
      </c>
      <c r="X72" s="542">
        <f>W72-V72</f>
        <v/>
      </c>
      <c r="Y72" s="542" t="n">
        <v>-3543.6032</v>
      </c>
      <c r="Z72" s="542">
        <f>#REF!+#REF!</f>
        <v/>
      </c>
      <c r="AA72" s="545">
        <f>Z72-Y72</f>
        <v/>
      </c>
      <c r="AB72" s="542" t="n">
        <v>-23520.20237720934</v>
      </c>
      <c r="AC72" s="542">
        <f>#REF!</f>
        <v/>
      </c>
      <c r="AD72" s="545">
        <f>AC72-AB72</f>
        <v/>
      </c>
    </row>
    <row r="73" ht="24.75" customHeight="1">
      <c r="B73" s="371" t="n"/>
      <c r="C73" s="368" t="n"/>
      <c r="D73" s="367" t="inlineStr">
        <is>
          <t>Purchase breeder</t>
        </is>
      </c>
      <c r="E73" s="228" t="n"/>
      <c r="F73" s="369">
        <f>+#REF!+#REF!+#REF!+#REF!</f>
        <v/>
      </c>
      <c r="G73" s="369">
        <f>+#REF!+#REF!+#REF!+#REF!</f>
        <v/>
      </c>
      <c r="H73" s="369">
        <f>+#REF!+#REF!+#REF!+#REF!</f>
        <v/>
      </c>
      <c r="I73" s="369">
        <f>+#REF!+#REF!+#REF!+#REF!</f>
        <v/>
      </c>
      <c r="J73" s="369">
        <f>+#REF!+#REF!+#REF!+#REF!</f>
        <v/>
      </c>
      <c r="K73" s="369">
        <f>+#REF!+#REF!+#REF!+#REF!</f>
        <v/>
      </c>
      <c r="L73" s="402">
        <f>+#REF!+#REF!+#REF!+#REF!</f>
        <v/>
      </c>
      <c r="M73" s="369">
        <f>+#REF!+#REF!+#REF!+#REF!</f>
        <v/>
      </c>
      <c r="N73" s="369">
        <f>+#REF!+#REF!+#REF!+#REF!</f>
        <v/>
      </c>
      <c r="O73" s="369">
        <f>+#REF!+#REF!+#REF!+#REF!</f>
        <v/>
      </c>
      <c r="P73" s="369">
        <f>+#REF!+#REF!+#REF!+#REF!</f>
        <v/>
      </c>
      <c r="Q73" s="369">
        <f>+#REF!+#REF!+#REF!+#REF!</f>
        <v/>
      </c>
      <c r="R73" s="370">
        <f>SUM(F73:Q73)</f>
        <v/>
      </c>
      <c r="S73" s="535" t="n"/>
      <c r="T73" s="497">
        <f>R10</f>
        <v/>
      </c>
      <c r="U73" s="497">
        <f>R73-T73</f>
        <v/>
      </c>
      <c r="V73" s="542" t="n">
        <v>-154.5258748</v>
      </c>
      <c r="W73" s="542">
        <f>#REF!</f>
        <v/>
      </c>
      <c r="X73" s="542">
        <f>W73-V73</f>
        <v/>
      </c>
      <c r="Y73" s="542" t="n">
        <v>-924.2376000000002</v>
      </c>
      <c r="Z73" s="542">
        <f>#REF!+#REF!</f>
        <v/>
      </c>
      <c r="AA73" s="542">
        <f>Z73-Y73</f>
        <v/>
      </c>
      <c r="AB73" s="542" t="n">
        <v>0</v>
      </c>
      <c r="AC73" s="542">
        <f>#REF!</f>
        <v/>
      </c>
      <c r="AD73" s="542">
        <f>AC73-AB73</f>
        <v/>
      </c>
    </row>
    <row r="74" ht="24.75" customHeight="1">
      <c r="B74" s="371" t="n"/>
      <c r="C74" s="368" t="n"/>
      <c r="D74" s="367" t="inlineStr">
        <is>
          <t>Repay - Bank loan</t>
        </is>
      </c>
      <c r="E74" s="228" t="n"/>
      <c r="F74" s="369">
        <f>+#REF!+#REF!+#REF!+#REF!</f>
        <v/>
      </c>
      <c r="G74" s="369">
        <f>+#REF!+#REF!+#REF!+#REF!</f>
        <v/>
      </c>
      <c r="H74" s="369">
        <f>+#REF!+#REF!+#REF!+#REF!</f>
        <v/>
      </c>
      <c r="I74" s="369">
        <f>+#REF!+#REF!+#REF!+#REF!</f>
        <v/>
      </c>
      <c r="J74" s="369">
        <f>+#REF!+#REF!+#REF!+#REF!</f>
        <v/>
      </c>
      <c r="K74" s="369">
        <f>+#REF!+#REF!+#REF!+#REF!</f>
        <v/>
      </c>
      <c r="L74" s="369">
        <f>+#REF!+#REF!+#REF!+#REF!</f>
        <v/>
      </c>
      <c r="M74" s="369">
        <f>+#REF!+#REF!+#REF!+#REF!</f>
        <v/>
      </c>
      <c r="N74" s="369">
        <f>+#REF!+#REF!+#REF!+#REF!</f>
        <v/>
      </c>
      <c r="O74" s="369">
        <f>+#REF!+#REF!+#REF!+#REF!</f>
        <v/>
      </c>
      <c r="P74" s="369">
        <f>+#REF!+#REF!+#REF!+#REF!</f>
        <v/>
      </c>
      <c r="Q74" s="369">
        <f>+#REF!+#REF!+#REF!+#REF!</f>
        <v/>
      </c>
      <c r="R74" s="370">
        <f>SUM(F74:Q74)</f>
        <v/>
      </c>
      <c r="S74" s="535" t="n"/>
      <c r="T74" s="497">
        <f>R11</f>
        <v/>
      </c>
      <c r="U74" s="497">
        <f>R74+R75-T74</f>
        <v/>
      </c>
      <c r="V74" s="542" t="n">
        <v>-1003.500070578424</v>
      </c>
      <c r="W74" s="542">
        <f>#REF!+#REF!</f>
        <v/>
      </c>
      <c r="X74" s="542">
        <f>W74-V74</f>
        <v/>
      </c>
      <c r="Y74" s="542" t="n">
        <v>-13309.46632242571</v>
      </c>
      <c r="Z74" s="542">
        <f>#REF!+#REF!+#REF!</f>
        <v/>
      </c>
      <c r="AA74" s="542">
        <f>Z74-Y74</f>
        <v/>
      </c>
      <c r="AB74" s="542" t="n">
        <v>-2937.342257011758</v>
      </c>
      <c r="AC74" s="542">
        <f>#REF!+#REF!</f>
        <v/>
      </c>
      <c r="AD74" s="542">
        <f>AC74-AB74</f>
        <v/>
      </c>
    </row>
    <row r="75" ht="24.75" customHeight="1">
      <c r="B75" s="371" t="n"/>
      <c r="C75" s="368" t="n"/>
      <c r="D75" s="367" t="inlineStr">
        <is>
          <t>Repay - I/C loan</t>
        </is>
      </c>
      <c r="E75" s="228" t="n"/>
      <c r="F75" s="369">
        <f>+#REF!+#REF!+#REF!+#REF!</f>
        <v/>
      </c>
      <c r="G75" s="369">
        <f>+#REF!+#REF!+#REF!+#REF!</f>
        <v/>
      </c>
      <c r="H75" s="369">
        <f>+#REF!+#REF!+#REF!+#REF!</f>
        <v/>
      </c>
      <c r="I75" s="369">
        <f>+#REF!+#REF!+#REF!+#REF!</f>
        <v/>
      </c>
      <c r="J75" s="369">
        <f>+#REF!+#REF!+#REF!+#REF!</f>
        <v/>
      </c>
      <c r="K75" s="369">
        <f>+#REF!+#REF!+#REF!+#REF!</f>
        <v/>
      </c>
      <c r="L75" s="369">
        <f>+#REF!+#REF!+#REF!+#REF!</f>
        <v/>
      </c>
      <c r="M75" s="369">
        <f>+#REF!+#REF!+#REF!+#REF!</f>
        <v/>
      </c>
      <c r="N75" s="369">
        <f>+#REF!+#REF!+#REF!+#REF!</f>
        <v/>
      </c>
      <c r="O75" s="369">
        <f>+#REF!+#REF!+#REF!+#REF!</f>
        <v/>
      </c>
      <c r="P75" s="369">
        <f>+#REF!+#REF!+#REF!+#REF!</f>
        <v/>
      </c>
      <c r="Q75" s="369">
        <f>+#REF!+#REF!+#REF!+#REF!</f>
        <v/>
      </c>
      <c r="R75" s="370">
        <f>SUM(F75:Q75)</f>
        <v/>
      </c>
      <c r="S75" s="535" t="n"/>
      <c r="T75" s="497" t="n"/>
      <c r="U75" s="497" t="n"/>
      <c r="V75" s="542" t="n"/>
      <c r="W75" s="542" t="n"/>
      <c r="X75" s="542" t="n"/>
      <c r="Y75" s="542" t="n"/>
      <c r="Z75" s="542" t="n"/>
      <c r="AA75" s="542" t="n"/>
      <c r="AB75" s="542" t="n"/>
      <c r="AC75" s="542" t="n"/>
      <c r="AD75" s="542" t="n"/>
    </row>
    <row r="76" ht="24.75" customHeight="1" thickBot="1">
      <c r="B76" s="382" t="n"/>
      <c r="C76" s="383" t="inlineStr">
        <is>
          <t xml:space="preserve"> Total Cash out</t>
        </is>
      </c>
      <c r="D76" s="384" t="n"/>
      <c r="E76" s="232" t="n">
        <v>-3</v>
      </c>
      <c r="F76" s="385">
        <f>SUM(F70:F75)</f>
        <v/>
      </c>
      <c r="G76" s="385">
        <f>SUM(G70:G75)</f>
        <v/>
      </c>
      <c r="H76" s="385">
        <f>SUM(H70:H75)</f>
        <v/>
      </c>
      <c r="I76" s="385">
        <f>SUM(I70:I75)</f>
        <v/>
      </c>
      <c r="J76" s="385">
        <f>SUM(J70:J75)</f>
        <v/>
      </c>
      <c r="K76" s="385">
        <f>SUM(K70:K75)</f>
        <v/>
      </c>
      <c r="L76" s="385">
        <f>SUM(L70:L75)</f>
        <v/>
      </c>
      <c r="M76" s="385">
        <f>SUM(M70:M75)</f>
        <v/>
      </c>
      <c r="N76" s="385">
        <f>SUM(N70:N75)</f>
        <v/>
      </c>
      <c r="O76" s="385">
        <f>SUM(O70:O75)</f>
        <v/>
      </c>
      <c r="P76" s="385">
        <f>SUM(P70:P75)</f>
        <v/>
      </c>
      <c r="Q76" s="385">
        <f>SUM(Q70:Q75)</f>
        <v/>
      </c>
      <c r="R76" s="386">
        <f>SUM(R70:R75)</f>
        <v/>
      </c>
      <c r="S76" s="536" t="n"/>
      <c r="T76" s="500">
        <f>SUM(T70:T75)</f>
        <v/>
      </c>
      <c r="U76" s="500">
        <f>SUM(U70:U75)</f>
        <v/>
      </c>
      <c r="V76" s="547" t="n"/>
      <c r="W76" s="547" t="n"/>
      <c r="X76" s="547">
        <f>SUM(X70:X75)</f>
        <v/>
      </c>
      <c r="Y76" s="547" t="n"/>
      <c r="Z76" s="547" t="n"/>
      <c r="AA76" s="547">
        <f>SUM(AA70:AA75)</f>
        <v/>
      </c>
      <c r="AB76" s="547" t="n"/>
      <c r="AC76" s="547" t="n"/>
      <c r="AD76" s="547">
        <f>SUM(AD70:AD75)</f>
        <v/>
      </c>
    </row>
    <row r="77" ht="24.75" customHeight="1" thickBot="1">
      <c r="B77" s="387" t="n"/>
      <c r="C77" s="388" t="inlineStr">
        <is>
          <t>Total Cash from Operating</t>
        </is>
      </c>
      <c r="D77" s="389" t="n"/>
      <c r="E77" s="238" t="inlineStr">
        <is>
          <t>(2)+(3)</t>
        </is>
      </c>
      <c r="F77" s="390">
        <f>F69+F76</f>
        <v/>
      </c>
      <c r="G77" s="390">
        <f>G69+G76</f>
        <v/>
      </c>
      <c r="H77" s="390">
        <f>H69+H76</f>
        <v/>
      </c>
      <c r="I77" s="390">
        <f>I69+I76</f>
        <v/>
      </c>
      <c r="J77" s="390">
        <f>J69+J76</f>
        <v/>
      </c>
      <c r="K77" s="390">
        <f>K69+K76</f>
        <v/>
      </c>
      <c r="L77" s="390">
        <f>L69+L76</f>
        <v/>
      </c>
      <c r="M77" s="390">
        <f>M69+M76</f>
        <v/>
      </c>
      <c r="N77" s="390">
        <f>N69+N76</f>
        <v/>
      </c>
      <c r="O77" s="390">
        <f>O69+O76</f>
        <v/>
      </c>
      <c r="P77" s="390">
        <f>P69+P76</f>
        <v/>
      </c>
      <c r="Q77" s="390">
        <f>Q69+Q76</f>
        <v/>
      </c>
      <c r="R77" s="391">
        <f>SUM(F77:Q77)</f>
        <v/>
      </c>
      <c r="S77" s="535" t="n"/>
      <c r="T77" s="501" t="n"/>
      <c r="U77" s="501" t="n"/>
      <c r="V77" s="543" t="n"/>
      <c r="W77" s="543" t="n"/>
      <c r="X77" s="543" t="n"/>
      <c r="Y77" s="543" t="n"/>
      <c r="Z77" s="543" t="n"/>
      <c r="AA77" s="543" t="n"/>
      <c r="AB77" s="543" t="n"/>
      <c r="AC77" s="543" t="n"/>
      <c r="AD77" s="543" t="n"/>
    </row>
    <row r="78" ht="24.75" customFormat="1" customHeight="1" s="208" thickBot="1">
      <c r="A78" s="406" t="n"/>
      <c r="B78" s="392" t="inlineStr">
        <is>
          <t>Net Cash Balance</t>
        </is>
      </c>
      <c r="C78" s="393" t="n"/>
      <c r="D78" s="394" t="n"/>
      <c r="E78" s="243" t="inlineStr">
        <is>
          <t>(1)+(2)+(3)</t>
        </is>
      </c>
      <c r="F78" s="395">
        <f>F65+F77</f>
        <v/>
      </c>
      <c r="G78" s="395">
        <f>G65+G77</f>
        <v/>
      </c>
      <c r="H78" s="395">
        <f>H65+H77</f>
        <v/>
      </c>
      <c r="I78" s="395">
        <f>I65+I77</f>
        <v/>
      </c>
      <c r="J78" s="395">
        <f>J65+J77</f>
        <v/>
      </c>
      <c r="K78" s="395">
        <f>K65+K77</f>
        <v/>
      </c>
      <c r="L78" s="395">
        <f>L65+L77</f>
        <v/>
      </c>
      <c r="M78" s="395">
        <f>M65+M77</f>
        <v/>
      </c>
      <c r="N78" s="395">
        <f>N65+N77</f>
        <v/>
      </c>
      <c r="O78" s="395">
        <f>O65+O77</f>
        <v/>
      </c>
      <c r="P78" s="395">
        <f>P65+P77</f>
        <v/>
      </c>
      <c r="Q78" s="395">
        <f>Q65+Q77</f>
        <v/>
      </c>
      <c r="R78" s="396">
        <f>R65+R77</f>
        <v/>
      </c>
      <c r="S78" s="540" t="n"/>
      <c r="T78" s="502">
        <f>T69+T76+T65</f>
        <v/>
      </c>
      <c r="U78" s="502">
        <f>U69+U76</f>
        <v/>
      </c>
      <c r="V78" s="544" t="n">
        <v>73.11089705080235</v>
      </c>
      <c r="W78" s="544">
        <f>#REF!</f>
        <v/>
      </c>
      <c r="X78" s="544">
        <f>X69+X76</f>
        <v/>
      </c>
      <c r="Y78" s="544" t="n">
        <v>-359.2145309925641</v>
      </c>
      <c r="Z78" s="544">
        <f>#REF!+#REF!</f>
        <v/>
      </c>
      <c r="AA78" s="544">
        <f>AA69+AA76</f>
        <v/>
      </c>
      <c r="AB78" s="544" t="n">
        <v>1436.327555852103</v>
      </c>
      <c r="AC78" s="544">
        <f>#REF!</f>
        <v/>
      </c>
      <c r="AD78" s="544">
        <f>AD69+AD76</f>
        <v/>
      </c>
    </row>
    <row r="79" hidden="1" ht="24.75" customHeight="1"/>
    <row r="80" hidden="1" ht="24.75" customHeight="1" thickBot="1">
      <c r="B80" s="476" t="inlineStr">
        <is>
          <t>Updated 07.06.2022 Excluding CPFI loan</t>
        </is>
      </c>
      <c r="H80" s="1750">
        <f>#REF!+#REF!</f>
        <v/>
      </c>
      <c r="I80" s="476" t="inlineStr">
        <is>
          <t>M.RUB</t>
        </is>
      </c>
    </row>
    <row r="81" hidden="1" ht="24.75" customHeight="1" thickBot="1">
      <c r="B81" s="360" t="inlineStr">
        <is>
          <t>RUSSIA</t>
        </is>
      </c>
      <c r="C81" s="1751" t="n"/>
      <c r="D81" s="1751" t="n"/>
      <c r="E81" s="1555" t="n"/>
      <c r="F81" s="419" t="inlineStr">
        <is>
          <t>Jan</t>
        </is>
      </c>
      <c r="G81" s="419" t="inlineStr">
        <is>
          <t>Feb</t>
        </is>
      </c>
      <c r="H81" s="419" t="inlineStr">
        <is>
          <t>Mar</t>
        </is>
      </c>
      <c r="I81" s="419" t="inlineStr">
        <is>
          <t>Apr</t>
        </is>
      </c>
      <c r="J81" s="419" t="inlineStr">
        <is>
          <t>May</t>
        </is>
      </c>
      <c r="K81" s="419" t="inlineStr">
        <is>
          <t>Jun</t>
        </is>
      </c>
      <c r="L81" s="419" t="inlineStr">
        <is>
          <t>Jul</t>
        </is>
      </c>
      <c r="M81" s="419" t="inlineStr">
        <is>
          <t>Aug</t>
        </is>
      </c>
      <c r="N81" s="419" t="inlineStr">
        <is>
          <t>Sep</t>
        </is>
      </c>
      <c r="O81" s="419" t="inlineStr">
        <is>
          <t>Oct</t>
        </is>
      </c>
      <c r="P81" s="419" t="inlineStr">
        <is>
          <t>Nov</t>
        </is>
      </c>
      <c r="Q81" s="419" t="inlineStr">
        <is>
          <t>Dec</t>
        </is>
      </c>
      <c r="R81" s="360" t="inlineStr">
        <is>
          <t>Total</t>
        </is>
      </c>
      <c r="S81" s="537" t="n"/>
    </row>
    <row r="82" hidden="1" ht="24.75" customHeight="1" thickBot="1">
      <c r="B82" s="1558" t="n"/>
      <c r="C82" s="1757" t="n"/>
      <c r="D82" s="1757" t="n"/>
      <c r="E82" s="1559" t="n"/>
      <c r="F82" s="491" t="inlineStr">
        <is>
          <t>ACT</t>
        </is>
      </c>
      <c r="G82" s="491">
        <f>F82</f>
        <v/>
      </c>
      <c r="H82" s="491">
        <f>G82</f>
        <v/>
      </c>
      <c r="I82" s="491">
        <f>H82</f>
        <v/>
      </c>
      <c r="J82" s="491" t="inlineStr">
        <is>
          <t>EST</t>
        </is>
      </c>
      <c r="K82" s="491">
        <f>J82</f>
        <v/>
      </c>
      <c r="L82" s="491">
        <f>K82</f>
        <v/>
      </c>
      <c r="M82" s="491">
        <f>L82</f>
        <v/>
      </c>
      <c r="N82" s="491">
        <f>M82</f>
        <v/>
      </c>
      <c r="O82" s="491">
        <f>N82</f>
        <v/>
      </c>
      <c r="P82" s="491">
        <f>O82</f>
        <v/>
      </c>
      <c r="Q82" s="491">
        <f>P82</f>
        <v/>
      </c>
      <c r="R82" s="491">
        <f>Q82</f>
        <v/>
      </c>
      <c r="S82" s="537" t="n"/>
    </row>
    <row r="83" hidden="1" ht="24.75" customFormat="1" customHeight="1" s="208">
      <c r="A83" s="406" t="n"/>
      <c r="B83" s="361" t="inlineStr">
        <is>
          <t>Cash on hand</t>
        </is>
      </c>
      <c r="C83" s="362" t="n"/>
      <c r="D83" s="363" t="n"/>
      <c r="E83" s="212" t="n">
        <v>-1</v>
      </c>
      <c r="F83" s="364">
        <f>'Simulation RUSSIA22 '!F65</f>
        <v/>
      </c>
      <c r="G83" s="364">
        <f>F96</f>
        <v/>
      </c>
      <c r="H83" s="364">
        <f>G96</f>
        <v/>
      </c>
      <c r="I83" s="364">
        <f>H96</f>
        <v/>
      </c>
      <c r="J83" s="364">
        <f>I96</f>
        <v/>
      </c>
      <c r="K83" s="364">
        <f>J96</f>
        <v/>
      </c>
      <c r="L83" s="364">
        <f>K96</f>
        <v/>
      </c>
      <c r="M83" s="364">
        <f>L96</f>
        <v/>
      </c>
      <c r="N83" s="364">
        <f>M96</f>
        <v/>
      </c>
      <c r="O83" s="364">
        <f>N96</f>
        <v/>
      </c>
      <c r="P83" s="364">
        <f>O96</f>
        <v/>
      </c>
      <c r="Q83" s="364">
        <f>P96</f>
        <v/>
      </c>
      <c r="R83" s="365">
        <f>F83</f>
        <v/>
      </c>
      <c r="S83" s="529" t="n"/>
      <c r="T83" s="526" t="n"/>
    </row>
    <row r="84" hidden="1" ht="24.75" customHeight="1">
      <c r="B84" s="366" t="inlineStr">
        <is>
          <t>In</t>
        </is>
      </c>
      <c r="C84" s="367" t="inlineStr">
        <is>
          <t>Cash from Operating</t>
        </is>
      </c>
      <c r="D84" s="368" t="n"/>
      <c r="F84" s="369">
        <f>'Simulation RUSSIA22 '!F66</f>
        <v/>
      </c>
      <c r="G84" s="369">
        <f>'Simulation RUSSIA22 '!G66</f>
        <v/>
      </c>
      <c r="H84" s="369">
        <f>'Simulation RUSSIA22 '!H66</f>
        <v/>
      </c>
      <c r="I84" s="369">
        <f>'Simulation RUSSIA22 '!I66</f>
        <v/>
      </c>
      <c r="J84" s="369">
        <f>'Simulation RUSSIA22 '!J66</f>
        <v/>
      </c>
      <c r="K84" s="369">
        <f>'Simulation RUSSIA22 '!K66</f>
        <v/>
      </c>
      <c r="L84" s="369">
        <f>'Simulation RUSSIA22 '!L66</f>
        <v/>
      </c>
      <c r="M84" s="369">
        <f>'Simulation RUSSIA22 '!M66</f>
        <v/>
      </c>
      <c r="N84" s="369">
        <f>'Simulation RUSSIA22 '!N66</f>
        <v/>
      </c>
      <c r="O84" s="369">
        <f>'Simulation RUSSIA22 '!O66</f>
        <v/>
      </c>
      <c r="P84" s="369">
        <f>'Simulation RUSSIA22 '!P66</f>
        <v/>
      </c>
      <c r="Q84" s="369">
        <f>'Simulation RUSSIA22 '!Q66</f>
        <v/>
      </c>
      <c r="R84" s="370">
        <f>SUM(F84:Q84)</f>
        <v/>
      </c>
      <c r="S84" s="530" t="n"/>
      <c r="T84" s="246" t="n"/>
    </row>
    <row r="85" hidden="1" ht="24.75" customHeight="1">
      <c r="B85" s="371" t="n"/>
      <c r="C85" s="367" t="inlineStr">
        <is>
          <t>Bank Loan</t>
        </is>
      </c>
      <c r="D85" s="368" t="n"/>
      <c r="F85" s="369">
        <f>'Simulation RUSSIA22 '!F67</f>
        <v/>
      </c>
      <c r="G85" s="369">
        <f>'Simulation RUSSIA22 '!G67</f>
        <v/>
      </c>
      <c r="H85" s="369">
        <f>'Simulation RUSSIA22 '!H67</f>
        <v/>
      </c>
      <c r="I85" s="369">
        <f>'Simulation RUSSIA22 '!I67</f>
        <v/>
      </c>
      <c r="J85" s="369">
        <f>'Simulation RUSSIA22 '!J67</f>
        <v/>
      </c>
      <c r="K85" s="369">
        <f>'Simulation RUSSIA22 '!K67</f>
        <v/>
      </c>
      <c r="L85" s="369">
        <f>'Simulation RUSSIA22 '!L67</f>
        <v/>
      </c>
      <c r="M85" s="369">
        <f>'Simulation RUSSIA22 '!M67</f>
        <v/>
      </c>
      <c r="N85" s="369">
        <f>'Simulation RUSSIA22 '!N67</f>
        <v/>
      </c>
      <c r="O85" s="369">
        <f>'Simulation RUSSIA22 '!O67</f>
        <v/>
      </c>
      <c r="P85" s="369">
        <f>'Simulation RUSSIA22 '!P67</f>
        <v/>
      </c>
      <c r="Q85" s="369">
        <f>'Simulation RUSSIA22 '!Q67</f>
        <v/>
      </c>
      <c r="R85" s="370">
        <f>SUM(F85:Q85)</f>
        <v/>
      </c>
      <c r="S85" s="530" t="n"/>
      <c r="T85" s="246" t="n"/>
    </row>
    <row r="86" hidden="1" ht="24.75" customHeight="1">
      <c r="B86" s="371" t="n"/>
      <c r="C86" s="367" t="inlineStr">
        <is>
          <t>I/C Loan</t>
        </is>
      </c>
      <c r="D86" s="368" t="n"/>
      <c r="F86" s="369">
        <f>'Simulation RUSSIA22 '!F68</f>
        <v/>
      </c>
      <c r="G86" s="369">
        <f>'Simulation RUSSIA22 '!G68</f>
        <v/>
      </c>
      <c r="H86" s="369">
        <f>'Simulation RUSSIA22 '!H68</f>
        <v/>
      </c>
      <c r="I86" s="503">
        <f>'Simulation RUSSIA22 '!I68-H80</f>
        <v/>
      </c>
      <c r="J86" s="369">
        <f>'Simulation RUSSIA22 '!J68</f>
        <v/>
      </c>
      <c r="K86" s="369">
        <f>'Simulation RUSSIA22 '!K68</f>
        <v/>
      </c>
      <c r="L86" s="369">
        <f>'Simulation RUSSIA22 '!L68</f>
        <v/>
      </c>
      <c r="M86" s="369">
        <f>'Simulation RUSSIA22 '!M68</f>
        <v/>
      </c>
      <c r="N86" s="369">
        <f>'Simulation RUSSIA22 '!N68</f>
        <v/>
      </c>
      <c r="O86" s="369">
        <f>'Simulation RUSSIA22 '!O68</f>
        <v/>
      </c>
      <c r="P86" s="369">
        <f>'Simulation RUSSIA22 '!P68</f>
        <v/>
      </c>
      <c r="Q86" s="369">
        <f>'Simulation RUSSIA22 '!Q68</f>
        <v/>
      </c>
      <c r="R86" s="370">
        <f>SUM(F86:Q86)</f>
        <v/>
      </c>
      <c r="S86" s="530" t="n"/>
      <c r="T86" s="246" t="n"/>
    </row>
    <row r="87" hidden="1" ht="24.75" customHeight="1" thickBot="1">
      <c r="B87" s="372" t="n"/>
      <c r="C87" s="373" t="inlineStr">
        <is>
          <t>Total Cash In</t>
        </is>
      </c>
      <c r="D87" s="374" t="n"/>
      <c r="E87" s="223" t="n">
        <v>-2</v>
      </c>
      <c r="F87" s="375">
        <f>SUM(F84:F86)</f>
        <v/>
      </c>
      <c r="G87" s="375">
        <f>SUM(G84:G86)</f>
        <v/>
      </c>
      <c r="H87" s="375">
        <f>SUM(H84:H86)</f>
        <v/>
      </c>
      <c r="I87" s="375">
        <f>SUM(I84:I86)</f>
        <v/>
      </c>
      <c r="J87" s="375">
        <f>SUM(J84:J86)</f>
        <v/>
      </c>
      <c r="K87" s="375">
        <f>SUM(K84:K86)</f>
        <v/>
      </c>
      <c r="L87" s="375">
        <f>SUM(L84:L86)</f>
        <v/>
      </c>
      <c r="M87" s="375">
        <f>SUM(M84:M86)</f>
        <v/>
      </c>
      <c r="N87" s="375">
        <f>SUM(N84:N86)</f>
        <v/>
      </c>
      <c r="O87" s="375">
        <f>SUM(O84:O86)</f>
        <v/>
      </c>
      <c r="P87" s="375">
        <f>SUM(P84:P86)</f>
        <v/>
      </c>
      <c r="Q87" s="375">
        <f>SUM(Q84:Q86)</f>
        <v/>
      </c>
      <c r="R87" s="376">
        <f>SUM(R84:R86)</f>
        <v/>
      </c>
      <c r="S87" s="531" t="n"/>
      <c r="T87" s="246" t="n"/>
    </row>
    <row r="88" hidden="1" ht="24.75" customHeight="1" thickTop="1">
      <c r="B88" s="366" t="inlineStr">
        <is>
          <t>Out</t>
        </is>
      </c>
      <c r="C88" s="377" t="n"/>
      <c r="D88" s="367" t="inlineStr">
        <is>
          <t>Operating expenses</t>
        </is>
      </c>
      <c r="E88" s="249" t="n"/>
      <c r="F88" s="378">
        <f>'Simulation RUSSIA22 '!F70</f>
        <v/>
      </c>
      <c r="G88" s="378">
        <f>'Simulation RUSSIA22 '!G70</f>
        <v/>
      </c>
      <c r="H88" s="378">
        <f>'Simulation RUSSIA22 '!H70</f>
        <v/>
      </c>
      <c r="I88" s="378">
        <f>'Simulation RUSSIA22 '!I70</f>
        <v/>
      </c>
      <c r="J88" s="378">
        <f>'Simulation RUSSIA22 '!J70</f>
        <v/>
      </c>
      <c r="K88" s="378">
        <f>'Simulation RUSSIA22 '!K70</f>
        <v/>
      </c>
      <c r="L88" s="378">
        <f>'Simulation RUSSIA22 '!L70</f>
        <v/>
      </c>
      <c r="M88" s="378">
        <f>'Simulation RUSSIA22 '!M70</f>
        <v/>
      </c>
      <c r="N88" s="378">
        <f>'Simulation RUSSIA22 '!N70</f>
        <v/>
      </c>
      <c r="O88" s="378">
        <f>'Simulation RUSSIA22 '!O70</f>
        <v/>
      </c>
      <c r="P88" s="378">
        <f>'Simulation RUSSIA22 '!P70</f>
        <v/>
      </c>
      <c r="Q88" s="378">
        <f>'Simulation RUSSIA22 '!Q70</f>
        <v/>
      </c>
      <c r="R88" s="379">
        <f>SUM(F88:Q88)</f>
        <v/>
      </c>
      <c r="S88" s="531" t="n"/>
      <c r="T88" s="246" t="n"/>
    </row>
    <row r="89" hidden="1" ht="24.75" customHeight="1">
      <c r="B89" s="366" t="n"/>
      <c r="C89" s="368" t="n"/>
      <c r="D89" s="367" t="inlineStr">
        <is>
          <t>Investment</t>
        </is>
      </c>
      <c r="F89" s="369">
        <f>'Simulation RUSSIA22 '!F71</f>
        <v/>
      </c>
      <c r="G89" s="369">
        <f>'Simulation RUSSIA22 '!G71</f>
        <v/>
      </c>
      <c r="H89" s="369">
        <f>'Simulation RUSSIA22 '!H71</f>
        <v/>
      </c>
      <c r="I89" s="380">
        <f>'Simulation RUSSIA22 '!I71</f>
        <v/>
      </c>
      <c r="J89" s="380">
        <f>'Simulation RUSSIA22 '!J71</f>
        <v/>
      </c>
      <c r="K89" s="380">
        <f>'Simulation RUSSIA22 '!K71</f>
        <v/>
      </c>
      <c r="L89" s="369">
        <f>'Simulation RUSSIA22 '!L71</f>
        <v/>
      </c>
      <c r="M89" s="369">
        <f>'Simulation RUSSIA22 '!M71</f>
        <v/>
      </c>
      <c r="N89" s="369">
        <f>'Simulation RUSSIA22 '!N71</f>
        <v/>
      </c>
      <c r="O89" s="369">
        <f>'Simulation RUSSIA22 '!O71</f>
        <v/>
      </c>
      <c r="P89" s="369">
        <f>'Simulation RUSSIA22 '!P71</f>
        <v/>
      </c>
      <c r="Q89" s="369">
        <f>'Simulation RUSSIA22 '!Q71</f>
        <v/>
      </c>
      <c r="R89" s="370">
        <f>SUM(F89:Q89)</f>
        <v/>
      </c>
      <c r="S89" s="530" t="n"/>
      <c r="T89" s="246" t="n"/>
    </row>
    <row r="90" hidden="1" ht="24.75" customHeight="1">
      <c r="B90" s="371" t="n"/>
      <c r="C90" s="368" t="n"/>
      <c r="D90" s="367" t="inlineStr">
        <is>
          <t>Raw Material</t>
        </is>
      </c>
      <c r="E90" s="228" t="n"/>
      <c r="F90" s="369">
        <f>'Simulation RUSSIA22 '!F72</f>
        <v/>
      </c>
      <c r="G90" s="369">
        <f>'Simulation RUSSIA22 '!G72</f>
        <v/>
      </c>
      <c r="H90" s="369">
        <f>'Simulation RUSSIA22 '!H72</f>
        <v/>
      </c>
      <c r="I90" s="369">
        <f>'Simulation RUSSIA22 '!I72</f>
        <v/>
      </c>
      <c r="J90" s="369">
        <f>'Simulation RUSSIA22 '!J72</f>
        <v/>
      </c>
      <c r="K90" s="369">
        <f>'Simulation RUSSIA22 '!K72</f>
        <v/>
      </c>
      <c r="L90" s="369">
        <f>'Simulation RUSSIA22 '!L72</f>
        <v/>
      </c>
      <c r="M90" s="369">
        <f>'Simulation RUSSIA22 '!M72</f>
        <v/>
      </c>
      <c r="N90" s="369">
        <f>'Simulation RUSSIA22 '!N72</f>
        <v/>
      </c>
      <c r="O90" s="369">
        <f>'Simulation RUSSIA22 '!O72</f>
        <v/>
      </c>
      <c r="P90" s="369">
        <f>'Simulation RUSSIA22 '!P72</f>
        <v/>
      </c>
      <c r="Q90" s="369">
        <f>'Simulation RUSSIA22 '!Q72</f>
        <v/>
      </c>
      <c r="R90" s="370">
        <f>SUM(F90:Q90)</f>
        <v/>
      </c>
      <c r="S90" s="530" t="n"/>
      <c r="T90" s="246" t="n"/>
    </row>
    <row r="91" hidden="1" ht="24.75" customHeight="1">
      <c r="B91" s="371" t="n"/>
      <c r="C91" s="368" t="n"/>
      <c r="D91" s="367" t="inlineStr">
        <is>
          <t>Purchase breeder</t>
        </is>
      </c>
      <c r="E91" s="228" t="n"/>
      <c r="F91" s="369">
        <f>'Simulation RUSSIA22 '!F73</f>
        <v/>
      </c>
      <c r="G91" s="369">
        <f>'Simulation RUSSIA22 '!G73</f>
        <v/>
      </c>
      <c r="H91" s="369">
        <f>'Simulation RUSSIA22 '!H73</f>
        <v/>
      </c>
      <c r="I91" s="369">
        <f>'Simulation RUSSIA22 '!I73</f>
        <v/>
      </c>
      <c r="J91" s="369">
        <f>'Simulation RUSSIA22 '!J73</f>
        <v/>
      </c>
      <c r="K91" s="369">
        <f>'Simulation RUSSIA22 '!K73</f>
        <v/>
      </c>
      <c r="L91" s="402">
        <f>'Simulation RUSSIA22 '!L73</f>
        <v/>
      </c>
      <c r="M91" s="369">
        <f>'Simulation RUSSIA22 '!M73</f>
        <v/>
      </c>
      <c r="N91" s="369">
        <f>'Simulation RUSSIA22 '!N73</f>
        <v/>
      </c>
      <c r="O91" s="369">
        <f>'Simulation RUSSIA22 '!O73</f>
        <v/>
      </c>
      <c r="P91" s="369">
        <f>'Simulation RUSSIA22 '!P73</f>
        <v/>
      </c>
      <c r="Q91" s="369">
        <f>'Simulation RUSSIA22 '!Q73</f>
        <v/>
      </c>
      <c r="R91" s="370">
        <f>SUM(F91:Q91)</f>
        <v/>
      </c>
      <c r="S91" s="530" t="n"/>
      <c r="T91" s="246" t="n"/>
      <c r="V91" s="401" t="n"/>
      <c r="Y91" s="401" t="n"/>
      <c r="AB91" s="401" t="n"/>
    </row>
    <row r="92" hidden="1" ht="24.75" customHeight="1">
      <c r="B92" s="371" t="n"/>
      <c r="C92" s="368" t="n"/>
      <c r="D92" s="367" t="inlineStr">
        <is>
          <t>Repay - Bank loan</t>
        </is>
      </c>
      <c r="E92" s="228" t="n"/>
      <c r="F92" s="369">
        <f>'Simulation RUSSIA22 '!F74</f>
        <v/>
      </c>
      <c r="G92" s="369">
        <f>'Simulation RUSSIA22 '!G74</f>
        <v/>
      </c>
      <c r="H92" s="369">
        <f>'Simulation RUSSIA22 '!H74</f>
        <v/>
      </c>
      <c r="I92" s="369">
        <f>'Simulation RUSSIA22 '!I74</f>
        <v/>
      </c>
      <c r="J92" s="369">
        <f>'Simulation RUSSIA22 '!J74</f>
        <v/>
      </c>
      <c r="K92" s="369">
        <f>'Simulation RUSSIA22 '!K74</f>
        <v/>
      </c>
      <c r="L92" s="369">
        <f>'Simulation RUSSIA22 '!L74</f>
        <v/>
      </c>
      <c r="M92" s="369">
        <f>'Simulation RUSSIA22 '!M74</f>
        <v/>
      </c>
      <c r="N92" s="369">
        <f>'Simulation RUSSIA22 '!N74</f>
        <v/>
      </c>
      <c r="O92" s="369">
        <f>'Simulation RUSSIA22 '!O74</f>
        <v/>
      </c>
      <c r="P92" s="369">
        <f>'Simulation RUSSIA22 '!P74</f>
        <v/>
      </c>
      <c r="Q92" s="369">
        <f>'Simulation RUSSIA22 '!Q74</f>
        <v/>
      </c>
      <c r="R92" s="370">
        <f>SUM(F92:Q92)</f>
        <v/>
      </c>
      <c r="S92" s="530" t="n"/>
      <c r="T92" s="246" t="n"/>
      <c r="V92" s="401" t="n"/>
      <c r="Y92" s="401" t="n"/>
      <c r="AB92" s="401" t="n"/>
    </row>
    <row r="93" hidden="1" ht="24.75" customHeight="1">
      <c r="B93" s="371" t="n"/>
      <c r="C93" s="368" t="n"/>
      <c r="D93" s="367" t="inlineStr">
        <is>
          <t>Repay - I/C loan</t>
        </is>
      </c>
      <c r="E93" s="228" t="n"/>
      <c r="F93" s="369">
        <f>'Simulation RUSSIA22 '!F75</f>
        <v/>
      </c>
      <c r="G93" s="369">
        <f>'Simulation RUSSIA22 '!G75</f>
        <v/>
      </c>
      <c r="H93" s="369">
        <f>'Simulation RUSSIA22 '!H75</f>
        <v/>
      </c>
      <c r="I93" s="369">
        <f>'Simulation RUSSIA22 '!I75</f>
        <v/>
      </c>
      <c r="J93" s="369">
        <f>'Simulation RUSSIA22 '!J75</f>
        <v/>
      </c>
      <c r="K93" s="369">
        <f>'Simulation RUSSIA22 '!K75</f>
        <v/>
      </c>
      <c r="L93" s="369">
        <f>'Simulation RUSSIA22 '!L75</f>
        <v/>
      </c>
      <c r="M93" s="369">
        <f>'Simulation RUSSIA22 '!M75</f>
        <v/>
      </c>
      <c r="N93" s="369">
        <f>'Simulation RUSSIA22 '!N75</f>
        <v/>
      </c>
      <c r="O93" s="369">
        <f>'Simulation RUSSIA22 '!O75</f>
        <v/>
      </c>
      <c r="P93" s="369">
        <f>'Simulation RUSSIA22 '!P75</f>
        <v/>
      </c>
      <c r="Q93" s="369">
        <f>'Simulation RUSSIA22 '!Q75</f>
        <v/>
      </c>
      <c r="R93" s="370">
        <f>SUM(F93:Q93)</f>
        <v/>
      </c>
      <c r="S93" s="530" t="n"/>
      <c r="T93" s="246" t="n"/>
      <c r="V93" s="403" t="n"/>
      <c r="Y93" s="403" t="n"/>
      <c r="AB93" s="403" t="n"/>
    </row>
    <row r="94" hidden="1" ht="24.75" customHeight="1" thickBot="1">
      <c r="B94" s="382" t="n"/>
      <c r="C94" s="383" t="inlineStr">
        <is>
          <t xml:space="preserve"> Total Cash out</t>
        </is>
      </c>
      <c r="D94" s="384" t="n"/>
      <c r="E94" s="232" t="n">
        <v>-3</v>
      </c>
      <c r="F94" s="385">
        <f>SUM(F88:F93)</f>
        <v/>
      </c>
      <c r="G94" s="385">
        <f>SUM(G88:G93)</f>
        <v/>
      </c>
      <c r="H94" s="385">
        <f>SUM(H88:H93)</f>
        <v/>
      </c>
      <c r="I94" s="385">
        <f>SUM(I88:I93)</f>
        <v/>
      </c>
      <c r="J94" s="385">
        <f>SUM(J88:J93)</f>
        <v/>
      </c>
      <c r="K94" s="385">
        <f>SUM(K88:K93)</f>
        <v/>
      </c>
      <c r="L94" s="385">
        <f>SUM(L88:L93)</f>
        <v/>
      </c>
      <c r="M94" s="385">
        <f>SUM(M88:M93)</f>
        <v/>
      </c>
      <c r="N94" s="385">
        <f>SUM(N88:N93)</f>
        <v/>
      </c>
      <c r="O94" s="385">
        <f>SUM(O88:O93)</f>
        <v/>
      </c>
      <c r="P94" s="385">
        <f>SUM(P88:P93)</f>
        <v/>
      </c>
      <c r="Q94" s="385">
        <f>SUM(Q88:Q93)</f>
        <v/>
      </c>
      <c r="R94" s="386">
        <f>SUM(R88:R93)</f>
        <v/>
      </c>
      <c r="S94" s="531" t="n"/>
      <c r="T94" s="246" t="n"/>
      <c r="V94" s="401" t="n"/>
      <c r="Y94" s="401" t="n"/>
      <c r="AB94" s="401" t="n"/>
    </row>
    <row r="95" hidden="1" ht="24.75" customHeight="1" thickBot="1">
      <c r="B95" s="387" t="n"/>
      <c r="C95" s="388" t="inlineStr">
        <is>
          <t>Total Cash from Operating</t>
        </is>
      </c>
      <c r="D95" s="389" t="n"/>
      <c r="E95" s="238" t="inlineStr">
        <is>
          <t>(2)+(3)</t>
        </is>
      </c>
      <c r="F95" s="390">
        <f>F87+F94</f>
        <v/>
      </c>
      <c r="G95" s="390">
        <f>G87+G94</f>
        <v/>
      </c>
      <c r="H95" s="390">
        <f>H87+H94</f>
        <v/>
      </c>
      <c r="I95" s="390">
        <f>I87+I94</f>
        <v/>
      </c>
      <c r="J95" s="390">
        <f>J87+J94</f>
        <v/>
      </c>
      <c r="K95" s="390">
        <f>K87+K94</f>
        <v/>
      </c>
      <c r="L95" s="390">
        <f>L87+L94</f>
        <v/>
      </c>
      <c r="M95" s="390">
        <f>M87+M94</f>
        <v/>
      </c>
      <c r="N95" s="390">
        <f>N87+N94</f>
        <v/>
      </c>
      <c r="O95" s="390">
        <f>O87+O94</f>
        <v/>
      </c>
      <c r="P95" s="390">
        <f>P87+P94</f>
        <v/>
      </c>
      <c r="Q95" s="390">
        <f>Q87+Q94</f>
        <v/>
      </c>
      <c r="R95" s="391">
        <f>SUM(F95:Q95)</f>
        <v/>
      </c>
      <c r="S95" s="530" t="n"/>
      <c r="T95" s="246" t="n"/>
      <c r="V95" s="404" t="n"/>
      <c r="Y95" s="404" t="n"/>
      <c r="AB95" s="404" t="n"/>
    </row>
    <row r="96" hidden="1" ht="24.75" customFormat="1" customHeight="1" s="208" thickBot="1">
      <c r="A96" s="406" t="n"/>
      <c r="B96" s="392" t="inlineStr">
        <is>
          <t>Net Cash Balance</t>
        </is>
      </c>
      <c r="C96" s="393" t="n"/>
      <c r="D96" s="394" t="n"/>
      <c r="E96" s="243" t="inlineStr">
        <is>
          <t>(1)+(2)+(3)</t>
        </is>
      </c>
      <c r="F96" s="395">
        <f>F83+F95</f>
        <v/>
      </c>
      <c r="G96" s="395">
        <f>G83+G95</f>
        <v/>
      </c>
      <c r="H96" s="395">
        <f>H83+H95</f>
        <v/>
      </c>
      <c r="I96" s="395">
        <f>I83+I95</f>
        <v/>
      </c>
      <c r="J96" s="395">
        <f>J83+J95</f>
        <v/>
      </c>
      <c r="K96" s="395">
        <f>K83+K95</f>
        <v/>
      </c>
      <c r="L96" s="395">
        <f>L83+L95</f>
        <v/>
      </c>
      <c r="M96" s="395">
        <f>M83+M95</f>
        <v/>
      </c>
      <c r="N96" s="395">
        <f>N83+N95</f>
        <v/>
      </c>
      <c r="O96" s="395">
        <f>O83+O95</f>
        <v/>
      </c>
      <c r="P96" s="395">
        <f>P83+P95</f>
        <v/>
      </c>
      <c r="Q96" s="395">
        <f>Q83+Q95</f>
        <v/>
      </c>
      <c r="R96" s="396">
        <f>R83+R95</f>
        <v/>
      </c>
      <c r="S96" s="529" t="n"/>
      <c r="T96" s="526" t="n"/>
    </row>
    <row r="97" ht="24.75" customFormat="1" customHeight="1" s="246" thickBot="1">
      <c r="A97" s="407" t="n"/>
      <c r="E97" s="247" t="n"/>
      <c r="F97" s="247" t="n"/>
      <c r="G97" s="247" t="n"/>
      <c r="H97" s="494" t="n"/>
      <c r="J97" s="247" t="n"/>
      <c r="K97" s="247" t="n"/>
      <c r="L97" s="247" t="n"/>
      <c r="M97" s="247" t="n"/>
      <c r="N97" s="247" t="n"/>
      <c r="O97" s="247" t="n"/>
      <c r="P97" s="247" t="n"/>
      <c r="Q97" s="493" t="n"/>
      <c r="R97" s="492" t="n"/>
      <c r="S97" s="538" t="n"/>
    </row>
    <row r="98" ht="24.75" customHeight="1">
      <c r="V98" s="1754" t="inlineStr">
        <is>
          <t>CPFO</t>
        </is>
      </c>
      <c r="W98" s="1751" t="n"/>
      <c r="X98" s="1555" t="n"/>
      <c r="Y98" s="1755" t="inlineStr">
        <is>
          <t>RBPI</t>
        </is>
      </c>
      <c r="Z98" s="1751" t="n"/>
      <c r="AA98" s="1555" t="n"/>
      <c r="AB98" s="1756" t="inlineStr">
        <is>
          <t>S&amp;W</t>
        </is>
      </c>
      <c r="AC98" s="1751" t="n"/>
      <c r="AD98" s="1555" t="n"/>
    </row>
    <row r="99" ht="24.75" customHeight="1">
      <c r="V99" s="1760" t="n"/>
      <c r="X99" s="1761" t="n"/>
      <c r="Y99" s="1760" t="n"/>
      <c r="AA99" s="1761" t="n"/>
      <c r="AB99" s="1760" t="n"/>
      <c r="AD99" s="1761" t="n"/>
    </row>
    <row r="100" ht="24.75" customHeight="1" thickBot="1">
      <c r="V100" s="1558" t="n"/>
      <c r="W100" s="1757" t="n"/>
      <c r="X100" s="1559" t="n"/>
      <c r="Y100" s="1558" t="n"/>
      <c r="Z100" s="1757" t="n"/>
      <c r="AA100" s="1559" t="n"/>
      <c r="AB100" s="1558" t="n"/>
      <c r="AC100" s="1757" t="n"/>
      <c r="AD100" s="1559" t="n"/>
    </row>
    <row r="101" ht="24.75" customHeight="1">
      <c r="V101" s="560" t="inlineStr">
        <is>
          <t>1. Bank loan ลดลง 311m.rub</t>
        </is>
      </c>
      <c r="W101" s="561" t="n"/>
      <c r="X101" s="562" t="n"/>
      <c r="Y101" s="560" t="inlineStr">
        <is>
          <t>1. Cash from Operating เพิ่มขึ้น 433 m.rub</t>
        </is>
      </c>
      <c r="Z101" s="561" t="n"/>
      <c r="AA101" s="562" t="n"/>
      <c r="AB101" s="560" t="inlineStr">
        <is>
          <t>1. Cash from Operating ลดลง 1,075 m.rub</t>
        </is>
      </c>
      <c r="AC101" s="561" t="n"/>
      <c r="AD101" s="562" t="n"/>
    </row>
    <row r="102" ht="24.75" customHeight="1">
      <c r="V102" s="551" t="inlineStr">
        <is>
          <t xml:space="preserve">   เนื่องจากยังไม่สามารถกู้เงินจากธนาคารได้</t>
        </is>
      </c>
      <c r="W102" s="552" t="n"/>
      <c r="X102" s="553" t="n"/>
      <c r="Y102" s="551" t="inlineStr">
        <is>
          <t xml:space="preserve">    จากปริมาณขายหมู APK DONเพิ่มขึ้น</t>
        </is>
      </c>
      <c r="Z102" s="552" t="n"/>
      <c r="AA102" s="553" t="n"/>
      <c r="AB102" s="551" t="inlineStr">
        <is>
          <t xml:space="preserve">    จากประมาณการราคาขายลดลงตามเกิดจริง </t>
        </is>
      </c>
      <c r="AC102" s="552" t="n"/>
      <c r="AD102" s="553" t="n"/>
    </row>
    <row r="103" ht="24.75" customHeight="1">
      <c r="V103" s="551" t="inlineStr">
        <is>
          <t xml:space="preserve">   300m.rub</t>
        </is>
      </c>
      <c r="W103" s="552" t="n"/>
      <c r="X103" s="553" t="n"/>
      <c r="Y103" s="551" t="inlineStr">
        <is>
          <t>2. Investment สูงขึ้น 1,460m.rub</t>
        </is>
      </c>
      <c r="Z103" s="552" t="n"/>
      <c r="AA103" s="553" t="n"/>
      <c r="AB103" s="570" t="inlineStr">
        <is>
          <t xml:space="preserve">    จากเดิมอ้างอิงตามงปม.</t>
        </is>
      </c>
      <c r="AD103" s="548" t="n"/>
    </row>
    <row r="104" ht="24.75" customHeight="1">
      <c r="V104" s="556" t="n"/>
      <c r="W104" s="554" t="n"/>
      <c r="X104" s="555" t="n"/>
      <c r="Y104" s="568" t="inlineStr">
        <is>
          <t xml:space="preserve">    จาก APK DON ปรับปรุงฟาร์ม</t>
        </is>
      </c>
      <c r="Z104" s="564" t="n"/>
      <c r="AA104" s="565" t="n"/>
      <c r="AB104" s="551" t="inlineStr">
        <is>
          <t>2. Operating expenses สูงขึ้น 874 m.rub</t>
        </is>
      </c>
      <c r="AC104" s="552" t="n"/>
      <c r="AD104" s="553" t="n"/>
    </row>
    <row r="105" ht="24.75" customHeight="1">
      <c r="V105" s="556" t="n"/>
      <c r="W105" s="554" t="n"/>
      <c r="X105" s="555" t="n"/>
      <c r="Y105" s="568" t="inlineStr">
        <is>
          <t>3. ซื้อวัตถุดิบลดลง 903m.rub</t>
        </is>
      </c>
      <c r="Z105" s="564" t="n"/>
      <c r="AA105" s="565" t="n"/>
      <c r="AB105" s="568" t="inlineStr">
        <is>
          <t xml:space="preserve">     จากต้นทุนอาหารสัตว์ และราคานำเข้าไข่ฟัก</t>
        </is>
      </c>
      <c r="AC105" s="564" t="n"/>
      <c r="AD105" s="565" t="n"/>
    </row>
    <row r="106" ht="24.75" customHeight="1">
      <c r="V106" s="369" t="n"/>
      <c r="X106" s="548" t="n"/>
      <c r="Y106" s="568" t="inlineStr">
        <is>
          <t xml:space="preserve">    ตามกระแสเงินสดที่ลดลง</t>
        </is>
      </c>
      <c r="Z106" s="572" t="n"/>
      <c r="AA106" s="573" t="n"/>
      <c r="AB106" s="571" t="inlineStr">
        <is>
          <t xml:space="preserve">     ,ลูกไก่พันธุ์สูงขึ้น</t>
        </is>
      </c>
      <c r="AD106" s="548" t="n"/>
    </row>
    <row r="107" ht="24.75" customHeight="1">
      <c r="V107" s="369" t="n"/>
      <c r="X107" s="548" t="n"/>
      <c r="Y107" s="568" t="n"/>
      <c r="Z107" s="554" t="n"/>
      <c r="AA107" s="555" t="n"/>
      <c r="AB107" s="568" t="inlineStr">
        <is>
          <t>3. ซื้อวัตถุดิบลดลง 2,637m.rub</t>
        </is>
      </c>
      <c r="AC107" s="564" t="n"/>
      <c r="AD107" s="565" t="n"/>
    </row>
    <row r="108" ht="24.75" customHeight="1" thickBot="1">
      <c r="V108" s="563" t="n"/>
      <c r="W108" s="549" t="n"/>
      <c r="X108" s="550" t="n"/>
      <c r="Y108" s="557" t="n"/>
      <c r="Z108" s="558" t="n"/>
      <c r="AA108" s="559" t="n"/>
      <c r="AB108" s="569" t="inlineStr">
        <is>
          <t xml:space="preserve">    ตามกระแสเงินสดที่ลดลง</t>
        </is>
      </c>
      <c r="AC108" s="566" t="n"/>
      <c r="AD108" s="567" t="n"/>
    </row>
  </sheetData>
  <mergeCells count="14">
    <mergeCell ref="AB98:AD100"/>
    <mergeCell ref="B63:E64"/>
    <mergeCell ref="Y98:AA100"/>
    <mergeCell ref="Y63:AA64"/>
    <mergeCell ref="T63:T64"/>
    <mergeCell ref="V98:X100"/>
    <mergeCell ref="B17:D17"/>
    <mergeCell ref="V63:X64"/>
    <mergeCell ref="AB63:AD64"/>
    <mergeCell ref="B33:E33"/>
    <mergeCell ref="B2:E2"/>
    <mergeCell ref="U63:U65"/>
    <mergeCell ref="B81:E82"/>
    <mergeCell ref="B48:D48"/>
  </mergeCells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tabColor theme="4" tint="0.7999816888943144"/>
    <outlinePr summaryBelow="1" summaryRight="1"/>
    <pageSetUpPr fitToPage="1"/>
  </sheetPr>
  <dimension ref="A1:W48"/>
  <sheetViews>
    <sheetView showGridLines="0" zoomScale="70" zoomScaleNormal="70" zoomScaleSheetLayoutView="90" workbookViewId="0">
      <pane xSplit="2" ySplit="1" topLeftCell="C2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A1" sqref="A1:XFD1048576"/>
    </sheetView>
  </sheetViews>
  <sheetFormatPr baseColWidth="8" defaultColWidth="9.21875" defaultRowHeight="14.4"/>
  <cols>
    <col width="5.21875" customWidth="1" style="466" min="1" max="1"/>
    <col width="42.21875" customWidth="1" style="253" min="2" max="2"/>
    <col width="1.21875" customWidth="1" style="253" min="3" max="3"/>
    <col width="13.21875" customWidth="1" style="471" min="4" max="4"/>
    <col width="14.21875" bestFit="1" customWidth="1" style="471" min="5" max="5"/>
    <col width="12" customWidth="1" style="471" min="6" max="6"/>
    <col width="13.77734375" customWidth="1" style="471" min="7" max="7"/>
    <col width="12" customWidth="1" style="471" min="8" max="9"/>
    <col width="12.21875" bestFit="1" customWidth="1" style="471" min="10" max="10"/>
    <col width="13.21875" customWidth="1" style="471" min="11" max="11"/>
    <col width="12.21875" customWidth="1" style="471" min="12" max="12"/>
    <col width="13" customWidth="1" style="471" min="13" max="13"/>
    <col width="12.21875" customWidth="1" style="471" min="14" max="15"/>
    <col width="15" customWidth="1" style="471" min="16" max="16"/>
    <col width="15.21875" bestFit="1" customWidth="1" style="253" min="17" max="17"/>
    <col width="12.21875" bestFit="1" customWidth="1" style="253" min="18" max="18"/>
    <col width="12.77734375" bestFit="1" customWidth="1" style="253" min="19" max="19"/>
    <col width="22.21875" customWidth="1" style="253" min="20" max="20"/>
    <col width="11.21875" bestFit="1" customWidth="1" style="253" min="21" max="22"/>
    <col width="17.21875" bestFit="1" customWidth="1" style="253" min="23" max="23"/>
    <col width="11.21875" bestFit="1" customWidth="1" style="253" min="24" max="29"/>
    <col width="12.21875" customWidth="1" style="253" min="30" max="30"/>
    <col width="9.21875" customWidth="1" style="253" min="31" max="16384"/>
  </cols>
  <sheetData>
    <row r="1" ht="18" customHeight="1">
      <c r="A1" s="420" t="n"/>
      <c r="B1" s="421" t="inlineStr">
        <is>
          <t>Budget 2022: CPFO GROUP</t>
        </is>
      </c>
      <c r="C1" s="1762" t="n"/>
      <c r="D1" s="1762" t="n"/>
      <c r="E1" s="1763" t="n"/>
      <c r="F1" s="1764" t="n"/>
      <c r="G1" s="1764" t="n"/>
      <c r="H1" s="1764" t="n"/>
      <c r="I1" s="1764" t="n"/>
      <c r="J1" s="1764" t="n"/>
      <c r="K1" s="1764" t="n"/>
      <c r="L1" s="1764" t="n"/>
      <c r="M1" s="1765" t="n"/>
      <c r="N1" s="1765" t="n"/>
      <c r="O1" s="1765" t="n"/>
      <c r="P1" s="1762" t="n"/>
      <c r="Q1" s="1762" t="n"/>
      <c r="R1" s="1762" t="n"/>
      <c r="S1" s="1762" t="n"/>
      <c r="T1" s="1762" t="n"/>
      <c r="U1" s="1762" t="n"/>
      <c r="V1" s="1762" t="n"/>
    </row>
    <row r="2">
      <c r="A2" s="420" t="n"/>
      <c r="B2" s="253" t="inlineStr">
        <is>
          <t>Currency: TRUB</t>
        </is>
      </c>
      <c r="C2" s="1762" t="n"/>
      <c r="D2" s="1763" t="n"/>
      <c r="E2" s="1763" t="n"/>
      <c r="F2" s="1763" t="n"/>
      <c r="G2" s="1763" t="n"/>
      <c r="H2" s="1763" t="n"/>
      <c r="I2" s="1763" t="n"/>
      <c r="J2" s="1763" t="n"/>
      <c r="K2" s="1763" t="n"/>
      <c r="L2" s="1762" t="n"/>
      <c r="M2" s="1762" t="n"/>
      <c r="N2" s="1762" t="n"/>
      <c r="O2" s="1762" t="n"/>
      <c r="P2" s="1762" t="n"/>
      <c r="Q2" s="1762" t="n"/>
      <c r="R2" s="1762" t="n"/>
      <c r="S2" s="1762" t="n"/>
      <c r="T2" s="1762" t="n"/>
      <c r="U2" s="1762" t="n"/>
      <c r="V2" s="1762" t="n"/>
    </row>
    <row r="3">
      <c r="A3" s="420" t="n"/>
      <c r="B3" s="1762" t="n"/>
      <c r="C3" s="1762" t="n"/>
      <c r="D3" s="425" t="n"/>
      <c r="E3" s="425" t="n"/>
      <c r="F3" s="1762" t="n"/>
      <c r="G3" s="1762" t="n"/>
      <c r="H3" s="1762" t="n"/>
      <c r="I3" s="1766" t="n"/>
      <c r="J3" s="1762" t="n"/>
      <c r="K3" s="1762" t="n"/>
      <c r="L3" s="1762" t="n"/>
      <c r="M3" s="1762" t="n"/>
      <c r="N3" s="1762" t="n"/>
      <c r="O3" s="1762" t="n"/>
      <c r="P3" s="1762" t="n"/>
      <c r="Q3" s="1767" t="n"/>
      <c r="R3" s="1768" t="n"/>
      <c r="S3" s="1762" t="n"/>
      <c r="T3" s="1762" t="n"/>
      <c r="U3" s="1762" t="n"/>
      <c r="V3" s="1762" t="n"/>
    </row>
    <row r="4" ht="15" customHeight="1" thickBot="1">
      <c r="A4" s="420" t="n"/>
      <c r="B4" s="1762" t="n"/>
      <c r="C4" s="1762" t="n"/>
      <c r="D4" s="1762" t="n"/>
      <c r="E4" s="1762" t="n"/>
      <c r="F4" s="1762" t="n"/>
      <c r="G4" s="1762" t="n"/>
      <c r="H4" s="1762" t="n"/>
      <c r="I4" s="1762" t="n"/>
      <c r="J4" s="1762" t="n"/>
      <c r="K4" s="1762" t="n"/>
      <c r="L4" s="1762" t="n"/>
      <c r="M4" s="1762" t="n"/>
      <c r="N4" s="1762" t="n"/>
      <c r="O4" s="1769" t="n"/>
      <c r="P4" s="1769" t="inlineStr">
        <is>
          <t>1.000 RUB</t>
        </is>
      </c>
      <c r="Q4" s="1762" t="n"/>
      <c r="R4" s="1762" t="n"/>
      <c r="S4" s="1762" t="n"/>
      <c r="T4" s="1762" t="n"/>
      <c r="U4" s="1762" t="n"/>
      <c r="V4" s="1762" t="n"/>
    </row>
    <row r="5">
      <c r="A5" s="420" t="n"/>
      <c r="B5" s="1770" t="inlineStr">
        <is>
          <t>CASH FLOWS</t>
        </is>
      </c>
      <c r="C5" s="1771" t="n"/>
      <c r="D5" s="1772" t="inlineStr">
        <is>
          <t>Jan</t>
        </is>
      </c>
      <c r="E5" s="1773" t="inlineStr">
        <is>
          <t>Feb</t>
        </is>
      </c>
      <c r="F5" s="1773" t="inlineStr">
        <is>
          <t>Mar</t>
        </is>
      </c>
      <c r="G5" s="1773" t="inlineStr">
        <is>
          <t>Apr</t>
        </is>
      </c>
      <c r="H5" s="1773" t="inlineStr">
        <is>
          <t xml:space="preserve">May </t>
        </is>
      </c>
      <c r="I5" s="1773" t="inlineStr">
        <is>
          <t>Jun</t>
        </is>
      </c>
      <c r="J5" s="1773" t="inlineStr">
        <is>
          <t>Jul</t>
        </is>
      </c>
      <c r="K5" s="1773" t="inlineStr">
        <is>
          <t>Aug</t>
        </is>
      </c>
      <c r="L5" s="1773" t="inlineStr">
        <is>
          <t>Sep</t>
        </is>
      </c>
      <c r="M5" s="1773" t="inlineStr">
        <is>
          <t>Oct</t>
        </is>
      </c>
      <c r="N5" s="1773" t="inlineStr">
        <is>
          <t>Nov</t>
        </is>
      </c>
      <c r="O5" s="1773" t="inlineStr">
        <is>
          <t>Dec</t>
        </is>
      </c>
      <c r="P5" s="1774" t="inlineStr">
        <is>
          <t>Total</t>
        </is>
      </c>
      <c r="Q5" s="1762" t="n"/>
      <c r="R5" s="1762" t="n"/>
      <c r="S5" s="1762" t="n"/>
      <c r="T5" s="1762" t="n"/>
      <c r="U5" s="1762" t="n"/>
      <c r="V5" s="1762" t="n"/>
    </row>
    <row r="6">
      <c r="A6" s="420" t="n"/>
      <c r="B6" s="1775" t="inlineStr">
        <is>
          <t>Operating activities</t>
        </is>
      </c>
      <c r="C6" s="1767" t="n"/>
      <c r="D6" s="1776" t="n"/>
      <c r="E6" s="1776" t="n"/>
      <c r="F6" s="1776" t="n"/>
      <c r="G6" s="1776" t="n"/>
      <c r="H6" s="1776" t="n"/>
      <c r="I6" s="1776" t="n"/>
      <c r="J6" s="1776" t="n"/>
      <c r="K6" s="1776" t="n"/>
      <c r="L6" s="1776" t="n"/>
      <c r="M6" s="1776" t="n"/>
      <c r="N6" s="1776" t="n"/>
      <c r="O6" s="1776" t="n"/>
      <c r="P6" s="1777" t="n"/>
      <c r="Q6" s="1762" t="n"/>
      <c r="R6" s="1762" t="n"/>
      <c r="S6" s="1762" t="n"/>
      <c r="T6" s="1762" t="n"/>
      <c r="U6" s="1762" t="n"/>
      <c r="V6" s="1762" t="n"/>
    </row>
    <row r="7">
      <c r="A7" s="420" t="n">
        <v>1</v>
      </c>
      <c r="B7" s="1778" t="inlineStr">
        <is>
          <t>Sales</t>
        </is>
      </c>
      <c r="C7" s="1762" t="n"/>
      <c r="D7" s="1779" t="n">
        <v>349527.3592740487</v>
      </c>
      <c r="E7" s="1779" t="n">
        <v>374192.2932640369</v>
      </c>
      <c r="F7" s="1779" t="n">
        <v>387676.717120375</v>
      </c>
      <c r="G7" s="1779" t="n">
        <v>432171.6913900001</v>
      </c>
      <c r="H7" s="1779" t="n">
        <v>363030.8</v>
      </c>
      <c r="I7" s="1779" t="n">
        <v>580795</v>
      </c>
      <c r="J7" s="1779" t="n">
        <v>655725.2920749062</v>
      </c>
      <c r="K7" s="1779" t="n">
        <v>661955.3899874063</v>
      </c>
      <c r="L7" s="1779" t="n">
        <v>668185.4878999062</v>
      </c>
      <c r="M7" s="1779" t="n">
        <v>667845.0878999063</v>
      </c>
      <c r="N7" s="1779" t="n">
        <v>692020.5014832396</v>
      </c>
      <c r="O7" s="1779" t="n">
        <v>691290.3204007396</v>
      </c>
      <c r="P7" s="1777">
        <f>SUM(D7:O7)</f>
        <v/>
      </c>
      <c r="Q7" s="1762" t="n">
        <v>6906111.604580086</v>
      </c>
      <c r="R7" s="425" t="n"/>
      <c r="S7" s="1762" t="n"/>
      <c r="T7" s="1762" t="n"/>
      <c r="U7" s="1762" t="n"/>
      <c r="V7" s="1762" t="n"/>
    </row>
    <row r="8">
      <c r="A8" s="420" t="n">
        <v>1</v>
      </c>
      <c r="B8" s="1778" t="inlineStr">
        <is>
          <t>Subsidies</t>
        </is>
      </c>
      <c r="C8" s="1762" t="n"/>
      <c r="D8" s="1779" t="n">
        <v>0</v>
      </c>
      <c r="E8" s="1779" t="n">
        <v>0</v>
      </c>
      <c r="F8" s="1779" t="n">
        <v>0</v>
      </c>
      <c r="G8" s="1779" t="n">
        <v>0</v>
      </c>
      <c r="H8" s="1779" t="n">
        <v>0</v>
      </c>
      <c r="I8" s="1779" t="n">
        <v>0</v>
      </c>
      <c r="J8" s="1779" t="n">
        <v>0</v>
      </c>
      <c r="K8" s="1779" t="n">
        <v>0</v>
      </c>
      <c r="L8" s="1779" t="n">
        <v>0</v>
      </c>
      <c r="M8" s="1779" t="n">
        <v>0</v>
      </c>
      <c r="N8" s="1779" t="n">
        <v>0</v>
      </c>
      <c r="O8" s="1779" t="n">
        <v>0</v>
      </c>
      <c r="P8" s="1777">
        <f>SUM(D8:O8)</f>
        <v/>
      </c>
      <c r="Q8" s="1780" t="n">
        <v>0</v>
      </c>
      <c r="R8" s="1781" t="n"/>
      <c r="S8" s="1762" t="n"/>
      <c r="T8" s="1762" t="n"/>
      <c r="U8" s="1762" t="n"/>
      <c r="V8" s="1762" t="n"/>
    </row>
    <row r="9">
      <c r="A9" s="420" t="n">
        <v>3</v>
      </c>
      <c r="B9" s="1778" t="inlineStr">
        <is>
          <t>Production payables</t>
        </is>
      </c>
      <c r="C9" s="1762" t="n"/>
      <c r="D9" s="1779" t="n">
        <v>-276487.5120199838</v>
      </c>
      <c r="E9" s="1779" t="n">
        <v>-355095.7065570158</v>
      </c>
      <c r="F9" s="1779" t="n">
        <v>-355095.7065570158</v>
      </c>
      <c r="G9" s="1779">
        <f>-381510.96388-102837</f>
        <v/>
      </c>
      <c r="H9" s="1779" t="n">
        <v>-346957</v>
      </c>
      <c r="I9" s="1779" t="n">
        <v>-468974.48446</v>
      </c>
      <c r="J9" s="1779" t="n">
        <v>-553627.237151443</v>
      </c>
      <c r="K9" s="1779" t="n">
        <v>-533672.2627718244</v>
      </c>
      <c r="L9" s="1779" t="n">
        <v>-547905.4811293399</v>
      </c>
      <c r="M9" s="1779" t="n">
        <v>-521659.9537761866</v>
      </c>
      <c r="N9" s="1779" t="n">
        <v>-498591.7507047388</v>
      </c>
      <c r="O9" s="1779" t="n">
        <v>-519315.2510258208</v>
      </c>
      <c r="P9" s="1777">
        <f>SUM(D9:O9)</f>
        <v/>
      </c>
      <c r="Q9" s="1780" t="n">
        <v>-5662807.57357552</v>
      </c>
      <c r="R9" s="1781" t="n"/>
      <c r="S9" s="1762" t="n"/>
      <c r="T9" s="1762" t="n"/>
      <c r="U9" s="1762" t="n"/>
      <c r="V9" s="1762" t="n"/>
    </row>
    <row r="10">
      <c r="A10" s="420" t="n">
        <v>5</v>
      </c>
      <c r="B10" s="1778" t="inlineStr">
        <is>
          <t>Grain purchase</t>
        </is>
      </c>
      <c r="C10" s="1762" t="n"/>
      <c r="D10" s="1779" t="n">
        <v>-110769.5712883431</v>
      </c>
      <c r="E10" s="1779" t="n">
        <v>-100049.9353572132</v>
      </c>
      <c r="F10" s="1779" t="n">
        <v>-356837.921747843</v>
      </c>
      <c r="G10" s="1779" t="n">
        <v>-29519.308</v>
      </c>
      <c r="H10" s="1779" t="n">
        <v>-61131.00800000002</v>
      </c>
      <c r="I10" s="1779" t="n">
        <v>-4275</v>
      </c>
      <c r="J10" s="1779" t="n">
        <v>-55215.10399999999</v>
      </c>
      <c r="K10" s="1779" t="n">
        <v>-61131.00800000002</v>
      </c>
      <c r="L10" s="1779" t="n">
        <v>-314907</v>
      </c>
      <c r="M10" s="1779" t="n">
        <v>-209938</v>
      </c>
      <c r="N10" s="1779" t="n">
        <v>-209938</v>
      </c>
      <c r="O10" s="1779" t="n">
        <v>-104969</v>
      </c>
      <c r="P10" s="1777">
        <f>SUM(D10:O10)</f>
        <v/>
      </c>
      <c r="Q10" s="1780" t="n">
        <v>-1673564.896393399</v>
      </c>
      <c r="R10" s="1762" t="n"/>
      <c r="S10" s="425" t="n"/>
      <c r="T10" s="1762" t="n"/>
      <c r="U10" s="1762" t="n"/>
      <c r="V10" s="1762" t="n"/>
    </row>
    <row r="11">
      <c r="A11" s="420" t="n">
        <v>1</v>
      </c>
      <c r="B11" s="1778" t="inlineStr">
        <is>
          <t>VAT</t>
        </is>
      </c>
      <c r="C11" s="1762" t="n"/>
      <c r="D11" s="1779" t="n">
        <v>0</v>
      </c>
      <c r="E11" s="1779" t="n">
        <v>0</v>
      </c>
      <c r="F11" s="1779" t="n">
        <v>0</v>
      </c>
      <c r="G11" s="1779" t="n"/>
      <c r="H11" s="1779" t="n">
        <v>0</v>
      </c>
      <c r="I11" s="1779" t="n">
        <v>0</v>
      </c>
      <c r="J11" s="1779" t="n">
        <v>123053.6343421417</v>
      </c>
      <c r="K11" s="1779" t="n">
        <v>0</v>
      </c>
      <c r="L11" s="1779" t="n">
        <v>0</v>
      </c>
      <c r="M11" s="1779" t="n">
        <v>194035.8901376923</v>
      </c>
      <c r="N11" s="1779" t="n">
        <v>0</v>
      </c>
      <c r="O11" s="1779" t="n">
        <v>0</v>
      </c>
      <c r="P11" s="1777" t="n">
        <v>389324.2245304175</v>
      </c>
      <c r="Q11" s="1780" t="n">
        <v>389324.2245304175</v>
      </c>
      <c r="R11" s="1762" t="n"/>
      <c r="S11" s="1762" t="n"/>
      <c r="T11" s="1762" t="n"/>
      <c r="U11" s="1762" t="n"/>
      <c r="V11" s="1762" t="n"/>
    </row>
    <row r="12">
      <c r="A12" s="420" t="n">
        <v>6</v>
      </c>
      <c r="B12" s="1778" t="inlineStr">
        <is>
          <t>Purchasing Pigs</t>
        </is>
      </c>
      <c r="C12" s="1762" t="n"/>
      <c r="D12" s="1779" t="n">
        <v>0</v>
      </c>
      <c r="E12" s="1779" t="n">
        <v>-29607.6572</v>
      </c>
      <c r="F12" s="1779" t="n">
        <v>-5168.5788</v>
      </c>
      <c r="G12" s="1779" t="n">
        <v>-750</v>
      </c>
      <c r="H12" s="1779" t="n">
        <v>-19168.9014</v>
      </c>
      <c r="I12" s="1779" t="n">
        <v>-2277.1088</v>
      </c>
      <c r="J12" s="1779" t="n">
        <v>0</v>
      </c>
      <c r="K12" s="1779" t="n">
        <v>-31348.5788</v>
      </c>
      <c r="L12" s="1779" t="n">
        <v>-6357.8922</v>
      </c>
      <c r="M12" s="1779" t="n">
        <v>-13200</v>
      </c>
      <c r="N12" s="1779" t="n">
        <v>-13198.5788</v>
      </c>
      <c r="O12" s="1779" t="n">
        <v>-22878.5788</v>
      </c>
      <c r="P12" s="1777">
        <f>SUM(D12:O12)</f>
        <v/>
      </c>
      <c r="Q12" s="1780" t="n">
        <v>-122607.296</v>
      </c>
      <c r="R12" s="425" t="n"/>
      <c r="S12" s="1762" t="n"/>
      <c r="T12" s="1762" t="n"/>
      <c r="U12" s="1762" t="n"/>
      <c r="V12" s="1762" t="n"/>
    </row>
    <row r="13">
      <c r="A13" s="420" t="n">
        <v>1</v>
      </c>
      <c r="B13" s="1778" t="inlineStr">
        <is>
          <t>VAT</t>
        </is>
      </c>
      <c r="C13" s="1762" t="n"/>
      <c r="D13" s="1779" t="n">
        <v>0</v>
      </c>
      <c r="E13" s="1779" t="n">
        <v>2691.6052</v>
      </c>
      <c r="F13" s="1779" t="n">
        <v>469.8708</v>
      </c>
      <c r="G13" s="1779" t="n"/>
      <c r="H13" s="1779" t="n">
        <v>1742.6274</v>
      </c>
      <c r="I13" s="1779" t="n"/>
      <c r="J13" s="1779" t="n">
        <v>0</v>
      </c>
      <c r="K13" s="1779" t="n">
        <v>2849.870800000001</v>
      </c>
      <c r="L13" s="1779" t="n">
        <v>577.9902</v>
      </c>
      <c r="M13" s="1779" t="n">
        <v>1200</v>
      </c>
      <c r="N13" s="1779" t="n">
        <v>1199.8708</v>
      </c>
      <c r="O13" s="1779" t="n">
        <v>2079.870800000001</v>
      </c>
      <c r="P13" s="1777">
        <f>SUM(D13:O13)</f>
        <v/>
      </c>
      <c r="Q13" s="1767" t="n">
        <v>13927.8068</v>
      </c>
      <c r="R13" s="1767" t="n"/>
      <c r="S13" s="1762" t="n"/>
      <c r="T13" s="1762" t="n"/>
      <c r="U13" s="1762" t="n"/>
      <c r="V13" s="1762" t="n"/>
    </row>
    <row r="14">
      <c r="A14" s="420" t="n"/>
      <c r="B14" s="1778" t="inlineStr">
        <is>
          <t>Receivables</t>
        </is>
      </c>
      <c r="C14" s="1762" t="n"/>
      <c r="D14" s="1779" t="n"/>
      <c r="E14" s="1779" t="n"/>
      <c r="F14" s="1779" t="n"/>
      <c r="G14" s="1779" t="n"/>
      <c r="H14" s="1779" t="n"/>
      <c r="I14" s="1779" t="n"/>
      <c r="J14" s="1779" t="n"/>
      <c r="K14" s="1779" t="n"/>
      <c r="L14" s="1779" t="n"/>
      <c r="M14" s="1779" t="n"/>
      <c r="N14" s="1779" t="n"/>
      <c r="O14" s="1779" t="n"/>
      <c r="P14" s="1777">
        <f>SUM(D14:O14)</f>
        <v/>
      </c>
      <c r="Q14" s="1767" t="n">
        <v>0</v>
      </c>
      <c r="R14" s="1767" t="n"/>
      <c r="S14" s="1762" t="n"/>
      <c r="T14" s="1762" t="n"/>
      <c r="U14" s="1762" t="n"/>
      <c r="V14" s="1762" t="n"/>
    </row>
    <row r="15">
      <c r="A15" s="420" t="n"/>
      <c r="B15" s="1778" t="inlineStr">
        <is>
          <t>Taxes</t>
        </is>
      </c>
      <c r="C15" s="1762" t="n"/>
      <c r="D15" s="1779" t="n">
        <v>0</v>
      </c>
      <c r="E15" s="1779" t="n">
        <v>0</v>
      </c>
      <c r="F15" s="1779" t="n">
        <v>0</v>
      </c>
      <c r="G15" s="1779" t="n">
        <v>0</v>
      </c>
      <c r="H15" s="1779" t="n">
        <v>0</v>
      </c>
      <c r="I15" s="1779" t="n">
        <v>0</v>
      </c>
      <c r="J15" s="1779" t="n">
        <v>0</v>
      </c>
      <c r="K15" s="1779" t="n">
        <v>0</v>
      </c>
      <c r="L15" s="1779" t="n">
        <v>0</v>
      </c>
      <c r="M15" s="1779" t="n">
        <v>0</v>
      </c>
      <c r="N15" s="1779" t="n">
        <v>0</v>
      </c>
      <c r="O15" s="1779" t="n">
        <v>0</v>
      </c>
      <c r="P15" s="1777">
        <f>SUM(D15:O15)</f>
        <v/>
      </c>
      <c r="Q15" s="1782" t="n">
        <v>0</v>
      </c>
      <c r="R15" s="1782" t="n"/>
      <c r="S15" s="1762" t="n"/>
      <c r="T15" s="1762" t="n"/>
      <c r="U15" s="1762" t="n"/>
      <c r="V15" s="1762" t="n"/>
    </row>
    <row r="16">
      <c r="A16" s="420" t="n"/>
      <c r="B16" s="1775" t="inlineStr">
        <is>
          <t>Net cash flows from operating activities</t>
        </is>
      </c>
      <c r="C16" s="1767" t="n"/>
      <c r="D16" s="1783">
        <f>SUM(D7:D15)</f>
        <v/>
      </c>
      <c r="E16" s="1783">
        <f>SUM(E7:E15)</f>
        <v/>
      </c>
      <c r="F16" s="1783">
        <f>SUM(F7:F15)</f>
        <v/>
      </c>
      <c r="G16" s="1783">
        <f>SUM(G7:G15)</f>
        <v/>
      </c>
      <c r="H16" s="1783">
        <f>SUM(H7:H15)</f>
        <v/>
      </c>
      <c r="I16" s="1783">
        <f>SUM(I7:I15)</f>
        <v/>
      </c>
      <c r="J16" s="1783">
        <f>SUM(J7:J15)</f>
        <v/>
      </c>
      <c r="K16" s="1783">
        <f>SUM(K7:K15)</f>
        <v/>
      </c>
      <c r="L16" s="1783">
        <f>SUM(L7:L15)</f>
        <v/>
      </c>
      <c r="M16" s="1783">
        <f>SUM(M7:M15)</f>
        <v/>
      </c>
      <c r="N16" s="1783">
        <f>SUM(N7:N15)</f>
        <v/>
      </c>
      <c r="O16" s="1783">
        <f>SUM(O7:O15)</f>
        <v/>
      </c>
      <c r="P16" s="1784">
        <f>SUM(P7:P15)</f>
        <v/>
      </c>
      <c r="Q16" s="1762" t="n">
        <v>-149616.130058416</v>
      </c>
      <c r="R16" s="1762" t="n"/>
      <c r="S16" s="1762" t="n"/>
      <c r="T16" s="425" t="n"/>
      <c r="U16" s="1762" t="n"/>
      <c r="V16" s="1762" t="n"/>
    </row>
    <row r="17">
      <c r="A17" s="420" t="n"/>
      <c r="B17" s="1785" t="n"/>
      <c r="C17" s="1786" t="n"/>
      <c r="D17" s="1787" t="n"/>
      <c r="E17" s="1788" t="n"/>
      <c r="F17" s="1788" t="n"/>
      <c r="G17" s="1788" t="n"/>
      <c r="H17" s="1788" t="n"/>
      <c r="I17" s="1788" t="n"/>
      <c r="J17" s="1788" t="n"/>
      <c r="K17" s="1788" t="n"/>
      <c r="L17" s="1788" t="n"/>
      <c r="M17" s="1788" t="n"/>
      <c r="N17" s="1788" t="n"/>
      <c r="O17" s="1788" t="n"/>
      <c r="P17" s="1777" t="n">
        <v>0</v>
      </c>
      <c r="Q17" s="1762" t="n">
        <v>0</v>
      </c>
      <c r="R17" s="1762" t="n"/>
      <c r="S17" s="1762" t="n"/>
      <c r="T17" s="1762" t="n"/>
      <c r="U17" s="1762" t="n"/>
      <c r="V17" s="1762" t="n"/>
    </row>
    <row r="18">
      <c r="A18" s="420" t="n"/>
      <c r="B18" s="1775" t="inlineStr">
        <is>
          <t>Investing activities</t>
        </is>
      </c>
      <c r="C18" s="1767" t="n"/>
      <c r="D18" s="1788" t="n"/>
      <c r="E18" s="1788" t="n"/>
      <c r="F18" s="1788" t="n"/>
      <c r="G18" s="1788" t="n"/>
      <c r="H18" s="1788" t="n"/>
      <c r="I18" s="1788" t="n"/>
      <c r="J18" s="1788" t="n"/>
      <c r="K18" s="1788" t="n"/>
      <c r="L18" s="1788" t="n"/>
      <c r="M18" s="1788" t="n"/>
      <c r="N18" s="1788" t="n"/>
      <c r="O18" s="1788" t="n"/>
      <c r="P18" s="1777" t="n">
        <v>0</v>
      </c>
      <c r="Q18" s="1762" t="n">
        <v>0</v>
      </c>
      <c r="R18" s="1769" t="n"/>
      <c r="S18" s="1762" t="n"/>
      <c r="T18" s="1762" t="n"/>
      <c r="U18" s="1762" t="n"/>
      <c r="V18" s="1762" t="n"/>
    </row>
    <row r="19">
      <c r="A19" s="420" t="n">
        <v>4</v>
      </c>
      <c r="B19" s="1789" t="inlineStr">
        <is>
          <t>Investments (cropping)</t>
        </is>
      </c>
      <c r="C19" s="1767" t="n"/>
      <c r="D19" s="1779" t="n"/>
      <c r="E19" s="1779" t="n"/>
      <c r="F19" s="1779" t="n"/>
      <c r="G19" s="1779" t="n">
        <v>-175581</v>
      </c>
      <c r="H19" s="1779" t="n"/>
      <c r="I19" s="1779" t="n"/>
      <c r="J19" s="1779" t="n">
        <v>-150000</v>
      </c>
      <c r="K19" s="1779" t="n">
        <v>-120000</v>
      </c>
      <c r="L19" s="1779" t="n"/>
      <c r="M19" s="1779" t="n"/>
      <c r="N19" s="1779" t="n"/>
      <c r="O19" s="1779" t="n"/>
      <c r="P19" s="1777">
        <f>SUM(D19:O19)</f>
        <v/>
      </c>
      <c r="Q19" s="1762" t="n">
        <v>-603069.5306599999</v>
      </c>
      <c r="R19" s="1769" t="n"/>
      <c r="S19" s="1762" t="n"/>
      <c r="T19" s="1762" t="n"/>
      <c r="U19" s="1762" t="n"/>
      <c r="V19" s="1762" t="n"/>
    </row>
    <row r="20">
      <c r="A20" s="420" t="n">
        <v>4</v>
      </c>
      <c r="B20" s="1790" t="inlineStr">
        <is>
          <t>Construction</t>
        </is>
      </c>
      <c r="C20" s="1767" t="n"/>
      <c r="D20" s="1779" t="n">
        <v>-58998.53367795864</v>
      </c>
      <c r="E20" s="1779" t="n">
        <v>-55452.93367795864</v>
      </c>
      <c r="F20" s="1779" t="n"/>
      <c r="G20" s="1779">
        <f>-210980-158012+47506.213+15001.05565+175581</f>
        <v/>
      </c>
      <c r="H20" s="1779" t="n">
        <v>-167265</v>
      </c>
      <c r="I20" s="1779" t="n">
        <v>-36805.464043876</v>
      </c>
      <c r="J20" s="1779" t="n">
        <v>-355000</v>
      </c>
      <c r="K20" s="1779" t="n">
        <v>-355000</v>
      </c>
      <c r="L20" s="1779" t="n">
        <v>-50000</v>
      </c>
      <c r="M20" s="1779" t="n"/>
      <c r="N20" s="1779" t="n"/>
      <c r="O20" s="1779" t="n"/>
      <c r="P20" s="1777">
        <f>SUM(D20:O20)</f>
        <v/>
      </c>
      <c r="Q20" s="1762" t="n">
        <v>-1224451.467355917</v>
      </c>
      <c r="R20" s="1791" t="n"/>
      <c r="S20" s="1762" t="n"/>
      <c r="T20" s="1762" t="n"/>
      <c r="U20" s="1762" t="n"/>
      <c r="V20" s="1762" t="n"/>
    </row>
    <row r="21">
      <c r="A21" s="420" t="n"/>
      <c r="B21" s="1790" t="n"/>
      <c r="C21" s="1786" t="n"/>
      <c r="D21" s="1779" t="n"/>
      <c r="E21" s="1779" t="n"/>
      <c r="F21" s="1779" t="n"/>
      <c r="G21" s="1779" t="n"/>
      <c r="H21" s="1779" t="n"/>
      <c r="I21" s="1779" t="n"/>
      <c r="J21" s="1779" t="n"/>
      <c r="K21" s="1779" t="n"/>
      <c r="L21" s="1779" t="n"/>
      <c r="M21" s="1779" t="n"/>
      <c r="N21" s="1779" t="n"/>
      <c r="O21" s="1779" t="n"/>
      <c r="P21" s="1777" t="n">
        <v>0</v>
      </c>
      <c r="Q21" s="1762" t="n">
        <v>0</v>
      </c>
      <c r="R21" s="1786" t="n"/>
      <c r="S21" s="1762" t="n"/>
      <c r="T21" s="1762" t="n"/>
      <c r="U21" s="1762" t="n"/>
      <c r="V21" s="1762" t="n"/>
    </row>
    <row r="22">
      <c r="A22" s="420" t="n"/>
      <c r="B22" s="1775" t="inlineStr">
        <is>
          <t>Net cash flows used in investing activities</t>
        </is>
      </c>
      <c r="C22" s="1767" t="n"/>
      <c r="D22" s="1783">
        <f>SUM(D19:D21)</f>
        <v/>
      </c>
      <c r="E22" s="1783">
        <f>SUM(E19:E21)</f>
        <v/>
      </c>
      <c r="F22" s="1783">
        <f>SUM(F19:F21)</f>
        <v/>
      </c>
      <c r="G22" s="1783">
        <f>SUM(G19:G21)</f>
        <v/>
      </c>
      <c r="H22" s="1783">
        <f>SUM(H19:H21)</f>
        <v/>
      </c>
      <c r="I22" s="1783">
        <f>SUM(I19:I21)</f>
        <v/>
      </c>
      <c r="J22" s="1783">
        <f>SUM(J19:J21)</f>
        <v/>
      </c>
      <c r="K22" s="1783">
        <f>SUM(K19:K21)</f>
        <v/>
      </c>
      <c r="L22" s="1783">
        <f>SUM(L19:L21)</f>
        <v/>
      </c>
      <c r="M22" s="1783">
        <f>SUM(M19:M21)</f>
        <v/>
      </c>
      <c r="N22" s="1783">
        <f>SUM(N19:N21)</f>
        <v/>
      </c>
      <c r="O22" s="1783">
        <f>SUM(O19:O21)</f>
        <v/>
      </c>
      <c r="P22" s="1784">
        <f>SUM(P19:P21)</f>
        <v/>
      </c>
      <c r="Q22" s="1762" t="n">
        <v>-1827520.998015917</v>
      </c>
      <c r="R22" s="1791" t="n"/>
      <c r="S22" s="1791" t="n"/>
      <c r="T22" s="1762" t="n"/>
      <c r="U22" s="1762" t="n"/>
      <c r="V22" s="1762" t="n"/>
    </row>
    <row r="23">
      <c r="A23" s="420" t="n"/>
      <c r="B23" s="1792" t="n"/>
      <c r="C23" s="1771" t="n"/>
      <c r="D23" s="1788" t="n"/>
      <c r="E23" s="1788" t="n"/>
      <c r="F23" s="1788" t="n"/>
      <c r="G23" s="1788" t="n"/>
      <c r="H23" s="1788" t="n"/>
      <c r="I23" s="1788" t="n"/>
      <c r="J23" s="1788" t="n"/>
      <c r="K23" s="1788" t="n"/>
      <c r="L23" s="1788" t="n"/>
      <c r="M23" s="1788" t="n"/>
      <c r="N23" s="1788" t="n"/>
      <c r="O23" s="1788" t="n"/>
      <c r="P23" s="1777" t="n">
        <v>0</v>
      </c>
      <c r="Q23" s="1762" t="n">
        <v>0</v>
      </c>
      <c r="R23" s="1786" t="n"/>
      <c r="S23" s="1791" t="n"/>
      <c r="T23" s="1762" t="n"/>
      <c r="U23" s="1762" t="n"/>
      <c r="V23" s="1762" t="n"/>
    </row>
    <row r="24">
      <c r="A24" s="420" t="n"/>
      <c r="B24" s="1775" t="inlineStr">
        <is>
          <t>Financing activities</t>
        </is>
      </c>
      <c r="C24" s="1767" t="n"/>
      <c r="D24" s="1783" t="n"/>
      <c r="E24" s="1783" t="n"/>
      <c r="F24" s="1783" t="n"/>
      <c r="G24" s="1783" t="n"/>
      <c r="H24" s="1783" t="n"/>
      <c r="I24" s="1783" t="n"/>
      <c r="J24" s="1783" t="n"/>
      <c r="K24" s="1783" t="n"/>
      <c r="L24" s="1783" t="n"/>
      <c r="M24" s="1783" t="n"/>
      <c r="N24" s="1783" t="n"/>
      <c r="O24" s="1783" t="n"/>
      <c r="P24" s="1777" t="n">
        <v>0</v>
      </c>
      <c r="Q24" s="1762" t="n">
        <v>0</v>
      </c>
      <c r="R24" s="1786" t="n"/>
      <c r="S24" s="1791" t="n"/>
      <c r="T24" s="1762" t="n"/>
      <c r="U24" s="1762" t="n"/>
      <c r="V24" s="1762" t="n"/>
    </row>
    <row r="25">
      <c r="A25" s="420" t="n">
        <v>8</v>
      </c>
      <c r="B25" s="1793" t="inlineStr">
        <is>
          <t>Proceeds I/C Loan</t>
        </is>
      </c>
      <c r="C25" s="1786" t="n"/>
      <c r="D25" s="1779" t="n">
        <v>400000</v>
      </c>
      <c r="E25" s="1779" t="n">
        <v>200000</v>
      </c>
      <c r="F25" s="1779" t="n">
        <v>125000</v>
      </c>
      <c r="G25" s="1794">
        <f>B47/1000</f>
        <v/>
      </c>
      <c r="H25" s="1779" t="n">
        <v>0</v>
      </c>
      <c r="I25" s="1779" t="n"/>
      <c r="J25" s="1779" t="n">
        <v>0</v>
      </c>
      <c r="K25" s="1779" t="n">
        <v>0</v>
      </c>
      <c r="L25" s="1779" t="n">
        <v>0</v>
      </c>
      <c r="M25" s="1779" t="n">
        <v>0</v>
      </c>
      <c r="N25" s="1779" t="n">
        <v>0</v>
      </c>
      <c r="O25" s="1779" t="n">
        <v>0</v>
      </c>
      <c r="P25" s="1777">
        <f>SUM(D25:O25)</f>
        <v/>
      </c>
      <c r="Q25" s="1762" t="n">
        <v>1988484.73</v>
      </c>
      <c r="R25" s="1786" t="n"/>
      <c r="S25" s="1791" t="n"/>
      <c r="T25" s="1762" t="n"/>
      <c r="U25" s="1762" t="n"/>
      <c r="V25" s="1762" t="n"/>
    </row>
    <row r="26">
      <c r="A26" s="420" t="n">
        <v>2</v>
      </c>
      <c r="B26" s="1793" t="inlineStr">
        <is>
          <t>Proceeds from Bank</t>
        </is>
      </c>
      <c r="C26" s="1786" t="n"/>
      <c r="D26" s="1779" t="n">
        <v>0</v>
      </c>
      <c r="E26" s="1779" t="n"/>
      <c r="F26" s="1779" t="n"/>
      <c r="G26" s="1779">
        <f>63907</f>
        <v/>
      </c>
      <c r="H26" s="1779" t="n">
        <v>2951.48</v>
      </c>
      <c r="I26" s="1779" t="n">
        <v>233141.52</v>
      </c>
      <c r="J26" s="1779" t="n"/>
      <c r="K26" s="1779" t="n"/>
      <c r="L26" s="1779" t="n">
        <v>150000</v>
      </c>
      <c r="M26" s="1779" t="n"/>
      <c r="N26" s="1779" t="n"/>
      <c r="O26" s="1779" t="n">
        <v>150000</v>
      </c>
      <c r="P26" s="1777">
        <f>SUM(D26:O26)</f>
        <v/>
      </c>
      <c r="Q26" s="1762" t="n">
        <v>600000</v>
      </c>
      <c r="R26" s="1786" t="n"/>
      <c r="S26" s="1791" t="n"/>
      <c r="T26" s="1762" t="n"/>
      <c r="U26" s="1762" t="n"/>
      <c r="V26" s="1762" t="n"/>
    </row>
    <row r="27">
      <c r="A27" s="420" t="n">
        <v>7</v>
      </c>
      <c r="B27" s="1793" t="inlineStr">
        <is>
          <t>Repayment of LT (GPB)</t>
        </is>
      </c>
      <c r="C27" s="1786" t="n"/>
      <c r="D27" s="1779" t="n">
        <v>0</v>
      </c>
      <c r="E27" s="1779" t="n">
        <v>0</v>
      </c>
      <c r="F27" s="1779" t="n">
        <v>-127500</v>
      </c>
      <c r="G27" s="1779" t="n"/>
      <c r="H27" s="1779" t="n">
        <v>0</v>
      </c>
      <c r="I27" s="1779" t="n">
        <v>-128515</v>
      </c>
      <c r="J27" s="1779" t="n">
        <v>0</v>
      </c>
      <c r="K27" s="1779" t="n">
        <v>0</v>
      </c>
      <c r="L27" s="1779" t="n">
        <v>-128515</v>
      </c>
      <c r="M27" s="1779" t="n">
        <v>0</v>
      </c>
      <c r="N27" s="1779" t="n">
        <v>0</v>
      </c>
      <c r="O27" s="1779" t="n">
        <v>-128515</v>
      </c>
      <c r="P27" s="1777">
        <f>SUM(D27:O27)</f>
        <v/>
      </c>
      <c r="Q27" s="1762" t="n">
        <v>-510000</v>
      </c>
      <c r="R27" s="1786" t="n"/>
      <c r="S27" s="1762" t="n"/>
      <c r="T27" s="1762" t="n"/>
      <c r="U27" s="1762" t="n"/>
      <c r="V27" s="1762" t="n"/>
    </row>
    <row r="28">
      <c r="A28" s="420" t="n">
        <v>7</v>
      </c>
      <c r="B28" s="1778" t="inlineStr">
        <is>
          <t>Repayment of ST borrowings</t>
        </is>
      </c>
      <c r="C28" s="1786" t="n"/>
      <c r="D28" s="1779" t="n">
        <v>-150000</v>
      </c>
      <c r="E28" s="1779" t="n">
        <v>-50000</v>
      </c>
      <c r="F28" s="1779" t="n">
        <v>0</v>
      </c>
      <c r="G28" s="1779" t="n">
        <v>0</v>
      </c>
      <c r="H28" s="1779" t="n">
        <v>0</v>
      </c>
      <c r="I28" s="1779" t="n">
        <v>0</v>
      </c>
      <c r="J28" s="1779" t="n">
        <v>0</v>
      </c>
      <c r="K28" s="1779" t="n">
        <v>0</v>
      </c>
      <c r="L28" s="1779" t="n">
        <v>0</v>
      </c>
      <c r="M28" s="1779" t="n">
        <v>0</v>
      </c>
      <c r="N28" s="1779" t="n">
        <v>0</v>
      </c>
      <c r="O28" s="1779" t="n">
        <v>0</v>
      </c>
      <c r="P28" s="1777">
        <f>SUM(D28:O28)</f>
        <v/>
      </c>
      <c r="Q28" s="1762" t="n">
        <v>-200000</v>
      </c>
      <c r="R28" s="1786" t="n"/>
      <c r="S28" s="1762" t="n"/>
      <c r="T28" s="1762" t="n"/>
      <c r="U28" s="1762" t="n"/>
      <c r="V28" s="1762" t="n"/>
    </row>
    <row r="29">
      <c r="A29" s="420" t="n"/>
      <c r="B29" s="1778" t="inlineStr">
        <is>
          <t>Proceeds from new shares</t>
        </is>
      </c>
      <c r="C29" s="1795" t="n"/>
      <c r="D29" s="1796" t="n"/>
      <c r="E29" s="1796" t="n"/>
      <c r="F29" s="1796" t="n"/>
      <c r="G29" s="1796" t="n"/>
      <c r="H29" s="1796" t="n"/>
      <c r="I29" s="1796" t="n"/>
      <c r="J29" s="1796" t="n"/>
      <c r="K29" s="1796" t="n"/>
      <c r="L29" s="1796" t="n"/>
      <c r="M29" s="1796" t="n"/>
      <c r="N29" s="1796" t="n"/>
      <c r="O29" s="1796" t="n"/>
      <c r="P29" s="1797">
        <f>SUM(D29:O29)</f>
        <v/>
      </c>
      <c r="Q29" s="1762" t="n">
        <v>0</v>
      </c>
      <c r="R29" s="1762" t="n"/>
      <c r="S29" s="456" t="n"/>
      <c r="T29" s="1762" t="n"/>
      <c r="U29" s="1762" t="n"/>
      <c r="V29" s="1762" t="n"/>
      <c r="W29" s="256" t="n"/>
    </row>
    <row r="30">
      <c r="A30" s="420" t="n"/>
      <c r="B30" s="1778" t="inlineStr">
        <is>
          <t>Cash deposits</t>
        </is>
      </c>
      <c r="C30" s="1795" t="n"/>
      <c r="D30" s="1796" t="n"/>
      <c r="E30" s="1796" t="n"/>
      <c r="F30" s="1796" t="n"/>
      <c r="G30" s="1796" t="n"/>
      <c r="H30" s="1796" t="n"/>
      <c r="I30" s="1796" t="n"/>
      <c r="J30" s="1796" t="n"/>
      <c r="K30" s="1796" t="n"/>
      <c r="L30" s="1796" t="n"/>
      <c r="M30" s="1796" t="n"/>
      <c r="N30" s="1796" t="n"/>
      <c r="O30" s="1796" t="n"/>
      <c r="P30" s="1797">
        <f>SUM(D30:O30)</f>
        <v/>
      </c>
      <c r="Q30" s="1762" t="n">
        <v>0</v>
      </c>
      <c r="R30" s="1762" t="n"/>
      <c r="S30" s="456" t="n"/>
      <c r="T30" s="1762" t="n"/>
      <c r="U30" s="1762" t="n"/>
      <c r="V30" s="1762" t="n"/>
      <c r="W30" s="256" t="n"/>
    </row>
    <row r="31" customFormat="1" s="256">
      <c r="A31" s="420" t="n">
        <v>7</v>
      </c>
      <c r="B31" s="1798" t="inlineStr">
        <is>
          <t>Interest paid - Bank</t>
        </is>
      </c>
      <c r="C31" s="1762" t="n"/>
      <c r="D31" s="1779" t="n">
        <v>-2896.585360000005</v>
      </c>
      <c r="E31" s="1779" t="n">
        <v>-3356.859332602748</v>
      </c>
      <c r="F31" s="1779" t="n">
        <v>-3915.763442191783</v>
      </c>
      <c r="G31" s="1779" t="n">
        <v>-9067.894030000001</v>
      </c>
      <c r="H31" s="1779" t="n">
        <v>-9770.47135</v>
      </c>
      <c r="I31" s="1779" t="n">
        <v>-10793.77766534246</v>
      </c>
      <c r="J31" s="1779" t="n">
        <v>-10995.16208067123</v>
      </c>
      <c r="K31" s="1779" t="n">
        <v>-11027.50358752055</v>
      </c>
      <c r="L31" s="1779" t="n">
        <v>-10304.99684342466</v>
      </c>
      <c r="M31" s="1779" t="n">
        <v>-10648.49673820548</v>
      </c>
      <c r="N31" s="1779" t="n">
        <v>-10304.99684342466</v>
      </c>
      <c r="O31" s="1779" t="n">
        <v>-10269.48988889041</v>
      </c>
      <c r="P31" s="1777">
        <f>SUM(D31:O31)</f>
        <v/>
      </c>
      <c r="Q31" s="1762" t="n">
        <v>-105109.0362491096</v>
      </c>
      <c r="R31" s="1786" t="n"/>
      <c r="S31" s="253" t="n"/>
      <c r="T31" s="1762" t="n"/>
      <c r="U31" s="1762" t="n"/>
      <c r="V31" s="1762" t="n"/>
      <c r="W31" s="253" t="n"/>
    </row>
    <row r="32" customFormat="1" s="256">
      <c r="A32" s="420" t="n">
        <v>9</v>
      </c>
      <c r="B32" s="1798" t="inlineStr">
        <is>
          <t>Interest paid - S&amp;W,Stesha, CPFI</t>
        </is>
      </c>
      <c r="C32" s="1762" t="n"/>
      <c r="D32" s="1779">
        <f>-48091.8583995753-D31</f>
        <v/>
      </c>
      <c r="E32" s="1779">
        <f>-45283.8695371507-E31</f>
        <v/>
      </c>
      <c r="F32" s="1779">
        <f>-52906.2899064247-F31</f>
        <v/>
      </c>
      <c r="G32" s="1779" t="n">
        <v>-194338.33645</v>
      </c>
      <c r="H32" s="1779" t="n">
        <v>-46653.30483</v>
      </c>
      <c r="I32" s="1779" t="n">
        <v>-43831.02393657838</v>
      </c>
      <c r="J32" s="1779" t="n">
        <v>-7509.700684382143</v>
      </c>
      <c r="K32" s="1779" t="n">
        <v>-7509.700684382143</v>
      </c>
      <c r="L32" s="1779" t="n">
        <v>-7267.452275208525</v>
      </c>
      <c r="M32" s="1779" t="n">
        <v>-7509.700684382143</v>
      </c>
      <c r="N32" s="1779" t="n">
        <v>-7267.452275208525</v>
      </c>
      <c r="O32" s="1779" t="n">
        <v>-7509.700684382143</v>
      </c>
      <c r="P32" s="1777">
        <f>SUM(D32:O32)</f>
        <v/>
      </c>
      <c r="Q32" s="1762" t="n">
        <v>-463055.1360300019</v>
      </c>
      <c r="R32" s="1786" t="n"/>
      <c r="S32" s="253" t="n"/>
      <c r="T32" s="1762" t="n"/>
      <c r="U32" s="1762" t="n"/>
      <c r="V32" s="1762" t="n"/>
      <c r="W32" s="253" t="n"/>
    </row>
    <row r="33">
      <c r="A33" s="420" t="n"/>
      <c r="B33" s="1799" t="inlineStr">
        <is>
          <t>Proceeds from subsidies</t>
        </is>
      </c>
      <c r="C33" s="1762" t="n"/>
      <c r="D33" s="1779" t="n">
        <v>0</v>
      </c>
      <c r="E33" s="1779" t="n">
        <v>0</v>
      </c>
      <c r="F33" s="1779" t="n">
        <v>0</v>
      </c>
      <c r="G33" s="1779" t="n">
        <v>0</v>
      </c>
      <c r="H33" s="1779" t="n">
        <v>0</v>
      </c>
      <c r="I33" s="1779" t="n">
        <v>0</v>
      </c>
      <c r="J33" s="1779" t="n">
        <v>0</v>
      </c>
      <c r="K33" s="1779" t="n">
        <v>0</v>
      </c>
      <c r="L33" s="1779" t="n">
        <v>0</v>
      </c>
      <c r="M33" s="1779" t="n">
        <v>0</v>
      </c>
      <c r="N33" s="1779" t="n">
        <v>0</v>
      </c>
      <c r="O33" s="1779" t="n">
        <v>0</v>
      </c>
      <c r="P33" s="1777">
        <f>SUM(D33:O33)</f>
        <v/>
      </c>
      <c r="Q33" s="253" t="n">
        <v>0</v>
      </c>
      <c r="R33" s="1762" t="n"/>
      <c r="S33" s="1800" t="n"/>
      <c r="T33" s="1762" t="n"/>
      <c r="U33" s="1762" t="n"/>
      <c r="V33" s="1762" t="n"/>
    </row>
    <row r="34">
      <c r="A34" s="420" t="n"/>
      <c r="B34" s="1801" t="n"/>
      <c r="C34" s="1795" t="n"/>
      <c r="D34" s="1796" t="n"/>
      <c r="E34" s="1796" t="n"/>
      <c r="F34" s="1796" t="n"/>
      <c r="G34" s="1796" t="n"/>
      <c r="H34" s="1796" t="n"/>
      <c r="I34" s="1796" t="n"/>
      <c r="J34" s="1796" t="n"/>
      <c r="K34" s="1796" t="n"/>
      <c r="L34" s="1796" t="n"/>
      <c r="M34" s="1796" t="n"/>
      <c r="N34" s="1796" t="n"/>
      <c r="O34" s="1796" t="n"/>
      <c r="P34" s="1797">
        <f>SUM(D34:O34)</f>
        <v/>
      </c>
      <c r="Q34" s="253" t="n">
        <v>0</v>
      </c>
      <c r="R34" s="1786" t="n"/>
      <c r="S34" s="1800" t="n"/>
      <c r="T34" s="1762" t="n"/>
      <c r="U34" s="1762" t="n"/>
      <c r="V34" s="1762" t="n"/>
    </row>
    <row r="35">
      <c r="A35" s="420" t="n"/>
      <c r="B35" s="1799" t="inlineStr">
        <is>
          <t>Dividend tax</t>
        </is>
      </c>
      <c r="C35" s="1802" t="n"/>
      <c r="D35" s="1779" t="n">
        <v>0</v>
      </c>
      <c r="E35" s="1779" t="n">
        <v>0</v>
      </c>
      <c r="F35" s="1779" t="n">
        <v>0</v>
      </c>
      <c r="G35" s="1779" t="n">
        <v>0</v>
      </c>
      <c r="H35" s="1779" t="n">
        <v>0</v>
      </c>
      <c r="I35" s="1779" t="n">
        <v>0</v>
      </c>
      <c r="J35" s="1779" t="n">
        <v>0</v>
      </c>
      <c r="K35" s="1779" t="n">
        <v>0</v>
      </c>
      <c r="L35" s="1779" t="n">
        <v>0</v>
      </c>
      <c r="M35" s="1779" t="n">
        <v>0</v>
      </c>
      <c r="N35" s="1779" t="n">
        <v>0</v>
      </c>
      <c r="O35" s="1779" t="n">
        <v>0</v>
      </c>
      <c r="P35" s="1803">
        <f>SUM(D35:O35)</f>
        <v/>
      </c>
      <c r="Q35" s="1762" t="n">
        <v>0</v>
      </c>
      <c r="R35" s="1786" t="n"/>
      <c r="S35" s="1762" t="n"/>
      <c r="T35" s="1762" t="n"/>
      <c r="U35" s="1762" t="n"/>
      <c r="V35" s="1762" t="n"/>
    </row>
    <row r="36">
      <c r="A36" s="420" t="n"/>
      <c r="B36" s="1799" t="inlineStr">
        <is>
          <t>Dividend</t>
        </is>
      </c>
      <c r="C36" s="1802" t="n"/>
      <c r="D36" s="1779" t="n">
        <v>0</v>
      </c>
      <c r="E36" s="1779" t="n">
        <v>0</v>
      </c>
      <c r="F36" s="1779" t="n">
        <v>0</v>
      </c>
      <c r="G36" s="1779" t="n">
        <v>0</v>
      </c>
      <c r="H36" s="1779" t="n">
        <v>0</v>
      </c>
      <c r="I36" s="1779" t="n">
        <v>0</v>
      </c>
      <c r="J36" s="1779" t="n">
        <v>0</v>
      </c>
      <c r="K36" s="1779" t="n">
        <v>0</v>
      </c>
      <c r="L36" s="1779" t="n">
        <v>0</v>
      </c>
      <c r="M36" s="1779" t="n">
        <v>0</v>
      </c>
      <c r="N36" s="1779" t="n">
        <v>0</v>
      </c>
      <c r="O36" s="1779" t="n">
        <v>0</v>
      </c>
      <c r="P36" s="1803">
        <f>SUM(D36:O36)</f>
        <v/>
      </c>
      <c r="Q36" s="1762" t="n">
        <v>0</v>
      </c>
      <c r="R36" s="1786" t="n"/>
      <c r="S36" s="1762" t="n"/>
      <c r="T36" s="1762" t="n"/>
      <c r="U36" s="1762" t="n"/>
      <c r="V36" s="1762" t="n"/>
    </row>
    <row r="37">
      <c r="A37" s="420" t="n"/>
      <c r="B37" s="1775" t="inlineStr">
        <is>
          <t>Net cash flows from financing activities</t>
        </is>
      </c>
      <c r="C37" s="1767" t="n"/>
      <c r="D37" s="1783">
        <f>SUM(D25:D36)</f>
        <v/>
      </c>
      <c r="E37" s="1783">
        <f>SUM(E25:E36)</f>
        <v/>
      </c>
      <c r="F37" s="1783">
        <f>SUM(F25:F36)</f>
        <v/>
      </c>
      <c r="G37" s="1783">
        <f>SUM(G25:G36)</f>
        <v/>
      </c>
      <c r="H37" s="1783">
        <f>SUM(H25:H36)</f>
        <v/>
      </c>
      <c r="I37" s="1783">
        <f>SUM(I25:I36)</f>
        <v/>
      </c>
      <c r="J37" s="1783">
        <f>SUM(J25:J36)</f>
        <v/>
      </c>
      <c r="K37" s="1783">
        <f>SUM(K25:K36)</f>
        <v/>
      </c>
      <c r="L37" s="1783">
        <f>SUM(L25:L36)</f>
        <v/>
      </c>
      <c r="M37" s="1783">
        <f>SUM(M25:M36)</f>
        <v/>
      </c>
      <c r="N37" s="1783">
        <f>SUM(N25:N36)</f>
        <v/>
      </c>
      <c r="O37" s="1783">
        <f>SUM(O25:O36)</f>
        <v/>
      </c>
      <c r="P37" s="1783">
        <f>SUM(P25:P36)</f>
        <v/>
      </c>
      <c r="Q37" s="1762" t="n">
        <v>1773375.69375089</v>
      </c>
      <c r="R37" s="1786" t="n"/>
      <c r="S37" s="1762" t="n"/>
      <c r="T37" s="1762" t="n"/>
      <c r="U37" s="1762" t="n"/>
      <c r="V37" s="1762" t="n"/>
      <c r="W37" s="256" t="n"/>
    </row>
    <row r="38" customFormat="1" s="256">
      <c r="A38" s="420" t="n"/>
      <c r="B38" s="1804" t="inlineStr">
        <is>
          <t>charter capital edition</t>
        </is>
      </c>
      <c r="C38" s="1771" t="n"/>
      <c r="D38" s="1779" t="n"/>
      <c r="E38" s="1779" t="n"/>
      <c r="F38" s="1779" t="n"/>
      <c r="G38" s="1779" t="n"/>
      <c r="H38" s="1779" t="n"/>
      <c r="I38" s="1779" t="n"/>
      <c r="J38" s="1779" t="n"/>
      <c r="K38" s="1779" t="n"/>
      <c r="L38" s="1779" t="n"/>
      <c r="M38" s="1779" t="n"/>
      <c r="N38" s="1779" t="n"/>
      <c r="O38" s="1779" t="n"/>
      <c r="P38" s="1805" t="n">
        <v>0</v>
      </c>
      <c r="Q38" s="1762" t="n">
        <v>0</v>
      </c>
      <c r="R38" s="1779" t="n"/>
      <c r="S38" s="1806" t="n">
        <v>2431</v>
      </c>
      <c r="T38" s="1762" t="inlineStr">
        <is>
          <t>VAT receivables 31/12</t>
        </is>
      </c>
      <c r="U38" s="1762" t="n"/>
      <c r="V38" s="1762" t="n"/>
      <c r="W38" s="253" t="n"/>
    </row>
    <row r="39">
      <c r="A39" s="420" t="n"/>
      <c r="B39" s="1775" t="inlineStr">
        <is>
          <t>Net change in cash</t>
        </is>
      </c>
      <c r="C39" s="1767" t="n"/>
      <c r="D39" s="1783">
        <f>D16+D22+D37</f>
        <v/>
      </c>
      <c r="E39" s="1783">
        <f>E16+E22+E37</f>
        <v/>
      </c>
      <c r="F39" s="1783">
        <f>F16+F22+F37</f>
        <v/>
      </c>
      <c r="G39" s="1783">
        <f>G16+G22+G37</f>
        <v/>
      </c>
      <c r="H39" s="1783">
        <f>H16+H22+H37</f>
        <v/>
      </c>
      <c r="I39" s="1783">
        <f>I16+I22+I37</f>
        <v/>
      </c>
      <c r="J39" s="1783">
        <f>J16+J22+J37</f>
        <v/>
      </c>
      <c r="K39" s="1783">
        <f>K16+K22+K37</f>
        <v/>
      </c>
      <c r="L39" s="1783">
        <f>L16+L22+L37</f>
        <v/>
      </c>
      <c r="M39" s="1783">
        <f>M16+M22+M37</f>
        <v/>
      </c>
      <c r="N39" s="1783">
        <f>N16+N22+N37</f>
        <v/>
      </c>
      <c r="O39" s="1783">
        <f>O16+O22+O37</f>
        <v/>
      </c>
      <c r="P39" s="1784">
        <f>P16+P22+P37</f>
        <v/>
      </c>
      <c r="Q39" s="1762" t="n">
        <v>-203761.4343234426</v>
      </c>
      <c r="R39" s="1771" t="n"/>
      <c r="S39" s="1762" t="n"/>
      <c r="T39" s="1762" t="n"/>
      <c r="U39" s="1762" t="n"/>
      <c r="V39" s="1762" t="n"/>
    </row>
    <row r="40">
      <c r="A40" s="420" t="n"/>
      <c r="B40" s="1778" t="n"/>
      <c r="C40" s="1762" t="n"/>
      <c r="D40" s="1787" t="n"/>
      <c r="E40" s="1787" t="n"/>
      <c r="F40" s="1788" t="n"/>
      <c r="G40" s="1788" t="n"/>
      <c r="H40" s="1788" t="n"/>
      <c r="I40" s="1788" t="n"/>
      <c r="J40" s="1788" t="n"/>
      <c r="K40" s="1788" t="n"/>
      <c r="L40" s="1788" t="n"/>
      <c r="M40" s="1788" t="n"/>
      <c r="N40" s="1788" t="n"/>
      <c r="O40" s="1788" t="n"/>
      <c r="P40" s="1777" t="n"/>
      <c r="Q40" s="1762" t="inlineStr">
        <is>
          <t xml:space="preserve"> </t>
        </is>
      </c>
      <c r="R40" s="1786" t="n"/>
      <c r="S40" s="1762" t="n"/>
      <c r="T40" s="1762" t="n"/>
      <c r="U40" s="1762" t="n"/>
      <c r="V40" s="1762" t="n"/>
    </row>
    <row r="41">
      <c r="A41" s="420" t="n"/>
      <c r="B41" s="1778" t="inlineStr">
        <is>
          <t>Cash at the beginning</t>
        </is>
      </c>
      <c r="C41" s="1762" t="n"/>
      <c r="D41" s="1807" t="n">
        <v>590392.8638038189</v>
      </c>
      <c r="E41" s="1788">
        <f>D42</f>
        <v/>
      </c>
      <c r="F41" s="1788">
        <f>E42</f>
        <v/>
      </c>
      <c r="G41" s="1788">
        <f>F42</f>
        <v/>
      </c>
      <c r="H41" s="1788">
        <f>G42</f>
        <v/>
      </c>
      <c r="I41" s="1788">
        <f>H42</f>
        <v/>
      </c>
      <c r="J41" s="1788">
        <f>I42</f>
        <v/>
      </c>
      <c r="K41" s="1788">
        <f>J42</f>
        <v/>
      </c>
      <c r="L41" s="1788">
        <f>K42</f>
        <v/>
      </c>
      <c r="M41" s="1788">
        <f>L42</f>
        <v/>
      </c>
      <c r="N41" s="1788">
        <f>M42</f>
        <v/>
      </c>
      <c r="O41" s="1788">
        <f>N42</f>
        <v/>
      </c>
      <c r="P41" s="1777" t="n"/>
      <c r="Q41" s="257" t="inlineStr">
        <is>
          <t>Previous</t>
        </is>
      </c>
      <c r="R41" s="1786" t="n"/>
      <c r="S41" s="1767" t="n"/>
      <c r="T41" s="1767" t="n"/>
      <c r="U41" s="1767" t="n"/>
      <c r="V41" s="1767" t="n"/>
    </row>
    <row r="42" ht="15" customHeight="1" thickBot="1">
      <c r="B42" s="1808" t="inlineStr">
        <is>
          <t>CASH AT THE END</t>
        </is>
      </c>
      <c r="C42" s="1767" t="n"/>
      <c r="D42" s="1809">
        <f>D41+D39</f>
        <v/>
      </c>
      <c r="E42" s="1809">
        <f>E41+E39</f>
        <v/>
      </c>
      <c r="F42" s="1809">
        <f>F41+F39</f>
        <v/>
      </c>
      <c r="G42" s="1809">
        <f>G41+G39</f>
        <v/>
      </c>
      <c r="H42" s="1809">
        <f>H41+H39</f>
        <v/>
      </c>
      <c r="I42" s="1809">
        <f>I41+I39</f>
        <v/>
      </c>
      <c r="J42" s="1809">
        <f>J41+J39</f>
        <v/>
      </c>
      <c r="K42" s="1809">
        <f>K41+K39</f>
        <v/>
      </c>
      <c r="L42" s="1809">
        <f>L41+L39</f>
        <v/>
      </c>
      <c r="M42" s="1809">
        <f>M41+M39</f>
        <v/>
      </c>
      <c r="N42" s="1809">
        <f>N41+N39</f>
        <v/>
      </c>
      <c r="O42" s="1809">
        <f>O41+O39</f>
        <v/>
      </c>
      <c r="P42" s="1810" t="n"/>
      <c r="Q42" s="1809" t="n">
        <v>-148658.4066002096</v>
      </c>
      <c r="R42" s="1786" t="n"/>
      <c r="S42" s="1762" t="n"/>
      <c r="T42" s="1762" t="n"/>
      <c r="U42" s="1762" t="n"/>
      <c r="V42" s="1762" t="n"/>
    </row>
    <row r="43">
      <c r="B43" s="1762" t="n"/>
      <c r="C43" s="1762" t="n"/>
      <c r="D43" s="1762" t="n"/>
      <c r="E43" s="1762" t="n"/>
      <c r="F43" s="1762" t="n"/>
      <c r="G43" s="1762" t="n"/>
      <c r="H43" s="1762" t="n"/>
      <c r="I43" s="1762" t="n"/>
      <c r="J43" s="1762" t="n"/>
      <c r="K43" s="1762" t="n"/>
      <c r="L43" s="1762" t="n"/>
      <c r="M43" s="1762" t="n"/>
      <c r="N43" s="1762" t="n"/>
      <c r="O43" s="1762" t="n"/>
      <c r="P43" s="1762" t="n"/>
      <c r="Q43" s="1762" t="n"/>
      <c r="R43" s="1786" t="n"/>
      <c r="S43" s="1762" t="n"/>
      <c r="T43" s="1762" t="n"/>
      <c r="U43" s="1762" t="n"/>
      <c r="V43" s="1762" t="n"/>
    </row>
    <row r="44">
      <c r="B44" s="1762" t="n"/>
      <c r="C44" s="1762" t="n"/>
      <c r="D44" s="1762" t="n"/>
      <c r="E44" s="1762" t="n"/>
      <c r="F44" s="1762" t="n"/>
      <c r="G44" s="1762" t="n"/>
      <c r="H44" s="1762" t="n"/>
      <c r="I44" s="1762" t="n"/>
      <c r="J44" s="1762" t="n">
        <v>31</v>
      </c>
      <c r="K44" s="1762" t="n">
        <v>31</v>
      </c>
      <c r="L44" s="1762" t="n">
        <v>30</v>
      </c>
      <c r="M44" s="1762" t="n">
        <v>31</v>
      </c>
      <c r="N44" s="1762" t="n">
        <v>30</v>
      </c>
      <c r="O44" s="1762" t="n">
        <v>31</v>
      </c>
      <c r="P44" s="1762" t="n"/>
    </row>
    <row r="45">
      <c r="B45" s="470" t="inlineStr">
        <is>
          <t>GPB - CPFR</t>
        </is>
      </c>
      <c r="J45" s="471" t="n">
        <v>6420.821917808219</v>
      </c>
      <c r="K45" s="471" t="n">
        <v>6420.821917808219</v>
      </c>
      <c r="L45" s="471" t="n">
        <v>5868.493150684932</v>
      </c>
      <c r="M45" s="471" t="n">
        <v>6064.109589041096</v>
      </c>
      <c r="N45" s="471" t="n">
        <v>5868.493150684932</v>
      </c>
      <c r="O45" s="471" t="n">
        <v>5707.397260273972</v>
      </c>
    </row>
    <row r="46">
      <c r="B46" s="470" t="inlineStr">
        <is>
          <t>CPFI - CPFO</t>
        </is>
      </c>
      <c r="J46" s="471">
        <f>+($B$47*$B$48)*J44/365/1000</f>
        <v/>
      </c>
      <c r="K46" s="471">
        <f>+($B$47*$B$48)*K44/365/1000</f>
        <v/>
      </c>
      <c r="L46" s="471">
        <f>+($B$47*$B$48)*L44/365/1000</f>
        <v/>
      </c>
      <c r="M46" s="471">
        <f>+($B$47*$B$48)*M44/365/1000</f>
        <v/>
      </c>
      <c r="N46" s="471">
        <f>+($B$47*$B$48)*N44/365/1000</f>
        <v/>
      </c>
      <c r="O46" s="471">
        <f>+($B$47*$B$48)*O44/365/1000</f>
        <v/>
      </c>
    </row>
    <row r="47" ht="15" customHeight="1" thickBot="1">
      <c r="B47" s="472">
        <f>'Loan CPFI CF'!D9*1000000</f>
        <v/>
      </c>
      <c r="D47" s="473" t="n"/>
      <c r="E47" s="473" t="n"/>
      <c r="F47" s="473" t="n"/>
      <c r="G47" s="473" t="n"/>
      <c r="H47" s="473" t="n"/>
      <c r="I47" s="473" t="n"/>
      <c r="J47" s="473">
        <f>SUM(J45:J46)</f>
        <v/>
      </c>
      <c r="K47" s="473">
        <f>SUM(K45:K46)</f>
        <v/>
      </c>
      <c r="L47" s="473">
        <f>SUM(L45:L46)</f>
        <v/>
      </c>
      <c r="M47" s="473">
        <f>SUM(M45:M46)</f>
        <v/>
      </c>
      <c r="N47" s="473">
        <f>SUM(N45:N46)</f>
        <v/>
      </c>
      <c r="O47" s="473">
        <f>SUM(O45:O46)</f>
        <v/>
      </c>
      <c r="P47" s="473" t="n"/>
    </row>
    <row r="48" ht="15" customHeight="1" thickTop="1">
      <c r="B48" s="474" t="n">
        <v>0.0585066</v>
      </c>
    </row>
  </sheetData>
  <pageMargins left="0.2362204724409449" right="0.2362204724409449" top="0.7480314960629921" bottom="0.7480314960629921" header="0.3149606299212598" footer="0.3149606299212598"/>
  <pageSetup orientation="landscape" paperSize="9" scale="48"/>
  <rowBreaks count="1" manualBreakCount="1">
    <brk id="12" min="0" max="28" man="1"/>
  </rowBreaks>
  <legacyDrawing xmlns:r="http://schemas.openxmlformats.org/officeDocument/2006/relationships" r:id="anysvml"/>
</worksheet>
</file>

<file path=xl/worksheets/sheet2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AD50"/>
  <sheetViews>
    <sheetView zoomScale="70" zoomScaleNormal="70" workbookViewId="0">
      <pane xSplit="2" ySplit="5" topLeftCell="C6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F25" sqref="F25"/>
    </sheetView>
  </sheetViews>
  <sheetFormatPr baseColWidth="8" defaultColWidth="7.21875" defaultRowHeight="14.4"/>
  <cols>
    <col width="4.21875" customWidth="1" style="478" min="1" max="1"/>
    <col width="38.21875" customWidth="1" style="262" min="2" max="2"/>
    <col width="12.77734375" customWidth="1" style="1811" min="3" max="15"/>
    <col hidden="1" width="15.21875" customWidth="1" style="260" min="16" max="16"/>
    <col width="16.21875" customWidth="1" style="265" min="17" max="17"/>
    <col width="16.21875" customWidth="1" style="262" min="18" max="19"/>
    <col width="16.21875" customWidth="1" style="263" min="20" max="27"/>
    <col width="17.21875" customWidth="1" style="262" min="28" max="28"/>
    <col width="14" customWidth="1" style="262" min="29" max="29"/>
    <col width="7.21875" customWidth="1" style="262" min="30" max="16384"/>
  </cols>
  <sheetData>
    <row r="1" ht="18" customHeight="1">
      <c r="B1" s="258" t="inlineStr">
        <is>
          <t>CONSOLIDATED Budget 2022 RBPI GROUP</t>
        </is>
      </c>
      <c r="C1" s="1812" t="n"/>
      <c r="D1" s="1812" t="n"/>
      <c r="E1" s="1812" t="n"/>
      <c r="F1" s="1812" t="n"/>
      <c r="G1" s="1812" t="n"/>
      <c r="H1" s="1812" t="n"/>
      <c r="I1" s="1812" t="n"/>
      <c r="J1" s="1812" t="n"/>
      <c r="K1" s="1812" t="n"/>
      <c r="L1" s="1812" t="n"/>
      <c r="M1" s="1812" t="n"/>
      <c r="N1" s="1812" t="n"/>
      <c r="O1" s="1812" t="n"/>
      <c r="Q1" s="1813" t="n"/>
    </row>
    <row r="2">
      <c r="B2" s="1814" t="inlineStr">
        <is>
          <t>Currency: TRUB</t>
        </is>
      </c>
      <c r="C2" s="1812" t="n"/>
      <c r="D2" s="1812" t="n">
        <v>0</v>
      </c>
      <c r="E2" s="1812" t="n"/>
      <c r="F2" s="1812" t="n"/>
      <c r="G2" s="1812" t="n"/>
      <c r="H2" s="1812" t="n"/>
      <c r="I2" s="1812" t="n"/>
      <c r="J2" s="1812" t="n"/>
      <c r="K2" s="1812" t="n"/>
      <c r="L2" s="1812" t="n"/>
      <c r="M2" s="1812" t="n"/>
      <c r="N2" s="1812" t="n"/>
      <c r="O2" s="1812" t="n"/>
    </row>
    <row r="3" customFormat="1" s="269">
      <c r="A3" s="478" t="n"/>
      <c r="B3" s="1815" t="n"/>
      <c r="C3" s="1816" t="n"/>
      <c r="D3" s="1816" t="n"/>
      <c r="E3" s="1816" t="n"/>
      <c r="F3" s="1816" t="n"/>
      <c r="G3" s="1816" t="n"/>
      <c r="H3" s="1816" t="n"/>
      <c r="I3" s="1816" t="n"/>
      <c r="J3" s="1816" t="n"/>
      <c r="K3" s="1816" t="n"/>
      <c r="L3" s="1816" t="n"/>
      <c r="M3" s="1816" t="n"/>
      <c r="N3" s="1816" t="n"/>
      <c r="O3" s="1816" t="n"/>
      <c r="P3" s="268" t="n"/>
      <c r="Q3" s="265" t="n"/>
      <c r="T3" s="270" t="n"/>
      <c r="U3" s="270" t="n"/>
      <c r="V3" s="270" t="n"/>
      <c r="W3" s="270" t="n"/>
      <c r="X3" s="270" t="n"/>
      <c r="Y3" s="270" t="n"/>
      <c r="Z3" s="270" t="n"/>
      <c r="AA3" s="270" t="n"/>
    </row>
    <row r="4" ht="16.2" customHeight="1" thickBot="1">
      <c r="B4" s="1817" t="n"/>
      <c r="C4" s="1812" t="n">
        <v>31</v>
      </c>
      <c r="D4" s="1812" t="n">
        <v>28</v>
      </c>
      <c r="E4" s="1812" t="n">
        <v>31</v>
      </c>
      <c r="F4" s="1812" t="n">
        <v>30</v>
      </c>
      <c r="G4" s="1812" t="n">
        <v>31</v>
      </c>
      <c r="H4" s="1812" t="n">
        <v>30</v>
      </c>
      <c r="I4" s="1812" t="n">
        <v>31</v>
      </c>
      <c r="J4" s="1812" t="n">
        <v>31</v>
      </c>
      <c r="K4" s="1812" t="n">
        <v>30</v>
      </c>
      <c r="L4" s="1812" t="n">
        <v>31</v>
      </c>
      <c r="M4" s="1812" t="n">
        <v>30</v>
      </c>
      <c r="N4" s="1812" t="n">
        <v>31</v>
      </c>
      <c r="O4" s="1818" t="inlineStr">
        <is>
          <t>1.000 RUB</t>
        </is>
      </c>
    </row>
    <row r="5">
      <c r="B5" s="1819" t="inlineStr">
        <is>
          <t>CASH FLOWS</t>
        </is>
      </c>
      <c r="C5" s="1820" t="inlineStr">
        <is>
          <t>Jan</t>
        </is>
      </c>
      <c r="D5" s="1820" t="inlineStr">
        <is>
          <t>Feb</t>
        </is>
      </c>
      <c r="E5" s="1820" t="inlineStr">
        <is>
          <t>Mar</t>
        </is>
      </c>
      <c r="F5" s="1820" t="inlineStr">
        <is>
          <t>Apr</t>
        </is>
      </c>
      <c r="G5" s="1820" t="inlineStr">
        <is>
          <t xml:space="preserve">May </t>
        </is>
      </c>
      <c r="H5" s="1820" t="inlineStr">
        <is>
          <t>Jun</t>
        </is>
      </c>
      <c r="I5" s="1820" t="inlineStr">
        <is>
          <t>Jul</t>
        </is>
      </c>
      <c r="J5" s="1820" t="inlineStr">
        <is>
          <t>Aug</t>
        </is>
      </c>
      <c r="K5" s="1820" t="inlineStr">
        <is>
          <t>Sep</t>
        </is>
      </c>
      <c r="L5" s="1820" t="inlineStr">
        <is>
          <t>Oct</t>
        </is>
      </c>
      <c r="M5" s="1820" t="inlineStr">
        <is>
          <t>Nov</t>
        </is>
      </c>
      <c r="N5" s="1820" t="inlineStr">
        <is>
          <t>Dec</t>
        </is>
      </c>
      <c r="O5" s="1821" t="inlineStr">
        <is>
          <t>TOTAL</t>
        </is>
      </c>
    </row>
    <row r="6">
      <c r="B6" s="1822" t="inlineStr">
        <is>
          <t>Operating activities</t>
        </is>
      </c>
      <c r="C6" s="1823" t="n"/>
      <c r="D6" s="1823" t="n"/>
      <c r="E6" s="1823" t="n"/>
      <c r="F6" s="1823" t="n"/>
      <c r="G6" s="1823" t="n"/>
      <c r="H6" s="1823" t="n"/>
      <c r="I6" s="1823" t="n"/>
      <c r="J6" s="1823" t="n"/>
      <c r="K6" s="1823" t="n"/>
      <c r="L6" s="1823" t="n"/>
      <c r="M6" s="1823" t="n"/>
      <c r="N6" s="1823" t="n"/>
      <c r="O6" s="1824" t="n"/>
    </row>
    <row r="7">
      <c r="A7" s="478" t="n">
        <v>1</v>
      </c>
      <c r="B7" s="1825" t="inlineStr">
        <is>
          <t>Sales</t>
        </is>
      </c>
      <c r="C7" s="1823" t="n">
        <v>1578997.470303979</v>
      </c>
      <c r="D7" s="1823" t="n">
        <v>1430852.573816014</v>
      </c>
      <c r="E7" s="1823" t="n">
        <v>1357659.218259586</v>
      </c>
      <c r="F7" s="1823" t="n">
        <v>1117376.605</v>
      </c>
      <c r="G7" s="1823" t="n">
        <v>1099899.71547</v>
      </c>
      <c r="H7" s="1823" t="n">
        <v>1125675.658582144</v>
      </c>
      <c r="I7" s="1823" t="n">
        <v>1158727.794212581</v>
      </c>
      <c r="J7" s="1823" t="n">
        <v>1175233.954212581</v>
      </c>
      <c r="K7" s="1823" t="n">
        <v>1439041.183581928</v>
      </c>
      <c r="L7" s="1823" t="n">
        <v>1221776.602012581</v>
      </c>
      <c r="M7" s="1823" t="n">
        <v>1412993.877283832</v>
      </c>
      <c r="N7" s="1823" t="n">
        <v>1535042.738021414</v>
      </c>
      <c r="O7" s="1824">
        <f>SUM(C7:N7)</f>
        <v/>
      </c>
      <c r="P7" s="280" t="n">
        <v>15852955.04340233</v>
      </c>
      <c r="Q7" s="1813" t="n"/>
    </row>
    <row r="8">
      <c r="A8" s="478" t="n">
        <v>1</v>
      </c>
      <c r="B8" s="1825" t="inlineStr">
        <is>
          <t>Subsidies</t>
        </is>
      </c>
      <c r="C8" s="1823" t="n">
        <v>373023</v>
      </c>
      <c r="D8" s="1823" t="n">
        <v>0</v>
      </c>
      <c r="E8" s="1823" t="n">
        <v>0</v>
      </c>
      <c r="F8" s="1823" t="n">
        <v>0</v>
      </c>
      <c r="G8" s="1823" t="n">
        <v>0</v>
      </c>
      <c r="H8" s="1823" t="n">
        <v>0</v>
      </c>
      <c r="I8" s="1823" t="n">
        <v>0</v>
      </c>
      <c r="J8" s="1823" t="n">
        <v>0</v>
      </c>
      <c r="K8" s="1823" t="n">
        <v>0</v>
      </c>
      <c r="L8" s="1823" t="n">
        <v>0</v>
      </c>
      <c r="M8" s="1823" t="n">
        <v>0</v>
      </c>
      <c r="N8" s="1823" t="n">
        <v>0</v>
      </c>
      <c r="O8" s="1824">
        <f>SUM(C8:N8)</f>
        <v/>
      </c>
      <c r="P8" s="280" t="n">
        <v>373023</v>
      </c>
      <c r="Q8" s="1813" t="n"/>
    </row>
    <row r="9">
      <c r="A9" s="478" t="n">
        <v>3</v>
      </c>
      <c r="B9" s="1825" t="inlineStr">
        <is>
          <t>Production payables</t>
        </is>
      </c>
      <c r="C9" s="1823" t="n">
        <v>-1518422.125018387</v>
      </c>
      <c r="D9" s="1823" t="n">
        <v>-1178353.691829969</v>
      </c>
      <c r="E9" s="1823" t="n">
        <v>-1115154.55573991</v>
      </c>
      <c r="F9" s="1823" t="n">
        <v>-1033362.95</v>
      </c>
      <c r="G9" s="1823" t="n">
        <v>-824012.4551599999</v>
      </c>
      <c r="H9" s="1823" t="n">
        <v>-814190.8976983747</v>
      </c>
      <c r="I9" s="1823" t="n">
        <v>-948657.5475580925</v>
      </c>
      <c r="J9" s="1823" t="n">
        <v>-1061244.010427366</v>
      </c>
      <c r="K9" s="1823" t="n">
        <v>-912285.6806124571</v>
      </c>
      <c r="L9" s="1823" t="n">
        <v>-943442.6760756727</v>
      </c>
      <c r="M9" s="1823" t="n">
        <v>-914702.8005777936</v>
      </c>
      <c r="N9" s="1823" t="n">
        <v>-922470.0624367213</v>
      </c>
      <c r="O9" s="1824">
        <f>SUM(C9:N9)</f>
        <v/>
      </c>
      <c r="P9" s="280" t="n">
        <v>-12274519.45263378</v>
      </c>
      <c r="Q9" s="1813" t="n"/>
      <c r="R9" s="281" t="n"/>
      <c r="S9" s="281" t="n"/>
      <c r="T9" s="282" t="n"/>
      <c r="U9" s="282" t="n"/>
      <c r="V9" s="282" t="n"/>
      <c r="W9" s="282" t="n"/>
      <c r="X9" s="282" t="n"/>
      <c r="Y9" s="282" t="n"/>
      <c r="Z9" s="282" t="n"/>
      <c r="AA9" s="282" t="n"/>
      <c r="AB9" s="281" t="n"/>
      <c r="AD9" s="281" t="n"/>
    </row>
    <row r="10" customFormat="1" s="289">
      <c r="A10" s="478" t="n">
        <v>5</v>
      </c>
      <c r="B10" s="1826" t="inlineStr">
        <is>
          <t>Grain purchase</t>
        </is>
      </c>
      <c r="C10" s="1827" t="n">
        <v>0</v>
      </c>
      <c r="D10" s="1827" t="n">
        <v>0</v>
      </c>
      <c r="E10" s="1827" t="n"/>
      <c r="F10" s="1827" t="n">
        <v>-112092.804</v>
      </c>
      <c r="G10" s="1827" t="n">
        <v>-17733.69241</v>
      </c>
      <c r="H10" s="1827" t="n">
        <v>0</v>
      </c>
      <c r="I10" s="1827" t="n">
        <v>-441799.6</v>
      </c>
      <c r="J10" s="1827" t="n">
        <v>-677800.8</v>
      </c>
      <c r="K10" s="1827" t="n"/>
      <c r="L10" s="1827" t="n"/>
      <c r="M10" s="1827" t="n"/>
      <c r="N10" s="1827" t="n"/>
      <c r="O10" s="1828">
        <f>SUM(C10:N10)</f>
        <v/>
      </c>
      <c r="P10" s="286" t="n">
        <v>-1231693.204</v>
      </c>
      <c r="Q10" s="1813" t="n"/>
      <c r="R10" s="287" t="n"/>
      <c r="S10" s="287" t="n"/>
      <c r="T10" s="288" t="n"/>
      <c r="U10" s="288" t="n"/>
      <c r="V10" s="288" t="n"/>
      <c r="W10" s="288" t="n"/>
      <c r="X10" s="288" t="n"/>
      <c r="Y10" s="288" t="n"/>
      <c r="Z10" s="288" t="n"/>
      <c r="AA10" s="288" t="n"/>
      <c r="AB10" s="287" t="n"/>
      <c r="AD10" s="287" t="n"/>
    </row>
    <row r="11">
      <c r="A11" s="478" t="n">
        <v>3</v>
      </c>
      <c r="B11" s="1826" t="inlineStr">
        <is>
          <t>VAT</t>
        </is>
      </c>
      <c r="C11" s="1827" t="n">
        <v>218</v>
      </c>
      <c r="D11" s="1827" t="n">
        <v>0</v>
      </c>
      <c r="E11" s="1827" t="n">
        <v>0</v>
      </c>
      <c r="F11" s="1827" t="n">
        <v>0</v>
      </c>
      <c r="G11" s="1827" t="n">
        <v>0</v>
      </c>
      <c r="H11" s="1827" t="n">
        <v>0</v>
      </c>
      <c r="I11" s="1827" t="n">
        <v>-126017.9238180232</v>
      </c>
      <c r="J11" s="1827" t="n">
        <v>0</v>
      </c>
      <c r="K11" s="1827" t="n">
        <v>0</v>
      </c>
      <c r="L11" s="1827" t="n">
        <v>18325.04232383091</v>
      </c>
      <c r="M11" s="1827" t="n">
        <v>0</v>
      </c>
      <c r="N11" s="1827" t="n">
        <v>0</v>
      </c>
      <c r="O11" s="1828">
        <f>SUM(C11:N11)</f>
        <v/>
      </c>
      <c r="P11" s="280" t="n">
        <v>18543.04232383091</v>
      </c>
      <c r="Q11" s="1813" t="n"/>
      <c r="R11" s="281" t="n"/>
      <c r="S11" s="281" t="n"/>
      <c r="T11" s="282" t="n"/>
      <c r="U11" s="282" t="n"/>
      <c r="V11" s="282" t="n"/>
      <c r="W11" s="282" t="n"/>
      <c r="X11" s="282" t="n"/>
      <c r="Y11" s="282" t="n"/>
      <c r="Z11" s="282" t="n"/>
      <c r="AA11" s="282" t="n"/>
      <c r="AB11" s="281" t="n"/>
      <c r="AD11" s="281" t="n"/>
    </row>
    <row r="12">
      <c r="A12" s="478" t="n">
        <v>6</v>
      </c>
      <c r="B12" s="1826" t="inlineStr">
        <is>
          <t>Purchasing pigs</t>
        </is>
      </c>
      <c r="C12" s="1827" t="n">
        <v>-21112.3</v>
      </c>
      <c r="D12" s="1827" t="n">
        <v>-38492.3</v>
      </c>
      <c r="E12" s="1827" t="n">
        <v>-106872.3</v>
      </c>
      <c r="F12" s="1827" t="n">
        <v>-196.548</v>
      </c>
      <c r="G12" s="1827" t="n">
        <v>-13472.61420922121</v>
      </c>
      <c r="H12" s="1827" t="n">
        <v>-22368</v>
      </c>
      <c r="I12" s="1827" t="n">
        <v>-362368</v>
      </c>
      <c r="J12" s="1827" t="n">
        <v>-127042.3</v>
      </c>
      <c r="K12" s="1827" t="n">
        <v>-33212.3</v>
      </c>
      <c r="L12" s="1827" t="n">
        <v>-37612.3</v>
      </c>
      <c r="M12" s="1827" t="n">
        <v>-86122.30000000002</v>
      </c>
      <c r="N12" s="1827" t="n">
        <v>-21112.3</v>
      </c>
      <c r="O12" s="1828">
        <f>SUM(C12:N12)</f>
        <v/>
      </c>
      <c r="P12" s="280" t="n">
        <v>-933677.5480000003</v>
      </c>
      <c r="Q12" s="1813" t="n"/>
    </row>
    <row r="13" customFormat="1" s="289">
      <c r="A13" s="478" t="n">
        <v>3</v>
      </c>
      <c r="B13" s="1826" t="inlineStr">
        <is>
          <t>VAT</t>
        </is>
      </c>
      <c r="C13" s="1827" t="n">
        <v>0</v>
      </c>
      <c r="D13" s="1827" t="n">
        <v>1580</v>
      </c>
      <c r="E13" s="1827" t="n">
        <v>21160</v>
      </c>
      <c r="F13" s="1827" t="n">
        <v>0</v>
      </c>
      <c r="G13" s="1827" t="n">
        <v>0</v>
      </c>
      <c r="H13" s="1827" t="n">
        <v>2400</v>
      </c>
      <c r="I13" s="1827" t="n">
        <v>6787.900000000001</v>
      </c>
      <c r="J13" s="1827" t="n">
        <v>9630</v>
      </c>
      <c r="K13" s="1827" t="n">
        <v>1100</v>
      </c>
      <c r="L13" s="1827" t="n">
        <v>7257.900000000001</v>
      </c>
      <c r="M13" s="1827" t="n">
        <v>5910.000000000001</v>
      </c>
      <c r="N13" s="1827" t="n">
        <v>0</v>
      </c>
      <c r="O13" s="1828">
        <f>SUM(C13:N13)</f>
        <v/>
      </c>
      <c r="P13" s="286" t="n">
        <v>60005.80000000001</v>
      </c>
      <c r="Q13" s="1813" t="n"/>
      <c r="T13" s="290" t="n"/>
      <c r="U13" s="290" t="n"/>
      <c r="V13" s="290" t="n"/>
      <c r="W13" s="290" t="n"/>
      <c r="X13" s="290" t="n"/>
      <c r="Y13" s="290" t="n"/>
      <c r="Z13" s="290" t="n"/>
      <c r="AA13" s="290" t="n"/>
    </row>
    <row r="14">
      <c r="B14" s="1826" t="inlineStr">
        <is>
          <t>Receivables</t>
        </is>
      </c>
      <c r="C14" s="1827" t="n">
        <v>0</v>
      </c>
      <c r="D14" s="1827" t="n">
        <v>0</v>
      </c>
      <c r="E14" s="1827" t="n">
        <v>0</v>
      </c>
      <c r="F14" s="1827" t="n">
        <v>0</v>
      </c>
      <c r="G14" s="1827" t="n">
        <v>0</v>
      </c>
      <c r="H14" s="1827" t="n">
        <v>0</v>
      </c>
      <c r="I14" s="1827" t="n">
        <v>0</v>
      </c>
      <c r="J14" s="1827" t="n">
        <v>0</v>
      </c>
      <c r="K14" s="1827" t="n">
        <v>0</v>
      </c>
      <c r="L14" s="1827" t="n">
        <v>0</v>
      </c>
      <c r="M14" s="1827" t="n">
        <v>0</v>
      </c>
      <c r="N14" s="1827" t="n">
        <v>0</v>
      </c>
      <c r="O14" s="1828">
        <f>SUM(C14:N14)</f>
        <v/>
      </c>
      <c r="P14" s="280" t="n">
        <v>0</v>
      </c>
      <c r="Q14" s="1813" t="n"/>
    </row>
    <row r="15">
      <c r="A15" s="478" t="n">
        <v>3</v>
      </c>
      <c r="B15" s="1826" t="inlineStr">
        <is>
          <t>Taxes</t>
        </is>
      </c>
      <c r="C15" s="1827" t="n">
        <v>5826</v>
      </c>
      <c r="D15" s="1827" t="n">
        <v>-67</v>
      </c>
      <c r="E15" s="1827" t="n">
        <v>-278</v>
      </c>
      <c r="F15" s="1827" t="n"/>
      <c r="G15" s="1827" t="n"/>
      <c r="H15" s="1827" t="n">
        <v>-863</v>
      </c>
      <c r="I15" s="1827" t="n">
        <v>-7272</v>
      </c>
      <c r="J15" s="1827" t="n">
        <v>60</v>
      </c>
      <c r="K15" s="1827" t="n">
        <v>-871</v>
      </c>
      <c r="L15" s="1827" t="n">
        <v>105</v>
      </c>
      <c r="M15" s="1827" t="n">
        <v>-684</v>
      </c>
      <c r="N15" s="1827" t="n">
        <v>-842</v>
      </c>
      <c r="O15" s="1828">
        <f>SUM(C15:N15)</f>
        <v/>
      </c>
      <c r="P15" s="280" t="n">
        <v>-2557</v>
      </c>
      <c r="Q15" s="1813" t="n"/>
    </row>
    <row r="16" customFormat="1" s="298">
      <c r="A16" s="478" t="n"/>
      <c r="B16" s="1829" t="inlineStr">
        <is>
          <t>Net cash flows from operating activities</t>
        </is>
      </c>
      <c r="C16" s="1830">
        <f>SUM(C7:C15)</f>
        <v/>
      </c>
      <c r="D16" s="1830">
        <f>SUM(D7:D15)</f>
        <v/>
      </c>
      <c r="E16" s="1830">
        <f>SUM(E7:E15)</f>
        <v/>
      </c>
      <c r="F16" s="1830">
        <f>SUM(F7:F15)</f>
        <v/>
      </c>
      <c r="G16" s="1830">
        <f>SUM(G7:G15)</f>
        <v/>
      </c>
      <c r="H16" s="1830">
        <f>SUM(H7:H15)</f>
        <v/>
      </c>
      <c r="I16" s="1830">
        <f>SUM(I7:I15)</f>
        <v/>
      </c>
      <c r="J16" s="1830">
        <f>SUM(J7:J15)</f>
        <v/>
      </c>
      <c r="K16" s="1830">
        <f>SUM(K7:K15)</f>
        <v/>
      </c>
      <c r="L16" s="1830">
        <f>SUM(L7:L15)</f>
        <v/>
      </c>
      <c r="M16" s="1830">
        <f>SUM(M7:M15)</f>
        <v/>
      </c>
      <c r="N16" s="1830">
        <f>SUM(N7:N15)</f>
        <v/>
      </c>
      <c r="O16" s="1831">
        <f>SUM(C16:N16)</f>
        <v/>
      </c>
      <c r="P16" s="294" t="n">
        <v>1862079.681092378</v>
      </c>
      <c r="Q16" s="1813" t="n"/>
      <c r="R16" s="1832" t="n"/>
      <c r="S16" s="1832" t="n"/>
      <c r="T16" s="1833" t="n"/>
      <c r="U16" s="297" t="n"/>
      <c r="V16" s="297" t="n"/>
      <c r="W16" s="297" t="n"/>
      <c r="X16" s="297" t="n"/>
      <c r="Y16" s="297" t="n"/>
      <c r="Z16" s="297" t="n"/>
      <c r="AA16" s="297" t="n"/>
    </row>
    <row r="17">
      <c r="B17" s="1825" t="n"/>
      <c r="C17" s="1823" t="n"/>
      <c r="D17" s="1823" t="n"/>
      <c r="E17" s="1823" t="n"/>
      <c r="F17" s="1823" t="n"/>
      <c r="G17" s="1823" t="n"/>
      <c r="H17" s="1823" t="n"/>
      <c r="I17" s="1823" t="n"/>
      <c r="J17" s="1823" t="n"/>
      <c r="K17" s="1823" t="n"/>
      <c r="L17" s="1823" t="n"/>
      <c r="M17" s="1823" t="n"/>
      <c r="N17" s="1823" t="n"/>
      <c r="O17" s="1824">
        <f>SUM(C17:N17)</f>
        <v/>
      </c>
      <c r="P17" s="280" t="n">
        <v>0</v>
      </c>
      <c r="Q17" s="1813" t="n"/>
    </row>
    <row r="18">
      <c r="B18" s="1822" t="inlineStr">
        <is>
          <t>Investing activities</t>
        </is>
      </c>
      <c r="C18" s="1823" t="n"/>
      <c r="D18" s="1823" t="n"/>
      <c r="E18" s="1823" t="n"/>
      <c r="F18" s="1823" t="n"/>
      <c r="G18" s="1823" t="n"/>
      <c r="H18" s="1823" t="n"/>
      <c r="I18" s="1823" t="n"/>
      <c r="J18" s="1823" t="n"/>
      <c r="K18" s="1823" t="n"/>
      <c r="L18" s="1823" t="n"/>
      <c r="M18" s="1823" t="n"/>
      <c r="N18" s="1823" t="n"/>
      <c r="O18" s="1824">
        <f>SUM(C18:N18)</f>
        <v/>
      </c>
      <c r="P18" s="260" t="n">
        <v>0</v>
      </c>
      <c r="Q18" s="1813" t="n"/>
    </row>
    <row r="19">
      <c r="B19" s="1825" t="inlineStr">
        <is>
          <t>Investments</t>
        </is>
      </c>
      <c r="C19" s="1823" t="n">
        <v>-253231.939674171</v>
      </c>
      <c r="D19" s="1823" t="n">
        <v>-351910.559889996</v>
      </c>
      <c r="E19" s="1823" t="n">
        <v>-223823.095949993</v>
      </c>
      <c r="F19" s="1823" t="n">
        <v>-318182.603</v>
      </c>
      <c r="G19" s="1823" t="n">
        <v>-369127.41042</v>
      </c>
      <c r="H19" s="1823" t="n">
        <v>-319004.976451888</v>
      </c>
      <c r="I19" s="1823" t="n">
        <v>-588788.25</v>
      </c>
      <c r="J19" s="1823" t="n">
        <v>-865908</v>
      </c>
      <c r="K19" s="1823" t="n">
        <v>-593062</v>
      </c>
      <c r="L19" s="1823" t="n">
        <v>-684048.5</v>
      </c>
      <c r="M19" s="1823" t="n">
        <v>-681604</v>
      </c>
      <c r="N19" s="1823" t="n">
        <v>-614608</v>
      </c>
      <c r="O19" s="1824">
        <f>SUM(C19:N19)</f>
        <v/>
      </c>
      <c r="P19" s="260" t="n">
        <v>-6016394.19851416</v>
      </c>
      <c r="Q19" s="1813" t="n"/>
    </row>
    <row r="20">
      <c r="B20" s="1825" t="inlineStr">
        <is>
          <t>Construction</t>
        </is>
      </c>
      <c r="C20" s="1823" t="n"/>
      <c r="D20" s="1823" t="n"/>
      <c r="E20" s="1823" t="n"/>
      <c r="F20" s="1823" t="n"/>
      <c r="G20" s="1823" t="n"/>
      <c r="H20" s="1823" t="n"/>
      <c r="I20" s="1823" t="n"/>
      <c r="J20" s="1823" t="n"/>
      <c r="K20" s="1823" t="n"/>
      <c r="L20" s="1823" t="n"/>
      <c r="M20" s="1823" t="n"/>
      <c r="N20" s="1823" t="n"/>
      <c r="O20" s="1824">
        <f>SUM(C20:N20)</f>
        <v/>
      </c>
      <c r="P20" s="260" t="n">
        <v>0</v>
      </c>
      <c r="Q20" s="1813" t="n"/>
    </row>
    <row r="21" customFormat="1" s="298">
      <c r="A21" s="478" t="n">
        <v>4</v>
      </c>
      <c r="B21" s="1829" t="inlineStr">
        <is>
          <t>Net cash flows used in investing activities</t>
        </is>
      </c>
      <c r="C21" s="1830">
        <f>SUM(C19:C20)</f>
        <v/>
      </c>
      <c r="D21" s="1830">
        <f>SUM(D19:D20)</f>
        <v/>
      </c>
      <c r="E21" s="1830">
        <f>SUM(E19:E20)</f>
        <v/>
      </c>
      <c r="F21" s="1830">
        <f>SUM(F19:F20)</f>
        <v/>
      </c>
      <c r="G21" s="1830">
        <f>SUM(G19:G20)</f>
        <v/>
      </c>
      <c r="H21" s="1830">
        <f>SUM(H19:H20)</f>
        <v/>
      </c>
      <c r="I21" s="1830">
        <f>SUM(I19:I20)</f>
        <v/>
      </c>
      <c r="J21" s="1830">
        <f>SUM(J19:J20)</f>
        <v/>
      </c>
      <c r="K21" s="1830">
        <f>SUM(K19:K20)</f>
        <v/>
      </c>
      <c r="L21" s="1830">
        <f>SUM(L19:L20)</f>
        <v/>
      </c>
      <c r="M21" s="1830">
        <f>SUM(M19:M20)</f>
        <v/>
      </c>
      <c r="N21" s="1830">
        <f>SUM(N19:N20)</f>
        <v/>
      </c>
      <c r="O21" s="1831">
        <f>SUM(C21:N21)</f>
        <v/>
      </c>
      <c r="P21" s="260" t="n">
        <v>-6016394.19851416</v>
      </c>
      <c r="Q21" s="1813" t="n"/>
      <c r="T21" s="297" t="n"/>
      <c r="U21" s="297" t="n"/>
      <c r="V21" s="297" t="n"/>
      <c r="W21" s="297" t="n"/>
      <c r="X21" s="297" t="n"/>
      <c r="Y21" s="297" t="n"/>
      <c r="Z21" s="297" t="n"/>
      <c r="AA21" s="297" t="n"/>
    </row>
    <row r="22">
      <c r="B22" s="1825" t="n"/>
      <c r="C22" s="1823" t="n"/>
      <c r="D22" s="1823" t="n"/>
      <c r="E22" s="1823" t="n"/>
      <c r="F22" s="1823" t="n"/>
      <c r="G22" s="1823" t="n"/>
      <c r="H22" s="1823" t="n"/>
      <c r="I22" s="1823" t="n"/>
      <c r="J22" s="1823" t="n"/>
      <c r="K22" s="1823" t="n"/>
      <c r="L22" s="1823" t="n"/>
      <c r="M22" s="1823" t="n"/>
      <c r="N22" s="1823" t="n"/>
      <c r="O22" s="1824">
        <f>SUM(C22:N22)</f>
        <v/>
      </c>
      <c r="P22" s="260" t="n">
        <v>0</v>
      </c>
      <c r="Q22" s="1813" t="n"/>
    </row>
    <row r="23">
      <c r="B23" s="1822" t="inlineStr">
        <is>
          <t>Financing activities</t>
        </is>
      </c>
      <c r="C23" s="1823" t="n"/>
      <c r="D23" s="1823" t="n"/>
      <c r="E23" s="1823" t="n"/>
      <c r="F23" s="1823" t="n"/>
      <c r="G23" s="1823" t="n"/>
      <c r="H23" s="1823" t="n"/>
      <c r="I23" s="1823" t="n"/>
      <c r="J23" s="1823" t="n"/>
      <c r="K23" s="1823" t="n"/>
      <c r="L23" s="1823" t="n"/>
      <c r="M23" s="1823" t="n"/>
      <c r="N23" s="1823" t="n"/>
      <c r="O23" s="1824">
        <f>SUM(C23:N23)</f>
        <v/>
      </c>
      <c r="P23" s="260" t="n">
        <v>0</v>
      </c>
      <c r="Q23" s="1813" t="n"/>
    </row>
    <row r="24">
      <c r="A24" s="478" t="n">
        <v>2</v>
      </c>
      <c r="B24" s="1825" t="inlineStr">
        <is>
          <t>Proceeds from Bank</t>
        </is>
      </c>
      <c r="C24" s="1823" t="n">
        <v>301160</v>
      </c>
      <c r="D24" s="1823" t="n">
        <v>52395</v>
      </c>
      <c r="E24" s="1823" t="n">
        <v>48000</v>
      </c>
      <c r="F24" s="1823" t="n">
        <v>3417.9</v>
      </c>
      <c r="G24" s="1827" t="n">
        <v>34710</v>
      </c>
      <c r="H24" s="1827" t="n">
        <v>507937</v>
      </c>
      <c r="I24" s="1827" t="n">
        <v>507937</v>
      </c>
      <c r="J24" s="1827" t="n">
        <v>507937</v>
      </c>
      <c r="K24" s="1827" t="n">
        <v>5290</v>
      </c>
      <c r="L24" s="1827" t="n">
        <v>0</v>
      </c>
      <c r="M24" s="1827" t="n">
        <v>0</v>
      </c>
      <c r="N24" s="1827" t="n">
        <v>0</v>
      </c>
      <c r="O24" s="1828">
        <f>SUM(C24:N24)</f>
        <v/>
      </c>
      <c r="P24" s="299" t="n">
        <v>1968783.9</v>
      </c>
      <c r="Q24" s="1813" t="n"/>
    </row>
    <row r="25">
      <c r="A25" s="478" t="n">
        <v>8</v>
      </c>
      <c r="B25" s="1825" t="inlineStr">
        <is>
          <t>Proceeds from I/C Loan</t>
        </is>
      </c>
      <c r="C25" s="1823" t="n"/>
      <c r="D25" s="1823" t="n"/>
      <c r="E25" s="1823" t="n"/>
      <c r="F25" s="1823">
        <f>'Loan CPFI CF'!D14*1000</f>
        <v/>
      </c>
      <c r="G25" s="1827" t="n">
        <v>0</v>
      </c>
      <c r="H25" s="1827" t="n"/>
      <c r="I25" s="1827" t="n"/>
      <c r="J25" s="1827" t="n"/>
      <c r="K25" s="1827" t="n"/>
      <c r="L25" s="1827" t="n"/>
      <c r="M25" s="1827" t="n"/>
      <c r="N25" s="1827" t="n"/>
      <c r="O25" s="1828">
        <f>SUM(C25:N25)</f>
        <v/>
      </c>
      <c r="P25" s="299" t="n">
        <v>1584595.409147898</v>
      </c>
      <c r="Q25" s="1813" t="n"/>
    </row>
    <row r="26">
      <c r="A26" s="478" t="n">
        <v>2</v>
      </c>
      <c r="B26" s="1825" t="inlineStr">
        <is>
          <t>Proceeds from borrowings ST</t>
        </is>
      </c>
      <c r="C26" s="1823" t="n">
        <v>453046</v>
      </c>
      <c r="D26" s="1823" t="n">
        <v>400670</v>
      </c>
      <c r="E26" s="1823" t="n">
        <v>300000</v>
      </c>
      <c r="F26" s="1823" t="n">
        <v>400051.3880605311</v>
      </c>
      <c r="G26" s="1827" t="n">
        <v>260020.445</v>
      </c>
      <c r="H26" s="1827" t="n">
        <v>500000</v>
      </c>
      <c r="I26" s="1827" t="n">
        <v>500000</v>
      </c>
      <c r="J26" s="1827" t="n">
        <v>1000000</v>
      </c>
      <c r="K26" s="1827" t="n">
        <v>500000</v>
      </c>
      <c r="L26" s="1827" t="n">
        <v>500000</v>
      </c>
      <c r="M26" s="1827" t="n">
        <v>500000</v>
      </c>
      <c r="N26" s="1827" t="n">
        <v>741795</v>
      </c>
      <c r="O26" s="1828">
        <f>SUM(C26:N26)</f>
        <v/>
      </c>
      <c r="P26" s="299" t="n">
        <v>6381562.388060531</v>
      </c>
      <c r="Q26" s="1813" t="n"/>
    </row>
    <row r="27">
      <c r="A27" s="478" t="n">
        <v>7</v>
      </c>
      <c r="B27" s="1825" t="inlineStr">
        <is>
          <t xml:space="preserve">Repayment of LT borrowings </t>
        </is>
      </c>
      <c r="C27" s="1823" t="n">
        <v>-113175</v>
      </c>
      <c r="D27" s="1823" t="n">
        <v>-113175</v>
      </c>
      <c r="E27" s="1823" t="n">
        <v>-357823</v>
      </c>
      <c r="F27" s="1823" t="n">
        <v>-144904.48</v>
      </c>
      <c r="G27" s="1827" t="n">
        <v>-112130</v>
      </c>
      <c r="H27" s="1827" t="n">
        <v>-126795</v>
      </c>
      <c r="I27" s="1827" t="n">
        <v>-112912</v>
      </c>
      <c r="J27" s="1827" t="n">
        <v>-112912</v>
      </c>
      <c r="K27" s="1827" t="n">
        <v>-126751</v>
      </c>
      <c r="L27" s="1827" t="n">
        <v>-109374</v>
      </c>
      <c r="M27" s="1827" t="n">
        <v>-107647</v>
      </c>
      <c r="N27" s="1827" t="n">
        <v>-118886</v>
      </c>
      <c r="O27" s="1828">
        <f>SUM(C27:N27)</f>
        <v/>
      </c>
      <c r="P27" s="299" t="n">
        <v>-1657529.48</v>
      </c>
      <c r="Q27" s="1813" t="n"/>
    </row>
    <row r="28">
      <c r="A28" s="478" t="n">
        <v>7</v>
      </c>
      <c r="B28" s="1825" t="inlineStr">
        <is>
          <t xml:space="preserve">Repayment of ST borrowings </t>
        </is>
      </c>
      <c r="C28" s="1823" t="n">
        <v>-265731</v>
      </c>
      <c r="D28" s="1823" t="n">
        <v>-290365</v>
      </c>
      <c r="E28" s="1823" t="n">
        <v>-157365</v>
      </c>
      <c r="F28" s="1823" t="n">
        <v>-422412</v>
      </c>
      <c r="G28" s="1823" t="n">
        <v>-238996.16601</v>
      </c>
      <c r="H28" s="1823" t="n">
        <v>-291467</v>
      </c>
      <c r="I28" s="1823" t="n">
        <v>-252467</v>
      </c>
      <c r="J28" s="1823" t="n">
        <v>-402467</v>
      </c>
      <c r="K28" s="1823" t="n">
        <v>-172000</v>
      </c>
      <c r="L28" s="1823" t="n">
        <v>-219878</v>
      </c>
      <c r="M28" s="1823" t="n">
        <v>-80000</v>
      </c>
      <c r="N28" s="1823" t="n">
        <v>-565217</v>
      </c>
      <c r="O28" s="1824">
        <f>SUM(C28:N28)</f>
        <v/>
      </c>
      <c r="P28" s="260" t="n">
        <v>-3858365</v>
      </c>
      <c r="Q28" s="1813" t="n"/>
    </row>
    <row r="29">
      <c r="B29" s="1825" t="inlineStr">
        <is>
          <t>Proceeds from new shares</t>
        </is>
      </c>
      <c r="C29" s="1823" t="n">
        <v>0</v>
      </c>
      <c r="D29" s="1823" t="n">
        <v>0</v>
      </c>
      <c r="E29" s="1823" t="n">
        <v>0</v>
      </c>
      <c r="F29" s="1823" t="n">
        <v>0</v>
      </c>
      <c r="G29" s="1823" t="n">
        <v>0</v>
      </c>
      <c r="H29" s="1823" t="n">
        <v>0</v>
      </c>
      <c r="I29" s="1823" t="n">
        <v>0</v>
      </c>
      <c r="J29" s="1823" t="n">
        <v>0</v>
      </c>
      <c r="K29" s="1823" t="n">
        <v>0</v>
      </c>
      <c r="L29" s="1823" t="n">
        <v>0</v>
      </c>
      <c r="M29" s="1823" t="n">
        <v>0</v>
      </c>
      <c r="N29" s="1823" t="n">
        <v>0</v>
      </c>
      <c r="O29" s="1824">
        <f>SUM(C29:N29)</f>
        <v/>
      </c>
      <c r="P29" s="260" t="n">
        <v>0</v>
      </c>
      <c r="Q29" s="1813" t="n"/>
    </row>
    <row r="30">
      <c r="B30" s="1825" t="inlineStr">
        <is>
          <t>Invest to BZG 70% shares (slaughterhouse)</t>
        </is>
      </c>
      <c r="C30" s="1823" t="n">
        <v>0</v>
      </c>
      <c r="D30" s="1823" t="n">
        <v>0</v>
      </c>
      <c r="E30" s="1823" t="n">
        <v>0</v>
      </c>
      <c r="F30" s="1823" t="n">
        <v>0</v>
      </c>
      <c r="G30" s="1823" t="n">
        <v>0</v>
      </c>
      <c r="H30" s="1823" t="n">
        <v>0</v>
      </c>
      <c r="I30" s="1823" t="n">
        <v>0</v>
      </c>
      <c r="J30" s="1823" t="n">
        <v>0</v>
      </c>
      <c r="K30" s="1823" t="n">
        <v>0</v>
      </c>
      <c r="L30" s="1823" t="n">
        <v>0</v>
      </c>
      <c r="M30" s="1823" t="n">
        <v>0</v>
      </c>
      <c r="N30" s="1823" t="n">
        <v>0</v>
      </c>
      <c r="O30" s="1824">
        <f>SUM(C30:N30)</f>
        <v/>
      </c>
      <c r="P30" s="260" t="n">
        <v>0</v>
      </c>
      <c r="Q30" s="1813" t="n"/>
    </row>
    <row r="31">
      <c r="A31" s="478" t="n">
        <v>8</v>
      </c>
      <c r="B31" s="1825" t="inlineStr">
        <is>
          <t>Forex</t>
        </is>
      </c>
      <c r="C31" s="1823" t="n">
        <v>0</v>
      </c>
      <c r="D31" s="1823" t="n">
        <v>0</v>
      </c>
      <c r="E31" s="1823" t="n">
        <v>0</v>
      </c>
      <c r="F31" s="1823" t="n"/>
      <c r="G31" s="1823" t="n">
        <v>0</v>
      </c>
      <c r="H31" s="1823" t="n">
        <v>0</v>
      </c>
      <c r="I31" s="1823" t="n">
        <v>0</v>
      </c>
      <c r="J31" s="1823" t="n">
        <v>0</v>
      </c>
      <c r="K31" s="1823" t="n">
        <v>0</v>
      </c>
      <c r="L31" s="1823" t="n">
        <v>0</v>
      </c>
      <c r="M31" s="1823" t="n">
        <v>0</v>
      </c>
      <c r="N31" s="1823" t="n">
        <v>0</v>
      </c>
      <c r="O31" s="1824">
        <f>SUM(C31:N31)</f>
        <v/>
      </c>
      <c r="P31" s="260" t="n">
        <v>0</v>
      </c>
      <c r="Q31" s="1813" t="n"/>
    </row>
    <row r="32">
      <c r="A32" s="478" t="n">
        <v>7</v>
      </c>
      <c r="B32" s="1825" t="inlineStr">
        <is>
          <t>Interest paid</t>
        </is>
      </c>
      <c r="C32" s="1823">
        <f>-80291-C33</f>
        <v/>
      </c>
      <c r="D32" s="1823">
        <f>-77366-D33</f>
        <v/>
      </c>
      <c r="E32" s="1823">
        <f>-98257-E33</f>
        <v/>
      </c>
      <c r="F32" s="1823" t="n">
        <v>-101186.375</v>
      </c>
      <c r="G32" s="1823" t="n">
        <v>-100016.79965</v>
      </c>
      <c r="H32" s="1823" t="n">
        <v>-120684.1205217734</v>
      </c>
      <c r="I32" s="1823" t="n">
        <v>-89737.45205479451</v>
      </c>
      <c r="J32" s="1823" t="n">
        <v>-84737.45205479451</v>
      </c>
      <c r="K32" s="1823" t="n">
        <v>-80415.53424657535</v>
      </c>
      <c r="L32" s="1823" t="n">
        <v>-79737.45205479451</v>
      </c>
      <c r="M32" s="1823" t="n">
        <v>-80415.53424657535</v>
      </c>
      <c r="N32" s="1823" t="n">
        <v>-59730.60273972603</v>
      </c>
      <c r="O32" s="1824">
        <f>SUM(C32:N32)</f>
        <v/>
      </c>
      <c r="P32" s="260" t="n">
        <v>-808430.5176684863</v>
      </c>
      <c r="Q32" s="1813" t="n"/>
    </row>
    <row r="33" customFormat="1" s="256">
      <c r="A33" s="483" t="n">
        <v>9</v>
      </c>
      <c r="B33" s="1798" t="inlineStr">
        <is>
          <t>Interest paid - S&amp;W,Stesha, CPFI</t>
        </is>
      </c>
      <c r="C33" s="1762">
        <f>-C47</f>
        <v/>
      </c>
      <c r="D33" s="1762">
        <f>-D47</f>
        <v/>
      </c>
      <c r="E33" s="1762">
        <f>-E47</f>
        <v/>
      </c>
      <c r="F33" s="1762" t="n">
        <v>-21260.27398</v>
      </c>
      <c r="G33" s="1762">
        <f>-G47-G49</f>
        <v/>
      </c>
      <c r="H33" s="1762">
        <f>-H47-H49</f>
        <v/>
      </c>
      <c r="I33" s="1762">
        <f>-I47-I49</f>
        <v/>
      </c>
      <c r="J33" s="1762">
        <f>-J47-J49</f>
        <v/>
      </c>
      <c r="K33" s="1762">
        <f>-K47-K49</f>
        <v/>
      </c>
      <c r="L33" s="1762">
        <f>-L47-L49</f>
        <v/>
      </c>
      <c r="M33" s="1762">
        <f>-M47-M49</f>
        <v/>
      </c>
      <c r="N33" s="1762">
        <f>-N47-N49</f>
        <v/>
      </c>
      <c r="O33" s="1824">
        <f>SUM(C33:N33)</f>
        <v/>
      </c>
      <c r="P33" s="1777" t="n">
        <v>-523223.6545783323</v>
      </c>
      <c r="Q33" s="1813" t="n"/>
      <c r="R33" s="1786" t="n"/>
      <c r="S33" s="253" t="n"/>
      <c r="T33" s="1762" t="n"/>
      <c r="U33" s="1762" t="n"/>
      <c r="V33" s="1762" t="n"/>
      <c r="W33" s="253" t="n"/>
    </row>
    <row r="34">
      <c r="A34" s="478" t="n">
        <v>3</v>
      </c>
      <c r="B34" s="1825" t="inlineStr">
        <is>
          <t>Proceeds from subsidies</t>
        </is>
      </c>
      <c r="C34" s="1823" t="n">
        <v>4271</v>
      </c>
      <c r="D34" s="1823" t="n">
        <v>2285</v>
      </c>
      <c r="E34" s="1823" t="n">
        <v>3033</v>
      </c>
      <c r="F34" s="1823" t="n">
        <v>3372.986</v>
      </c>
      <c r="G34" s="1823" t="n">
        <v>11716.84411</v>
      </c>
      <c r="H34" s="1823" t="n">
        <v>144361</v>
      </c>
      <c r="I34" s="1823" t="n">
        <v>5026</v>
      </c>
      <c r="J34" s="1823" t="n">
        <v>7910</v>
      </c>
      <c r="K34" s="1823" t="n">
        <v>9652</v>
      </c>
      <c r="L34" s="1823" t="n">
        <v>6486</v>
      </c>
      <c r="M34" s="1823" t="n">
        <v>5405</v>
      </c>
      <c r="N34" s="1823" t="n">
        <v>6314</v>
      </c>
      <c r="O34" s="1824">
        <f>SUM(C34:N34)</f>
        <v/>
      </c>
      <c r="P34" s="260" t="n">
        <v>202348.986</v>
      </c>
      <c r="Q34" s="1813" t="n"/>
    </row>
    <row r="35">
      <c r="B35" s="1825" t="inlineStr">
        <is>
          <t>Dividend tax (PPP and NNPP)</t>
        </is>
      </c>
      <c r="C35" s="1823" t="n">
        <v>0</v>
      </c>
      <c r="D35" s="1823" t="n">
        <v>0</v>
      </c>
      <c r="E35" s="1823" t="n">
        <v>0</v>
      </c>
      <c r="F35" s="1823" t="n">
        <v>0</v>
      </c>
      <c r="G35" s="1823" t="n">
        <v>0</v>
      </c>
      <c r="H35" s="1823" t="n">
        <v>0</v>
      </c>
      <c r="I35" s="1823" t="n">
        <v>0</v>
      </c>
      <c r="J35" s="1823" t="n">
        <v>0</v>
      </c>
      <c r="K35" s="1823" t="n">
        <v>0</v>
      </c>
      <c r="L35" s="1823" t="n">
        <v>0</v>
      </c>
      <c r="M35" s="1823" t="n">
        <v>0</v>
      </c>
      <c r="N35" s="1823" t="n">
        <v>0</v>
      </c>
      <c r="O35" s="1824">
        <f>SUM(C35:N35)</f>
        <v/>
      </c>
      <c r="P35" s="260" t="n">
        <v>0</v>
      </c>
      <c r="Q35" s="1813" t="n"/>
    </row>
    <row r="36">
      <c r="B36" s="1825" t="inlineStr">
        <is>
          <t>Dividend</t>
        </is>
      </c>
      <c r="C36" s="1823" t="n">
        <v>0</v>
      </c>
      <c r="D36" s="1823" t="n">
        <v>0</v>
      </c>
      <c r="E36" s="1823" t="n">
        <v>0</v>
      </c>
      <c r="F36" s="1823" t="n">
        <v>0</v>
      </c>
      <c r="G36" s="1823" t="n">
        <v>0</v>
      </c>
      <c r="H36" s="1823" t="n">
        <v>0</v>
      </c>
      <c r="I36" s="1823" t="n">
        <v>0</v>
      </c>
      <c r="J36" s="1823" t="n">
        <v>0</v>
      </c>
      <c r="K36" s="1823" t="n">
        <v>0</v>
      </c>
      <c r="L36" s="1823" t="n">
        <v>0</v>
      </c>
      <c r="M36" s="1823" t="n">
        <v>0</v>
      </c>
      <c r="N36" s="1823" t="n">
        <v>0</v>
      </c>
      <c r="O36" s="1824">
        <f>SUM(C36:N36)</f>
        <v/>
      </c>
      <c r="P36" s="260" t="n">
        <v>0</v>
      </c>
      <c r="Q36" s="1813" t="n"/>
    </row>
    <row r="37" customFormat="1" s="298">
      <c r="A37" s="478" t="n"/>
      <c r="B37" s="1829" t="inlineStr">
        <is>
          <t>Net cash flows from financing activities</t>
        </is>
      </c>
      <c r="C37" s="1830">
        <f>SUM(C24:C36)</f>
        <v/>
      </c>
      <c r="D37" s="1830">
        <f>SUM(D24:D36)</f>
        <v/>
      </c>
      <c r="E37" s="1830">
        <f>SUM(E24:E36)</f>
        <v/>
      </c>
      <c r="F37" s="1830">
        <f>SUM(F24:F36)</f>
        <v/>
      </c>
      <c r="G37" s="1830">
        <f>SUM(G24:G36)</f>
        <v/>
      </c>
      <c r="H37" s="1830">
        <f>SUM(H24:H36)</f>
        <v/>
      </c>
      <c r="I37" s="1830">
        <f>SUM(I24:I36)</f>
        <v/>
      </c>
      <c r="J37" s="1830">
        <f>SUM(J24:J36)</f>
        <v/>
      </c>
      <c r="K37" s="1830">
        <f>SUM(K24:K36)</f>
        <v/>
      </c>
      <c r="L37" s="1830">
        <f>SUM(L24:L36)</f>
        <v/>
      </c>
      <c r="M37" s="1830">
        <f>SUM(M24:M36)</f>
        <v/>
      </c>
      <c r="N37" s="1830">
        <f>SUM(N24:N36)</f>
        <v/>
      </c>
      <c r="O37" s="1831">
        <f>SUM(C37:N37)</f>
        <v/>
      </c>
      <c r="P37" s="300" t="n">
        <v>3289742.03096161</v>
      </c>
      <c r="Q37" s="1813" t="n"/>
      <c r="T37" s="297" t="n"/>
      <c r="U37" s="297" t="n"/>
      <c r="V37" s="297" t="n"/>
      <c r="W37" s="297" t="n"/>
      <c r="X37" s="297" t="n"/>
      <c r="Y37" s="297" t="n"/>
      <c r="Z37" s="297" t="n"/>
      <c r="AA37" s="297" t="n"/>
    </row>
    <row r="38">
      <c r="B38" s="1825" t="n"/>
      <c r="C38" s="1823" t="n"/>
      <c r="D38" s="1823" t="n"/>
      <c r="E38" s="1823" t="n"/>
      <c r="F38" s="1823" t="n"/>
      <c r="G38" s="1823" t="n"/>
      <c r="H38" s="1823" t="n"/>
      <c r="I38" s="1823" t="n"/>
      <c r="J38" s="1823" t="n"/>
      <c r="K38" s="1823" t="n"/>
      <c r="L38" s="1823" t="n"/>
      <c r="M38" s="1823" t="n"/>
      <c r="N38" s="1823" t="n"/>
      <c r="O38" s="1824">
        <f>SUM(C38:N38)</f>
        <v/>
      </c>
      <c r="P38" s="260" t="n">
        <v>0</v>
      </c>
      <c r="Q38" s="1813" t="n"/>
    </row>
    <row r="39" customFormat="1" s="298">
      <c r="A39" s="478" t="n"/>
      <c r="B39" s="1829" t="inlineStr">
        <is>
          <t>Net change in cash</t>
        </is>
      </c>
      <c r="C39" s="1830">
        <f>C16+C21+C37</f>
        <v/>
      </c>
      <c r="D39" s="1830">
        <f>D16+D21+D37</f>
        <v/>
      </c>
      <c r="E39" s="1830">
        <f>E16+E21+E37</f>
        <v/>
      </c>
      <c r="F39" s="1830">
        <f>F16+F21+F37</f>
        <v/>
      </c>
      <c r="G39" s="1830">
        <f>G16+G21+G37</f>
        <v/>
      </c>
      <c r="H39" s="1830">
        <f>H16+H21+H37</f>
        <v/>
      </c>
      <c r="I39" s="1830">
        <f>I16+I21+I37</f>
        <v/>
      </c>
      <c r="J39" s="1830">
        <f>J16+J21+J37</f>
        <v/>
      </c>
      <c r="K39" s="1830">
        <f>K16+K21+K37</f>
        <v/>
      </c>
      <c r="L39" s="1830">
        <f>L16+L21+L37</f>
        <v/>
      </c>
      <c r="M39" s="1830">
        <f>M16+M21+M37</f>
        <v/>
      </c>
      <c r="N39" s="1830">
        <f>N16+N21+N37</f>
        <v/>
      </c>
      <c r="O39" s="1831">
        <f>SUM(C39:N39)</f>
        <v/>
      </c>
      <c r="P39" s="294" t="n">
        <v>-864572.4864601714</v>
      </c>
      <c r="Q39" s="1813" t="n"/>
      <c r="T39" s="297" t="n"/>
      <c r="U39" s="297" t="n"/>
      <c r="V39" s="297" t="n"/>
      <c r="W39" s="297" t="n"/>
      <c r="X39" s="297" t="n"/>
      <c r="Y39" s="297" t="n"/>
      <c r="Z39" s="297" t="n"/>
      <c r="AA39" s="297" t="n"/>
    </row>
    <row r="40">
      <c r="B40" s="1825" t="n"/>
      <c r="C40" s="1823" t="n"/>
      <c r="D40" s="1823" t="n"/>
      <c r="E40" s="1823" t="n"/>
      <c r="F40" s="1823" t="n"/>
      <c r="G40" s="1823" t="n"/>
      <c r="H40" s="1823" t="n"/>
      <c r="I40" s="1823" t="n"/>
      <c r="J40" s="1823" t="n"/>
      <c r="K40" s="1823" t="n"/>
      <c r="L40" s="1823" t="n"/>
      <c r="M40" s="1823" t="n"/>
      <c r="N40" s="1823" t="n"/>
      <c r="O40" s="1824" t="n"/>
      <c r="Q40" s="1813" t="n"/>
    </row>
    <row r="41">
      <c r="B41" s="1825" t="inlineStr">
        <is>
          <t>Cash at the beginning</t>
        </is>
      </c>
      <c r="C41" s="1823" t="n">
        <v>485048.0897823167</v>
      </c>
      <c r="D41" s="1823">
        <f>C42</f>
        <v/>
      </c>
      <c r="E41" s="1823">
        <f>D42</f>
        <v/>
      </c>
      <c r="F41" s="1823">
        <f>E42</f>
        <v/>
      </c>
      <c r="G41" s="1823">
        <f>F42</f>
        <v/>
      </c>
      <c r="H41" s="1823">
        <f>G42</f>
        <v/>
      </c>
      <c r="I41" s="1823">
        <f>H42</f>
        <v/>
      </c>
      <c r="J41" s="1823">
        <f>I42</f>
        <v/>
      </c>
      <c r="K41" s="1823">
        <f>J42</f>
        <v/>
      </c>
      <c r="L41" s="1823">
        <f>K42</f>
        <v/>
      </c>
      <c r="M41" s="1823">
        <f>L42</f>
        <v/>
      </c>
      <c r="N41" s="1823">
        <f>M42</f>
        <v/>
      </c>
      <c r="O41" s="1824" t="n"/>
      <c r="P41" s="257" t="n"/>
      <c r="Q41" s="1813" t="n"/>
    </row>
    <row r="42" ht="15" customFormat="1" customHeight="1" s="305" thickBot="1">
      <c r="A42" s="478" t="n"/>
      <c r="B42" s="1834" t="inlineStr">
        <is>
          <t>Cash at the end</t>
        </is>
      </c>
      <c r="C42" s="1835">
        <f>C39+C41</f>
        <v/>
      </c>
      <c r="D42" s="1835">
        <f>D41+D39</f>
        <v/>
      </c>
      <c r="E42" s="1835">
        <f>E41+E39</f>
        <v/>
      </c>
      <c r="F42" s="1835">
        <f>F41+F39</f>
        <v/>
      </c>
      <c r="G42" s="1835">
        <f>G41+G39</f>
        <v/>
      </c>
      <c r="H42" s="1835">
        <f>H41+H39</f>
        <v/>
      </c>
      <c r="I42" s="1835">
        <f>I41+I39</f>
        <v/>
      </c>
      <c r="J42" s="1835">
        <f>J41+J39</f>
        <v/>
      </c>
      <c r="K42" s="1835">
        <f>K41+K39</f>
        <v/>
      </c>
      <c r="L42" s="1835">
        <f>L41+L39</f>
        <v/>
      </c>
      <c r="M42" s="1835">
        <f>M41+M39</f>
        <v/>
      </c>
      <c r="N42" s="1835">
        <f>N41+N39</f>
        <v/>
      </c>
      <c r="O42" s="1836" t="n"/>
      <c r="P42" s="304" t="n">
        <v>-379524</v>
      </c>
      <c r="Q42" s="1813" t="n"/>
      <c r="T42" s="306" t="n"/>
      <c r="U42" s="306" t="n"/>
      <c r="V42" s="306" t="n"/>
      <c r="W42" s="306" t="n"/>
      <c r="X42" s="306" t="n"/>
      <c r="Y42" s="306" t="n"/>
      <c r="Z42" s="306" t="n"/>
      <c r="AA42" s="306" t="n"/>
    </row>
    <row r="43">
      <c r="B43" s="1837" t="n"/>
      <c r="C43" s="1838" t="n">
        <v>-230670.0432033795</v>
      </c>
      <c r="D43" s="1838" t="n">
        <v>-228685.7766232512</v>
      </c>
      <c r="E43" s="1838" t="n">
        <v>-400925.3237578605</v>
      </c>
      <c r="F43" s="1838" t="n">
        <v>107627.910245988</v>
      </c>
      <c r="G43" s="1838" t="n">
        <v>349913.1350231367</v>
      </c>
      <c r="H43" s="1838" t="n">
        <v>435378.661047369</v>
      </c>
      <c r="I43" s="1838" t="n">
        <v>-7028.812916523202</v>
      </c>
      <c r="J43" s="1838" t="n">
        <v>-762562.7176313216</v>
      </c>
      <c r="K43" s="1838" t="n">
        <v>-588396.1612317342</v>
      </c>
      <c r="L43" s="1838" t="n">
        <v>-238486.7969826882</v>
      </c>
      <c r="M43" s="1838" t="n">
        <v>198186.975492759</v>
      </c>
      <c r="N43" s="1838" t="n">
        <v>839191.849952411</v>
      </c>
      <c r="O43" s="1839" t="n"/>
      <c r="P43" s="310" t="n"/>
      <c r="Q43" s="311" t="n"/>
      <c r="T43" s="1840" t="n"/>
    </row>
    <row r="45">
      <c r="C45" s="1811" t="n">
        <v>985048.0897823167</v>
      </c>
    </row>
    <row r="46">
      <c r="B46" s="397" t="n"/>
    </row>
    <row r="47">
      <c r="B47" s="1841" t="n">
        <v>2730000</v>
      </c>
      <c r="C47" s="1811">
        <f>+($B$47*$B$48)*C4/365</f>
        <v/>
      </c>
      <c r="D47" s="1811">
        <f>+($B$47*$B$48)*D4/365</f>
        <v/>
      </c>
      <c r="E47" s="1811">
        <f>+($B$47*$B$48)*E4/365</f>
        <v/>
      </c>
      <c r="F47" s="1811">
        <f>+($B$47*$B$48)*F4/365</f>
        <v/>
      </c>
      <c r="G47" s="1811">
        <f>+($B$47*$B$48)*G4/365</f>
        <v/>
      </c>
      <c r="H47" s="1811">
        <f>+($B$47*$B$48)*H4/365</f>
        <v/>
      </c>
      <c r="I47" s="1811">
        <f>+($B$47*$B$48)*I4/365</f>
        <v/>
      </c>
      <c r="J47" s="1811">
        <f>+($B$47*$B$48)*J4/365</f>
        <v/>
      </c>
      <c r="K47" s="1811">
        <f>+($B$47*$B$48)*K4/365</f>
        <v/>
      </c>
      <c r="L47" s="1811">
        <f>+($B$47*$B$48)*L4/365</f>
        <v/>
      </c>
      <c r="M47" s="1811">
        <f>+($B$47*$B$48)*M4/365</f>
        <v/>
      </c>
      <c r="N47" s="1811">
        <f>+($B$47*$B$48)*N4/365</f>
        <v/>
      </c>
    </row>
    <row r="48">
      <c r="B48" s="399" t="n">
        <v>0.09</v>
      </c>
    </row>
    <row r="49">
      <c r="B49" s="1812">
        <f>F25</f>
        <v/>
      </c>
      <c r="F49" s="1811">
        <f>($B$49*$B$50)*(30-13)/365</f>
        <v/>
      </c>
      <c r="G49" s="1811">
        <f>($B$49*$B$50)*G4/365</f>
        <v/>
      </c>
      <c r="H49" s="1811">
        <f>($B$49*$B$50)*H4/365</f>
        <v/>
      </c>
      <c r="I49" s="1811">
        <f>($B$49*$B$50)*I4/365</f>
        <v/>
      </c>
      <c r="J49" s="1811">
        <f>($B$49*$B$50)*J4/365</f>
        <v/>
      </c>
      <c r="K49" s="1811">
        <f>($B$49*$B$50)*K4/365</f>
        <v/>
      </c>
      <c r="L49" s="1811">
        <f>($B$49*$B$50)*L4/365</f>
        <v/>
      </c>
      <c r="M49" s="1811">
        <f>($B$49*$B$50)*M4/365</f>
        <v/>
      </c>
      <c r="N49" s="1811">
        <f>($B$49*$B$50)*N4/365</f>
        <v/>
      </c>
    </row>
    <row r="50" customFormat="1" s="1811">
      <c r="A50" s="478" t="n"/>
      <c r="B50" s="400" t="n">
        <v>0.0585066</v>
      </c>
      <c r="P50" s="260" t="n"/>
      <c r="Q50" s="265" t="n"/>
      <c r="R50" s="262" t="n"/>
      <c r="S50" s="262" t="n"/>
      <c r="T50" s="263" t="n"/>
      <c r="U50" s="263" t="n"/>
      <c r="V50" s="263" t="n"/>
      <c r="W50" s="263" t="n"/>
      <c r="X50" s="263" t="n"/>
      <c r="Y50" s="263" t="n"/>
      <c r="Z50" s="263" t="n"/>
      <c r="AA50" s="263" t="n"/>
      <c r="AB50" s="262" t="n"/>
      <c r="AC50" s="262" t="n"/>
      <c r="AD50" s="262" t="n"/>
    </row>
  </sheetData>
  <pageMargins left="0.2362204724409449" right="0.2362204724409449" top="0.5905511811023623" bottom="0" header="0.3149606299212598" footer="0.3149606299212598"/>
  <pageSetup orientation="landscape" paperSize="9" scale="60"/>
</worksheet>
</file>

<file path=xl/worksheets/sheet28.xml><?xml version="1.0" encoding="utf-8"?>
<worksheet xmlns="http://schemas.openxmlformats.org/spreadsheetml/2006/main">
  <sheetPr>
    <tabColor theme="8" tint="0.7999816888943144"/>
    <outlinePr summaryBelow="1" summaryRight="1"/>
    <pageSetUpPr fitToPage="1"/>
  </sheetPr>
  <dimension ref="A1:V235"/>
  <sheetViews>
    <sheetView zoomScale="70" zoomScaleNormal="70" workbookViewId="0">
      <pane xSplit="2" ySplit="5" topLeftCell="C6" activePane="bottomRight" state="frozen"/>
      <selection activeCell="A1" sqref="A1:XFD1048576"/>
      <selection pane="topRight" activeCell="A1" sqref="A1:XFD1048576"/>
      <selection pane="bottomLeft" activeCell="A1" sqref="A1:XFD1048576"/>
      <selection pane="bottomRight" activeCell="A1" sqref="A1:XFD1048576"/>
    </sheetView>
  </sheetViews>
  <sheetFormatPr baseColWidth="8" defaultColWidth="7.21875" defaultRowHeight="14.4"/>
  <cols>
    <col width="5.21875" customWidth="1" style="265" min="1" max="1"/>
    <col width="32.21875" customWidth="1" style="319" min="2" max="2"/>
    <col width="13.21875" bestFit="1" customWidth="1" style="358" min="3" max="14"/>
    <col width="12.21875" customWidth="1" style="358" min="15" max="15"/>
    <col hidden="1" width="14.21875" customWidth="1" style="319" min="16" max="16"/>
    <col width="7.21875" customWidth="1" style="319" min="17" max="16384"/>
  </cols>
  <sheetData>
    <row r="1" ht="18" customFormat="1" customHeight="1" s="262">
      <c r="A1" s="477" t="n"/>
      <c r="B1" s="258" t="inlineStr">
        <is>
          <t>CONSOLIDATED Budget 2022 APK DON</t>
        </is>
      </c>
      <c r="C1" s="1812" t="n"/>
      <c r="D1" s="1812" t="n"/>
      <c r="E1" s="1812" t="n"/>
      <c r="F1" s="1812" t="n"/>
      <c r="G1" s="1812" t="n"/>
      <c r="H1" s="1812" t="n"/>
      <c r="I1" s="1812" t="n"/>
      <c r="J1" s="1812" t="n"/>
      <c r="K1" s="1812" t="n"/>
      <c r="L1" s="1812" t="n"/>
      <c r="M1" s="1812" t="n"/>
      <c r="N1" s="1812" t="n"/>
      <c r="O1" s="1812" t="n"/>
      <c r="P1" s="260" t="n"/>
      <c r="Q1" s="263" t="n"/>
      <c r="R1" s="263" t="n"/>
      <c r="S1" s="263" t="n"/>
      <c r="T1" s="263" t="n"/>
      <c r="U1" s="263" t="n"/>
      <c r="V1" s="263" t="n"/>
    </row>
    <row r="2" customFormat="1" s="262">
      <c r="A2" s="477" t="n"/>
      <c r="B2" s="1814" t="inlineStr">
        <is>
          <t>Currency: TRUB</t>
        </is>
      </c>
      <c r="C2" s="1812" t="n"/>
      <c r="D2" s="1812" t="n">
        <v>0</v>
      </c>
      <c r="E2" s="1812" t="n"/>
      <c r="F2" s="1812" t="n"/>
      <c r="G2" s="1812" t="n"/>
      <c r="H2" s="1812" t="n"/>
      <c r="I2" s="1812" t="n"/>
      <c r="J2" s="1812" t="n"/>
      <c r="K2" s="1812" t="n"/>
      <c r="L2" s="1812" t="n"/>
      <c r="M2" s="1812" t="n"/>
      <c r="N2" s="1812" t="n"/>
      <c r="O2" s="1812" t="n"/>
      <c r="P2" s="260" t="n"/>
      <c r="Q2" s="263" t="n"/>
      <c r="R2" s="263" t="n"/>
      <c r="S2" s="263" t="n"/>
      <c r="T2" s="263" t="n"/>
      <c r="U2" s="263" t="n"/>
      <c r="V2" s="263" t="n"/>
    </row>
    <row r="3" customFormat="1" s="269">
      <c r="A3" s="477" t="n"/>
      <c r="B3" s="1815" t="n"/>
      <c r="C3" s="1816" t="n"/>
      <c r="D3" s="1816" t="n"/>
      <c r="E3" s="1816" t="n"/>
      <c r="F3" s="1816" t="n"/>
      <c r="G3" s="1816" t="n"/>
      <c r="H3" s="1816" t="n"/>
      <c r="I3" s="1816" t="n"/>
      <c r="J3" s="1816" t="n"/>
      <c r="K3" s="1816" t="n"/>
      <c r="L3" s="1816" t="n"/>
      <c r="M3" s="1816" t="n"/>
      <c r="N3" s="1816" t="n"/>
      <c r="O3" s="1816" t="n"/>
      <c r="P3" s="268" t="n"/>
      <c r="Q3" s="270" t="n"/>
      <c r="R3" s="270" t="n"/>
      <c r="S3" s="270" t="n"/>
      <c r="T3" s="270" t="n"/>
      <c r="U3" s="270" t="n"/>
      <c r="V3" s="270" t="n"/>
    </row>
    <row r="4" ht="16.2" customFormat="1" customHeight="1" s="262" thickBot="1">
      <c r="A4" s="477" t="n"/>
      <c r="B4" s="1817" t="n"/>
      <c r="C4" s="1812" t="n"/>
      <c r="D4" s="1812" t="n"/>
      <c r="E4" s="1812" t="n"/>
      <c r="F4" s="1812" t="n"/>
      <c r="G4" s="1812" t="n"/>
      <c r="H4" s="1812" t="n"/>
      <c r="I4" s="1812" t="n"/>
      <c r="J4" s="1812" t="n"/>
      <c r="K4" s="1812" t="n"/>
      <c r="L4" s="1812" t="n"/>
      <c r="M4" s="1812" t="n"/>
      <c r="N4" s="1812" t="n"/>
      <c r="O4" s="1818" t="inlineStr">
        <is>
          <t>1.000 RUB</t>
        </is>
      </c>
      <c r="P4" s="260" t="n"/>
      <c r="Q4" s="263" t="n"/>
      <c r="R4" s="263" t="n"/>
      <c r="S4" s="263" t="n"/>
      <c r="T4" s="263" t="n"/>
      <c r="U4" s="263" t="n"/>
      <c r="V4" s="263" t="n"/>
    </row>
    <row r="5">
      <c r="A5" s="478" t="n"/>
      <c r="B5" s="1842" t="inlineStr">
        <is>
          <t>CASH FLOWS</t>
        </is>
      </c>
      <c r="C5" s="1843" t="inlineStr">
        <is>
          <t>Jan</t>
        </is>
      </c>
      <c r="D5" s="1844" t="inlineStr">
        <is>
          <t>Feb</t>
        </is>
      </c>
      <c r="E5" s="1844" t="inlineStr">
        <is>
          <t>Mar</t>
        </is>
      </c>
      <c r="F5" s="1844" t="inlineStr">
        <is>
          <t>Apr</t>
        </is>
      </c>
      <c r="G5" s="1844" t="inlineStr">
        <is>
          <t xml:space="preserve">May </t>
        </is>
      </c>
      <c r="H5" s="1844" t="inlineStr">
        <is>
          <t>Jun</t>
        </is>
      </c>
      <c r="I5" s="1844" t="inlineStr">
        <is>
          <t>Jul</t>
        </is>
      </c>
      <c r="J5" s="1844" t="inlineStr">
        <is>
          <t>Aug</t>
        </is>
      </c>
      <c r="K5" s="1844" t="inlineStr">
        <is>
          <t>Sep</t>
        </is>
      </c>
      <c r="L5" s="1844" t="inlineStr">
        <is>
          <t>Oct</t>
        </is>
      </c>
      <c r="M5" s="1844" t="inlineStr">
        <is>
          <t>Nov</t>
        </is>
      </c>
      <c r="N5" s="1844" t="inlineStr">
        <is>
          <t>Dec</t>
        </is>
      </c>
      <c r="O5" s="1845" t="inlineStr">
        <is>
          <t>Total</t>
        </is>
      </c>
      <c r="P5" s="1846" t="n"/>
    </row>
    <row r="6">
      <c r="A6" s="478" t="n"/>
      <c r="B6" s="1829" t="n"/>
      <c r="C6" s="1847" t="n"/>
      <c r="D6" s="1847" t="n"/>
      <c r="E6" s="1847" t="n"/>
      <c r="F6" s="1847" t="n"/>
      <c r="G6" s="1847" t="n"/>
      <c r="H6" s="1847" t="n"/>
      <c r="I6" s="1847" t="n"/>
      <c r="J6" s="1847" t="n"/>
      <c r="K6" s="1847" t="n"/>
      <c r="L6" s="1847" t="n"/>
      <c r="M6" s="1847" t="n"/>
      <c r="N6" s="1847" t="n"/>
      <c r="O6" s="1848" t="n"/>
      <c r="P6" s="1846" t="n"/>
    </row>
    <row r="7">
      <c r="A7" s="478" t="n"/>
      <c r="B7" s="1829" t="inlineStr">
        <is>
          <t>Operating activities</t>
        </is>
      </c>
      <c r="C7" s="1847" t="n"/>
      <c r="D7" s="1847" t="n"/>
      <c r="E7" s="1847" t="n"/>
      <c r="F7" s="1847" t="n"/>
      <c r="G7" s="1847" t="n"/>
      <c r="H7" s="1847" t="n"/>
      <c r="I7" s="1847" t="n"/>
      <c r="J7" s="1847" t="n"/>
      <c r="K7" s="1847" t="n"/>
      <c r="L7" s="1847" t="n"/>
      <c r="M7" s="1847" t="n"/>
      <c r="N7" s="1847" t="n"/>
      <c r="O7" s="1848" t="n"/>
      <c r="P7" s="1846" t="n"/>
    </row>
    <row r="8">
      <c r="A8" s="478" t="n">
        <v>1</v>
      </c>
      <c r="B8" s="1849" t="inlineStr">
        <is>
          <t>Sales pig production</t>
        </is>
      </c>
      <c r="C8" s="1847" t="n">
        <v>992316.4597499996</v>
      </c>
      <c r="D8" s="1847" t="n">
        <v>1119540.80975</v>
      </c>
      <c r="E8" s="1847" t="n">
        <v>1205615.57325</v>
      </c>
      <c r="F8" s="1847" t="n">
        <v>1233036.092</v>
      </c>
      <c r="G8" s="1847" t="n">
        <v>916486</v>
      </c>
      <c r="H8" s="1847" t="n">
        <v>955068</v>
      </c>
      <c r="I8" s="1847" t="n">
        <v>1017542</v>
      </c>
      <c r="J8" s="1847" t="n">
        <v>1094838</v>
      </c>
      <c r="K8" s="1847" t="n">
        <v>1962404</v>
      </c>
      <c r="L8" s="1847" t="n">
        <v>1738369</v>
      </c>
      <c r="M8" s="1847" t="n">
        <v>1285096</v>
      </c>
      <c r="N8" s="1847" t="n">
        <v>1088572</v>
      </c>
      <c r="O8" s="1848">
        <f>SUM(C8:N8)</f>
        <v/>
      </c>
      <c r="P8" s="1846" t="n">
        <v>14934370.93475</v>
      </c>
    </row>
    <row r="9">
      <c r="A9" s="478" t="n">
        <v>1</v>
      </c>
      <c r="B9" s="1849" t="inlineStr">
        <is>
          <t>Sales crop production</t>
        </is>
      </c>
      <c r="C9" s="1847" t="n"/>
      <c r="D9" s="1847" t="n"/>
      <c r="E9" s="1847" t="n"/>
      <c r="F9" s="1847" t="n">
        <v>-2680.01085</v>
      </c>
      <c r="G9" s="1847" t="n">
        <v>9</v>
      </c>
      <c r="H9" s="1847" t="n"/>
      <c r="I9" s="1847" t="n"/>
      <c r="J9" s="1847" t="n"/>
      <c r="K9" s="1847" t="n"/>
      <c r="L9" s="1847" t="n"/>
      <c r="M9" s="1847" t="n"/>
      <c r="N9" s="1847" t="n"/>
      <c r="O9" s="1848">
        <f>SUM(C9:N9)</f>
        <v/>
      </c>
      <c r="P9" s="1846" t="n">
        <v>-2680.01085</v>
      </c>
    </row>
    <row r="10">
      <c r="A10" s="478" t="n">
        <v>1</v>
      </c>
      <c r="B10" s="1849" t="inlineStr">
        <is>
          <t>Sales others</t>
        </is>
      </c>
      <c r="C10" s="1847" t="n"/>
      <c r="D10" s="1847" t="n"/>
      <c r="E10" s="1847" t="n"/>
      <c r="F10" s="1847" t="n">
        <v>2626.08814</v>
      </c>
      <c r="G10" s="1847" t="n">
        <v>40307</v>
      </c>
      <c r="H10" s="1847" t="n"/>
      <c r="I10" s="1847" t="n"/>
      <c r="J10" s="1847" t="n"/>
      <c r="K10" s="1847" t="n"/>
      <c r="L10" s="1847" t="n"/>
      <c r="M10" s="1847" t="n"/>
      <c r="N10" s="1847" t="n"/>
      <c r="O10" s="1848" t="n"/>
      <c r="P10" s="1846" t="n"/>
    </row>
    <row r="11">
      <c r="A11" s="478" t="n">
        <v>1</v>
      </c>
      <c r="B11" s="1849" t="inlineStr">
        <is>
          <t>Subsidies</t>
        </is>
      </c>
      <c r="C11" s="1847" t="n">
        <v>0</v>
      </c>
      <c r="D11" s="1847" t="n">
        <v>0</v>
      </c>
      <c r="E11" s="1847" t="n">
        <v>0</v>
      </c>
      <c r="F11" s="1847" t="n">
        <v>6875.95179</v>
      </c>
      <c r="G11" s="1847" t="n">
        <v>3732</v>
      </c>
      <c r="H11" s="1847" t="n"/>
      <c r="I11" s="1847" t="n"/>
      <c r="J11" s="1847" t="n"/>
      <c r="K11" s="1847" t="n"/>
      <c r="L11" s="1847" t="n"/>
      <c r="M11" s="1847" t="n"/>
      <c r="N11" s="1847" t="n">
        <v>6038</v>
      </c>
      <c r="O11" s="1848">
        <f>SUM(C11:N11)</f>
        <v/>
      </c>
      <c r="P11" s="1846" t="n">
        <v>12913.95179</v>
      </c>
    </row>
    <row r="12">
      <c r="A12" s="478" t="n">
        <v>3</v>
      </c>
      <c r="B12" s="1849" t="inlineStr">
        <is>
          <t>Production payables</t>
        </is>
      </c>
      <c r="C12" s="1847" t="n">
        <v>-587282.6666666666</v>
      </c>
      <c r="D12" s="1847" t="n">
        <v>-757192.6666666666</v>
      </c>
      <c r="E12" s="1847" t="n">
        <v>-927102.6666666666</v>
      </c>
      <c r="F12" s="1847" t="n">
        <v>-916760.48603</v>
      </c>
      <c r="G12" s="1847" t="n">
        <v>-750346</v>
      </c>
      <c r="H12" s="1847" t="n">
        <v>-764642.007430002</v>
      </c>
      <c r="I12" s="1847" t="n">
        <v>-765710</v>
      </c>
      <c r="J12" s="1847" t="n">
        <v>-794932</v>
      </c>
      <c r="K12" s="1847" t="n">
        <v>-729851</v>
      </c>
      <c r="L12" s="1847" t="n">
        <v>-796928</v>
      </c>
      <c r="M12" s="1847" t="n">
        <v>-765758</v>
      </c>
      <c r="N12" s="1847" t="n">
        <v>-752181</v>
      </c>
      <c r="O12" s="1848">
        <f>SUM(C12:N12)</f>
        <v/>
      </c>
      <c r="P12" s="1846" t="n">
        <v>-9226845.486030001</v>
      </c>
    </row>
    <row r="13">
      <c r="A13" s="478" t="n"/>
      <c r="B13" s="1849" t="inlineStr">
        <is>
          <t>Intercompany payables</t>
        </is>
      </c>
      <c r="C13" s="1847" t="n">
        <v>0</v>
      </c>
      <c r="D13" s="1847" t="n">
        <v>0</v>
      </c>
      <c r="E13" s="1847" t="n">
        <v>0</v>
      </c>
      <c r="F13" s="1847" t="n">
        <v>0</v>
      </c>
      <c r="G13" s="1847" t="n"/>
      <c r="H13" s="1847" t="n"/>
      <c r="I13" s="1847" t="n"/>
      <c r="J13" s="1847" t="n"/>
      <c r="K13" s="1847" t="n"/>
      <c r="L13" s="1847" t="n"/>
      <c r="M13" s="1847" t="n"/>
      <c r="N13" s="1847" t="n"/>
      <c r="O13" s="1848">
        <f>SUM(C13:N13)</f>
        <v/>
      </c>
      <c r="P13" s="1846" t="n">
        <v>0</v>
      </c>
    </row>
    <row r="14">
      <c r="A14" s="478" t="n">
        <v>5</v>
      </c>
      <c r="B14" s="1849" t="inlineStr">
        <is>
          <t>Grain purchase</t>
        </is>
      </c>
      <c r="C14" s="1847" t="n">
        <v>-33466</v>
      </c>
      <c r="D14" s="1847" t="n">
        <v>-18903.3</v>
      </c>
      <c r="E14" s="1847" t="n">
        <v>-241080.3</v>
      </c>
      <c r="F14" s="1847" t="n">
        <v>0</v>
      </c>
      <c r="G14" s="1847" t="n">
        <v>0</v>
      </c>
      <c r="H14" s="1847" t="n"/>
      <c r="I14" s="1847" t="n"/>
      <c r="J14" s="1847" t="n">
        <v>-309375</v>
      </c>
      <c r="K14" s="1847" t="n">
        <v>-247500</v>
      </c>
      <c r="L14" s="1847" t="n">
        <v>1650</v>
      </c>
      <c r="M14" s="1847" t="n">
        <v>-135850</v>
      </c>
      <c r="N14" s="1847" t="n">
        <v>-424600</v>
      </c>
      <c r="O14" s="1848">
        <f>SUM(C14:N14)</f>
        <v/>
      </c>
      <c r="P14" s="1846" t="n">
        <v>-1409124.6</v>
      </c>
    </row>
    <row r="15">
      <c r="A15" s="478" t="n">
        <v>3</v>
      </c>
      <c r="B15" s="1849" t="inlineStr">
        <is>
          <t>VAT</t>
        </is>
      </c>
      <c r="C15" s="1827" t="n">
        <v>0</v>
      </c>
      <c r="D15" s="1823" t="n"/>
      <c r="E15" s="1823" t="n"/>
      <c r="F15" s="1827" t="n"/>
      <c r="G15" s="1823" t="n"/>
      <c r="H15" s="1823" t="n">
        <v>2652</v>
      </c>
      <c r="I15" s="1827" t="n"/>
      <c r="J15" s="1823" t="n"/>
      <c r="K15" s="1823" t="n"/>
      <c r="L15" s="1827" t="n">
        <v>2583</v>
      </c>
      <c r="M15" s="1823" t="n"/>
      <c r="N15" s="1823" t="n"/>
      <c r="O15" s="1848">
        <f>SUM(C15:N15)</f>
        <v/>
      </c>
      <c r="P15" s="1846" t="n">
        <v>5235</v>
      </c>
    </row>
    <row r="16">
      <c r="A16" s="478" t="n">
        <v>6</v>
      </c>
      <c r="B16" s="1849" t="inlineStr">
        <is>
          <t>Purchasing Pigs</t>
        </is>
      </c>
      <c r="C16" s="1850" t="n">
        <v>0</v>
      </c>
      <c r="D16" s="1850" t="n">
        <v>-43450</v>
      </c>
      <c r="E16" s="1850" t="n">
        <v>0</v>
      </c>
      <c r="F16" s="1850" t="n">
        <v>-6284.872219999999</v>
      </c>
      <c r="G16" s="1850" t="n">
        <v>-9769</v>
      </c>
      <c r="H16" s="1850" t="n"/>
      <c r="I16" s="1850" t="n">
        <v>-19899</v>
      </c>
      <c r="J16" s="1850" t="n">
        <v>-5498</v>
      </c>
      <c r="K16" s="1850" t="n">
        <v>-3019</v>
      </c>
      <c r="L16" s="1850" t="n">
        <v>-23672</v>
      </c>
      <c r="M16" s="1850" t="n">
        <v>-2480</v>
      </c>
      <c r="N16" s="1850" t="n"/>
      <c r="O16" s="1848">
        <f>SUM(C16:N16)</f>
        <v/>
      </c>
      <c r="P16" s="1846" t="n">
        <v>-127187.87222</v>
      </c>
    </row>
    <row r="17">
      <c r="A17" s="478" t="n">
        <v>3</v>
      </c>
      <c r="B17" s="1849" t="inlineStr">
        <is>
          <t>VAT</t>
        </is>
      </c>
      <c r="C17" s="1850" t="n">
        <v>0</v>
      </c>
      <c r="D17" s="1850" t="n">
        <v>3950</v>
      </c>
      <c r="E17" s="1850" t="n">
        <v>0</v>
      </c>
      <c r="F17" s="1850" t="n">
        <v>20119.52357</v>
      </c>
      <c r="G17" s="1850" t="n">
        <v>-4490</v>
      </c>
      <c r="H17" s="1850" t="n">
        <v>-7270</v>
      </c>
      <c r="I17" s="1850" t="n">
        <v>-7618</v>
      </c>
      <c r="J17" s="1850" t="n">
        <v>-4966</v>
      </c>
      <c r="K17" s="1850" t="n">
        <v>-4966</v>
      </c>
      <c r="L17" s="1850" t="n">
        <v>-9552</v>
      </c>
      <c r="M17" s="1850" t="n">
        <v>-21969</v>
      </c>
      <c r="N17" s="1850" t="n">
        <v>-21969</v>
      </c>
      <c r="O17" s="1848">
        <f>SUM(C17:N17)</f>
        <v/>
      </c>
      <c r="P17" s="319" t="n">
        <v>-68079.47643</v>
      </c>
    </row>
    <row r="18">
      <c r="A18" s="478" t="n">
        <v>3</v>
      </c>
      <c r="B18" s="1849" t="inlineStr">
        <is>
          <t>Profit tax</t>
        </is>
      </c>
      <c r="C18" s="1850" t="n"/>
      <c r="D18" s="1850" t="n"/>
      <c r="E18" s="1850" t="n"/>
      <c r="F18" s="1850" t="n">
        <v>-94534.001</v>
      </c>
      <c r="G18" s="1850" t="n"/>
      <c r="H18" s="1850" t="n">
        <v>-1478</v>
      </c>
      <c r="I18" s="1850" t="n">
        <v>-1541</v>
      </c>
      <c r="J18" s="1850" t="n">
        <v>-2488</v>
      </c>
      <c r="K18" s="1850" t="n">
        <v>-2488</v>
      </c>
      <c r="L18" s="1850" t="n">
        <v>-11625</v>
      </c>
      <c r="M18" s="1850" t="n">
        <v>-2054</v>
      </c>
      <c r="N18" s="1850" t="n">
        <v>-2251</v>
      </c>
      <c r="O18" s="1848">
        <f>SUM(C18:N18)</f>
        <v/>
      </c>
      <c r="P18" s="319" t="n">
        <v>-119937.001</v>
      </c>
    </row>
    <row r="19" customFormat="1" s="329">
      <c r="A19" s="478" t="n"/>
      <c r="B19" s="1829" t="inlineStr">
        <is>
          <t>Net cash flows from operating activities</t>
        </is>
      </c>
      <c r="C19" s="1851">
        <f>SUM(C8:C18)</f>
        <v/>
      </c>
      <c r="D19" s="1851">
        <f>SUM(D8:D18)</f>
        <v/>
      </c>
      <c r="E19" s="1851">
        <f>SUM(E8:E18)</f>
        <v/>
      </c>
      <c r="F19" s="1851">
        <f>SUM(F8:F18)</f>
        <v/>
      </c>
      <c r="G19" s="1851">
        <f>SUM(G8:G18)</f>
        <v/>
      </c>
      <c r="H19" s="1851">
        <f>SUM(H8:H18)</f>
        <v/>
      </c>
      <c r="I19" s="1851">
        <f>SUM(I8:I18)</f>
        <v/>
      </c>
      <c r="J19" s="1851">
        <f>SUM(J8:J18)</f>
        <v/>
      </c>
      <c r="K19" s="1851">
        <f>SUM(K8:K18)</f>
        <v/>
      </c>
      <c r="L19" s="1851">
        <f>SUM(L8:L18)</f>
        <v/>
      </c>
      <c r="M19" s="1851">
        <f>SUM(M8:M18)</f>
        <v/>
      </c>
      <c r="N19" s="1851">
        <f>SUM(N8:N18)</f>
        <v/>
      </c>
      <c r="O19" s="1852">
        <f>SUM(C19:N19)</f>
        <v/>
      </c>
      <c r="P19" s="1853" t="n">
        <v>4001291.52815</v>
      </c>
    </row>
    <row r="20">
      <c r="A20" s="478" t="n"/>
      <c r="B20" s="1854" t="n"/>
      <c r="C20" s="1855" t="n"/>
      <c r="D20" s="1855" t="n"/>
      <c r="E20" s="1855" t="n"/>
      <c r="F20" s="1855" t="n"/>
      <c r="G20" s="1855" t="n"/>
      <c r="H20" s="1855" t="n"/>
      <c r="I20" s="1855" t="n"/>
      <c r="J20" s="1855" t="n"/>
      <c r="K20" s="1855" t="n"/>
      <c r="L20" s="1855" t="n"/>
      <c r="M20" s="1855" t="n"/>
      <c r="N20" s="1855" t="n"/>
      <c r="O20" s="1848">
        <f>SUM(C20:N20)</f>
        <v/>
      </c>
      <c r="P20" s="1846" t="n">
        <v>0</v>
      </c>
    </row>
    <row r="21">
      <c r="A21" s="478" t="n"/>
      <c r="B21" s="1829" t="inlineStr">
        <is>
          <t>Investing activities</t>
        </is>
      </c>
      <c r="C21" s="1855" t="n"/>
      <c r="D21" s="1855" t="n"/>
      <c r="E21" s="1855" t="n"/>
      <c r="F21" s="1855" t="n"/>
      <c r="G21" s="1855" t="n"/>
      <c r="H21" s="1855" t="n"/>
      <c r="I21" s="1855" t="n"/>
      <c r="J21" s="1855" t="n"/>
      <c r="K21" s="1855" t="n"/>
      <c r="L21" s="1855" t="n"/>
      <c r="M21" s="1855" t="n"/>
      <c r="N21" s="1855" t="n"/>
      <c r="O21" s="1848">
        <f>SUM(C21:N21)</f>
        <v/>
      </c>
      <c r="P21" s="1846" t="n">
        <v>0</v>
      </c>
    </row>
    <row r="22">
      <c r="A22" s="408" t="n"/>
      <c r="B22" s="1829" t="inlineStr">
        <is>
          <t>Sales</t>
        </is>
      </c>
      <c r="C22" s="1855" t="n"/>
      <c r="D22" s="1855" t="n"/>
      <c r="E22" s="1855" t="n"/>
      <c r="F22" s="1855" t="n">
        <v>755</v>
      </c>
      <c r="G22" s="1855" t="n">
        <v>550</v>
      </c>
      <c r="H22" s="1855" t="n">
        <v>2750</v>
      </c>
      <c r="I22" s="1855" t="n">
        <v>2200</v>
      </c>
      <c r="J22" s="1855" t="n">
        <v>6350</v>
      </c>
      <c r="K22" s="1855" t="n">
        <v>2150</v>
      </c>
      <c r="L22" s="1855" t="n">
        <v>600</v>
      </c>
      <c r="M22" s="1855" t="n"/>
      <c r="N22" s="1855" t="n"/>
      <c r="O22" s="1848">
        <f>SUM(C22:N22)</f>
        <v/>
      </c>
      <c r="P22" s="1846" t="n">
        <v>22000</v>
      </c>
    </row>
    <row r="23">
      <c r="A23" s="478" t="n"/>
      <c r="B23" s="1849" t="inlineStr">
        <is>
          <t>Investments</t>
        </is>
      </c>
      <c r="C23" s="1855" t="n">
        <v>-94591</v>
      </c>
      <c r="D23" s="1855" t="n">
        <v>0</v>
      </c>
      <c r="E23" s="1855" t="n">
        <v>0</v>
      </c>
      <c r="F23" s="1855" t="n">
        <v>-54429.92831</v>
      </c>
      <c r="G23" s="1855" t="n">
        <v>-323016</v>
      </c>
      <c r="H23" s="1855" t="n">
        <v>-866628</v>
      </c>
      <c r="I23" s="1855" t="n">
        <v>-70267</v>
      </c>
      <c r="J23" s="1855" t="n">
        <v>-81463</v>
      </c>
      <c r="K23" s="1855" t="n">
        <v>-52972</v>
      </c>
      <c r="L23" s="1855" t="n">
        <v>-46610</v>
      </c>
      <c r="M23" s="1855" t="n">
        <v>-27737</v>
      </c>
      <c r="N23" s="1855" t="n">
        <v>-26296</v>
      </c>
      <c r="O23" s="1848">
        <f>SUM(C23:N23)</f>
        <v/>
      </c>
      <c r="P23" s="1846" t="n">
        <v>-1853920.92831</v>
      </c>
    </row>
    <row r="24">
      <c r="A24" s="478" t="n"/>
      <c r="B24" s="1854" t="inlineStr">
        <is>
          <t>VAT</t>
        </is>
      </c>
      <c r="C24" s="1856" t="n">
        <v>0</v>
      </c>
      <c r="D24" s="1857" t="n"/>
      <c r="E24" s="1857" t="n"/>
      <c r="F24" s="1858" t="n"/>
      <c r="G24" s="1857" t="n"/>
      <c r="H24" s="1857" t="n">
        <v>19038</v>
      </c>
      <c r="I24" s="1858" t="n">
        <v>0</v>
      </c>
      <c r="J24" s="1857" t="n"/>
      <c r="K24" s="1857" t="n">
        <v>54818</v>
      </c>
      <c r="L24" s="1858" t="n">
        <v>0</v>
      </c>
      <c r="M24" s="1857" t="n"/>
      <c r="N24" s="1857" t="n">
        <v>33207</v>
      </c>
      <c r="O24" s="1848">
        <f>SUM(C24:N24)</f>
        <v/>
      </c>
      <c r="P24" s="1846" t="n">
        <v>107063</v>
      </c>
    </row>
    <row r="25">
      <c r="A25" s="478" t="n">
        <v>4</v>
      </c>
      <c r="B25" s="1829" t="inlineStr">
        <is>
          <t>Net cash flows used in investing activities</t>
        </is>
      </c>
      <c r="C25" s="1851" t="n">
        <v>-94591</v>
      </c>
      <c r="D25" s="1851">
        <f>SUM(D22:D24)</f>
        <v/>
      </c>
      <c r="E25" s="1851">
        <f>SUM(E22:E24)</f>
        <v/>
      </c>
      <c r="F25" s="1851">
        <f>SUM(F22:F24)</f>
        <v/>
      </c>
      <c r="G25" s="1851">
        <f>SUM(G22:G24)</f>
        <v/>
      </c>
      <c r="H25" s="1851">
        <f>SUM(H22:H24)</f>
        <v/>
      </c>
      <c r="I25" s="1851">
        <f>SUM(I22:I24)</f>
        <v/>
      </c>
      <c r="J25" s="1851">
        <f>SUM(J22:J24)</f>
        <v/>
      </c>
      <c r="K25" s="1851">
        <f>SUM(K22:K24)</f>
        <v/>
      </c>
      <c r="L25" s="1851">
        <f>SUM(L22:L24)</f>
        <v/>
      </c>
      <c r="M25" s="1851">
        <f>SUM(M22:M24)</f>
        <v/>
      </c>
      <c r="N25" s="1851">
        <f>SUM(N22:N24)</f>
        <v/>
      </c>
      <c r="O25" s="1859">
        <f>SUM(C25:N25)</f>
        <v/>
      </c>
      <c r="P25" s="1846" t="n">
        <v>-1724857.92831</v>
      </c>
    </row>
    <row r="26">
      <c r="A26" s="478" t="n"/>
      <c r="B26" s="1860" t="n"/>
      <c r="C26" s="1855" t="n"/>
      <c r="D26" s="1855" t="n"/>
      <c r="E26" s="1855" t="n"/>
      <c r="F26" s="1855" t="n"/>
      <c r="G26" s="1855" t="n"/>
      <c r="H26" s="1855" t="n"/>
      <c r="I26" s="1855" t="n"/>
      <c r="J26" s="1855" t="n"/>
      <c r="K26" s="1855" t="n"/>
      <c r="L26" s="1855" t="n"/>
      <c r="M26" s="1855" t="n"/>
      <c r="N26" s="1855" t="n"/>
      <c r="O26" s="1848">
        <f>SUM(C26:N26)</f>
        <v/>
      </c>
      <c r="P26" s="1846" t="n">
        <v>0</v>
      </c>
    </row>
    <row r="27" customFormat="1" s="329">
      <c r="A27" s="478" t="n"/>
      <c r="B27" s="1829" t="inlineStr">
        <is>
          <t>Financing activities</t>
        </is>
      </c>
      <c r="C27" s="1851" t="n"/>
      <c r="D27" s="1851" t="n"/>
      <c r="E27" s="1851" t="n"/>
      <c r="F27" s="1851" t="n"/>
      <c r="G27" s="1851" t="n"/>
      <c r="H27" s="1851" t="n"/>
      <c r="I27" s="1851" t="n"/>
      <c r="J27" s="1851" t="n"/>
      <c r="K27" s="1851" t="n"/>
      <c r="L27" s="1851" t="n"/>
      <c r="M27" s="1851" t="n"/>
      <c r="N27" s="1851" t="n"/>
      <c r="O27" s="1848">
        <f>SUM(C27:N27)</f>
        <v/>
      </c>
      <c r="P27" s="1861" t="n">
        <v>0</v>
      </c>
    </row>
    <row r="28">
      <c r="A28" s="478" t="n">
        <v>2</v>
      </c>
      <c r="B28" s="1854" t="inlineStr">
        <is>
          <t>Proceeds from LT borrowings</t>
        </is>
      </c>
      <c r="C28" s="1862" t="n"/>
      <c r="D28" s="1862" t="n"/>
      <c r="E28" s="1862" t="n"/>
      <c r="F28" s="1862" t="n"/>
      <c r="G28" s="1862" t="n">
        <v>300000</v>
      </c>
      <c r="H28" s="1862" t="n"/>
      <c r="I28" s="1862" t="n"/>
      <c r="J28" s="1862" t="n"/>
      <c r="K28" s="1862" t="n"/>
      <c r="L28" s="1862" t="n"/>
      <c r="M28" s="1862" t="n"/>
      <c r="N28" s="1862" t="n"/>
      <c r="O28" s="1848">
        <f>SUM(C28:N28)</f>
        <v/>
      </c>
      <c r="P28" s="1846" t="n">
        <v>0</v>
      </c>
    </row>
    <row r="29" ht="28.8" customHeight="1">
      <c r="A29" s="478" t="n">
        <v>2</v>
      </c>
      <c r="B29" s="1854" t="inlineStr">
        <is>
          <t>Proceeds from borrowings, short term</t>
        </is>
      </c>
      <c r="C29" s="1862" t="n">
        <v>267666.3333333333</v>
      </c>
      <c r="D29" s="1862" t="n">
        <v>308333.3333333333</v>
      </c>
      <c r="E29" s="1862" t="n">
        <v>349000.3333333333</v>
      </c>
      <c r="F29" s="1862">
        <f>1347026.55670658-437000</f>
        <v/>
      </c>
      <c r="G29" s="1862" t="n">
        <v>445032</v>
      </c>
      <c r="H29" s="1862" t="n">
        <v>208417</v>
      </c>
      <c r="I29" s="1862" t="n">
        <v>262388</v>
      </c>
      <c r="J29" s="1862" t="n">
        <v>300000</v>
      </c>
      <c r="K29" s="1862" t="n">
        <v>300000</v>
      </c>
      <c r="L29" s="1862" t="n">
        <v>200000</v>
      </c>
      <c r="M29" s="1862" t="n">
        <v>200000</v>
      </c>
      <c r="N29" s="1862" t="n">
        <v>200000</v>
      </c>
      <c r="O29" s="1848">
        <f>SUM(C29:N29)</f>
        <v/>
      </c>
      <c r="P29" s="1846" t="n">
        <v>2801736.55670658</v>
      </c>
    </row>
    <row r="30" ht="28.8" customHeight="1">
      <c r="A30" s="478" t="n"/>
      <c r="B30" s="1854" t="inlineStr">
        <is>
          <t>Proceeds from borrowings, Group RBPI</t>
        </is>
      </c>
      <c r="C30" s="1847" t="n">
        <v>0</v>
      </c>
      <c r="D30" s="1847" t="n">
        <v>0</v>
      </c>
      <c r="E30" s="1847" t="n">
        <v>0</v>
      </c>
      <c r="F30" s="1847" t="n">
        <v>0</v>
      </c>
      <c r="G30" s="1847" t="n"/>
      <c r="H30" s="1847" t="n"/>
      <c r="I30" s="1847" t="n"/>
      <c r="J30" s="1847" t="n"/>
      <c r="K30" s="1847" t="n"/>
      <c r="L30" s="1847" t="n"/>
      <c r="M30" s="1847" t="n"/>
      <c r="N30" s="1847" t="n"/>
      <c r="O30" s="1848">
        <f>SUM(C30:N30)</f>
        <v/>
      </c>
      <c r="P30" s="1846" t="n">
        <v>0</v>
      </c>
    </row>
    <row r="31">
      <c r="A31" s="478" t="n">
        <v>7</v>
      </c>
      <c r="B31" s="1854" t="inlineStr">
        <is>
          <t>Repayment of LT borrowings</t>
        </is>
      </c>
      <c r="C31" s="1863" t="n">
        <v>-83633</v>
      </c>
      <c r="D31" s="1863" t="n">
        <v>-63633</v>
      </c>
      <c r="E31" s="1863" t="n">
        <v>-63633</v>
      </c>
      <c r="F31" s="1863" t="n">
        <v>-65916.66</v>
      </c>
      <c r="G31" s="1863" t="n">
        <v>-62917</v>
      </c>
      <c r="H31" s="1863" t="n">
        <v>-1146873</v>
      </c>
      <c r="I31" s="1863" t="n">
        <v>-15000</v>
      </c>
      <c r="J31" s="1863" t="n">
        <v>-15000</v>
      </c>
      <c r="K31" s="1863" t="n">
        <v>-1130000</v>
      </c>
      <c r="L31" s="1863" t="n">
        <v>-15000</v>
      </c>
      <c r="M31" s="1863" t="n">
        <v>-15000</v>
      </c>
      <c r="N31" s="1863" t="n">
        <v>-2245000</v>
      </c>
      <c r="O31" s="1848">
        <f>SUM(C31:N31)</f>
        <v/>
      </c>
      <c r="P31" s="1846" t="n">
        <v>-4921605.66</v>
      </c>
    </row>
    <row r="32">
      <c r="A32" s="478" t="n">
        <v>2</v>
      </c>
      <c r="B32" s="1849" t="inlineStr">
        <is>
          <t>Repayment of ST borrowings</t>
        </is>
      </c>
      <c r="C32" s="1863" t="n">
        <v>0</v>
      </c>
      <c r="D32" s="1862" t="n">
        <v>-100000</v>
      </c>
      <c r="E32" s="1862" t="n">
        <v>0</v>
      </c>
      <c r="F32" s="1862" t="n">
        <v>0</v>
      </c>
      <c r="G32" s="1862" t="n"/>
      <c r="H32" s="1862" t="n"/>
      <c r="I32" s="1862" t="n"/>
      <c r="J32" s="1862" t="n"/>
      <c r="K32" s="1862" t="n"/>
      <c r="L32" s="1862" t="n"/>
      <c r="M32" s="1862" t="n"/>
      <c r="N32" s="1862" t="n"/>
      <c r="O32" s="1848">
        <f>SUM(C32:N32)</f>
        <v/>
      </c>
      <c r="P32" s="1846" t="n">
        <v>1200000</v>
      </c>
    </row>
    <row r="33">
      <c r="A33" s="478" t="n"/>
      <c r="B33" s="1849" t="inlineStr">
        <is>
          <t>Repayment of borrowings, Group MC/PPP</t>
        </is>
      </c>
      <c r="C33" s="1864" t="n"/>
      <c r="D33" s="1864" t="n"/>
      <c r="E33" s="1864" t="n"/>
      <c r="F33" s="1864" t="n"/>
      <c r="G33" s="1864" t="n"/>
      <c r="H33" s="1864" t="n"/>
      <c r="I33" s="1864" t="n"/>
      <c r="J33" s="1864" t="n"/>
      <c r="K33" s="1864" t="n"/>
      <c r="L33" s="1864" t="n"/>
      <c r="M33" s="1864" t="n"/>
      <c r="N33" s="1864" t="n"/>
      <c r="O33" s="1848">
        <f>SUM(C33:N33)</f>
        <v/>
      </c>
      <c r="P33" s="1846" t="n">
        <v>0</v>
      </c>
    </row>
    <row r="34">
      <c r="A34" s="478" t="n">
        <v>7</v>
      </c>
      <c r="B34" s="1849" t="inlineStr">
        <is>
          <t>Interest paid</t>
        </is>
      </c>
      <c r="C34" s="1864" t="n">
        <v>-95368.34279012901</v>
      </c>
      <c r="D34" s="1864" t="n">
        <v>-107287.3209571575</v>
      </c>
      <c r="E34" s="1864" t="n">
        <v>-127196.4393292911</v>
      </c>
      <c r="F34" s="1864" t="n">
        <v>-220161</v>
      </c>
      <c r="G34" s="1864" t="n">
        <v>-213306</v>
      </c>
      <c r="H34" s="1864" t="n">
        <v>-233367</v>
      </c>
      <c r="I34" s="1864" t="n">
        <v>-211849</v>
      </c>
      <c r="J34" s="1864" t="n">
        <v>-218447</v>
      </c>
      <c r="K34" s="1864" t="n">
        <v>-227573</v>
      </c>
      <c r="L34" s="1864" t="n">
        <v>-203255</v>
      </c>
      <c r="M34" s="1864" t="n">
        <v>-207890</v>
      </c>
      <c r="N34" s="1864" t="n">
        <v>-267950</v>
      </c>
      <c r="O34" s="1848">
        <f>SUM(C34:N34)</f>
        <v/>
      </c>
      <c r="P34" s="1846" t="n">
        <v>-2283046.103076578</v>
      </c>
    </row>
    <row r="35">
      <c r="A35" s="478" t="n">
        <v>7</v>
      </c>
      <c r="B35" s="1825" t="inlineStr">
        <is>
          <t>Proceeds from subsidies</t>
        </is>
      </c>
      <c r="C35" s="1850" t="n">
        <v>0</v>
      </c>
      <c r="D35" s="1850" t="n">
        <v>0</v>
      </c>
      <c r="E35" s="1850" t="n">
        <v>0</v>
      </c>
      <c r="F35" s="1850" t="n">
        <v>3982.57845</v>
      </c>
      <c r="G35" s="1850" t="n">
        <v>1292</v>
      </c>
      <c r="H35" s="1850" t="n">
        <v>1550</v>
      </c>
      <c r="I35" s="1850" t="n">
        <v>1422</v>
      </c>
      <c r="J35" s="1850" t="n">
        <v>1389</v>
      </c>
      <c r="K35" s="1850" t="n">
        <v>1309</v>
      </c>
      <c r="L35" s="1850" t="n">
        <v>1189</v>
      </c>
      <c r="M35" s="1850" t="n">
        <v>1148</v>
      </c>
      <c r="N35" s="1850" t="n">
        <v>1033</v>
      </c>
      <c r="O35" s="1848">
        <f>SUM(C35:N35)</f>
        <v/>
      </c>
      <c r="P35" s="1846" t="n">
        <v>17603.57845</v>
      </c>
    </row>
    <row r="36">
      <c r="A36" s="478" t="n"/>
      <c r="B36" s="1825" t="inlineStr">
        <is>
          <t>Interest and royalty paid, Group</t>
        </is>
      </c>
      <c r="C36" s="1864" t="n">
        <v>0</v>
      </c>
      <c r="D36" s="1864" t="n">
        <v>0</v>
      </c>
      <c r="E36" s="1864" t="n">
        <v>0</v>
      </c>
      <c r="F36" s="1864" t="n">
        <v>0</v>
      </c>
      <c r="G36" s="1864" t="n">
        <v>0</v>
      </c>
      <c r="H36" s="1864" t="n">
        <v>0</v>
      </c>
      <c r="I36" s="1864" t="n">
        <v>0</v>
      </c>
      <c r="J36" s="1864" t="n">
        <v>0</v>
      </c>
      <c r="K36" s="1864" t="n">
        <v>0</v>
      </c>
      <c r="L36" s="1864" t="n">
        <v>0</v>
      </c>
      <c r="M36" s="1864" t="n">
        <v>0</v>
      </c>
      <c r="N36" s="1864" t="n">
        <v>0</v>
      </c>
      <c r="O36" s="1848">
        <f>SUM(C36:N36)</f>
        <v/>
      </c>
      <c r="P36" s="1846" t="n">
        <v>0</v>
      </c>
    </row>
    <row r="37" customFormat="1" s="262">
      <c r="A37" s="479" t="n"/>
      <c r="B37" s="1825" t="inlineStr">
        <is>
          <t>Dividend paid to RBPI</t>
        </is>
      </c>
      <c r="C37" s="1823" t="n"/>
      <c r="D37" s="1823" t="n"/>
      <c r="E37" s="1823" t="n"/>
      <c r="F37" s="1823" t="n"/>
      <c r="G37" s="1823" t="n"/>
      <c r="H37" s="1865" t="n">
        <v>0</v>
      </c>
      <c r="I37" s="1823" t="n"/>
      <c r="J37" s="1865" t="n"/>
      <c r="K37" s="1823" t="n"/>
      <c r="L37" s="1823" t="n"/>
      <c r="M37" s="1823" t="n"/>
      <c r="N37" s="1823" t="n"/>
      <c r="O37" s="1824">
        <f>SUM(C37:N37)</f>
        <v/>
      </c>
      <c r="P37" s="1812" t="n">
        <v>0</v>
      </c>
    </row>
    <row r="38" customFormat="1" s="262">
      <c r="A38" s="479" t="n"/>
      <c r="B38" s="1825" t="inlineStr">
        <is>
          <t>Dividend paid to PPP</t>
        </is>
      </c>
      <c r="C38" s="1823" t="n"/>
      <c r="D38" s="1823" t="n"/>
      <c r="E38" s="1823" t="n"/>
      <c r="F38" s="1823" t="n"/>
      <c r="G38" s="1823" t="n"/>
      <c r="H38" s="1865" t="n">
        <v>0</v>
      </c>
      <c r="I38" s="1823" t="n"/>
      <c r="J38" s="1865" t="n"/>
      <c r="K38" s="1823" t="n"/>
      <c r="L38" s="1823" t="n"/>
      <c r="M38" s="1823" t="n"/>
      <c r="N38" s="1823" t="n"/>
      <c r="O38" s="1824">
        <f>SUM(C38:N38)</f>
        <v/>
      </c>
      <c r="P38" s="1812" t="n">
        <v>0</v>
      </c>
    </row>
    <row r="39" customFormat="1" s="262">
      <c r="A39" s="479" t="n"/>
      <c r="B39" s="1825" t="inlineStr">
        <is>
          <t>Dividend tax</t>
        </is>
      </c>
      <c r="C39" s="1823" t="n"/>
      <c r="D39" s="1823" t="n"/>
      <c r="E39" s="1823" t="n"/>
      <c r="F39" s="1823" t="n"/>
      <c r="G39" s="1823" t="n"/>
      <c r="H39" s="1865" t="n">
        <v>0</v>
      </c>
      <c r="I39" s="1823" t="n"/>
      <c r="J39" s="1865" t="n"/>
      <c r="K39" s="1823" t="n"/>
      <c r="L39" s="1823" t="n"/>
      <c r="M39" s="1823" t="n"/>
      <c r="N39" s="1823" t="n"/>
      <c r="O39" s="1824">
        <f>SUM(C39:N39)</f>
        <v/>
      </c>
      <c r="P39" s="1812" t="n">
        <v>0</v>
      </c>
    </row>
    <row r="40" customFormat="1" s="262">
      <c r="A40" s="479" t="n">
        <v>7</v>
      </c>
      <c r="B40" s="1825" t="inlineStr">
        <is>
          <t>Interest income, Group</t>
        </is>
      </c>
      <c r="C40" s="1823" t="n"/>
      <c r="D40" s="1823" t="n"/>
      <c r="E40" s="1823" t="n"/>
      <c r="F40" s="1823" t="n">
        <v>21543.16711</v>
      </c>
      <c r="G40" s="1823" t="n">
        <v>27663</v>
      </c>
      <c r="H40" s="1823" t="n">
        <v>20000</v>
      </c>
      <c r="I40" s="1823" t="n">
        <v>20000</v>
      </c>
      <c r="J40" s="1823" t="n">
        <v>20000</v>
      </c>
      <c r="K40" s="1823" t="n">
        <v>10000</v>
      </c>
      <c r="L40" s="1823" t="n">
        <v>10000</v>
      </c>
      <c r="M40" s="1823" t="n">
        <v>10000</v>
      </c>
      <c r="N40" s="1823" t="n">
        <v>10000</v>
      </c>
      <c r="O40" s="1824">
        <f>SUM(C40:N40)</f>
        <v/>
      </c>
      <c r="P40" s="1812" t="n">
        <v>55155.16710999999</v>
      </c>
    </row>
    <row r="41" customFormat="1" s="329">
      <c r="A41" s="478" t="n"/>
      <c r="B41" s="1829" t="inlineStr">
        <is>
          <t>Net cash flows from financing activities</t>
        </is>
      </c>
      <c r="C41" s="1851">
        <f>SUM(C29:C40)</f>
        <v/>
      </c>
      <c r="D41" s="1851">
        <f>SUM(D29:D40)</f>
        <v/>
      </c>
      <c r="E41" s="1851">
        <f>SUM(E29:E40)</f>
        <v/>
      </c>
      <c r="F41" s="1851">
        <f>SUM(F28:F40)</f>
        <v/>
      </c>
      <c r="G41" s="1851">
        <f>SUM(G28:G40)</f>
        <v/>
      </c>
      <c r="H41" s="1851">
        <f>SUM(H29:H40)</f>
        <v/>
      </c>
      <c r="I41" s="1851">
        <f>SUM(I29:I40)</f>
        <v/>
      </c>
      <c r="J41" s="1851">
        <f>SUM(J29:J40)</f>
        <v/>
      </c>
      <c r="K41" s="1851">
        <f>SUM(K29:K40)</f>
        <v/>
      </c>
      <c r="L41" s="1851">
        <f>SUM(L29:L40)</f>
        <v/>
      </c>
      <c r="M41" s="1851">
        <f>SUM(M29:M40)</f>
        <v/>
      </c>
      <c r="N41" s="1851">
        <f>SUM(N29:N40)</f>
        <v/>
      </c>
      <c r="O41" s="1859">
        <f>SUM(C41:N41)</f>
        <v/>
      </c>
      <c r="P41" s="1861" t="n">
        <v>-3130156.460809997</v>
      </c>
    </row>
    <row r="42">
      <c r="A42" s="478" t="n"/>
      <c r="B42" s="1860" t="n"/>
      <c r="C42" s="1855" t="n"/>
      <c r="D42" s="1855" t="n"/>
      <c r="E42" s="1855" t="n"/>
      <c r="F42" s="1855" t="n"/>
      <c r="G42" s="1855" t="n"/>
      <c r="H42" s="1855" t="n"/>
      <c r="I42" s="1855" t="n"/>
      <c r="J42" s="1855" t="n"/>
      <c r="K42" s="1855" t="n"/>
      <c r="L42" s="1855" t="n"/>
      <c r="M42" s="1855" t="n"/>
      <c r="N42" s="1855" t="n"/>
      <c r="O42" s="1848">
        <f>SUM(C42:N42)</f>
        <v/>
      </c>
      <c r="P42" s="1846" t="n">
        <v>0</v>
      </c>
    </row>
    <row r="43">
      <c r="A43" s="478" t="n"/>
      <c r="B43" s="1829" t="inlineStr">
        <is>
          <t>Net change in cash</t>
        </is>
      </c>
      <c r="C43" s="1851">
        <f>C19+C25+C41</f>
        <v/>
      </c>
      <c r="D43" s="1851">
        <f>D19+D25+D41</f>
        <v/>
      </c>
      <c r="E43" s="1851">
        <f>E19+E25+E41</f>
        <v/>
      </c>
      <c r="F43" s="1851">
        <f>F19+F25+F41</f>
        <v/>
      </c>
      <c r="G43" s="1851">
        <f>G19+G25+G41</f>
        <v/>
      </c>
      <c r="H43" s="1851">
        <f>H19+H25+H41</f>
        <v/>
      </c>
      <c r="I43" s="1851">
        <f>I19+I25+I41</f>
        <v/>
      </c>
      <c r="J43" s="1851">
        <f>J19+J25+J41</f>
        <v/>
      </c>
      <c r="K43" s="1851">
        <f>K19+K25+K41</f>
        <v/>
      </c>
      <c r="L43" s="1851">
        <f>L19+L25+L41</f>
        <v/>
      </c>
      <c r="M43" s="1851">
        <f>M19+M25+M41</f>
        <v/>
      </c>
      <c r="N43" s="1851">
        <f>N19+N25+N41</f>
        <v/>
      </c>
      <c r="O43" s="1859">
        <f>SUM(C43:N43)</f>
        <v/>
      </c>
      <c r="P43" s="1846" t="n">
        <v>-853722.8609699979</v>
      </c>
    </row>
    <row r="44">
      <c r="A44" s="478" t="n"/>
      <c r="B44" s="1849" t="n"/>
      <c r="C44" s="1855" t="n"/>
      <c r="D44" s="1855" t="n"/>
      <c r="E44" s="1855" t="n"/>
      <c r="F44" s="1855" t="n"/>
      <c r="G44" s="1855" t="n"/>
      <c r="H44" s="1855" t="n"/>
      <c r="I44" s="1855" t="n"/>
      <c r="J44" s="1855" t="n"/>
      <c r="K44" s="1855" t="n"/>
      <c r="L44" s="1855" t="n"/>
      <c r="M44" s="1855" t="n"/>
      <c r="N44" s="1855" t="n"/>
      <c r="O44" s="1848" t="n"/>
      <c r="P44" s="1846" t="n"/>
    </row>
    <row r="45">
      <c r="A45" s="478" t="n"/>
      <c r="B45" s="1849" t="inlineStr">
        <is>
          <t>Cash at the beginning</t>
        </is>
      </c>
      <c r="C45" s="1850" t="n">
        <v>500000</v>
      </c>
      <c r="D45" s="1855">
        <f>C46</f>
        <v/>
      </c>
      <c r="E45" s="1855">
        <f>D46</f>
        <v/>
      </c>
      <c r="F45" s="1855">
        <f>E46</f>
        <v/>
      </c>
      <c r="G45" s="1855">
        <f>F46</f>
        <v/>
      </c>
      <c r="H45" s="1855">
        <f>G46</f>
        <v/>
      </c>
      <c r="I45" s="1855">
        <f>H46</f>
        <v/>
      </c>
      <c r="J45" s="1855">
        <f>I46</f>
        <v/>
      </c>
      <c r="K45" s="1855">
        <f>J46</f>
        <v/>
      </c>
      <c r="L45" s="1855">
        <f>K46</f>
        <v/>
      </c>
      <c r="M45" s="1855">
        <f>L46</f>
        <v/>
      </c>
      <c r="N45" s="1855">
        <f>M46</f>
        <v/>
      </c>
      <c r="O45" s="1848" t="n"/>
      <c r="P45" s="1846" t="n"/>
    </row>
    <row r="46" ht="15" customHeight="1" thickBot="1">
      <c r="A46" s="478" t="n"/>
      <c r="B46" s="1866" t="inlineStr">
        <is>
          <t>CASH AT THE END</t>
        </is>
      </c>
      <c r="C46" s="1867">
        <f>C43+C45</f>
        <v/>
      </c>
      <c r="D46" s="1867">
        <f>D43+D45</f>
        <v/>
      </c>
      <c r="E46" s="1867">
        <f>E43+E45</f>
        <v/>
      </c>
      <c r="F46" s="1867">
        <f>F43+F45</f>
        <v/>
      </c>
      <c r="G46" s="1867">
        <f>G43+G45</f>
        <v/>
      </c>
      <c r="H46" s="1867">
        <f>H43+H45</f>
        <v/>
      </c>
      <c r="I46" s="1867">
        <f>I43+I45</f>
        <v/>
      </c>
      <c r="J46" s="1867">
        <f>J43+J45</f>
        <v/>
      </c>
      <c r="K46" s="1867">
        <f>K43+K45</f>
        <v/>
      </c>
      <c r="L46" s="1867">
        <f>L43+L45</f>
        <v/>
      </c>
      <c r="M46" s="1867">
        <f>M43+M45</f>
        <v/>
      </c>
      <c r="N46" s="1867">
        <f>N43+N45</f>
        <v/>
      </c>
      <c r="O46" s="1868" t="n"/>
      <c r="P46" s="1846" t="n">
        <v>-353722.8609699979</v>
      </c>
    </row>
    <row r="47">
      <c r="A47" s="478" t="n"/>
      <c r="B47" s="1846" t="n"/>
      <c r="C47" s="1846" t="n"/>
      <c r="D47" s="1846" t="n"/>
      <c r="E47" s="1846" t="n"/>
      <c r="F47" s="1846" t="n"/>
      <c r="G47" s="1846" t="n"/>
      <c r="H47" s="1846" t="n"/>
      <c r="I47" s="1846" t="n"/>
      <c r="J47" s="1846" t="n"/>
      <c r="K47" s="1846" t="n"/>
      <c r="L47" s="1846" t="n"/>
      <c r="M47" s="1846" t="n"/>
      <c r="N47" s="1846" t="n"/>
      <c r="O47" s="1846" t="n"/>
      <c r="P47" s="1846" t="n"/>
    </row>
    <row r="48" hidden="1" ht="16.2" customHeight="1">
      <c r="A48" s="480" t="n"/>
      <c r="B48" s="343" t="n"/>
      <c r="C48" s="1869" t="n">
        <v>0</v>
      </c>
      <c r="D48" s="1869" t="n">
        <v>0</v>
      </c>
      <c r="E48" s="1869" t="n">
        <v>0</v>
      </c>
      <c r="F48" s="1869" t="n">
        <v>0</v>
      </c>
      <c r="G48" s="1869" t="n">
        <v>0</v>
      </c>
      <c r="H48" s="1869" t="n">
        <v>0</v>
      </c>
      <c r="I48" s="1869" t="n">
        <v>0</v>
      </c>
      <c r="J48" s="1869" t="n">
        <v>0</v>
      </c>
      <c r="K48" s="1869" t="n">
        <v>0</v>
      </c>
      <c r="L48" s="1869" t="n">
        <v>0</v>
      </c>
      <c r="M48" s="1869" t="n">
        <v>0</v>
      </c>
      <c r="N48" s="1869" t="n">
        <v>0</v>
      </c>
      <c r="O48" s="1869" t="n"/>
      <c r="P48" s="1846" t="n"/>
    </row>
    <row r="49" hidden="1">
      <c r="A49" s="480" t="n"/>
      <c r="B49" s="345" t="n"/>
      <c r="C49" s="1870" t="n">
        <v>0</v>
      </c>
      <c r="D49" s="1870" t="n">
        <v>0</v>
      </c>
      <c r="E49" s="1870" t="n">
        <v>0</v>
      </c>
      <c r="F49" s="1870" t="n">
        <v>0</v>
      </c>
      <c r="G49" s="1870" t="n">
        <v>0</v>
      </c>
      <c r="H49" s="1870" t="n">
        <v>0</v>
      </c>
      <c r="I49" s="1870" t="n">
        <v>0</v>
      </c>
      <c r="J49" s="1870" t="n">
        <v>0</v>
      </c>
      <c r="K49" s="1870" t="n">
        <v>0</v>
      </c>
      <c r="L49" s="1870" t="n">
        <v>0</v>
      </c>
      <c r="M49" s="1870" t="n">
        <v>0</v>
      </c>
      <c r="N49" s="1870" t="n">
        <v>0</v>
      </c>
      <c r="O49" s="1871" t="n">
        <v>0</v>
      </c>
      <c r="P49" s="1846" t="n"/>
    </row>
    <row r="50" hidden="1" ht="16.2" customHeight="1">
      <c r="A50" s="480" t="n"/>
      <c r="B50" s="343" t="n"/>
      <c r="C50" s="1869" t="n">
        <v>0</v>
      </c>
      <c r="D50" s="1869" t="n">
        <v>0</v>
      </c>
      <c r="E50" s="1869" t="n">
        <v>0</v>
      </c>
      <c r="F50" s="1869" t="n">
        <v>0</v>
      </c>
      <c r="G50" s="1869" t="n">
        <v>0</v>
      </c>
      <c r="H50" s="1869" t="n">
        <v>0</v>
      </c>
      <c r="I50" s="1869" t="n">
        <v>0</v>
      </c>
      <c r="J50" s="1869" t="n">
        <v>0</v>
      </c>
      <c r="K50" s="1869" t="n">
        <v>0</v>
      </c>
      <c r="L50" s="1869" t="n">
        <v>0</v>
      </c>
      <c r="M50" s="1869" t="n">
        <v>0</v>
      </c>
      <c r="N50" s="1869" t="n">
        <v>0</v>
      </c>
      <c r="O50" s="1869" t="n"/>
      <c r="P50" s="1846" t="n"/>
    </row>
    <row r="51" hidden="1">
      <c r="A51" s="480" t="n"/>
      <c r="B51" s="345" t="n"/>
      <c r="C51" s="1870" t="n"/>
      <c r="D51" s="1870" t="n">
        <v>0</v>
      </c>
      <c r="E51" s="1870" t="n">
        <v>0</v>
      </c>
      <c r="F51" s="1870" t="n">
        <v>0</v>
      </c>
      <c r="G51" s="1870" t="n">
        <v>0</v>
      </c>
      <c r="H51" s="1870" t="n">
        <v>0</v>
      </c>
      <c r="I51" s="1870" t="n">
        <v>0</v>
      </c>
      <c r="J51" s="1870" t="n">
        <v>0</v>
      </c>
      <c r="K51" s="1870" t="n">
        <v>0</v>
      </c>
      <c r="L51" s="1870" t="n">
        <v>0</v>
      </c>
      <c r="M51" s="1870" t="n">
        <v>0</v>
      </c>
      <c r="N51" s="1870" t="n">
        <v>0</v>
      </c>
      <c r="O51" s="1871" t="n">
        <v>0</v>
      </c>
      <c r="P51" s="1846" t="n"/>
    </row>
    <row r="52" hidden="1" ht="16.2" customHeight="1">
      <c r="A52" s="480" t="n"/>
      <c r="B52" s="343" t="n"/>
      <c r="C52" s="1869" t="n">
        <v>0</v>
      </c>
      <c r="D52" s="1869" t="n">
        <v>0</v>
      </c>
      <c r="E52" s="1869" t="n">
        <v>0</v>
      </c>
      <c r="F52" s="1869" t="n">
        <v>0</v>
      </c>
      <c r="G52" s="1869" t="n">
        <v>0</v>
      </c>
      <c r="H52" s="1869" t="n">
        <v>0</v>
      </c>
      <c r="I52" s="1869" t="n">
        <v>0</v>
      </c>
      <c r="J52" s="1869" t="n">
        <v>0</v>
      </c>
      <c r="K52" s="1869" t="n">
        <v>0</v>
      </c>
      <c r="L52" s="1869" t="n">
        <v>0</v>
      </c>
      <c r="M52" s="1869" t="n">
        <v>0</v>
      </c>
      <c r="N52" s="1869" t="n">
        <v>0</v>
      </c>
      <c r="O52" s="1871" t="n"/>
      <c r="P52" s="1846" t="n"/>
    </row>
    <row r="53" hidden="1">
      <c r="A53" s="480" t="n"/>
      <c r="B53" s="345" t="n"/>
      <c r="C53" s="1870" t="n">
        <v>0</v>
      </c>
      <c r="D53" s="1870" t="n">
        <v>0</v>
      </c>
      <c r="E53" s="1870" t="n">
        <v>0</v>
      </c>
      <c r="F53" s="1870" t="n">
        <v>0</v>
      </c>
      <c r="G53" s="1870" t="n">
        <v>0</v>
      </c>
      <c r="H53" s="1870" t="n">
        <v>0</v>
      </c>
      <c r="I53" s="1870" t="n">
        <v>0</v>
      </c>
      <c r="J53" s="1870" t="n">
        <v>0</v>
      </c>
      <c r="K53" s="1870" t="n">
        <v>0</v>
      </c>
      <c r="L53" s="1870" t="n">
        <v>0</v>
      </c>
      <c r="M53" s="1870" t="n">
        <v>0</v>
      </c>
      <c r="N53" s="1870" t="n">
        <v>0</v>
      </c>
      <c r="O53" s="1871" t="n">
        <v>0</v>
      </c>
      <c r="P53" s="1846" t="n"/>
    </row>
    <row r="54" hidden="1" ht="16.2" customHeight="1">
      <c r="A54" s="480" t="n"/>
      <c r="B54" s="343" t="n"/>
      <c r="C54" s="1869" t="n">
        <v>0</v>
      </c>
      <c r="D54" s="1869" t="n">
        <v>0</v>
      </c>
      <c r="E54" s="1869" t="n">
        <v>0</v>
      </c>
      <c r="F54" s="1869" t="n">
        <v>0</v>
      </c>
      <c r="G54" s="1869" t="n">
        <v>0</v>
      </c>
      <c r="H54" s="1869" t="n">
        <v>0</v>
      </c>
      <c r="I54" s="1869" t="n">
        <v>0</v>
      </c>
      <c r="J54" s="1869" t="n">
        <v>0</v>
      </c>
      <c r="K54" s="1869" t="n">
        <v>0</v>
      </c>
      <c r="L54" s="1869" t="n">
        <v>0</v>
      </c>
      <c r="M54" s="1869" t="n">
        <v>0</v>
      </c>
      <c r="N54" s="1869" t="n">
        <v>0</v>
      </c>
      <c r="O54" s="1871" t="n"/>
      <c r="P54" s="1846" t="n"/>
    </row>
    <row r="55" hidden="1">
      <c r="A55" s="480" t="n"/>
      <c r="B55" s="345" t="n"/>
      <c r="C55" s="1870" t="n">
        <v>0</v>
      </c>
      <c r="D55" s="1870" t="n">
        <v>0</v>
      </c>
      <c r="E55" s="1870" t="n">
        <v>0</v>
      </c>
      <c r="F55" s="1870" t="n">
        <v>0</v>
      </c>
      <c r="G55" s="1870" t="n">
        <v>0</v>
      </c>
      <c r="H55" s="1870" t="n">
        <v>0</v>
      </c>
      <c r="I55" s="1870" t="n">
        <v>0</v>
      </c>
      <c r="J55" s="1870" t="n">
        <v>0</v>
      </c>
      <c r="K55" s="1870" t="n">
        <v>0</v>
      </c>
      <c r="L55" s="1870" t="n">
        <v>0</v>
      </c>
      <c r="M55" s="1870" t="n">
        <v>0</v>
      </c>
      <c r="N55" s="1870" t="n">
        <v>0</v>
      </c>
      <c r="O55" s="1871" t="n">
        <v>0</v>
      </c>
      <c r="P55" s="1846" t="n"/>
    </row>
    <row r="56" hidden="1" ht="16.2" customHeight="1">
      <c r="A56" s="480" t="n"/>
      <c r="B56" s="343" t="n"/>
      <c r="C56" s="1869" t="n">
        <v>0</v>
      </c>
      <c r="D56" s="1869" t="n">
        <v>0</v>
      </c>
      <c r="E56" s="1869" t="n">
        <v>0</v>
      </c>
      <c r="F56" s="1869" t="n">
        <v>0</v>
      </c>
      <c r="G56" s="1869" t="n">
        <v>0</v>
      </c>
      <c r="H56" s="1869" t="n">
        <v>0</v>
      </c>
      <c r="I56" s="1869" t="n">
        <v>0</v>
      </c>
      <c r="J56" s="1869" t="n">
        <v>0</v>
      </c>
      <c r="K56" s="1869" t="n">
        <v>0</v>
      </c>
      <c r="L56" s="1869" t="n">
        <v>0</v>
      </c>
      <c r="M56" s="1869" t="n">
        <v>0</v>
      </c>
      <c r="N56" s="1869" t="n">
        <v>0</v>
      </c>
      <c r="O56" s="1871" t="n"/>
      <c r="P56" s="1846" t="n"/>
    </row>
    <row r="57" hidden="1">
      <c r="A57" s="480" t="n"/>
      <c r="B57" s="345" t="n"/>
      <c r="C57" s="1870" t="n">
        <v>0</v>
      </c>
      <c r="D57" s="1870" t="n">
        <v>0</v>
      </c>
      <c r="E57" s="1870" t="n">
        <v>0</v>
      </c>
      <c r="F57" s="1870" t="n">
        <v>0</v>
      </c>
      <c r="G57" s="1870" t="n">
        <v>0</v>
      </c>
      <c r="H57" s="1870" t="n">
        <v>0</v>
      </c>
      <c r="I57" s="1870" t="n">
        <v>0</v>
      </c>
      <c r="J57" s="1870" t="n">
        <v>0</v>
      </c>
      <c r="K57" s="1870" t="n">
        <v>0</v>
      </c>
      <c r="L57" s="1870" t="n">
        <v>0</v>
      </c>
      <c r="M57" s="1870" t="n">
        <v>0</v>
      </c>
      <c r="N57" s="1870" t="n">
        <v>0</v>
      </c>
      <c r="O57" s="1871" t="n">
        <v>0</v>
      </c>
      <c r="P57" s="1846" t="n"/>
    </row>
    <row r="58" hidden="1" ht="16.2" customHeight="1">
      <c r="A58" s="480" t="n"/>
      <c r="B58" s="343" t="n"/>
      <c r="C58" s="1869" t="n">
        <v>0</v>
      </c>
      <c r="D58" s="1869" t="n">
        <v>0</v>
      </c>
      <c r="E58" s="1869" t="n">
        <v>0</v>
      </c>
      <c r="F58" s="1869" t="n">
        <v>0</v>
      </c>
      <c r="G58" s="1869" t="n">
        <v>0</v>
      </c>
      <c r="H58" s="1869" t="n">
        <v>0</v>
      </c>
      <c r="I58" s="1869" t="n">
        <v>0</v>
      </c>
      <c r="J58" s="1869" t="n">
        <v>0</v>
      </c>
      <c r="K58" s="1869" t="n">
        <v>0</v>
      </c>
      <c r="L58" s="1869" t="n">
        <v>0</v>
      </c>
      <c r="M58" s="1869" t="n">
        <v>0</v>
      </c>
      <c r="N58" s="1869" t="n">
        <v>0</v>
      </c>
      <c r="O58" s="1871" t="n"/>
      <c r="P58" s="1846" t="n"/>
    </row>
    <row r="59" hidden="1">
      <c r="A59" s="480" t="n"/>
      <c r="B59" s="345" t="n"/>
      <c r="C59" s="1870" t="n">
        <v>0</v>
      </c>
      <c r="D59" s="1870" t="n">
        <v>0</v>
      </c>
      <c r="E59" s="1870" t="n">
        <v>0</v>
      </c>
      <c r="F59" s="1870" t="n">
        <v>0</v>
      </c>
      <c r="G59" s="1870" t="n">
        <v>0</v>
      </c>
      <c r="H59" s="1870" t="n">
        <v>0</v>
      </c>
      <c r="I59" s="1870" t="n">
        <v>0</v>
      </c>
      <c r="J59" s="1870" t="n">
        <v>0</v>
      </c>
      <c r="K59" s="1870" t="n">
        <v>0</v>
      </c>
      <c r="L59" s="1870" t="n">
        <v>0</v>
      </c>
      <c r="M59" s="1870" t="n">
        <v>0</v>
      </c>
      <c r="N59" s="1870" t="n">
        <v>0</v>
      </c>
      <c r="O59" s="1871" t="n">
        <v>0</v>
      </c>
      <c r="P59" s="1846" t="n"/>
    </row>
    <row r="60" hidden="1" ht="16.2" customHeight="1">
      <c r="A60" s="480" t="n"/>
      <c r="B60" s="343" t="n"/>
      <c r="C60" s="1869" t="n">
        <v>0</v>
      </c>
      <c r="D60" s="1869" t="n">
        <v>0</v>
      </c>
      <c r="E60" s="1869" t="n">
        <v>0</v>
      </c>
      <c r="F60" s="1869" t="n">
        <v>0</v>
      </c>
      <c r="G60" s="1869" t="n">
        <v>0</v>
      </c>
      <c r="H60" s="1869" t="n">
        <v>0</v>
      </c>
      <c r="I60" s="1869" t="n">
        <v>0</v>
      </c>
      <c r="J60" s="1869" t="n">
        <v>0</v>
      </c>
      <c r="K60" s="1869" t="n">
        <v>0</v>
      </c>
      <c r="L60" s="1869" t="n">
        <v>0</v>
      </c>
      <c r="M60" s="1869" t="n">
        <v>0</v>
      </c>
      <c r="N60" s="1869" t="n">
        <v>0</v>
      </c>
      <c r="O60" s="1871" t="n"/>
      <c r="P60" s="1846" t="n"/>
    </row>
    <row r="61" hidden="1">
      <c r="A61" s="480" t="n"/>
      <c r="B61" s="345" t="n"/>
      <c r="C61" s="1870" t="n">
        <v>0</v>
      </c>
      <c r="D61" s="1870" t="n">
        <v>0</v>
      </c>
      <c r="E61" s="1870" t="n">
        <v>0</v>
      </c>
      <c r="F61" s="1870" t="n">
        <v>0</v>
      </c>
      <c r="G61" s="1870" t="n">
        <v>0</v>
      </c>
      <c r="H61" s="1870" t="n">
        <v>0</v>
      </c>
      <c r="I61" s="1870" t="n">
        <v>0</v>
      </c>
      <c r="J61" s="1870" t="n">
        <v>0</v>
      </c>
      <c r="K61" s="1870" t="n">
        <v>0</v>
      </c>
      <c r="L61" s="1870" t="n">
        <v>0</v>
      </c>
      <c r="M61" s="1870" t="n">
        <v>0</v>
      </c>
      <c r="N61" s="1870" t="n">
        <v>0</v>
      </c>
      <c r="O61" s="1871" t="n">
        <v>0</v>
      </c>
      <c r="P61" s="1846" t="n"/>
    </row>
    <row r="62" hidden="1" ht="16.2" customHeight="1">
      <c r="A62" s="480" t="n"/>
      <c r="B62" s="343" t="n"/>
      <c r="C62" s="1869" t="n">
        <v>0</v>
      </c>
      <c r="D62" s="1869" t="n">
        <v>0</v>
      </c>
      <c r="E62" s="1869" t="n">
        <v>0</v>
      </c>
      <c r="F62" s="1869" t="n">
        <v>0</v>
      </c>
      <c r="G62" s="1869" t="n">
        <v>0</v>
      </c>
      <c r="H62" s="1869" t="n">
        <v>0</v>
      </c>
      <c r="I62" s="1869" t="n">
        <v>0</v>
      </c>
      <c r="J62" s="1869" t="n">
        <v>0</v>
      </c>
      <c r="K62" s="1869" t="n">
        <v>0</v>
      </c>
      <c r="L62" s="1869" t="n">
        <v>0</v>
      </c>
      <c r="M62" s="1869" t="n">
        <v>0</v>
      </c>
      <c r="N62" s="1869" t="n">
        <v>0</v>
      </c>
      <c r="O62" s="1869" t="n"/>
      <c r="P62" s="1846" t="n"/>
    </row>
    <row r="63" hidden="1">
      <c r="A63" s="480" t="n"/>
      <c r="B63" s="345" t="n"/>
      <c r="C63" s="1870" t="n">
        <v>0</v>
      </c>
      <c r="D63" s="1870" t="n">
        <v>0</v>
      </c>
      <c r="E63" s="1870" t="n">
        <v>0</v>
      </c>
      <c r="F63" s="1870" t="n">
        <v>0</v>
      </c>
      <c r="G63" s="1870" t="n">
        <v>0</v>
      </c>
      <c r="H63" s="1870" t="n">
        <v>0</v>
      </c>
      <c r="I63" s="1870" t="n">
        <v>0</v>
      </c>
      <c r="J63" s="1870" t="n">
        <v>0</v>
      </c>
      <c r="K63" s="1870" t="n">
        <v>0</v>
      </c>
      <c r="L63" s="1870" t="n">
        <v>0</v>
      </c>
      <c r="M63" s="1870" t="n">
        <v>0</v>
      </c>
      <c r="N63" s="1870" t="n">
        <v>0</v>
      </c>
      <c r="O63" s="1871" t="n">
        <v>0</v>
      </c>
      <c r="P63" s="1846" t="n"/>
    </row>
    <row r="64" hidden="1" ht="16.2" customHeight="1">
      <c r="A64" s="480" t="n"/>
      <c r="B64" s="343" t="n"/>
      <c r="C64" s="1869" t="n">
        <v>0</v>
      </c>
      <c r="D64" s="1869" t="n">
        <v>0</v>
      </c>
      <c r="E64" s="1869" t="n">
        <v>0</v>
      </c>
      <c r="F64" s="1869" t="n">
        <v>0</v>
      </c>
      <c r="G64" s="1869" t="n">
        <v>0</v>
      </c>
      <c r="H64" s="1869" t="n">
        <v>0</v>
      </c>
      <c r="I64" s="1869" t="n">
        <v>0</v>
      </c>
      <c r="J64" s="1869" t="n">
        <v>0</v>
      </c>
      <c r="K64" s="1869" t="n">
        <v>0</v>
      </c>
      <c r="L64" s="1869" t="n">
        <v>0</v>
      </c>
      <c r="M64" s="1869" t="n">
        <v>0</v>
      </c>
      <c r="N64" s="1869" t="n">
        <v>0</v>
      </c>
      <c r="O64" s="1869" t="n"/>
      <c r="P64" s="1846" t="n"/>
    </row>
    <row r="65" hidden="1">
      <c r="A65" s="480" t="n"/>
      <c r="B65" s="345" t="n"/>
      <c r="C65" s="1870" t="n">
        <v>0</v>
      </c>
      <c r="D65" s="1870" t="n">
        <v>0</v>
      </c>
      <c r="E65" s="1870" t="n">
        <v>0</v>
      </c>
      <c r="F65" s="1870" t="n">
        <v>0</v>
      </c>
      <c r="G65" s="1870" t="n">
        <v>0</v>
      </c>
      <c r="H65" s="1870" t="n">
        <v>0</v>
      </c>
      <c r="I65" s="1870" t="n">
        <v>0</v>
      </c>
      <c r="J65" s="1870" t="n">
        <v>0</v>
      </c>
      <c r="K65" s="1870" t="n">
        <v>0</v>
      </c>
      <c r="L65" s="1870" t="n">
        <v>0</v>
      </c>
      <c r="M65" s="1870" t="n">
        <v>0</v>
      </c>
      <c r="N65" s="1870" t="n">
        <v>0</v>
      </c>
      <c r="O65" s="1871" t="n">
        <v>0</v>
      </c>
      <c r="P65" s="1846" t="n"/>
    </row>
    <row r="66" hidden="1" ht="16.2" customHeight="1">
      <c r="A66" s="480" t="n"/>
      <c r="B66" s="343" t="n"/>
      <c r="C66" s="1869" t="n">
        <v>0</v>
      </c>
      <c r="D66" s="1869" t="n">
        <v>0</v>
      </c>
      <c r="E66" s="1869" t="n">
        <v>0</v>
      </c>
      <c r="F66" s="1869" t="n">
        <v>0</v>
      </c>
      <c r="G66" s="1869" t="n">
        <v>0</v>
      </c>
      <c r="H66" s="1869" t="n">
        <v>0</v>
      </c>
      <c r="I66" s="1869" t="n">
        <v>0</v>
      </c>
      <c r="J66" s="1869" t="n">
        <v>0</v>
      </c>
      <c r="K66" s="1869" t="n">
        <v>0</v>
      </c>
      <c r="L66" s="1869" t="n">
        <v>0</v>
      </c>
      <c r="M66" s="1869" t="n">
        <v>0</v>
      </c>
      <c r="N66" s="1869" t="n">
        <v>0</v>
      </c>
      <c r="O66" s="1869" t="n"/>
      <c r="P66" s="1846" t="n"/>
    </row>
    <row r="67" hidden="1">
      <c r="A67" s="480" t="n"/>
      <c r="B67" s="345" t="n"/>
      <c r="C67" s="1870" t="n">
        <v>0</v>
      </c>
      <c r="D67" s="1870" t="n">
        <v>0</v>
      </c>
      <c r="E67" s="1870" t="n">
        <v>0</v>
      </c>
      <c r="F67" s="1870" t="n">
        <v>0</v>
      </c>
      <c r="G67" s="1870" t="n">
        <v>0</v>
      </c>
      <c r="H67" s="1870" t="n">
        <v>0</v>
      </c>
      <c r="I67" s="1870" t="n">
        <v>0</v>
      </c>
      <c r="J67" s="1870" t="n">
        <v>0</v>
      </c>
      <c r="K67" s="1870" t="n">
        <v>0</v>
      </c>
      <c r="L67" s="1870" t="n">
        <v>0</v>
      </c>
      <c r="M67" s="1870" t="n">
        <v>0</v>
      </c>
      <c r="N67" s="1870" t="n">
        <v>0</v>
      </c>
      <c r="O67" s="1871" t="n">
        <v>0</v>
      </c>
      <c r="P67" s="1846" t="n"/>
    </row>
    <row r="68" hidden="1" ht="16.2" customHeight="1">
      <c r="A68" s="480" t="n"/>
      <c r="B68" s="343" t="n"/>
      <c r="C68" s="1869" t="n">
        <v>0</v>
      </c>
      <c r="D68" s="1869" t="n">
        <v>0</v>
      </c>
      <c r="E68" s="1869" t="n">
        <v>0</v>
      </c>
      <c r="F68" s="1869" t="n">
        <v>0</v>
      </c>
      <c r="G68" s="1869" t="n">
        <v>0</v>
      </c>
      <c r="H68" s="1869" t="n">
        <v>0</v>
      </c>
      <c r="I68" s="1869" t="n">
        <v>0</v>
      </c>
      <c r="J68" s="1869" t="n">
        <v>0</v>
      </c>
      <c r="K68" s="1869" t="n">
        <v>0</v>
      </c>
      <c r="L68" s="1869" t="n">
        <v>0</v>
      </c>
      <c r="M68" s="1869" t="n">
        <v>0</v>
      </c>
      <c r="N68" s="1869" t="n">
        <v>0</v>
      </c>
      <c r="O68" s="1869" t="n"/>
      <c r="P68" s="1846" t="n"/>
    </row>
    <row r="69" hidden="1">
      <c r="A69" s="480" t="n"/>
      <c r="B69" s="345" t="n"/>
      <c r="C69" s="1870" t="n">
        <v>0</v>
      </c>
      <c r="D69" s="1870" t="n">
        <v>0</v>
      </c>
      <c r="E69" s="1870" t="n">
        <v>0</v>
      </c>
      <c r="F69" s="1870" t="n">
        <v>0</v>
      </c>
      <c r="G69" s="1870" t="n">
        <v>0</v>
      </c>
      <c r="H69" s="1870" t="n">
        <v>0</v>
      </c>
      <c r="I69" s="1870" t="n">
        <v>0</v>
      </c>
      <c r="J69" s="1870" t="n">
        <v>0</v>
      </c>
      <c r="K69" s="1870" t="n">
        <v>0</v>
      </c>
      <c r="L69" s="1870" t="n">
        <v>0</v>
      </c>
      <c r="M69" s="1870" t="n">
        <v>0</v>
      </c>
      <c r="N69" s="1870" t="n">
        <v>0</v>
      </c>
      <c r="O69" s="1871" t="n">
        <v>0</v>
      </c>
      <c r="P69" s="1846" t="n"/>
    </row>
    <row r="70" hidden="1" ht="16.2" customHeight="1">
      <c r="A70" s="480" t="n"/>
      <c r="B70" s="343" t="n"/>
      <c r="C70" s="1869" t="n">
        <v>0</v>
      </c>
      <c r="D70" s="1869" t="n">
        <v>0</v>
      </c>
      <c r="E70" s="1869" t="n">
        <v>0</v>
      </c>
      <c r="F70" s="1869" t="n">
        <v>0</v>
      </c>
      <c r="G70" s="1869" t="n">
        <v>0</v>
      </c>
      <c r="H70" s="1869" t="n">
        <v>0</v>
      </c>
      <c r="I70" s="1869" t="n">
        <v>0</v>
      </c>
      <c r="J70" s="1869" t="n">
        <v>0</v>
      </c>
      <c r="K70" s="1869" t="n">
        <v>0</v>
      </c>
      <c r="L70" s="1869" t="n">
        <v>0</v>
      </c>
      <c r="M70" s="1869" t="n">
        <v>0</v>
      </c>
      <c r="N70" s="1869" t="n">
        <v>0</v>
      </c>
      <c r="O70" s="1869" t="n"/>
      <c r="P70" s="1846" t="n"/>
    </row>
    <row r="71" hidden="1">
      <c r="A71" s="480" t="n"/>
      <c r="B71" s="345" t="n"/>
      <c r="C71" s="1870" t="n"/>
      <c r="D71" s="1870" t="n">
        <v>0</v>
      </c>
      <c r="E71" s="1870" t="n">
        <v>0</v>
      </c>
      <c r="F71" s="1870" t="n">
        <v>0</v>
      </c>
      <c r="G71" s="1870" t="n">
        <v>0</v>
      </c>
      <c r="H71" s="1870" t="n">
        <v>0</v>
      </c>
      <c r="I71" s="1870" t="n">
        <v>0</v>
      </c>
      <c r="J71" s="1870" t="n">
        <v>0</v>
      </c>
      <c r="K71" s="1870" t="n">
        <v>0</v>
      </c>
      <c r="L71" s="1870" t="n">
        <v>0</v>
      </c>
      <c r="M71" s="1870" t="n">
        <v>0</v>
      </c>
      <c r="N71" s="1870" t="n">
        <v>0</v>
      </c>
      <c r="O71" s="1871" t="n">
        <v>0</v>
      </c>
      <c r="P71" s="1846" t="n"/>
    </row>
    <row r="72">
      <c r="A72" s="480" t="n"/>
      <c r="B72" s="345" t="n"/>
      <c r="C72" s="1872" t="n"/>
      <c r="D72" s="1872" t="n"/>
      <c r="E72" s="1872" t="n"/>
      <c r="F72" s="1872" t="n"/>
      <c r="G72" s="1872" t="n"/>
      <c r="H72" s="586" t="n"/>
      <c r="I72" s="1872" t="n"/>
      <c r="J72" s="1872" t="n"/>
      <c r="K72" s="1872" t="n"/>
      <c r="L72" s="1872" t="n"/>
      <c r="M72" s="1872" t="n"/>
      <c r="N72" s="1872" t="n"/>
      <c r="O72" s="1872" t="n"/>
      <c r="P72" s="1846" t="n"/>
    </row>
    <row r="73">
      <c r="A73" s="480" t="n"/>
      <c r="B73" s="349" t="n"/>
      <c r="C73" s="1870" t="n">
        <v>0</v>
      </c>
      <c r="D73" s="1870" t="n">
        <v>0</v>
      </c>
      <c r="E73" s="1870" t="n">
        <v>0</v>
      </c>
      <c r="F73" s="1870" t="n"/>
      <c r="G73" s="1870" t="n">
        <v>0</v>
      </c>
      <c r="H73" s="1870" t="n">
        <v>0</v>
      </c>
      <c r="I73" s="1870" t="n">
        <v>0</v>
      </c>
      <c r="J73" s="1870" t="n">
        <v>0</v>
      </c>
      <c r="K73" s="1870" t="n">
        <v>0</v>
      </c>
      <c r="L73" s="1870" t="n">
        <v>0</v>
      </c>
      <c r="M73" s="1870" t="n">
        <v>0</v>
      </c>
      <c r="N73" s="1870" t="n">
        <v>0</v>
      </c>
      <c r="O73" s="1871" t="n">
        <v>0</v>
      </c>
      <c r="P73" s="1846" t="n"/>
    </row>
    <row r="74" hidden="1">
      <c r="A74" s="480" t="n"/>
      <c r="B74" s="343" t="inlineStr">
        <is>
          <t>Debt: PPP-NNPP 2020</t>
        </is>
      </c>
      <c r="C74" s="1870" t="n">
        <v>0</v>
      </c>
      <c r="D74" s="1870" t="n">
        <v>0</v>
      </c>
      <c r="E74" s="1870" t="n">
        <v>0</v>
      </c>
      <c r="F74" s="1870" t="n">
        <v>0</v>
      </c>
      <c r="G74" s="1870" t="n">
        <v>0</v>
      </c>
      <c r="H74" s="1870" t="n">
        <v>0</v>
      </c>
      <c r="I74" s="1870" t="n">
        <v>0</v>
      </c>
      <c r="J74" s="1870" t="n">
        <v>0</v>
      </c>
      <c r="K74" s="1870" t="n">
        <v>0</v>
      </c>
      <c r="L74" s="1870" t="n">
        <v>0</v>
      </c>
      <c r="M74" s="1870" t="n">
        <v>0</v>
      </c>
      <c r="N74" s="1870" t="n">
        <v>0</v>
      </c>
      <c r="O74" s="1870" t="n"/>
      <c r="P74" s="1846" t="n"/>
    </row>
    <row r="75" hidden="1">
      <c r="A75" s="480" t="n"/>
      <c r="B75" s="345" t="inlineStr">
        <is>
          <t xml:space="preserve">     %: PPP-NNPP 2020</t>
        </is>
      </c>
      <c r="C75" s="1870" t="n">
        <v>0</v>
      </c>
      <c r="D75" s="1870" t="n">
        <v>0</v>
      </c>
      <c r="E75" s="1870" t="n">
        <v>0</v>
      </c>
      <c r="F75" s="1870" t="n">
        <v>0</v>
      </c>
      <c r="G75" s="1870" t="n">
        <v>0</v>
      </c>
      <c r="H75" s="1870" t="n">
        <v>0</v>
      </c>
      <c r="I75" s="1870" t="n">
        <v>0</v>
      </c>
      <c r="J75" s="1870" t="n">
        <v>0</v>
      </c>
      <c r="K75" s="1870" t="n">
        <v>0</v>
      </c>
      <c r="L75" s="1870" t="n">
        <v>0</v>
      </c>
      <c r="M75" s="1870" t="n">
        <v>0</v>
      </c>
      <c r="N75" s="1870" t="n">
        <v>0</v>
      </c>
      <c r="O75" s="1870" t="n">
        <v>0</v>
      </c>
      <c r="P75" s="1846" t="n"/>
    </row>
    <row r="76" hidden="1" ht="16.2" customHeight="1">
      <c r="A76" s="481" t="n"/>
      <c r="B76" s="350" t="inlineStr">
        <is>
          <t>Debt: PPP bill 1</t>
        </is>
      </c>
      <c r="C76" s="1869" t="n">
        <v>0</v>
      </c>
      <c r="D76" s="1869" t="n">
        <v>0</v>
      </c>
      <c r="E76" s="1869" t="n">
        <v>0</v>
      </c>
      <c r="F76" s="1869" t="n">
        <v>0</v>
      </c>
      <c r="G76" s="1869" t="n">
        <v>0</v>
      </c>
      <c r="H76" s="1869" t="n">
        <v>0</v>
      </c>
      <c r="I76" s="1869" t="n">
        <v>0</v>
      </c>
      <c r="J76" s="1869" t="n">
        <v>0</v>
      </c>
      <c r="K76" s="1869" t="n">
        <v>0</v>
      </c>
      <c r="L76" s="1869" t="n">
        <v>0</v>
      </c>
      <c r="M76" s="1869" t="n">
        <v>0</v>
      </c>
      <c r="N76" s="1869" t="n">
        <v>0</v>
      </c>
      <c r="O76" s="1869" t="n"/>
      <c r="P76" s="1846" t="n"/>
    </row>
    <row r="77" hidden="1">
      <c r="A77" s="480" t="n"/>
      <c r="B77" s="345" t="inlineStr">
        <is>
          <t xml:space="preserve">     %: PPP bill 1</t>
        </is>
      </c>
      <c r="C77" s="1870" t="n">
        <v>0</v>
      </c>
      <c r="D77" s="1870" t="n">
        <v>0</v>
      </c>
      <c r="E77" s="1870" t="n">
        <v>0</v>
      </c>
      <c r="F77" s="1870" t="n">
        <v>0</v>
      </c>
      <c r="G77" s="1870" t="n">
        <v>0</v>
      </c>
      <c r="H77" s="1870" t="n">
        <v>0</v>
      </c>
      <c r="I77" s="1870" t="n">
        <v>0</v>
      </c>
      <c r="J77" s="1870" t="n">
        <v>0</v>
      </c>
      <c r="K77" s="1870" t="n">
        <v>0</v>
      </c>
      <c r="L77" s="1870" t="n">
        <v>0</v>
      </c>
      <c r="M77" s="1870" t="n">
        <v>0</v>
      </c>
      <c r="N77" s="1870" t="n">
        <v>0</v>
      </c>
      <c r="O77" s="1870" t="n">
        <v>0</v>
      </c>
      <c r="P77" s="1846" t="n"/>
    </row>
    <row r="78" hidden="1" ht="16.2" customHeight="1">
      <c r="A78" s="481" t="n"/>
      <c r="B78" s="350" t="inlineStr">
        <is>
          <t>Debt: RBPI bill 2</t>
        </is>
      </c>
      <c r="C78" s="1869" t="n">
        <v>308333.3333333333</v>
      </c>
      <c r="D78" s="1869" t="n">
        <v>616666.6666666666</v>
      </c>
      <c r="E78" s="1869" t="n">
        <v>925000</v>
      </c>
      <c r="F78" s="1869" t="n">
        <v>1233333.333333333</v>
      </c>
      <c r="G78" s="1869" t="n">
        <v>1541666.666666667</v>
      </c>
      <c r="H78" s="1869" t="n">
        <v>1850000</v>
      </c>
      <c r="I78" s="1869" t="n">
        <v>2158333.333333333</v>
      </c>
      <c r="J78" s="1869" t="n">
        <v>2466666.666666667</v>
      </c>
      <c r="K78" s="1869" t="n">
        <v>2775000</v>
      </c>
      <c r="L78" s="1869" t="n">
        <v>3083333.333333333</v>
      </c>
      <c r="M78" s="1869" t="n">
        <v>3391666.666666667</v>
      </c>
      <c r="N78" s="1869" t="n">
        <v>3700000</v>
      </c>
      <c r="O78" s="1869" t="n"/>
      <c r="P78" s="1846" t="n"/>
    </row>
    <row r="79" hidden="1">
      <c r="A79" s="480" t="n"/>
      <c r="B79" s="345" t="inlineStr">
        <is>
          <t xml:space="preserve">     %: RBPI bill 2</t>
        </is>
      </c>
      <c r="C79" s="1870" t="n">
        <v>0</v>
      </c>
      <c r="D79" s="1870" t="n">
        <v>0</v>
      </c>
      <c r="E79" s="1870" t="n">
        <v>0</v>
      </c>
      <c r="F79" s="1870" t="n">
        <v>0</v>
      </c>
      <c r="G79" s="1870" t="n">
        <v>0</v>
      </c>
      <c r="H79" s="1870" t="n">
        <v>0</v>
      </c>
      <c r="I79" s="1870" t="n">
        <v>0</v>
      </c>
      <c r="J79" s="1870" t="n">
        <v>0</v>
      </c>
      <c r="K79" s="1870" t="n">
        <v>0</v>
      </c>
      <c r="L79" s="1870" t="n">
        <v>0</v>
      </c>
      <c r="M79" s="1870" t="n">
        <v>0</v>
      </c>
      <c r="N79" s="1870" t="n">
        <v>0</v>
      </c>
      <c r="O79" s="1870" t="n">
        <v>0</v>
      </c>
      <c r="P79" s="1846" t="n"/>
    </row>
    <row r="80" hidden="1" ht="16.2" customHeight="1">
      <c r="A80" s="481" t="n"/>
      <c r="B80" s="350" t="inlineStr">
        <is>
          <t>Debt: PPP bill 3</t>
        </is>
      </c>
      <c r="C80" s="1869" t="n">
        <v>0</v>
      </c>
      <c r="D80" s="1869" t="n">
        <v>0</v>
      </c>
      <c r="E80" s="1869" t="n">
        <v>0</v>
      </c>
      <c r="F80" s="1869" t="n">
        <v>0</v>
      </c>
      <c r="G80" s="1869" t="n">
        <v>0</v>
      </c>
      <c r="H80" s="1869" t="n">
        <v>0</v>
      </c>
      <c r="I80" s="1869" t="n">
        <v>0</v>
      </c>
      <c r="J80" s="1869" t="n">
        <v>0</v>
      </c>
      <c r="K80" s="1869" t="n">
        <v>0</v>
      </c>
      <c r="L80" s="1869" t="n">
        <v>0</v>
      </c>
      <c r="M80" s="1869" t="n">
        <v>0</v>
      </c>
      <c r="N80" s="1869" t="n">
        <v>0</v>
      </c>
      <c r="O80" s="1869" t="n"/>
      <c r="P80" s="1846" t="n"/>
    </row>
    <row r="81" hidden="1">
      <c r="A81" s="480" t="n"/>
      <c r="B81" s="345" t="inlineStr">
        <is>
          <t xml:space="preserve">      %: PPP bill 3</t>
        </is>
      </c>
      <c r="C81" s="1870" t="n">
        <v>0</v>
      </c>
      <c r="D81" s="1870" t="n">
        <v>0</v>
      </c>
      <c r="E81" s="1870" t="n">
        <v>0</v>
      </c>
      <c r="F81" s="1870" t="n">
        <v>0</v>
      </c>
      <c r="G81" s="1870" t="n">
        <v>0</v>
      </c>
      <c r="H81" s="1870" t="n">
        <v>0</v>
      </c>
      <c r="I81" s="1870" t="n">
        <v>0</v>
      </c>
      <c r="J81" s="1870" t="n">
        <v>0</v>
      </c>
      <c r="K81" s="1870" t="n">
        <v>0</v>
      </c>
      <c r="L81" s="1870" t="n">
        <v>0</v>
      </c>
      <c r="M81" s="1870" t="n">
        <v>0</v>
      </c>
      <c r="N81" s="1870" t="n">
        <v>0</v>
      </c>
      <c r="O81" s="1870" t="n">
        <v>0</v>
      </c>
      <c r="P81" s="1846" t="n"/>
    </row>
    <row r="82" hidden="1" ht="16.2" customHeight="1">
      <c r="A82" s="481" t="n"/>
      <c r="B82" s="350" t="inlineStr">
        <is>
          <t>Debt: PPP bill 4</t>
        </is>
      </c>
      <c r="C82" s="1869" t="n">
        <v>0</v>
      </c>
      <c r="D82" s="1869" t="n">
        <v>0</v>
      </c>
      <c r="E82" s="1869" t="n">
        <v>0</v>
      </c>
      <c r="F82" s="1869" t="n">
        <v>0</v>
      </c>
      <c r="G82" s="1869" t="n">
        <v>0</v>
      </c>
      <c r="H82" s="1869" t="n">
        <v>0</v>
      </c>
      <c r="I82" s="1869" t="n">
        <v>0</v>
      </c>
      <c r="J82" s="1869" t="n">
        <v>0</v>
      </c>
      <c r="K82" s="1869" t="n">
        <v>0</v>
      </c>
      <c r="L82" s="1869" t="n">
        <v>0</v>
      </c>
      <c r="M82" s="1869" t="n">
        <v>0</v>
      </c>
      <c r="N82" s="1869" t="n">
        <v>0</v>
      </c>
      <c r="O82" s="1869" t="n"/>
      <c r="P82" s="1846" t="n"/>
    </row>
    <row r="83" hidden="1">
      <c r="A83" s="480" t="n"/>
      <c r="B83" s="345" t="inlineStr">
        <is>
          <t xml:space="preserve">      %: PPP bill 4</t>
        </is>
      </c>
      <c r="C83" s="1870" t="n">
        <v>0</v>
      </c>
      <c r="D83" s="1870" t="n">
        <v>0</v>
      </c>
      <c r="E83" s="1870" t="n">
        <v>0</v>
      </c>
      <c r="F83" s="1870" t="n">
        <v>0</v>
      </c>
      <c r="G83" s="1870" t="n">
        <v>0</v>
      </c>
      <c r="H83" s="1870" t="n">
        <v>0</v>
      </c>
      <c r="I83" s="1870" t="n">
        <v>0</v>
      </c>
      <c r="J83" s="1870" t="n">
        <v>0</v>
      </c>
      <c r="K83" s="1870" t="n">
        <v>0</v>
      </c>
      <c r="L83" s="1870" t="n">
        <v>0</v>
      </c>
      <c r="M83" s="1870" t="n">
        <v>0</v>
      </c>
      <c r="N83" s="1870" t="n">
        <v>0</v>
      </c>
      <c r="O83" s="1870" t="n">
        <v>0</v>
      </c>
      <c r="P83" s="1846" t="n"/>
    </row>
    <row r="84" hidden="1" ht="16.2" customHeight="1">
      <c r="A84" s="481" t="n"/>
      <c r="B84" s="350" t="inlineStr">
        <is>
          <t>Debt: PPP bill 5</t>
        </is>
      </c>
      <c r="C84" s="1869" t="n">
        <v>0</v>
      </c>
      <c r="D84" s="1869" t="n">
        <v>0</v>
      </c>
      <c r="E84" s="1869" t="n">
        <v>0</v>
      </c>
      <c r="F84" s="1869" t="n">
        <v>0</v>
      </c>
      <c r="G84" s="1869" t="n">
        <v>0</v>
      </c>
      <c r="H84" s="1869" t="n">
        <v>0</v>
      </c>
      <c r="I84" s="1869" t="n">
        <v>0</v>
      </c>
      <c r="J84" s="1869" t="n">
        <v>0</v>
      </c>
      <c r="K84" s="1869" t="n">
        <v>0</v>
      </c>
      <c r="L84" s="1869" t="n">
        <v>0</v>
      </c>
      <c r="M84" s="1869" t="n">
        <v>0</v>
      </c>
      <c r="N84" s="1869" t="n">
        <v>0</v>
      </c>
      <c r="O84" s="1869" t="n"/>
      <c r="P84" s="1846" t="n"/>
    </row>
    <row r="85" hidden="1">
      <c r="A85" s="480" t="n"/>
      <c r="B85" s="345" t="inlineStr">
        <is>
          <t xml:space="preserve">      %: PPP bill 5</t>
        </is>
      </c>
      <c r="C85" s="1870" t="n">
        <v>0</v>
      </c>
      <c r="D85" s="1870" t="n">
        <v>0</v>
      </c>
      <c r="E85" s="1870" t="n">
        <v>0</v>
      </c>
      <c r="F85" s="1870" t="n">
        <v>0</v>
      </c>
      <c r="G85" s="1870" t="n">
        <v>0</v>
      </c>
      <c r="H85" s="1870" t="n">
        <v>0</v>
      </c>
      <c r="I85" s="1870" t="n">
        <v>0</v>
      </c>
      <c r="J85" s="1870" t="n">
        <v>0</v>
      </c>
      <c r="K85" s="1870" t="n">
        <v>0</v>
      </c>
      <c r="L85" s="1870" t="n">
        <v>0</v>
      </c>
      <c r="M85" s="1870" t="n">
        <v>0</v>
      </c>
      <c r="N85" s="1870" t="n">
        <v>0</v>
      </c>
      <c r="O85" s="1870" t="n">
        <v>0</v>
      </c>
      <c r="P85" s="1846" t="n"/>
    </row>
    <row r="86" hidden="1" ht="16.2" customHeight="1">
      <c r="A86" s="481" t="n"/>
      <c r="B86" s="350" t="inlineStr">
        <is>
          <t>Debt: PPP bill 6</t>
        </is>
      </c>
      <c r="C86" s="1869" t="n">
        <v>0</v>
      </c>
      <c r="D86" s="1869" t="n">
        <v>0</v>
      </c>
      <c r="E86" s="1869" t="n">
        <v>0</v>
      </c>
      <c r="F86" s="1869" t="n">
        <v>0</v>
      </c>
      <c r="G86" s="1869" t="n">
        <v>0</v>
      </c>
      <c r="H86" s="1869" t="n">
        <v>0</v>
      </c>
      <c r="I86" s="1869" t="n">
        <v>0</v>
      </c>
      <c r="J86" s="1869" t="n">
        <v>0</v>
      </c>
      <c r="K86" s="1869" t="n">
        <v>0</v>
      </c>
      <c r="L86" s="1869" t="n">
        <v>0</v>
      </c>
      <c r="M86" s="1869" t="n">
        <v>0</v>
      </c>
      <c r="N86" s="1869" t="n">
        <v>0</v>
      </c>
      <c r="O86" s="1869" t="n"/>
      <c r="P86" s="1846" t="n"/>
    </row>
    <row r="87" hidden="1">
      <c r="A87" s="480" t="n"/>
      <c r="B87" s="345" t="inlineStr">
        <is>
          <t xml:space="preserve">      %: PPP bill 6</t>
        </is>
      </c>
      <c r="C87" s="1870" t="n">
        <v>0</v>
      </c>
      <c r="D87" s="1870" t="n">
        <v>0</v>
      </c>
      <c r="E87" s="1870" t="n">
        <v>0</v>
      </c>
      <c r="F87" s="1870" t="n">
        <v>0</v>
      </c>
      <c r="G87" s="1870" t="n">
        <v>0</v>
      </c>
      <c r="H87" s="1870" t="n">
        <v>0</v>
      </c>
      <c r="I87" s="1870" t="n">
        <v>0</v>
      </c>
      <c r="J87" s="1870" t="n">
        <v>0</v>
      </c>
      <c r="K87" s="1870" t="n">
        <v>0</v>
      </c>
      <c r="L87" s="1870" t="n">
        <v>0</v>
      </c>
      <c r="M87" s="1870" t="n">
        <v>0</v>
      </c>
      <c r="N87" s="1870" t="n">
        <v>0</v>
      </c>
      <c r="O87" s="1870" t="n">
        <v>0</v>
      </c>
      <c r="P87" s="1846" t="n"/>
    </row>
    <row r="88" hidden="1" ht="16.2" customHeight="1">
      <c r="A88" s="481" t="n"/>
      <c r="B88" s="350" t="inlineStr">
        <is>
          <t>Debt: PPP bill 7</t>
        </is>
      </c>
      <c r="C88" s="1869" t="n">
        <v>0</v>
      </c>
      <c r="D88" s="1869" t="n">
        <v>0</v>
      </c>
      <c r="E88" s="1869" t="n">
        <v>0</v>
      </c>
      <c r="F88" s="1869" t="n">
        <v>0</v>
      </c>
      <c r="G88" s="1869" t="n">
        <v>0</v>
      </c>
      <c r="H88" s="1869" t="n">
        <v>0</v>
      </c>
      <c r="I88" s="1869" t="n">
        <v>0</v>
      </c>
      <c r="J88" s="1869" t="n">
        <v>0</v>
      </c>
      <c r="K88" s="1869" t="n">
        <v>0</v>
      </c>
      <c r="L88" s="1869" t="n">
        <v>0</v>
      </c>
      <c r="M88" s="1869" t="n">
        <v>0</v>
      </c>
      <c r="N88" s="1869" t="n">
        <v>0</v>
      </c>
      <c r="O88" s="1869" t="n"/>
      <c r="P88" s="1846" t="n"/>
    </row>
    <row r="89" hidden="1">
      <c r="A89" s="480" t="n"/>
      <c r="B89" s="345" t="inlineStr">
        <is>
          <t xml:space="preserve">      %: PPP bill 7</t>
        </is>
      </c>
      <c r="C89" s="1870" t="n">
        <v>0</v>
      </c>
      <c r="D89" s="1870" t="n">
        <v>0</v>
      </c>
      <c r="E89" s="1870" t="n">
        <v>0</v>
      </c>
      <c r="F89" s="1870" t="n">
        <v>0</v>
      </c>
      <c r="G89" s="1870" t="n">
        <v>0</v>
      </c>
      <c r="H89" s="1870" t="n">
        <v>0</v>
      </c>
      <c r="I89" s="1870" t="n">
        <v>0</v>
      </c>
      <c r="J89" s="1870" t="n">
        <v>0</v>
      </c>
      <c r="K89" s="1870" t="n">
        <v>0</v>
      </c>
      <c r="L89" s="1870" t="n">
        <v>0</v>
      </c>
      <c r="M89" s="1870" t="n">
        <v>0</v>
      </c>
      <c r="N89" s="1870" t="n">
        <v>0</v>
      </c>
      <c r="O89" s="1870" t="n">
        <v>0</v>
      </c>
      <c r="P89" s="1846" t="n"/>
    </row>
    <row r="90" hidden="1" ht="16.2" customHeight="1">
      <c r="A90" s="481" t="n"/>
      <c r="B90" s="350" t="inlineStr">
        <is>
          <t>Debt: PPP bill 8</t>
        </is>
      </c>
      <c r="C90" s="1869" t="n">
        <v>0</v>
      </c>
      <c r="D90" s="1869" t="n">
        <v>0</v>
      </c>
      <c r="E90" s="1869" t="n">
        <v>0</v>
      </c>
      <c r="F90" s="1869" t="n">
        <v>0</v>
      </c>
      <c r="G90" s="1869" t="n">
        <v>0</v>
      </c>
      <c r="H90" s="1869" t="n">
        <v>0</v>
      </c>
      <c r="I90" s="1869" t="n">
        <v>0</v>
      </c>
      <c r="J90" s="1869" t="n">
        <v>0</v>
      </c>
      <c r="K90" s="1869" t="n">
        <v>0</v>
      </c>
      <c r="L90" s="1869" t="n">
        <v>0</v>
      </c>
      <c r="M90" s="1869" t="n">
        <v>0</v>
      </c>
      <c r="N90" s="1869" t="n">
        <v>0</v>
      </c>
      <c r="O90" s="1869" t="n"/>
      <c r="P90" s="1846" t="n"/>
    </row>
    <row r="91" hidden="1">
      <c r="A91" s="480" t="n"/>
      <c r="B91" s="345" t="inlineStr">
        <is>
          <t xml:space="preserve">      %: PPP bill 8</t>
        </is>
      </c>
      <c r="C91" s="1870" t="n">
        <v>0</v>
      </c>
      <c r="D91" s="1870" t="n">
        <v>0</v>
      </c>
      <c r="E91" s="1870" t="n">
        <v>0</v>
      </c>
      <c r="F91" s="1870" t="n">
        <v>0</v>
      </c>
      <c r="G91" s="1870" t="n">
        <v>0</v>
      </c>
      <c r="H91" s="1870" t="n">
        <v>0</v>
      </c>
      <c r="I91" s="1870" t="n">
        <v>0</v>
      </c>
      <c r="J91" s="1870" t="n">
        <v>0</v>
      </c>
      <c r="K91" s="1870" t="n">
        <v>0</v>
      </c>
      <c r="L91" s="1870" t="n">
        <v>0</v>
      </c>
      <c r="M91" s="1870" t="n">
        <v>0</v>
      </c>
      <c r="N91" s="1870" t="n">
        <v>0</v>
      </c>
      <c r="O91" s="1870" t="n">
        <v>0</v>
      </c>
      <c r="P91" s="1846" t="n"/>
    </row>
    <row r="92" hidden="1" ht="16.2" customHeight="1">
      <c r="A92" s="481" t="n"/>
      <c r="B92" s="350" t="inlineStr">
        <is>
          <t>Debt: PPP bill 9</t>
        </is>
      </c>
      <c r="C92" s="1869" t="n">
        <v>0</v>
      </c>
      <c r="D92" s="1869" t="n">
        <v>0</v>
      </c>
      <c r="E92" s="1869" t="n">
        <v>0</v>
      </c>
      <c r="F92" s="1869" t="n">
        <v>0</v>
      </c>
      <c r="G92" s="1869" t="n">
        <v>0</v>
      </c>
      <c r="H92" s="1869" t="n">
        <v>0</v>
      </c>
      <c r="I92" s="1869" t="n">
        <v>0</v>
      </c>
      <c r="J92" s="1869" t="n">
        <v>0</v>
      </c>
      <c r="K92" s="1869" t="n">
        <v>0</v>
      </c>
      <c r="L92" s="1869" t="n">
        <v>0</v>
      </c>
      <c r="M92" s="1869" t="n">
        <v>0</v>
      </c>
      <c r="N92" s="1869" t="n">
        <v>0</v>
      </c>
      <c r="O92" s="1869" t="n"/>
      <c r="P92" s="1846" t="n"/>
    </row>
    <row r="93" hidden="1">
      <c r="A93" s="480" t="n"/>
      <c r="B93" s="345" t="inlineStr">
        <is>
          <t xml:space="preserve">      %: PPP bill 9</t>
        </is>
      </c>
      <c r="C93" s="1870" t="n">
        <v>0</v>
      </c>
      <c r="D93" s="1870" t="n">
        <v>0</v>
      </c>
      <c r="E93" s="1870" t="n">
        <v>0</v>
      </c>
      <c r="F93" s="1870" t="n">
        <v>0</v>
      </c>
      <c r="G93" s="1870" t="n">
        <v>0</v>
      </c>
      <c r="H93" s="1870" t="n">
        <v>0</v>
      </c>
      <c r="I93" s="1870" t="n">
        <v>0</v>
      </c>
      <c r="J93" s="1870" t="n">
        <v>0</v>
      </c>
      <c r="K93" s="1870" t="n">
        <v>0</v>
      </c>
      <c r="L93" s="1870" t="n">
        <v>0</v>
      </c>
      <c r="M93" s="1870" t="n">
        <v>0</v>
      </c>
      <c r="N93" s="1870" t="n">
        <v>0</v>
      </c>
      <c r="O93" s="1870" t="n">
        <v>0</v>
      </c>
      <c r="P93" s="1846" t="n"/>
    </row>
    <row r="94" hidden="1" ht="16.2" customHeight="1">
      <c r="A94" s="481" t="n"/>
      <c r="B94" s="350" t="inlineStr">
        <is>
          <t>Debt: PPP bill 10</t>
        </is>
      </c>
      <c r="C94" s="1869" t="n">
        <v>0</v>
      </c>
      <c r="D94" s="1869" t="n">
        <v>0</v>
      </c>
      <c r="E94" s="1869" t="n">
        <v>0</v>
      </c>
      <c r="F94" s="1869" t="n">
        <v>0</v>
      </c>
      <c r="G94" s="1869" t="n">
        <v>0</v>
      </c>
      <c r="H94" s="1869" t="n">
        <v>0</v>
      </c>
      <c r="I94" s="1869" t="n">
        <v>0</v>
      </c>
      <c r="J94" s="1869" t="n">
        <v>0</v>
      </c>
      <c r="K94" s="1869" t="n">
        <v>0</v>
      </c>
      <c r="L94" s="1869" t="n">
        <v>0</v>
      </c>
      <c r="M94" s="1869" t="n">
        <v>0</v>
      </c>
      <c r="N94" s="1869" t="n">
        <v>0</v>
      </c>
      <c r="O94" s="1869" t="n"/>
      <c r="P94" s="1846" t="n"/>
    </row>
    <row r="95" hidden="1">
      <c r="A95" s="480" t="n"/>
      <c r="B95" s="345" t="inlineStr">
        <is>
          <t xml:space="preserve">      %: PPP bill 10</t>
        </is>
      </c>
      <c r="C95" s="1870" t="n">
        <v>0</v>
      </c>
      <c r="D95" s="1870" t="n">
        <v>0</v>
      </c>
      <c r="E95" s="1870" t="n">
        <v>0</v>
      </c>
      <c r="F95" s="1870" t="n">
        <v>0</v>
      </c>
      <c r="G95" s="1870" t="n">
        <v>0</v>
      </c>
      <c r="H95" s="1870" t="n">
        <v>0</v>
      </c>
      <c r="I95" s="1870" t="n">
        <v>0</v>
      </c>
      <c r="J95" s="1870" t="n">
        <v>0</v>
      </c>
      <c r="K95" s="1870" t="n">
        <v>0</v>
      </c>
      <c r="L95" s="1870" t="n">
        <v>0</v>
      </c>
      <c r="M95" s="1870" t="n">
        <v>0</v>
      </c>
      <c r="N95" s="1870" t="n">
        <v>0</v>
      </c>
      <c r="O95" s="1870" t="n">
        <v>0</v>
      </c>
      <c r="P95" s="1846" t="n"/>
    </row>
    <row r="96" hidden="1" ht="16.2" customHeight="1">
      <c r="A96" s="481" t="n"/>
      <c r="B96" s="350" t="inlineStr">
        <is>
          <t>Debt: PPP bill 11</t>
        </is>
      </c>
      <c r="C96" s="1869" t="n">
        <v>0</v>
      </c>
      <c r="D96" s="1869" t="n">
        <v>0</v>
      </c>
      <c r="E96" s="1869" t="n">
        <v>0</v>
      </c>
      <c r="F96" s="1869" t="n">
        <v>0</v>
      </c>
      <c r="G96" s="1869" t="n">
        <v>0</v>
      </c>
      <c r="H96" s="1869" t="n">
        <v>0</v>
      </c>
      <c r="I96" s="1869" t="n">
        <v>0</v>
      </c>
      <c r="J96" s="1869" t="n">
        <v>0</v>
      </c>
      <c r="K96" s="1869" t="n">
        <v>0</v>
      </c>
      <c r="L96" s="1869" t="n">
        <v>0</v>
      </c>
      <c r="M96" s="1869" t="n">
        <v>0</v>
      </c>
      <c r="N96" s="1869" t="n">
        <v>0</v>
      </c>
      <c r="O96" s="1869" t="n"/>
      <c r="P96" s="1846" t="n"/>
    </row>
    <row r="97" hidden="1">
      <c r="A97" s="480" t="n"/>
      <c r="B97" s="345" t="inlineStr">
        <is>
          <t xml:space="preserve">      %: PPP bill 11</t>
        </is>
      </c>
      <c r="C97" s="1870" t="n">
        <v>0</v>
      </c>
      <c r="D97" s="1870" t="n">
        <v>0</v>
      </c>
      <c r="E97" s="1870" t="n">
        <v>0</v>
      </c>
      <c r="F97" s="1870" t="n">
        <v>0</v>
      </c>
      <c r="G97" s="1870" t="n">
        <v>0</v>
      </c>
      <c r="H97" s="1870" t="n">
        <v>0</v>
      </c>
      <c r="I97" s="1870" t="n">
        <v>0</v>
      </c>
      <c r="J97" s="1870" t="n">
        <v>0</v>
      </c>
      <c r="K97" s="1870" t="n">
        <v>0</v>
      </c>
      <c r="L97" s="1870" t="n">
        <v>0</v>
      </c>
      <c r="M97" s="1870" t="n">
        <v>0</v>
      </c>
      <c r="N97" s="1870" t="n">
        <v>0</v>
      </c>
      <c r="O97" s="1870" t="n">
        <v>0</v>
      </c>
      <c r="P97" s="1846" t="n"/>
    </row>
    <row r="98" hidden="1" ht="16.2" customHeight="1">
      <c r="A98" s="481" t="n"/>
      <c r="B98" s="350" t="inlineStr">
        <is>
          <t>Debt: PPP bill 12</t>
        </is>
      </c>
      <c r="C98" s="1869" t="n">
        <v>0</v>
      </c>
      <c r="D98" s="1869" t="n">
        <v>0</v>
      </c>
      <c r="E98" s="1869" t="n">
        <v>0</v>
      </c>
      <c r="F98" s="1869" t="n">
        <v>0</v>
      </c>
      <c r="G98" s="1869" t="n">
        <v>0</v>
      </c>
      <c r="H98" s="1869" t="n">
        <v>0</v>
      </c>
      <c r="I98" s="1869" t="n">
        <v>0</v>
      </c>
      <c r="J98" s="1869" t="n">
        <v>0</v>
      </c>
      <c r="K98" s="1869" t="n">
        <v>0</v>
      </c>
      <c r="L98" s="1869" t="n">
        <v>0</v>
      </c>
      <c r="M98" s="1869" t="n">
        <v>0</v>
      </c>
      <c r="N98" s="1869" t="n">
        <v>0</v>
      </c>
      <c r="O98" s="1869" t="n"/>
      <c r="P98" s="1846" t="n"/>
    </row>
    <row r="99" hidden="1">
      <c r="A99" s="480" t="n"/>
      <c r="B99" s="345" t="inlineStr">
        <is>
          <t xml:space="preserve">      %: PPP bill 12</t>
        </is>
      </c>
      <c r="C99" s="1870" t="n">
        <v>0</v>
      </c>
      <c r="D99" s="1870" t="n">
        <v>0</v>
      </c>
      <c r="E99" s="1870" t="n">
        <v>0</v>
      </c>
      <c r="F99" s="1870" t="n">
        <v>0</v>
      </c>
      <c r="G99" s="1870" t="n">
        <v>0</v>
      </c>
      <c r="H99" s="1870" t="n">
        <v>0</v>
      </c>
      <c r="I99" s="1870" t="n">
        <v>0</v>
      </c>
      <c r="J99" s="1870" t="n">
        <v>0</v>
      </c>
      <c r="K99" s="1870" t="n">
        <v>0</v>
      </c>
      <c r="L99" s="1870" t="n">
        <v>0</v>
      </c>
      <c r="M99" s="1870" t="n">
        <v>0</v>
      </c>
      <c r="N99" s="1870" t="n">
        <v>0</v>
      </c>
      <c r="O99" s="1870" t="n">
        <v>0</v>
      </c>
      <c r="P99" s="1846" t="n"/>
    </row>
    <row r="100" hidden="1" ht="16.2" customHeight="1">
      <c r="A100" s="481" t="n"/>
      <c r="B100" s="350" t="inlineStr">
        <is>
          <t>Debt: PPP bill 13</t>
        </is>
      </c>
      <c r="C100" s="1869" t="n">
        <v>0</v>
      </c>
      <c r="D100" s="1869" t="n">
        <v>0</v>
      </c>
      <c r="E100" s="1869" t="n">
        <v>0</v>
      </c>
      <c r="F100" s="1869" t="n">
        <v>0</v>
      </c>
      <c r="G100" s="1869" t="n">
        <v>0</v>
      </c>
      <c r="H100" s="1869" t="n">
        <v>0</v>
      </c>
      <c r="I100" s="1869" t="n">
        <v>0</v>
      </c>
      <c r="J100" s="1869" t="n">
        <v>0</v>
      </c>
      <c r="K100" s="1869" t="n">
        <v>0</v>
      </c>
      <c r="L100" s="1869" t="n">
        <v>0</v>
      </c>
      <c r="M100" s="1869" t="n">
        <v>0</v>
      </c>
      <c r="N100" s="1869" t="n">
        <v>0</v>
      </c>
      <c r="O100" s="1869" t="n"/>
      <c r="P100" s="1846" t="n"/>
    </row>
    <row r="101" hidden="1">
      <c r="A101" s="480" t="n"/>
      <c r="B101" s="345" t="inlineStr">
        <is>
          <t xml:space="preserve">      %: PPP bill 13</t>
        </is>
      </c>
      <c r="C101" s="1870" t="n">
        <v>0</v>
      </c>
      <c r="D101" s="1870" t="n">
        <v>0</v>
      </c>
      <c r="E101" s="1870" t="n">
        <v>0</v>
      </c>
      <c r="F101" s="1870" t="n">
        <v>0</v>
      </c>
      <c r="G101" s="1870" t="n">
        <v>0</v>
      </c>
      <c r="H101" s="1870" t="n">
        <v>0</v>
      </c>
      <c r="I101" s="1870" t="n">
        <v>0</v>
      </c>
      <c r="J101" s="1870" t="n">
        <v>0</v>
      </c>
      <c r="K101" s="1870" t="n">
        <v>0</v>
      </c>
      <c r="L101" s="1870" t="n">
        <v>0</v>
      </c>
      <c r="M101" s="1870" t="n">
        <v>0</v>
      </c>
      <c r="N101" s="1870" t="n">
        <v>0</v>
      </c>
      <c r="O101" s="1870" t="n">
        <v>0</v>
      </c>
      <c r="P101" s="1846" t="n"/>
    </row>
    <row r="102" hidden="1" ht="16.2" customHeight="1">
      <c r="A102" s="481" t="n"/>
      <c r="B102" s="350" t="inlineStr">
        <is>
          <t>Debt: PPP bill 14</t>
        </is>
      </c>
      <c r="C102" s="1869" t="n">
        <v>0</v>
      </c>
      <c r="D102" s="1869" t="n">
        <v>0</v>
      </c>
      <c r="E102" s="1869" t="n">
        <v>0</v>
      </c>
      <c r="F102" s="1869" t="n">
        <v>0</v>
      </c>
      <c r="G102" s="1869" t="n">
        <v>0</v>
      </c>
      <c r="H102" s="1869" t="n">
        <v>0</v>
      </c>
      <c r="I102" s="1869" t="n">
        <v>0</v>
      </c>
      <c r="J102" s="1869" t="n">
        <v>0</v>
      </c>
      <c r="K102" s="1869" t="n">
        <v>0</v>
      </c>
      <c r="L102" s="1869" t="n">
        <v>0</v>
      </c>
      <c r="M102" s="1869" t="n">
        <v>0</v>
      </c>
      <c r="N102" s="1869" t="n">
        <v>0</v>
      </c>
      <c r="O102" s="1869" t="n"/>
      <c r="P102" s="1846" t="n"/>
    </row>
    <row r="103" hidden="1">
      <c r="A103" s="480" t="n"/>
      <c r="B103" s="345" t="inlineStr">
        <is>
          <t xml:space="preserve">      %: PPP bill 14</t>
        </is>
      </c>
      <c r="C103" s="1870" t="n">
        <v>0</v>
      </c>
      <c r="D103" s="1870" t="n">
        <v>0</v>
      </c>
      <c r="E103" s="1870" t="n">
        <v>0</v>
      </c>
      <c r="F103" s="1870" t="n">
        <v>0</v>
      </c>
      <c r="G103" s="1870" t="n">
        <v>0</v>
      </c>
      <c r="H103" s="1870" t="n">
        <v>0</v>
      </c>
      <c r="I103" s="1870" t="n">
        <v>0</v>
      </c>
      <c r="J103" s="1870" t="n">
        <v>0</v>
      </c>
      <c r="K103" s="1870" t="n">
        <v>0</v>
      </c>
      <c r="L103" s="1870" t="n">
        <v>0</v>
      </c>
      <c r="M103" s="1870" t="n">
        <v>0</v>
      </c>
      <c r="N103" s="1870" t="n">
        <v>0</v>
      </c>
      <c r="O103" s="1870" t="n">
        <v>0</v>
      </c>
      <c r="P103" s="1846" t="n"/>
    </row>
    <row r="104" hidden="1" ht="16.2" customHeight="1">
      <c r="A104" s="481" t="n"/>
      <c r="B104" s="350" t="inlineStr">
        <is>
          <t>Debt: PPP bill 15</t>
        </is>
      </c>
      <c r="C104" s="1869" t="n">
        <v>0</v>
      </c>
      <c r="D104" s="1869" t="n">
        <v>0</v>
      </c>
      <c r="E104" s="1869" t="n">
        <v>0</v>
      </c>
      <c r="F104" s="1869" t="n">
        <v>0</v>
      </c>
      <c r="G104" s="1869" t="n">
        <v>0</v>
      </c>
      <c r="H104" s="1869" t="n">
        <v>0</v>
      </c>
      <c r="I104" s="1869" t="n">
        <v>0</v>
      </c>
      <c r="J104" s="1869" t="n">
        <v>0</v>
      </c>
      <c r="K104" s="1869" t="n">
        <v>0</v>
      </c>
      <c r="L104" s="1869" t="n">
        <v>0</v>
      </c>
      <c r="M104" s="1869" t="n">
        <v>0</v>
      </c>
      <c r="N104" s="1869" t="n">
        <v>0</v>
      </c>
      <c r="O104" s="1869" t="n"/>
      <c r="P104" s="1846" t="n"/>
    </row>
    <row r="105" hidden="1">
      <c r="A105" s="480" t="n"/>
      <c r="B105" s="345" t="inlineStr">
        <is>
          <t xml:space="preserve">      %: PPP bill 15</t>
        </is>
      </c>
      <c r="C105" s="1870" t="n">
        <v>0</v>
      </c>
      <c r="D105" s="1870" t="n">
        <v>0</v>
      </c>
      <c r="E105" s="1870" t="n">
        <v>0</v>
      </c>
      <c r="F105" s="1870" t="n">
        <v>0</v>
      </c>
      <c r="G105" s="1870" t="n">
        <v>0</v>
      </c>
      <c r="H105" s="1870" t="n">
        <v>0</v>
      </c>
      <c r="I105" s="1870" t="n">
        <v>0</v>
      </c>
      <c r="J105" s="1870" t="n">
        <v>0</v>
      </c>
      <c r="K105" s="1870" t="n">
        <v>0</v>
      </c>
      <c r="L105" s="1870" t="n">
        <v>0</v>
      </c>
      <c r="M105" s="1870" t="n">
        <v>0</v>
      </c>
      <c r="N105" s="1870" t="n">
        <v>0</v>
      </c>
      <c r="O105" s="1870" t="n">
        <v>0</v>
      </c>
      <c r="P105" s="1846" t="n"/>
    </row>
    <row r="106" hidden="1" ht="16.2" customHeight="1">
      <c r="A106" s="481" t="n"/>
      <c r="B106" s="350" t="inlineStr">
        <is>
          <t>Debt: PPP bill 16</t>
        </is>
      </c>
      <c r="C106" s="1869" t="n">
        <v>0</v>
      </c>
      <c r="D106" s="1869" t="n">
        <v>0</v>
      </c>
      <c r="E106" s="1869" t="n">
        <v>0</v>
      </c>
      <c r="F106" s="1869" t="n">
        <v>0</v>
      </c>
      <c r="G106" s="1869" t="n">
        <v>0</v>
      </c>
      <c r="H106" s="1869" t="n">
        <v>0</v>
      </c>
      <c r="I106" s="1869" t="n">
        <v>0</v>
      </c>
      <c r="J106" s="1869" t="n">
        <v>0</v>
      </c>
      <c r="K106" s="1869" t="n">
        <v>0</v>
      </c>
      <c r="L106" s="1869" t="n">
        <v>0</v>
      </c>
      <c r="M106" s="1869" t="n">
        <v>0</v>
      </c>
      <c r="N106" s="1869" t="n">
        <v>0</v>
      </c>
      <c r="O106" s="1869" t="n"/>
      <c r="P106" s="1846" t="n"/>
    </row>
    <row r="107" hidden="1">
      <c r="A107" s="480" t="n"/>
      <c r="B107" s="345" t="inlineStr">
        <is>
          <t xml:space="preserve">      %: PPP bill 16</t>
        </is>
      </c>
      <c r="C107" s="1870" t="n">
        <v>0</v>
      </c>
      <c r="D107" s="1870" t="n">
        <v>0</v>
      </c>
      <c r="E107" s="1870" t="n">
        <v>0</v>
      </c>
      <c r="F107" s="1870" t="n">
        <v>0</v>
      </c>
      <c r="G107" s="1870" t="n">
        <v>0</v>
      </c>
      <c r="H107" s="1870" t="n">
        <v>0</v>
      </c>
      <c r="I107" s="1870" t="n">
        <v>0</v>
      </c>
      <c r="J107" s="1870" t="n">
        <v>0</v>
      </c>
      <c r="K107" s="1870" t="n">
        <v>0</v>
      </c>
      <c r="L107" s="1870" t="n">
        <v>0</v>
      </c>
      <c r="M107" s="1870" t="n">
        <v>0</v>
      </c>
      <c r="N107" s="1870" t="n">
        <v>0</v>
      </c>
      <c r="O107" s="1870" t="n">
        <v>0</v>
      </c>
      <c r="P107" s="1846" t="n"/>
    </row>
    <row r="108" hidden="1" ht="16.2" customHeight="1">
      <c r="A108" s="481" t="n"/>
      <c r="B108" s="350" t="inlineStr">
        <is>
          <t>Debt: PPP bill 17</t>
        </is>
      </c>
      <c r="C108" s="1869" t="n">
        <v>0</v>
      </c>
      <c r="D108" s="1869" t="n">
        <v>0</v>
      </c>
      <c r="E108" s="1869" t="n">
        <v>0</v>
      </c>
      <c r="F108" s="1869" t="n">
        <v>0</v>
      </c>
      <c r="G108" s="1869" t="n">
        <v>0</v>
      </c>
      <c r="H108" s="1869" t="n">
        <v>0</v>
      </c>
      <c r="I108" s="1869" t="n">
        <v>0</v>
      </c>
      <c r="J108" s="1869" t="n">
        <v>0</v>
      </c>
      <c r="K108" s="1869" t="n">
        <v>0</v>
      </c>
      <c r="L108" s="1869" t="n">
        <v>0</v>
      </c>
      <c r="M108" s="1869" t="n">
        <v>0</v>
      </c>
      <c r="N108" s="1869" t="n">
        <v>0</v>
      </c>
      <c r="O108" s="1869" t="n"/>
      <c r="P108" s="1846" t="n"/>
    </row>
    <row r="109" hidden="1">
      <c r="A109" s="480" t="n"/>
      <c r="B109" s="345" t="inlineStr">
        <is>
          <t xml:space="preserve">      %: PPP bill 17</t>
        </is>
      </c>
      <c r="C109" s="1870" t="n">
        <v>0</v>
      </c>
      <c r="D109" s="1870" t="n">
        <v>0</v>
      </c>
      <c r="E109" s="1870" t="n">
        <v>0</v>
      </c>
      <c r="F109" s="1870" t="n">
        <v>0</v>
      </c>
      <c r="G109" s="1870" t="n">
        <v>0</v>
      </c>
      <c r="H109" s="1870" t="n">
        <v>0</v>
      </c>
      <c r="I109" s="1870" t="n">
        <v>0</v>
      </c>
      <c r="J109" s="1870" t="n">
        <v>0</v>
      </c>
      <c r="K109" s="1870" t="n">
        <v>0</v>
      </c>
      <c r="L109" s="1870" t="n">
        <v>0</v>
      </c>
      <c r="M109" s="1870" t="n">
        <v>0</v>
      </c>
      <c r="N109" s="1870" t="n">
        <v>0</v>
      </c>
      <c r="O109" s="1870" t="n">
        <v>0</v>
      </c>
      <c r="P109" s="1846" t="n"/>
    </row>
    <row r="110" hidden="1">
      <c r="A110" s="480" t="n"/>
      <c r="B110" s="351" t="n"/>
      <c r="C110" s="1873" t="n"/>
      <c r="D110" s="1873" t="n"/>
      <c r="E110" s="1873" t="n"/>
      <c r="F110" s="1873" t="n"/>
      <c r="G110" s="1873" t="n"/>
      <c r="H110" s="1873" t="n"/>
      <c r="I110" s="1873" t="n"/>
      <c r="J110" s="1873" t="n"/>
      <c r="K110" s="1873" t="n"/>
      <c r="L110" s="1873" t="n"/>
      <c r="M110" s="1873" t="n"/>
      <c r="N110" s="1873" t="n"/>
      <c r="O110" s="1870" t="n"/>
      <c r="P110" s="1846" t="n"/>
    </row>
    <row r="111" hidden="1">
      <c r="A111" s="480" t="n"/>
      <c r="B111" s="351" t="n"/>
      <c r="C111" s="1873" t="n"/>
      <c r="D111" s="1873" t="n"/>
      <c r="E111" s="1873" t="n"/>
      <c r="F111" s="1873" t="n"/>
      <c r="G111" s="1873" t="n"/>
      <c r="H111" s="1873" t="n"/>
      <c r="I111" s="1873" t="n"/>
      <c r="J111" s="1873" t="n"/>
      <c r="K111" s="1873" t="n"/>
      <c r="L111" s="1873" t="n"/>
      <c r="M111" s="1873" t="n"/>
      <c r="N111" s="1873" t="n"/>
      <c r="O111" s="1870" t="n"/>
      <c r="P111" s="1846" t="n"/>
    </row>
    <row r="112" hidden="1">
      <c r="A112" s="480" t="n"/>
      <c r="B112" s="351" t="n"/>
      <c r="C112" s="1873" t="n"/>
      <c r="D112" s="1873" t="n"/>
      <c r="E112" s="1873" t="n"/>
      <c r="F112" s="1873" t="n"/>
      <c r="G112" s="1873" t="n"/>
      <c r="H112" s="1873" t="n"/>
      <c r="I112" s="1873" t="n"/>
      <c r="J112" s="1873" t="n"/>
      <c r="K112" s="1873" t="n"/>
      <c r="L112" s="1873" t="n"/>
      <c r="M112" s="1873" t="n"/>
      <c r="N112" s="1873" t="n"/>
      <c r="O112" s="1870" t="n"/>
      <c r="P112" s="1846" t="n"/>
    </row>
    <row r="113" hidden="1">
      <c r="A113" s="480" t="n"/>
      <c r="B113" s="351" t="n"/>
      <c r="C113" s="1873" t="n"/>
      <c r="D113" s="1873" t="n"/>
      <c r="E113" s="1873" t="n"/>
      <c r="F113" s="1873" t="n"/>
      <c r="G113" s="1873" t="n"/>
      <c r="H113" s="1873" t="n"/>
      <c r="I113" s="1873" t="n"/>
      <c r="J113" s="1873" t="n"/>
      <c r="K113" s="1873" t="n"/>
      <c r="L113" s="1873" t="n"/>
      <c r="M113" s="1873" t="n"/>
      <c r="N113" s="1873" t="n"/>
      <c r="O113" s="1870" t="n"/>
      <c r="P113" s="1846" t="n"/>
    </row>
    <row r="114" hidden="1">
      <c r="A114" s="480" t="n"/>
      <c r="B114" s="353" t="inlineStr">
        <is>
          <t>Subsidies</t>
        </is>
      </c>
      <c r="C114" s="1871" t="n">
        <v>0</v>
      </c>
      <c r="D114" s="1871" t="n">
        <v>0</v>
      </c>
      <c r="E114" s="1871" t="n">
        <v>0</v>
      </c>
      <c r="F114" s="1871" t="n">
        <v>0</v>
      </c>
      <c r="G114" s="1871" t="n">
        <v>0</v>
      </c>
      <c r="H114" s="1871" t="n">
        <v>0</v>
      </c>
      <c r="I114" s="1871" t="n">
        <v>0</v>
      </c>
      <c r="J114" s="1871" t="n">
        <v>0</v>
      </c>
      <c r="K114" s="1871" t="n">
        <v>0</v>
      </c>
      <c r="L114" s="1871" t="n">
        <v>0</v>
      </c>
      <c r="M114" s="1871" t="n">
        <v>0</v>
      </c>
      <c r="N114" s="1871" t="n">
        <v>0</v>
      </c>
      <c r="O114" s="1871" t="n">
        <v>0</v>
      </c>
      <c r="P114" s="1846" t="n"/>
    </row>
    <row r="115" hidden="1">
      <c r="A115" s="480" t="n"/>
      <c r="B115" s="351" t="inlineStr">
        <is>
          <t>LT loan for purchase</t>
        </is>
      </c>
      <c r="C115" s="1870" t="n">
        <v>0</v>
      </c>
      <c r="D115" s="1870" t="n"/>
      <c r="E115" s="1870" t="n"/>
      <c r="F115" s="1870" t="n"/>
      <c r="G115" s="1870" t="n"/>
      <c r="H115" s="1870" t="n"/>
      <c r="I115" s="1870" t="n"/>
      <c r="J115" s="1870" t="n"/>
      <c r="K115" s="1870" t="n"/>
      <c r="L115" s="1870" t="n"/>
      <c r="M115" s="1870" t="n"/>
      <c r="N115" s="1870" t="n"/>
      <c r="O115" s="1870" t="n">
        <v>0</v>
      </c>
      <c r="P115" s="1846" t="n"/>
    </row>
    <row r="116" hidden="1">
      <c r="A116" s="480" t="n"/>
      <c r="B116" s="351" t="n">
        <v>0</v>
      </c>
      <c r="C116" s="1870" t="n">
        <v>0</v>
      </c>
      <c r="D116" s="1870" t="n">
        <v>0</v>
      </c>
      <c r="E116" s="1870" t="n">
        <v>0</v>
      </c>
      <c r="F116" s="1870" t="n">
        <v>0</v>
      </c>
      <c r="G116" s="1870" t="n">
        <v>0</v>
      </c>
      <c r="H116" s="1870" t="n">
        <v>0</v>
      </c>
      <c r="I116" s="1870" t="n">
        <v>0</v>
      </c>
      <c r="J116" s="1870" t="n">
        <v>0</v>
      </c>
      <c r="K116" s="1870" t="n">
        <v>0</v>
      </c>
      <c r="L116" s="1870" t="n">
        <v>0</v>
      </c>
      <c r="M116" s="1870" t="n">
        <v>0</v>
      </c>
      <c r="N116" s="1870" t="n">
        <v>0</v>
      </c>
      <c r="O116" s="1870" t="n">
        <v>0</v>
      </c>
      <c r="P116" s="1846" t="n"/>
    </row>
    <row r="117" hidden="1">
      <c r="A117" s="480" t="n"/>
      <c r="B117" s="351" t="n">
        <v>0</v>
      </c>
      <c r="C117" s="1870" t="n">
        <v>0</v>
      </c>
      <c r="D117" s="1870" t="n">
        <v>0</v>
      </c>
      <c r="E117" s="1870" t="n">
        <v>0</v>
      </c>
      <c r="F117" s="1870" t="n">
        <v>0</v>
      </c>
      <c r="G117" s="1870" t="n">
        <v>0</v>
      </c>
      <c r="H117" s="1870" t="n">
        <v>0</v>
      </c>
      <c r="I117" s="1870" t="n">
        <v>0</v>
      </c>
      <c r="J117" s="1870" t="n">
        <v>0</v>
      </c>
      <c r="K117" s="1870" t="n">
        <v>0</v>
      </c>
      <c r="L117" s="1870" t="n">
        <v>0</v>
      </c>
      <c r="M117" s="1870" t="n">
        <v>0</v>
      </c>
      <c r="N117" s="1870" t="n">
        <v>0</v>
      </c>
      <c r="O117" s="1870" t="n">
        <v>0</v>
      </c>
      <c r="P117" s="1846" t="n"/>
    </row>
    <row r="118" hidden="1">
      <c r="A118" s="480" t="n"/>
      <c r="B118" s="351" t="n">
        <v>0</v>
      </c>
      <c r="C118" s="1870" t="n">
        <v>0</v>
      </c>
      <c r="D118" s="1870" t="n">
        <v>0</v>
      </c>
      <c r="E118" s="1870" t="n">
        <v>0</v>
      </c>
      <c r="F118" s="1870" t="n">
        <v>0</v>
      </c>
      <c r="G118" s="1870" t="n">
        <v>0</v>
      </c>
      <c r="H118" s="1870" t="n">
        <v>0</v>
      </c>
      <c r="I118" s="1870" t="n">
        <v>0</v>
      </c>
      <c r="J118" s="1870" t="n">
        <v>0</v>
      </c>
      <c r="K118" s="1870" t="n">
        <v>0</v>
      </c>
      <c r="L118" s="1870" t="n">
        <v>0</v>
      </c>
      <c r="M118" s="1870" t="n">
        <v>0</v>
      </c>
      <c r="N118" s="1870" t="n">
        <v>0</v>
      </c>
      <c r="O118" s="1870" t="n">
        <v>0</v>
      </c>
      <c r="P118" s="1846" t="n"/>
    </row>
    <row r="119" hidden="1">
      <c r="A119" s="480" t="n"/>
      <c r="B119" s="351" t="n"/>
      <c r="C119" s="1870" t="n"/>
      <c r="D119" s="1870" t="n"/>
      <c r="E119" s="1870" t="n"/>
      <c r="F119" s="1870" t="n"/>
      <c r="G119" s="1870" t="n"/>
      <c r="H119" s="1870" t="n"/>
      <c r="I119" s="1870" t="n"/>
      <c r="J119" s="1870" t="n"/>
      <c r="K119" s="1870" t="n"/>
      <c r="L119" s="1870" t="n"/>
      <c r="M119" s="1870" t="n"/>
      <c r="N119" s="1870" t="n"/>
      <c r="O119" s="1870" t="n"/>
      <c r="P119" s="1846" t="n"/>
    </row>
    <row r="120" hidden="1">
      <c r="A120" s="480" t="n"/>
      <c r="B120" s="351" t="n"/>
      <c r="C120" s="1873" t="n"/>
      <c r="D120" s="1873" t="n"/>
      <c r="E120" s="1873" t="n"/>
      <c r="F120" s="1873" t="n"/>
      <c r="G120" s="1873" t="n"/>
      <c r="H120" s="1873" t="n"/>
      <c r="I120" s="1873" t="n"/>
      <c r="J120" s="1873" t="n"/>
      <c r="K120" s="1873" t="n"/>
      <c r="L120" s="1873" t="n"/>
      <c r="M120" s="1873" t="n"/>
      <c r="N120" s="1873" t="n"/>
      <c r="O120" s="1870" t="n"/>
      <c r="P120" s="1846" t="n"/>
    </row>
    <row r="121" hidden="1">
      <c r="A121" s="480" t="n"/>
      <c r="B121" s="351" t="n"/>
      <c r="C121" s="1873" t="n"/>
      <c r="D121" s="1873" t="n"/>
      <c r="E121" s="1873" t="n"/>
      <c r="F121" s="1873" t="n"/>
      <c r="G121" s="1873" t="n"/>
      <c r="H121" s="1873" t="n"/>
      <c r="I121" s="1873" t="n"/>
      <c r="J121" s="1873" t="n"/>
      <c r="K121" s="1873" t="n"/>
      <c r="L121" s="1873" t="n"/>
      <c r="M121" s="1873" t="n"/>
      <c r="N121" s="1873" t="n"/>
      <c r="O121" s="1870" t="n"/>
      <c r="P121" s="1846" t="n"/>
    </row>
    <row r="122" hidden="1">
      <c r="A122" s="480" t="n"/>
      <c r="B122" s="351" t="n"/>
      <c r="C122" s="1870" t="n"/>
      <c r="D122" s="1870" t="n"/>
      <c r="E122" s="1870" t="n"/>
      <c r="F122" s="1870" t="n"/>
      <c r="G122" s="1870" t="n"/>
      <c r="H122" s="1870" t="n"/>
      <c r="I122" s="1870" t="n"/>
      <c r="J122" s="1870" t="n"/>
      <c r="K122" s="1870" t="n"/>
      <c r="L122" s="1870" t="n"/>
      <c r="M122" s="1870" t="n"/>
      <c r="N122" s="1870" t="n"/>
      <c r="O122" s="1870" t="n"/>
      <c r="P122" s="1846" t="n"/>
    </row>
    <row r="123" hidden="1">
      <c r="A123" s="480" t="n"/>
      <c r="B123" s="351" t="inlineStr">
        <is>
          <t>Repayment after 2021….</t>
        </is>
      </c>
      <c r="C123" s="1870" t="n"/>
      <c r="D123" s="1870" t="n"/>
      <c r="E123" s="1870" t="n"/>
      <c r="F123" s="1870" t="n"/>
      <c r="G123" s="1870" t="n"/>
      <c r="H123" s="1870" t="n"/>
      <c r="I123" s="1870" t="n"/>
      <c r="J123" s="1870" t="n"/>
      <c r="K123" s="1870" t="n"/>
      <c r="L123" s="1870" t="n"/>
      <c r="M123" s="1870" t="n"/>
      <c r="N123" s="1870" t="n"/>
      <c r="O123" s="1870" t="n"/>
      <c r="P123" s="1846" t="n"/>
    </row>
    <row r="124" hidden="1">
      <c r="A124" s="480" t="n"/>
      <c r="B124" s="351" t="n"/>
      <c r="C124" s="1873" t="n"/>
      <c r="D124" s="1873" t="n"/>
      <c r="E124" s="1873" t="n"/>
      <c r="F124" s="1873" t="n"/>
      <c r="G124" s="1873" t="n"/>
      <c r="H124" s="1873" t="n"/>
      <c r="I124" s="1873" t="n"/>
      <c r="J124" s="1873" t="n"/>
      <c r="K124" s="1873" t="n"/>
      <c r="L124" s="1873" t="n"/>
      <c r="M124" s="1873" t="n"/>
      <c r="N124" s="1873" t="n"/>
      <c r="O124" s="1873" t="n"/>
      <c r="P124" s="1846" t="n"/>
    </row>
    <row r="125" hidden="1">
      <c r="A125" s="482" t="n"/>
      <c r="B125" s="354" t="inlineStr">
        <is>
          <t>2022 Year</t>
        </is>
      </c>
      <c r="C125" s="1874" t="n">
        <v>31</v>
      </c>
      <c r="D125" s="1874" t="n">
        <v>28</v>
      </c>
      <c r="E125" s="1874" t="n">
        <v>31</v>
      </c>
      <c r="F125" s="1874" t="n">
        <v>30</v>
      </c>
      <c r="G125" s="1874" t="n">
        <v>31</v>
      </c>
      <c r="H125" s="1874" t="n">
        <v>30</v>
      </c>
      <c r="I125" s="1874" t="n">
        <v>31</v>
      </c>
      <c r="J125" s="1874" t="n">
        <v>31</v>
      </c>
      <c r="K125" s="1874" t="n">
        <v>30</v>
      </c>
      <c r="L125" s="1874" t="n">
        <v>31</v>
      </c>
      <c r="M125" s="1874" t="n">
        <v>30</v>
      </c>
      <c r="N125" s="1874" t="n">
        <v>31</v>
      </c>
      <c r="O125" s="1875" t="n">
        <v>0</v>
      </c>
      <c r="P125" s="1846" t="n"/>
    </row>
    <row r="126" hidden="1">
      <c r="A126" s="480" t="n"/>
      <c r="B126" s="351" t="n"/>
      <c r="C126" s="1873" t="n"/>
      <c r="D126" s="1873" t="n"/>
      <c r="E126" s="1873" t="n"/>
      <c r="F126" s="1873" t="n"/>
      <c r="G126" s="1873" t="n"/>
      <c r="H126" s="1873" t="n"/>
      <c r="I126" s="1873" t="n"/>
      <c r="J126" s="1873" t="n"/>
      <c r="K126" s="1873" t="n"/>
      <c r="L126" s="1873" t="n"/>
      <c r="M126" s="1873" t="n"/>
      <c r="N126" s="1873" t="n"/>
      <c r="O126" s="1873" t="n"/>
      <c r="P126" s="1846" t="n"/>
    </row>
    <row r="127" hidden="1">
      <c r="A127" s="480" t="n"/>
      <c r="B127" s="345" t="inlineStr">
        <is>
          <t>LT loan for purchase</t>
        </is>
      </c>
      <c r="C127" s="1873" t="n">
        <v>0</v>
      </c>
      <c r="D127" s="1873" t="n">
        <v>0</v>
      </c>
      <c r="E127" s="1873" t="n">
        <v>0</v>
      </c>
      <c r="F127" s="1873" t="n">
        <v>0</v>
      </c>
      <c r="G127" s="1873" t="n">
        <v>0</v>
      </c>
      <c r="H127" s="1873" t="n">
        <v>0</v>
      </c>
      <c r="I127" s="1873" t="n">
        <v>0</v>
      </c>
      <c r="J127" s="1873" t="n">
        <v>0</v>
      </c>
      <c r="K127" s="1873" t="n">
        <v>0</v>
      </c>
      <c r="L127" s="1873" t="n">
        <v>0</v>
      </c>
      <c r="M127" s="1873" t="n">
        <v>0</v>
      </c>
      <c r="N127" s="1873" t="n">
        <v>0</v>
      </c>
      <c r="O127" s="1873" t="n">
        <v>0</v>
      </c>
      <c r="P127" s="1846" t="n"/>
    </row>
    <row r="128" hidden="1">
      <c r="A128" s="480" t="n"/>
      <c r="B128" s="345" t="n">
        <v>0</v>
      </c>
      <c r="C128" s="1873" t="n">
        <v>0</v>
      </c>
      <c r="D128" s="1873" t="n">
        <v>0</v>
      </c>
      <c r="E128" s="1873" t="n">
        <v>0</v>
      </c>
      <c r="F128" s="1873" t="n">
        <v>0</v>
      </c>
      <c r="G128" s="1873" t="n">
        <v>0</v>
      </c>
      <c r="H128" s="1873" t="n">
        <v>0</v>
      </c>
      <c r="I128" s="1873" t="n">
        <v>0</v>
      </c>
      <c r="J128" s="1873" t="n">
        <v>0</v>
      </c>
      <c r="K128" s="1873" t="n">
        <v>0</v>
      </c>
      <c r="L128" s="1873" t="n">
        <v>0</v>
      </c>
      <c r="M128" s="1873" t="n">
        <v>0</v>
      </c>
      <c r="N128" s="1873" t="n">
        <v>0</v>
      </c>
      <c r="O128" s="1873" t="n">
        <v>0</v>
      </c>
      <c r="P128" s="1846" t="n"/>
    </row>
    <row r="129" hidden="1">
      <c r="A129" s="480" t="n"/>
      <c r="B129" s="345" t="n">
        <v>0</v>
      </c>
      <c r="C129" s="1873" t="n"/>
      <c r="D129" s="1873" t="n"/>
      <c r="E129" s="1873" t="n"/>
      <c r="F129" s="1873" t="n"/>
      <c r="G129" s="1873" t="n"/>
      <c r="H129" s="1873" t="n"/>
      <c r="I129" s="1873" t="n"/>
      <c r="J129" s="1873" t="n"/>
      <c r="K129" s="1873" t="n"/>
      <c r="L129" s="1873" t="n"/>
      <c r="M129" s="1873" t="n"/>
      <c r="N129" s="1873" t="n">
        <v>0</v>
      </c>
      <c r="O129" s="1873" t="n">
        <v>0</v>
      </c>
      <c r="P129" s="1846" t="n"/>
    </row>
    <row r="130" hidden="1">
      <c r="A130" s="480" t="n"/>
      <c r="B130" s="345" t="n">
        <v>0</v>
      </c>
      <c r="C130" s="1873" t="n">
        <v>0</v>
      </c>
      <c r="D130" s="1873" t="n">
        <v>0</v>
      </c>
      <c r="E130" s="1873" t="n">
        <v>0</v>
      </c>
      <c r="F130" s="1873" t="n">
        <v>0</v>
      </c>
      <c r="G130" s="1873" t="n">
        <v>0</v>
      </c>
      <c r="H130" s="1873" t="n">
        <v>0</v>
      </c>
      <c r="I130" s="1873" t="n">
        <v>0</v>
      </c>
      <c r="J130" s="1873" t="n">
        <v>0</v>
      </c>
      <c r="K130" s="1873" t="n">
        <v>0</v>
      </c>
      <c r="L130" s="1873" t="n">
        <v>0</v>
      </c>
      <c r="M130" s="1873" t="n">
        <v>0</v>
      </c>
      <c r="N130" s="1873" t="n">
        <v>0</v>
      </c>
      <c r="O130" s="1873" t="n">
        <v>0</v>
      </c>
      <c r="P130" s="1846" t="n"/>
    </row>
    <row r="131" hidden="1">
      <c r="A131" s="480" t="n"/>
      <c r="B131" s="345" t="n"/>
      <c r="C131" s="1873" t="n"/>
      <c r="D131" s="1873" t="n"/>
      <c r="E131" s="1873" t="n"/>
      <c r="F131" s="1873" t="n"/>
      <c r="G131" s="1873" t="n"/>
      <c r="H131" s="1873" t="n"/>
      <c r="I131" s="1873" t="n"/>
      <c r="J131" s="1873" t="n"/>
      <c r="K131" s="1873" t="n"/>
      <c r="L131" s="1873" t="n"/>
      <c r="M131" s="1873" t="n"/>
      <c r="N131" s="1873" t="n"/>
      <c r="O131" s="1873" t="n">
        <v>0</v>
      </c>
      <c r="P131" s="1846" t="n"/>
    </row>
    <row r="132" hidden="1">
      <c r="A132" s="480" t="n"/>
      <c r="B132" s="345" t="n"/>
      <c r="C132" s="1873" t="n"/>
      <c r="D132" s="1873" t="n"/>
      <c r="E132" s="1873" t="n"/>
      <c r="F132" s="1873" t="n"/>
      <c r="G132" s="1873" t="n"/>
      <c r="H132" s="1873" t="n"/>
      <c r="I132" s="1873" t="n"/>
      <c r="J132" s="1873" t="n"/>
      <c r="K132" s="1873" t="n"/>
      <c r="L132" s="1873" t="n"/>
      <c r="M132" s="1873" t="n"/>
      <c r="N132" s="1873" t="n"/>
      <c r="O132" s="1873" t="n">
        <v>0</v>
      </c>
      <c r="P132" s="1846" t="n"/>
    </row>
    <row r="133" hidden="1">
      <c r="A133" s="480" t="n"/>
      <c r="B133" s="357" t="inlineStr">
        <is>
          <t>ST loan</t>
        </is>
      </c>
      <c r="C133" s="1873" t="n"/>
      <c r="D133" s="1873" t="n"/>
      <c r="E133" s="1873" t="n"/>
      <c r="F133" s="1873" t="n"/>
      <c r="G133" s="1873" t="n"/>
      <c r="H133" s="1873" t="n"/>
      <c r="I133" s="1873" t="n"/>
      <c r="J133" s="1873" t="n"/>
      <c r="K133" s="1873" t="n"/>
      <c r="L133" s="1873" t="n"/>
      <c r="M133" s="1873" t="n"/>
      <c r="N133" s="1873" t="n"/>
      <c r="O133" s="1873" t="n">
        <v>0</v>
      </c>
      <c r="P133" s="1846" t="n"/>
    </row>
    <row r="134" hidden="1">
      <c r="A134" s="480" t="n"/>
      <c r="B134" s="345" t="n">
        <v>0</v>
      </c>
      <c r="C134" s="1873" t="n">
        <v>0</v>
      </c>
      <c r="D134" s="1873" t="n">
        <v>0</v>
      </c>
      <c r="E134" s="1873" t="n">
        <v>0</v>
      </c>
      <c r="F134" s="1873" t="n">
        <v>0</v>
      </c>
      <c r="G134" s="1873" t="n">
        <v>0</v>
      </c>
      <c r="H134" s="1873" t="n">
        <v>0</v>
      </c>
      <c r="I134" s="1873" t="n">
        <v>0</v>
      </c>
      <c r="J134" s="1873" t="n">
        <v>0</v>
      </c>
      <c r="K134" s="1873" t="n">
        <v>0</v>
      </c>
      <c r="L134" s="1873" t="n">
        <v>0</v>
      </c>
      <c r="M134" s="1873" t="n">
        <v>0</v>
      </c>
      <c r="N134" s="1873" t="n">
        <v>0</v>
      </c>
      <c r="O134" s="1873" t="n">
        <v>0</v>
      </c>
      <c r="P134" s="1846" t="n"/>
    </row>
    <row r="135" hidden="1">
      <c r="A135" s="480" t="n"/>
      <c r="B135" s="345" t="n">
        <v>0</v>
      </c>
      <c r="C135" s="1873" t="n">
        <v>0</v>
      </c>
      <c r="D135" s="1873" t="n">
        <v>0</v>
      </c>
      <c r="E135" s="1873" t="n">
        <v>0</v>
      </c>
      <c r="F135" s="1873" t="n">
        <v>0</v>
      </c>
      <c r="G135" s="1873" t="n">
        <v>0</v>
      </c>
      <c r="H135" s="1873" t="n">
        <v>0</v>
      </c>
      <c r="I135" s="1873" t="n">
        <v>0</v>
      </c>
      <c r="J135" s="1873" t="n">
        <v>0</v>
      </c>
      <c r="K135" s="1873" t="n">
        <v>0</v>
      </c>
      <c r="L135" s="1873" t="n">
        <v>0</v>
      </c>
      <c r="M135" s="1873" t="n">
        <v>0</v>
      </c>
      <c r="N135" s="1873" t="n">
        <v>0</v>
      </c>
      <c r="O135" s="1873" t="n">
        <v>0</v>
      </c>
      <c r="P135" s="1846" t="n"/>
    </row>
    <row r="136" hidden="1">
      <c r="A136" s="480" t="n"/>
      <c r="B136" s="345" t="n">
        <v>0</v>
      </c>
      <c r="C136" s="1873" t="n">
        <v>0</v>
      </c>
      <c r="D136" s="1873" t="n">
        <v>0</v>
      </c>
      <c r="E136" s="1873" t="n">
        <v>0</v>
      </c>
      <c r="F136" s="1873" t="n">
        <v>0</v>
      </c>
      <c r="G136" s="1873" t="n">
        <v>0</v>
      </c>
      <c r="H136" s="1873" t="n">
        <v>0</v>
      </c>
      <c r="I136" s="1873" t="n">
        <v>0</v>
      </c>
      <c r="J136" s="1873" t="n">
        <v>0</v>
      </c>
      <c r="K136" s="1873" t="n">
        <v>0</v>
      </c>
      <c r="L136" s="1873" t="n">
        <v>0</v>
      </c>
      <c r="M136" s="1873" t="n">
        <v>0</v>
      </c>
      <c r="N136" s="1873" t="n">
        <v>0</v>
      </c>
      <c r="O136" s="1873" t="n">
        <v>0</v>
      </c>
      <c r="P136" s="1846" t="n"/>
    </row>
    <row r="137" hidden="1">
      <c r="A137" s="480" t="n"/>
      <c r="B137" s="345" t="n">
        <v>0</v>
      </c>
      <c r="C137" s="1873" t="n">
        <v>0</v>
      </c>
      <c r="D137" s="1873" t="n">
        <v>0</v>
      </c>
      <c r="E137" s="1873" t="n">
        <v>0</v>
      </c>
      <c r="F137" s="1873" t="n">
        <v>0</v>
      </c>
      <c r="G137" s="1873" t="n">
        <v>0</v>
      </c>
      <c r="H137" s="1873" t="n">
        <v>0</v>
      </c>
      <c r="I137" s="1873" t="n">
        <v>0</v>
      </c>
      <c r="J137" s="1873" t="n">
        <v>0</v>
      </c>
      <c r="K137" s="1873" t="n">
        <v>0</v>
      </c>
      <c r="L137" s="1873" t="n">
        <v>0</v>
      </c>
      <c r="M137" s="1873" t="n">
        <v>0</v>
      </c>
      <c r="N137" s="1873" t="n">
        <v>0</v>
      </c>
      <c r="O137" s="1873" t="n">
        <v>0</v>
      </c>
      <c r="P137" s="1846" t="n"/>
    </row>
    <row r="138" hidden="1">
      <c r="A138" s="480" t="n"/>
      <c r="B138" s="345" t="n">
        <v>0</v>
      </c>
      <c r="C138" s="1873" t="n">
        <v>0</v>
      </c>
      <c r="D138" s="1873" t="n">
        <v>0</v>
      </c>
      <c r="E138" s="1873" t="n">
        <v>0</v>
      </c>
      <c r="F138" s="1873" t="n">
        <v>0</v>
      </c>
      <c r="G138" s="1873" t="n">
        <v>0</v>
      </c>
      <c r="H138" s="1873" t="n">
        <v>0</v>
      </c>
      <c r="I138" s="1873" t="n">
        <v>0</v>
      </c>
      <c r="J138" s="1873" t="n">
        <v>0</v>
      </c>
      <c r="K138" s="1873" t="n">
        <v>0</v>
      </c>
      <c r="L138" s="1873" t="n">
        <v>0</v>
      </c>
      <c r="M138" s="1873" t="n">
        <v>0</v>
      </c>
      <c r="N138" s="1873" t="n">
        <v>0</v>
      </c>
      <c r="O138" s="1873" t="n">
        <v>0</v>
      </c>
      <c r="P138" s="1846" t="n"/>
    </row>
    <row r="139" hidden="1">
      <c r="A139" s="480" t="n"/>
      <c r="B139" s="345" t="n">
        <v>0</v>
      </c>
      <c r="C139" s="1873" t="n">
        <v>0</v>
      </c>
      <c r="D139" s="1873" t="n">
        <v>0</v>
      </c>
      <c r="E139" s="1873" t="n">
        <v>0</v>
      </c>
      <c r="F139" s="1873" t="n">
        <v>0</v>
      </c>
      <c r="G139" s="1873" t="n">
        <v>0</v>
      </c>
      <c r="H139" s="1873" t="n">
        <v>0</v>
      </c>
      <c r="I139" s="1873" t="n">
        <v>0</v>
      </c>
      <c r="J139" s="1873" t="n">
        <v>0</v>
      </c>
      <c r="K139" s="1873" t="n">
        <v>0</v>
      </c>
      <c r="L139" s="1873" t="n">
        <v>0</v>
      </c>
      <c r="M139" s="1873" t="n">
        <v>0</v>
      </c>
      <c r="N139" s="1873" t="n">
        <v>0</v>
      </c>
      <c r="O139" s="1873" t="n">
        <v>0</v>
      </c>
      <c r="P139" s="1846" t="n"/>
    </row>
    <row r="140" hidden="1">
      <c r="A140" s="480" t="n"/>
      <c r="B140" s="345" t="n">
        <v>0</v>
      </c>
      <c r="C140" s="1873" t="n">
        <v>0</v>
      </c>
      <c r="D140" s="1873" t="n">
        <v>0</v>
      </c>
      <c r="E140" s="1873" t="n">
        <v>0</v>
      </c>
      <c r="F140" s="1873" t="n">
        <v>0</v>
      </c>
      <c r="G140" s="1873" t="n">
        <v>0</v>
      </c>
      <c r="H140" s="1873" t="n">
        <v>0</v>
      </c>
      <c r="I140" s="1873" t="n">
        <v>0</v>
      </c>
      <c r="J140" s="1873" t="n">
        <v>0</v>
      </c>
      <c r="K140" s="1873" t="n">
        <v>0</v>
      </c>
      <c r="L140" s="1873" t="n">
        <v>0</v>
      </c>
      <c r="M140" s="1873" t="n">
        <v>0</v>
      </c>
      <c r="N140" s="1873" t="n">
        <v>0</v>
      </c>
      <c r="O140" s="1873" t="n">
        <v>0</v>
      </c>
      <c r="P140" s="1846" t="n"/>
    </row>
    <row r="141" hidden="1">
      <c r="A141" s="480" t="n"/>
      <c r="B141" s="345" t="n">
        <v>0</v>
      </c>
      <c r="C141" s="1873" t="n">
        <v>0</v>
      </c>
      <c r="D141" s="1873" t="n">
        <v>0</v>
      </c>
      <c r="E141" s="1873" t="n">
        <v>0</v>
      </c>
      <c r="F141" s="1873" t="n">
        <v>0</v>
      </c>
      <c r="G141" s="1873" t="n">
        <v>0</v>
      </c>
      <c r="H141" s="1873" t="n">
        <v>0</v>
      </c>
      <c r="I141" s="1873" t="n">
        <v>0</v>
      </c>
      <c r="J141" s="1873" t="n">
        <v>0</v>
      </c>
      <c r="K141" s="1873" t="n">
        <v>0</v>
      </c>
      <c r="L141" s="1873" t="n">
        <v>0</v>
      </c>
      <c r="M141" s="1873" t="n">
        <v>0</v>
      </c>
      <c r="N141" s="1873" t="n">
        <v>0</v>
      </c>
      <c r="O141" s="1873" t="n">
        <v>0</v>
      </c>
      <c r="P141" s="1846" t="n"/>
    </row>
    <row r="142" hidden="1">
      <c r="A142" s="480" t="n"/>
      <c r="B142" s="345" t="n">
        <v>0</v>
      </c>
      <c r="C142" s="1873" t="n">
        <v>0</v>
      </c>
      <c r="D142" s="1873" t="n">
        <v>0</v>
      </c>
      <c r="E142" s="1873" t="n">
        <v>0</v>
      </c>
      <c r="F142" s="1873" t="n">
        <v>0</v>
      </c>
      <c r="G142" s="1873" t="n">
        <v>0</v>
      </c>
      <c r="H142" s="1873" t="n">
        <v>0</v>
      </c>
      <c r="I142" s="1873" t="n">
        <v>0</v>
      </c>
      <c r="J142" s="1873" t="n">
        <v>0</v>
      </c>
      <c r="K142" s="1873" t="n">
        <v>0</v>
      </c>
      <c r="L142" s="1873" t="n">
        <v>0</v>
      </c>
      <c r="M142" s="1873" t="n">
        <v>0</v>
      </c>
      <c r="N142" s="1873" t="n">
        <v>0</v>
      </c>
      <c r="O142" s="1873" t="n">
        <v>0</v>
      </c>
      <c r="P142" s="1846" t="n"/>
    </row>
    <row r="143" hidden="1">
      <c r="A143" s="480" t="n"/>
      <c r="B143" s="345" t="n">
        <v>0</v>
      </c>
      <c r="C143" s="1873" t="n">
        <v>0</v>
      </c>
      <c r="D143" s="1873" t="n">
        <v>0</v>
      </c>
      <c r="E143" s="1873" t="n">
        <v>0</v>
      </c>
      <c r="F143" s="1873" t="n">
        <v>0</v>
      </c>
      <c r="G143" s="1873" t="n">
        <v>0</v>
      </c>
      <c r="H143" s="1873" t="n">
        <v>0</v>
      </c>
      <c r="I143" s="1873" t="n">
        <v>0</v>
      </c>
      <c r="J143" s="1873" t="n">
        <v>0</v>
      </c>
      <c r="K143" s="1873" t="n">
        <v>0</v>
      </c>
      <c r="L143" s="1873" t="n">
        <v>0</v>
      </c>
      <c r="M143" s="1873" t="n">
        <v>0</v>
      </c>
      <c r="N143" s="1873" t="n">
        <v>0</v>
      </c>
      <c r="O143" s="1873" t="n">
        <v>0</v>
      </c>
      <c r="P143" s="1846" t="n"/>
    </row>
    <row r="144" hidden="1">
      <c r="A144" s="480" t="n"/>
      <c r="B144" s="345" t="n">
        <v>0</v>
      </c>
      <c r="C144" s="1873" t="n">
        <v>0</v>
      </c>
      <c r="D144" s="1873" t="n">
        <v>0</v>
      </c>
      <c r="E144" s="1873" t="n">
        <v>0</v>
      </c>
      <c r="F144" s="1873" t="n">
        <v>0</v>
      </c>
      <c r="G144" s="1873" t="n">
        <v>0</v>
      </c>
      <c r="H144" s="1873" t="n">
        <v>0</v>
      </c>
      <c r="I144" s="1873" t="n">
        <v>0</v>
      </c>
      <c r="J144" s="1873" t="n">
        <v>0</v>
      </c>
      <c r="K144" s="1873" t="n">
        <v>0</v>
      </c>
      <c r="L144" s="1873" t="n">
        <v>0</v>
      </c>
      <c r="M144" s="1873" t="n">
        <v>0</v>
      </c>
      <c r="N144" s="1873" t="n">
        <v>0</v>
      </c>
      <c r="O144" s="1873" t="n">
        <v>0</v>
      </c>
      <c r="P144" s="1846" t="n"/>
    </row>
    <row r="145" hidden="1">
      <c r="A145" s="480" t="n"/>
      <c r="B145" s="345" t="n">
        <v>0</v>
      </c>
      <c r="C145" s="1873" t="n">
        <v>0</v>
      </c>
      <c r="D145" s="1873" t="n">
        <v>0</v>
      </c>
      <c r="E145" s="1873" t="n">
        <v>0</v>
      </c>
      <c r="F145" s="1873" t="n">
        <v>0</v>
      </c>
      <c r="G145" s="1873" t="n">
        <v>0</v>
      </c>
      <c r="H145" s="1873" t="n">
        <v>0</v>
      </c>
      <c r="I145" s="1873" t="n">
        <v>0</v>
      </c>
      <c r="J145" s="1873" t="n">
        <v>0</v>
      </c>
      <c r="K145" s="1873" t="n">
        <v>0</v>
      </c>
      <c r="L145" s="1873" t="n">
        <v>0</v>
      </c>
      <c r="M145" s="1873" t="n">
        <v>0</v>
      </c>
      <c r="N145" s="1873" t="n">
        <v>0</v>
      </c>
      <c r="O145" s="1873" t="n">
        <v>0</v>
      </c>
      <c r="P145" s="1846" t="n"/>
    </row>
    <row r="146" hidden="1">
      <c r="A146" s="480" t="n"/>
      <c r="B146" s="345" t="n">
        <v>0</v>
      </c>
      <c r="C146" s="1873" t="n">
        <v>0</v>
      </c>
      <c r="D146" s="1873" t="n">
        <v>0</v>
      </c>
      <c r="E146" s="1873" t="n">
        <v>0</v>
      </c>
      <c r="F146" s="1873" t="n">
        <v>0</v>
      </c>
      <c r="G146" s="1873" t="n">
        <v>0</v>
      </c>
      <c r="H146" s="1873" t="n">
        <v>0</v>
      </c>
      <c r="I146" s="1873" t="n">
        <v>0</v>
      </c>
      <c r="J146" s="1873" t="n">
        <v>0</v>
      </c>
      <c r="K146" s="1873" t="n">
        <v>0</v>
      </c>
      <c r="L146" s="1873" t="n">
        <v>0</v>
      </c>
      <c r="M146" s="1873" t="n">
        <v>0</v>
      </c>
      <c r="N146" s="1873" t="n">
        <v>0</v>
      </c>
      <c r="O146" s="1873" t="n">
        <v>0</v>
      </c>
      <c r="P146" s="1846" t="n"/>
    </row>
    <row r="147" hidden="1">
      <c r="A147" s="480" t="n"/>
      <c r="B147" s="345" t="n">
        <v>0</v>
      </c>
      <c r="C147" s="1873" t="n">
        <v>0</v>
      </c>
      <c r="D147" s="1873" t="n">
        <v>0</v>
      </c>
      <c r="E147" s="1873" t="n">
        <v>0</v>
      </c>
      <c r="F147" s="1873" t="n">
        <v>0</v>
      </c>
      <c r="G147" s="1873" t="n">
        <v>0</v>
      </c>
      <c r="H147" s="1873" t="n">
        <v>0</v>
      </c>
      <c r="I147" s="1873" t="n">
        <v>0</v>
      </c>
      <c r="J147" s="1873" t="n">
        <v>0</v>
      </c>
      <c r="K147" s="1873" t="n">
        <v>0</v>
      </c>
      <c r="L147" s="1873" t="n">
        <v>0</v>
      </c>
      <c r="M147" s="1873" t="n">
        <v>0</v>
      </c>
      <c r="N147" s="1873" t="n">
        <v>0</v>
      </c>
      <c r="O147" s="1873" t="n">
        <v>0</v>
      </c>
      <c r="P147" s="1846" t="n"/>
    </row>
    <row r="148" hidden="1">
      <c r="A148" s="480" t="n"/>
      <c r="B148" s="345" t="n">
        <v>0</v>
      </c>
      <c r="C148" s="1873" t="n">
        <v>0</v>
      </c>
      <c r="D148" s="1873" t="n">
        <v>0</v>
      </c>
      <c r="E148" s="1873" t="n">
        <v>0</v>
      </c>
      <c r="F148" s="1873" t="n">
        <v>0</v>
      </c>
      <c r="G148" s="1873" t="n">
        <v>0</v>
      </c>
      <c r="H148" s="1873" t="n">
        <v>0</v>
      </c>
      <c r="I148" s="1873" t="n">
        <v>0</v>
      </c>
      <c r="J148" s="1873" t="n">
        <v>0</v>
      </c>
      <c r="K148" s="1873" t="n">
        <v>0</v>
      </c>
      <c r="L148" s="1873" t="n">
        <v>0</v>
      </c>
      <c r="M148" s="1873" t="n">
        <v>0</v>
      </c>
      <c r="N148" s="1873" t="n">
        <v>0</v>
      </c>
      <c r="O148" s="1873" t="n">
        <v>0</v>
      </c>
      <c r="P148" s="1846" t="n"/>
    </row>
    <row r="149" hidden="1">
      <c r="A149" s="480" t="n"/>
      <c r="B149" s="345" t="n">
        <v>0</v>
      </c>
      <c r="C149" s="1873" t="n">
        <v>0</v>
      </c>
      <c r="D149" s="1873" t="n">
        <v>0</v>
      </c>
      <c r="E149" s="1873" t="n">
        <v>0</v>
      </c>
      <c r="F149" s="1873" t="n">
        <v>0</v>
      </c>
      <c r="G149" s="1873" t="n">
        <v>0</v>
      </c>
      <c r="H149" s="1873" t="n">
        <v>0</v>
      </c>
      <c r="I149" s="1873" t="n">
        <v>0</v>
      </c>
      <c r="J149" s="1873" t="n">
        <v>0</v>
      </c>
      <c r="K149" s="1873" t="n">
        <v>0</v>
      </c>
      <c r="L149" s="1873" t="n">
        <v>0</v>
      </c>
      <c r="M149" s="1873" t="n">
        <v>0</v>
      </c>
      <c r="N149" s="1873" t="n">
        <v>0</v>
      </c>
      <c r="O149" s="1873" t="n">
        <v>0</v>
      </c>
      <c r="P149" s="1846" t="n"/>
    </row>
    <row r="150" hidden="1">
      <c r="A150" s="480" t="n"/>
      <c r="B150" s="345" t="n">
        <v>0</v>
      </c>
      <c r="C150" s="1873" t="n">
        <v>0</v>
      </c>
      <c r="D150" s="1873" t="n">
        <v>0</v>
      </c>
      <c r="E150" s="1873" t="n">
        <v>0</v>
      </c>
      <c r="F150" s="1873" t="n">
        <v>0</v>
      </c>
      <c r="G150" s="1873" t="n">
        <v>0</v>
      </c>
      <c r="H150" s="1873" t="n">
        <v>0</v>
      </c>
      <c r="I150" s="1873" t="n">
        <v>0</v>
      </c>
      <c r="J150" s="1873" t="n">
        <v>0</v>
      </c>
      <c r="K150" s="1873" t="n">
        <v>0</v>
      </c>
      <c r="L150" s="1873" t="n">
        <v>0</v>
      </c>
      <c r="M150" s="1873" t="n">
        <v>0</v>
      </c>
      <c r="N150" s="1873" t="n">
        <v>0</v>
      </c>
      <c r="O150" s="1873" t="n">
        <v>0</v>
      </c>
      <c r="P150" s="1846" t="n"/>
    </row>
    <row r="151" hidden="1">
      <c r="A151" s="480" t="n"/>
      <c r="B151" s="345" t="n">
        <v>0</v>
      </c>
      <c r="C151" s="1873" t="n">
        <v>0</v>
      </c>
      <c r="D151" s="1873" t="n">
        <v>0</v>
      </c>
      <c r="E151" s="1873" t="n">
        <v>0</v>
      </c>
      <c r="F151" s="1873" t="n">
        <v>0</v>
      </c>
      <c r="G151" s="1873" t="n">
        <v>0</v>
      </c>
      <c r="H151" s="1873" t="n">
        <v>0</v>
      </c>
      <c r="I151" s="1873" t="n">
        <v>0</v>
      </c>
      <c r="J151" s="1873" t="n">
        <v>0</v>
      </c>
      <c r="K151" s="1873" t="n">
        <v>0</v>
      </c>
      <c r="L151" s="1873" t="n">
        <v>0</v>
      </c>
      <c r="M151" s="1873" t="n">
        <v>0</v>
      </c>
      <c r="N151" s="1873" t="n">
        <v>0</v>
      </c>
      <c r="O151" s="1873" t="n">
        <v>0</v>
      </c>
      <c r="P151" s="1846" t="n"/>
    </row>
    <row r="152" hidden="1">
      <c r="A152" s="480" t="n"/>
      <c r="B152" s="345" t="n">
        <v>0</v>
      </c>
      <c r="C152" s="1873" t="n">
        <v>0</v>
      </c>
      <c r="D152" s="1873" t="n">
        <v>0</v>
      </c>
      <c r="E152" s="1873" t="n">
        <v>0</v>
      </c>
      <c r="F152" s="1873" t="n">
        <v>0</v>
      </c>
      <c r="G152" s="1873" t="n">
        <v>0</v>
      </c>
      <c r="H152" s="1873" t="n">
        <v>0</v>
      </c>
      <c r="I152" s="1873" t="n">
        <v>0</v>
      </c>
      <c r="J152" s="1873" t="n">
        <v>0</v>
      </c>
      <c r="K152" s="1873" t="n">
        <v>0</v>
      </c>
      <c r="L152" s="1873" t="n">
        <v>0</v>
      </c>
      <c r="M152" s="1873" t="n">
        <v>0</v>
      </c>
      <c r="N152" s="1873" t="n">
        <v>0</v>
      </c>
      <c r="O152" s="1873" t="n">
        <v>0</v>
      </c>
      <c r="P152" s="1846" t="n"/>
    </row>
    <row r="153" hidden="1">
      <c r="A153" s="480" t="n"/>
      <c r="B153" s="351" t="n"/>
      <c r="C153" s="1873" t="n"/>
      <c r="D153" s="1873" t="n"/>
      <c r="E153" s="1873" t="n"/>
      <c r="F153" s="1873" t="n"/>
      <c r="G153" s="1873" t="n"/>
      <c r="H153" s="1873" t="n"/>
      <c r="I153" s="1873" t="n"/>
      <c r="J153" s="1873" t="n"/>
      <c r="K153" s="1873" t="n"/>
      <c r="L153" s="1873" t="n"/>
      <c r="M153" s="1873" t="n"/>
      <c r="N153" s="1873" t="n"/>
      <c r="O153" s="1873" t="n"/>
      <c r="P153" s="1846" t="n"/>
    </row>
    <row r="154" hidden="1">
      <c r="A154" s="482" t="n"/>
      <c r="B154" s="354" t="inlineStr">
        <is>
          <t>2022 Year</t>
        </is>
      </c>
      <c r="C154" s="1874" t="n">
        <v>31</v>
      </c>
      <c r="D154" s="1874" t="n">
        <v>28</v>
      </c>
      <c r="E154" s="1874" t="n">
        <v>31</v>
      </c>
      <c r="F154" s="1874" t="n">
        <v>30</v>
      </c>
      <c r="G154" s="1874" t="n">
        <v>31</v>
      </c>
      <c r="H154" s="1874" t="n">
        <v>30</v>
      </c>
      <c r="I154" s="1874" t="n">
        <v>31</v>
      </c>
      <c r="J154" s="1874" t="n">
        <v>31</v>
      </c>
      <c r="K154" s="1874" t="n">
        <v>30</v>
      </c>
      <c r="L154" s="1874" t="n">
        <v>31</v>
      </c>
      <c r="M154" s="1874" t="n">
        <v>30</v>
      </c>
      <c r="N154" s="1874" t="n">
        <v>31</v>
      </c>
      <c r="O154" s="1875" t="n">
        <v>0</v>
      </c>
      <c r="P154" s="1846" t="n"/>
    </row>
    <row r="155" hidden="1">
      <c r="A155" s="480" t="n"/>
      <c r="B155" s="351" t="n"/>
      <c r="C155" s="1873" t="n"/>
      <c r="D155" s="1873" t="n"/>
      <c r="E155" s="1873" t="n"/>
      <c r="F155" s="1873" t="n"/>
      <c r="G155" s="1873" t="n"/>
      <c r="H155" s="1873" t="n"/>
      <c r="I155" s="1873" t="n"/>
      <c r="J155" s="1873" t="n"/>
      <c r="K155" s="1873" t="n"/>
      <c r="L155" s="1873" t="n"/>
      <c r="M155" s="1873" t="n"/>
      <c r="N155" s="1873" t="n"/>
      <c r="O155" s="1873" t="n"/>
      <c r="P155" s="1846" t="n"/>
    </row>
    <row r="156" hidden="1">
      <c r="A156" s="480" t="n"/>
      <c r="B156" s="345" t="inlineStr">
        <is>
          <t>LT loan for purchase</t>
        </is>
      </c>
      <c r="C156" s="1873" t="n">
        <v>0</v>
      </c>
      <c r="D156" s="1873" t="n">
        <v>0</v>
      </c>
      <c r="E156" s="1873" t="n">
        <v>0</v>
      </c>
      <c r="F156" s="1873" t="n">
        <v>0</v>
      </c>
      <c r="G156" s="1873" t="n">
        <v>0</v>
      </c>
      <c r="H156" s="1873" t="n">
        <v>0</v>
      </c>
      <c r="I156" s="1873" t="n">
        <v>0</v>
      </c>
      <c r="J156" s="1873" t="n">
        <v>0</v>
      </c>
      <c r="K156" s="1873" t="n">
        <v>0</v>
      </c>
      <c r="L156" s="1873" t="n">
        <v>0</v>
      </c>
      <c r="M156" s="1873" t="n">
        <v>0</v>
      </c>
      <c r="N156" s="1873" t="n">
        <v>0</v>
      </c>
      <c r="O156" s="1873" t="n">
        <v>0</v>
      </c>
      <c r="P156" s="1846" t="n"/>
    </row>
    <row r="157" hidden="1">
      <c r="A157" s="480" t="n"/>
      <c r="B157" s="345" t="n">
        <v>0</v>
      </c>
      <c r="C157" s="1873" t="n">
        <v>0</v>
      </c>
      <c r="D157" s="1873" t="n">
        <v>0</v>
      </c>
      <c r="E157" s="1873" t="n">
        <v>0</v>
      </c>
      <c r="F157" s="1873" t="n">
        <v>0</v>
      </c>
      <c r="G157" s="1873" t="n">
        <v>0</v>
      </c>
      <c r="H157" s="1873" t="n">
        <v>0</v>
      </c>
      <c r="I157" s="1873" t="n">
        <v>0</v>
      </c>
      <c r="J157" s="1873" t="n">
        <v>0</v>
      </c>
      <c r="K157" s="1873" t="n">
        <v>0</v>
      </c>
      <c r="L157" s="1873" t="n">
        <v>0</v>
      </c>
      <c r="M157" s="1873" t="n">
        <v>0</v>
      </c>
      <c r="N157" s="1873" t="n">
        <v>0</v>
      </c>
      <c r="O157" s="1873" t="n">
        <v>0</v>
      </c>
      <c r="P157" s="1846" t="n"/>
    </row>
    <row r="158" hidden="1">
      <c r="A158" s="480" t="n"/>
      <c r="B158" s="345" t="n">
        <v>0</v>
      </c>
      <c r="C158" s="1873" t="n">
        <v>0</v>
      </c>
      <c r="D158" s="1873" t="n">
        <v>0</v>
      </c>
      <c r="E158" s="1873" t="n">
        <v>0</v>
      </c>
      <c r="F158" s="1873" t="n">
        <v>0</v>
      </c>
      <c r="G158" s="1873" t="n">
        <v>0</v>
      </c>
      <c r="H158" s="1873" t="n">
        <v>0</v>
      </c>
      <c r="I158" s="1873" t="n">
        <v>0</v>
      </c>
      <c r="J158" s="1873" t="n">
        <v>0</v>
      </c>
      <c r="K158" s="1873" t="n">
        <v>0</v>
      </c>
      <c r="L158" s="1873" t="n">
        <v>0</v>
      </c>
      <c r="M158" s="1873" t="n">
        <v>0</v>
      </c>
      <c r="N158" s="1873" t="n">
        <v>0</v>
      </c>
      <c r="O158" s="1873" t="n">
        <v>0</v>
      </c>
      <c r="P158" s="1846" t="n"/>
    </row>
    <row r="159" hidden="1">
      <c r="A159" s="480" t="n"/>
      <c r="B159" s="345" t="n">
        <v>0</v>
      </c>
      <c r="C159" s="1873" t="n">
        <v>0</v>
      </c>
      <c r="D159" s="1873" t="n">
        <v>0</v>
      </c>
      <c r="E159" s="1873" t="n">
        <v>0</v>
      </c>
      <c r="F159" s="1873" t="n">
        <v>0</v>
      </c>
      <c r="G159" s="1873" t="n">
        <v>0</v>
      </c>
      <c r="H159" s="1873" t="n">
        <v>0</v>
      </c>
      <c r="I159" s="1873" t="n">
        <v>0</v>
      </c>
      <c r="J159" s="1873" t="n">
        <v>0</v>
      </c>
      <c r="K159" s="1873" t="n">
        <v>0</v>
      </c>
      <c r="L159" s="1873" t="n">
        <v>0</v>
      </c>
      <c r="M159" s="1873" t="n">
        <v>0</v>
      </c>
      <c r="N159" s="1873" t="n">
        <v>0</v>
      </c>
      <c r="O159" s="1873" t="n">
        <v>0</v>
      </c>
      <c r="P159" s="1846" t="n"/>
    </row>
    <row r="160" hidden="1">
      <c r="A160" s="480" t="n"/>
      <c r="B160" s="345" t="n"/>
      <c r="C160" s="1873" t="n"/>
      <c r="D160" s="1873" t="n"/>
      <c r="E160" s="1873" t="n"/>
      <c r="F160" s="1873" t="n"/>
      <c r="G160" s="1873" t="n"/>
      <c r="H160" s="1873" t="n"/>
      <c r="I160" s="1873" t="n"/>
      <c r="J160" s="1873" t="n"/>
      <c r="K160" s="1873" t="n"/>
      <c r="L160" s="1873" t="n"/>
      <c r="M160" s="1873" t="n"/>
      <c r="N160" s="1873" t="n"/>
      <c r="O160" s="1873" t="n"/>
      <c r="P160" s="1846" t="n"/>
    </row>
    <row r="161" hidden="1">
      <c r="A161" s="480" t="n"/>
      <c r="B161" s="345" t="n"/>
      <c r="C161" s="1873" t="n"/>
      <c r="D161" s="1873" t="n"/>
      <c r="E161" s="1873" t="n"/>
      <c r="F161" s="1873" t="n"/>
      <c r="G161" s="1873" t="n"/>
      <c r="H161" s="1873" t="n"/>
      <c r="I161" s="1873" t="n"/>
      <c r="J161" s="1873" t="n"/>
      <c r="K161" s="1873" t="n"/>
      <c r="L161" s="1873" t="n"/>
      <c r="M161" s="1873" t="n"/>
      <c r="N161" s="1873" t="n"/>
      <c r="O161" s="1873" t="n"/>
      <c r="P161" s="1846" t="n"/>
    </row>
    <row r="162" hidden="1">
      <c r="A162" s="480" t="n"/>
      <c r="B162" s="357" t="inlineStr">
        <is>
          <t>ST loan</t>
        </is>
      </c>
      <c r="C162" s="1873" t="n">
        <v>0</v>
      </c>
      <c r="D162" s="1873" t="n">
        <v>0</v>
      </c>
      <c r="E162" s="1873" t="n">
        <v>0</v>
      </c>
      <c r="F162" s="1873" t="n">
        <v>0</v>
      </c>
      <c r="G162" s="1873" t="n">
        <v>0</v>
      </c>
      <c r="H162" s="1873" t="n">
        <v>0</v>
      </c>
      <c r="I162" s="1873" t="n">
        <v>0</v>
      </c>
      <c r="J162" s="1873" t="n">
        <v>0</v>
      </c>
      <c r="K162" s="1873" t="n">
        <v>0</v>
      </c>
      <c r="L162" s="1873" t="n">
        <v>0</v>
      </c>
      <c r="M162" s="1873" t="n">
        <v>0</v>
      </c>
      <c r="N162" s="1873" t="n">
        <v>0</v>
      </c>
      <c r="O162" s="1873" t="n"/>
      <c r="P162" s="1846" t="n"/>
    </row>
    <row r="163" hidden="1">
      <c r="A163" s="480" t="n"/>
      <c r="B163" s="345" t="n">
        <v>0</v>
      </c>
      <c r="C163" s="1873" t="n">
        <v>0</v>
      </c>
      <c r="D163" s="1873" t="n">
        <v>0</v>
      </c>
      <c r="E163" s="1873" t="n">
        <v>0</v>
      </c>
      <c r="F163" s="1873" t="n">
        <v>0</v>
      </c>
      <c r="G163" s="1873" t="n">
        <v>0</v>
      </c>
      <c r="H163" s="1873" t="n">
        <v>0</v>
      </c>
      <c r="I163" s="1873" t="n">
        <v>0</v>
      </c>
      <c r="J163" s="1873" t="n">
        <v>0</v>
      </c>
      <c r="K163" s="1873" t="n">
        <v>0</v>
      </c>
      <c r="L163" s="1873" t="n">
        <v>0</v>
      </c>
      <c r="M163" s="1873" t="n">
        <v>0</v>
      </c>
      <c r="N163" s="1873" t="n">
        <v>0</v>
      </c>
      <c r="O163" s="1873" t="n">
        <v>0</v>
      </c>
      <c r="P163" s="1846" t="n"/>
    </row>
    <row r="164" hidden="1">
      <c r="A164" s="480" t="n"/>
      <c r="B164" s="345" t="n">
        <v>0</v>
      </c>
      <c r="C164" s="1873" t="n">
        <v>0</v>
      </c>
      <c r="D164" s="1873" t="n">
        <v>0</v>
      </c>
      <c r="E164" s="1873" t="n">
        <v>0</v>
      </c>
      <c r="F164" s="1873" t="n">
        <v>0</v>
      </c>
      <c r="G164" s="1873" t="n">
        <v>0</v>
      </c>
      <c r="H164" s="1873" t="n">
        <v>0</v>
      </c>
      <c r="I164" s="1873" t="n">
        <v>0</v>
      </c>
      <c r="J164" s="1873" t="n">
        <v>0</v>
      </c>
      <c r="K164" s="1873" t="n">
        <v>0</v>
      </c>
      <c r="L164" s="1873" t="n">
        <v>0</v>
      </c>
      <c r="M164" s="1873" t="n">
        <v>0</v>
      </c>
      <c r="N164" s="1873" t="n">
        <v>0</v>
      </c>
      <c r="O164" s="1873" t="n">
        <v>0</v>
      </c>
      <c r="P164" s="1846" t="n"/>
    </row>
    <row r="165" hidden="1">
      <c r="A165" s="480" t="n"/>
      <c r="B165" s="345" t="n">
        <v>0</v>
      </c>
      <c r="C165" s="1873" t="n">
        <v>0</v>
      </c>
      <c r="D165" s="1873" t="n">
        <v>0</v>
      </c>
      <c r="E165" s="1873" t="n">
        <v>0</v>
      </c>
      <c r="F165" s="1873" t="n">
        <v>0</v>
      </c>
      <c r="G165" s="1873" t="n">
        <v>0</v>
      </c>
      <c r="H165" s="1873" t="n">
        <v>0</v>
      </c>
      <c r="I165" s="1873" t="n">
        <v>0</v>
      </c>
      <c r="J165" s="1873" t="n">
        <v>0</v>
      </c>
      <c r="K165" s="1873" t="n">
        <v>0</v>
      </c>
      <c r="L165" s="1873" t="n">
        <v>0</v>
      </c>
      <c r="M165" s="1873" t="n">
        <v>0</v>
      </c>
      <c r="N165" s="1873" t="n">
        <v>0</v>
      </c>
      <c r="O165" s="1873" t="n">
        <v>0</v>
      </c>
      <c r="P165" s="1846" t="n"/>
    </row>
    <row r="166" hidden="1">
      <c r="A166" s="480" t="n"/>
      <c r="B166" s="345" t="n">
        <v>0</v>
      </c>
      <c r="C166" s="1873" t="n">
        <v>0</v>
      </c>
      <c r="D166" s="1873" t="n">
        <v>0</v>
      </c>
      <c r="E166" s="1873" t="n">
        <v>0</v>
      </c>
      <c r="F166" s="1873" t="n">
        <v>0</v>
      </c>
      <c r="G166" s="1873" t="n">
        <v>0</v>
      </c>
      <c r="H166" s="1873" t="n">
        <v>0</v>
      </c>
      <c r="I166" s="1873" t="n">
        <v>0</v>
      </c>
      <c r="J166" s="1873" t="n">
        <v>0</v>
      </c>
      <c r="K166" s="1873" t="n">
        <v>0</v>
      </c>
      <c r="L166" s="1873" t="n">
        <v>0</v>
      </c>
      <c r="M166" s="1873" t="n">
        <v>0</v>
      </c>
      <c r="N166" s="1873" t="n">
        <v>0</v>
      </c>
      <c r="O166" s="1873" t="n">
        <v>0</v>
      </c>
      <c r="P166" s="1846" t="n"/>
    </row>
    <row r="167" hidden="1">
      <c r="A167" s="480" t="n"/>
      <c r="B167" s="345" t="n">
        <v>0</v>
      </c>
      <c r="C167" s="1873" t="n">
        <v>0</v>
      </c>
      <c r="D167" s="1873" t="n">
        <v>0</v>
      </c>
      <c r="E167" s="1873" t="n">
        <v>0</v>
      </c>
      <c r="F167" s="1873" t="n">
        <v>0</v>
      </c>
      <c r="G167" s="1873" t="n">
        <v>0</v>
      </c>
      <c r="H167" s="1873" t="n">
        <v>0</v>
      </c>
      <c r="I167" s="1873" t="n">
        <v>0</v>
      </c>
      <c r="J167" s="1873" t="n">
        <v>0</v>
      </c>
      <c r="K167" s="1873" t="n">
        <v>0</v>
      </c>
      <c r="L167" s="1873" t="n">
        <v>0</v>
      </c>
      <c r="M167" s="1873" t="n">
        <v>0</v>
      </c>
      <c r="N167" s="1873" t="n">
        <v>0</v>
      </c>
      <c r="O167" s="1873" t="n">
        <v>0</v>
      </c>
      <c r="P167" s="1846" t="n"/>
    </row>
    <row r="168" hidden="1">
      <c r="A168" s="480" t="n"/>
      <c r="B168" s="345" t="n">
        <v>0</v>
      </c>
      <c r="C168" s="1873" t="n">
        <v>0</v>
      </c>
      <c r="D168" s="1873" t="n">
        <v>0</v>
      </c>
      <c r="E168" s="1873" t="n">
        <v>0</v>
      </c>
      <c r="F168" s="1873" t="n">
        <v>0</v>
      </c>
      <c r="G168" s="1873" t="n">
        <v>0</v>
      </c>
      <c r="H168" s="1873" t="n">
        <v>0</v>
      </c>
      <c r="I168" s="1873" t="n">
        <v>0</v>
      </c>
      <c r="J168" s="1873" t="n">
        <v>0</v>
      </c>
      <c r="K168" s="1873" t="n">
        <v>0</v>
      </c>
      <c r="L168" s="1873" t="n">
        <v>0</v>
      </c>
      <c r="M168" s="1873" t="n">
        <v>0</v>
      </c>
      <c r="N168" s="1873" t="n">
        <v>0</v>
      </c>
      <c r="O168" s="1873" t="n">
        <v>0</v>
      </c>
      <c r="P168" s="1846" t="n"/>
    </row>
    <row r="169" hidden="1">
      <c r="A169" s="480" t="n"/>
      <c r="B169" s="345" t="n">
        <v>0</v>
      </c>
      <c r="C169" s="1873" t="n">
        <v>0</v>
      </c>
      <c r="D169" s="1873" t="n">
        <v>0</v>
      </c>
      <c r="E169" s="1873" t="n">
        <v>0</v>
      </c>
      <c r="F169" s="1873" t="n">
        <v>0</v>
      </c>
      <c r="G169" s="1873" t="n">
        <v>0</v>
      </c>
      <c r="H169" s="1873" t="n">
        <v>0</v>
      </c>
      <c r="I169" s="1873" t="n">
        <v>0</v>
      </c>
      <c r="J169" s="1873" t="n">
        <v>0</v>
      </c>
      <c r="K169" s="1873" t="n">
        <v>0</v>
      </c>
      <c r="L169" s="1873" t="n">
        <v>0</v>
      </c>
      <c r="M169" s="1873" t="n">
        <v>0</v>
      </c>
      <c r="N169" s="1873" t="n">
        <v>0</v>
      </c>
      <c r="O169" s="1873" t="n">
        <v>0</v>
      </c>
      <c r="P169" s="1846" t="n"/>
    </row>
    <row r="170" hidden="1">
      <c r="A170" s="480" t="n"/>
      <c r="B170" s="345" t="n">
        <v>0</v>
      </c>
      <c r="C170" s="1873" t="n">
        <v>0</v>
      </c>
      <c r="D170" s="1873" t="n">
        <v>0</v>
      </c>
      <c r="E170" s="1873" t="n">
        <v>0</v>
      </c>
      <c r="F170" s="1873" t="n">
        <v>0</v>
      </c>
      <c r="G170" s="1873" t="n">
        <v>0</v>
      </c>
      <c r="H170" s="1873" t="n">
        <v>0</v>
      </c>
      <c r="I170" s="1873" t="n">
        <v>0</v>
      </c>
      <c r="J170" s="1873" t="n">
        <v>0</v>
      </c>
      <c r="K170" s="1873" t="n">
        <v>0</v>
      </c>
      <c r="L170" s="1873" t="n">
        <v>0</v>
      </c>
      <c r="M170" s="1873" t="n">
        <v>0</v>
      </c>
      <c r="N170" s="1873" t="n">
        <v>0</v>
      </c>
      <c r="O170" s="1873" t="n">
        <v>0</v>
      </c>
      <c r="P170" s="1846" t="n"/>
    </row>
    <row r="171" hidden="1">
      <c r="A171" s="480" t="n"/>
      <c r="B171" s="345" t="n">
        <v>0</v>
      </c>
      <c r="C171" s="1873" t="n">
        <v>0</v>
      </c>
      <c r="D171" s="1873" t="n">
        <v>0</v>
      </c>
      <c r="E171" s="1873" t="n">
        <v>0</v>
      </c>
      <c r="F171" s="1873" t="n">
        <v>0</v>
      </c>
      <c r="G171" s="1873" t="n">
        <v>0</v>
      </c>
      <c r="H171" s="1873" t="n">
        <v>0</v>
      </c>
      <c r="I171" s="1873" t="n">
        <v>0</v>
      </c>
      <c r="J171" s="1873" t="n">
        <v>0</v>
      </c>
      <c r="K171" s="1873" t="n">
        <v>0</v>
      </c>
      <c r="L171" s="1873" t="n">
        <v>0</v>
      </c>
      <c r="M171" s="1873" t="n">
        <v>0</v>
      </c>
      <c r="N171" s="1873" t="n">
        <v>0</v>
      </c>
      <c r="O171" s="1873" t="n">
        <v>0</v>
      </c>
      <c r="P171" s="1846" t="n"/>
    </row>
    <row r="172" hidden="1">
      <c r="A172" s="480" t="n"/>
      <c r="B172" s="345" t="n">
        <v>0</v>
      </c>
      <c r="C172" s="1873" t="n">
        <v>0</v>
      </c>
      <c r="D172" s="1873" t="n">
        <v>0</v>
      </c>
      <c r="E172" s="1873" t="n">
        <v>0</v>
      </c>
      <c r="F172" s="1873" t="n">
        <v>0</v>
      </c>
      <c r="G172" s="1873" t="n">
        <v>0</v>
      </c>
      <c r="H172" s="1873" t="n">
        <v>0</v>
      </c>
      <c r="I172" s="1873" t="n">
        <v>0</v>
      </c>
      <c r="J172" s="1873" t="n">
        <v>0</v>
      </c>
      <c r="K172" s="1873" t="n">
        <v>0</v>
      </c>
      <c r="L172" s="1873" t="n">
        <v>0</v>
      </c>
      <c r="M172" s="1873" t="n">
        <v>0</v>
      </c>
      <c r="N172" s="1873" t="n">
        <v>0</v>
      </c>
      <c r="O172" s="1873" t="n">
        <v>0</v>
      </c>
      <c r="P172" s="1846" t="n"/>
    </row>
    <row r="173" hidden="1">
      <c r="A173" s="480" t="n"/>
      <c r="B173" s="345" t="n">
        <v>0</v>
      </c>
      <c r="C173" s="1873" t="n">
        <v>0</v>
      </c>
      <c r="D173" s="1873" t="n">
        <v>0</v>
      </c>
      <c r="E173" s="1873" t="n">
        <v>0</v>
      </c>
      <c r="F173" s="1873" t="n">
        <v>0</v>
      </c>
      <c r="G173" s="1873" t="n">
        <v>0</v>
      </c>
      <c r="H173" s="1873" t="n">
        <v>0</v>
      </c>
      <c r="I173" s="1873" t="n">
        <v>0</v>
      </c>
      <c r="J173" s="1873" t="n">
        <v>0</v>
      </c>
      <c r="K173" s="1873" t="n">
        <v>0</v>
      </c>
      <c r="L173" s="1873" t="n">
        <v>0</v>
      </c>
      <c r="M173" s="1873" t="n">
        <v>0</v>
      </c>
      <c r="N173" s="1873" t="n">
        <v>0</v>
      </c>
      <c r="O173" s="1873" t="n">
        <v>0</v>
      </c>
      <c r="P173" s="1846" t="n"/>
    </row>
    <row r="174" hidden="1">
      <c r="A174" s="480" t="n"/>
      <c r="B174" s="345" t="n">
        <v>0</v>
      </c>
      <c r="C174" s="1873" t="n">
        <v>0</v>
      </c>
      <c r="D174" s="1873" t="n">
        <v>0</v>
      </c>
      <c r="E174" s="1873" t="n">
        <v>0</v>
      </c>
      <c r="F174" s="1873" t="n">
        <v>0</v>
      </c>
      <c r="G174" s="1873" t="n">
        <v>0</v>
      </c>
      <c r="H174" s="1873" t="n">
        <v>0</v>
      </c>
      <c r="I174" s="1873" t="n">
        <v>0</v>
      </c>
      <c r="J174" s="1873" t="n">
        <v>0</v>
      </c>
      <c r="K174" s="1873" t="n">
        <v>0</v>
      </c>
      <c r="L174" s="1873" t="n">
        <v>0</v>
      </c>
      <c r="M174" s="1873" t="n">
        <v>0</v>
      </c>
      <c r="N174" s="1873" t="n">
        <v>0</v>
      </c>
      <c r="O174" s="1873" t="n">
        <v>0</v>
      </c>
      <c r="P174" s="1846" t="n"/>
    </row>
    <row r="175" hidden="1">
      <c r="A175" s="480" t="n"/>
      <c r="B175" s="345" t="n">
        <v>0</v>
      </c>
      <c r="C175" s="1873" t="n">
        <v>0</v>
      </c>
      <c r="D175" s="1873" t="n">
        <v>0</v>
      </c>
      <c r="E175" s="1873" t="n">
        <v>0</v>
      </c>
      <c r="F175" s="1873" t="n">
        <v>0</v>
      </c>
      <c r="G175" s="1873" t="n">
        <v>0</v>
      </c>
      <c r="H175" s="1873" t="n">
        <v>0</v>
      </c>
      <c r="I175" s="1873" t="n">
        <v>0</v>
      </c>
      <c r="J175" s="1873" t="n">
        <v>0</v>
      </c>
      <c r="K175" s="1873" t="n">
        <v>0</v>
      </c>
      <c r="L175" s="1873" t="n">
        <v>0</v>
      </c>
      <c r="M175" s="1873" t="n">
        <v>0</v>
      </c>
      <c r="N175" s="1873" t="n">
        <v>0</v>
      </c>
      <c r="O175" s="1873" t="n">
        <v>0</v>
      </c>
      <c r="P175" s="1846" t="n"/>
    </row>
    <row r="176" hidden="1">
      <c r="A176" s="480" t="n"/>
      <c r="B176" s="345" t="n">
        <v>0</v>
      </c>
      <c r="C176" s="1873" t="n">
        <v>0</v>
      </c>
      <c r="D176" s="1873" t="n">
        <v>0</v>
      </c>
      <c r="E176" s="1873" t="n">
        <v>0</v>
      </c>
      <c r="F176" s="1873" t="n">
        <v>0</v>
      </c>
      <c r="G176" s="1873" t="n">
        <v>0</v>
      </c>
      <c r="H176" s="1873" t="n">
        <v>0</v>
      </c>
      <c r="I176" s="1873" t="n">
        <v>0</v>
      </c>
      <c r="J176" s="1873" t="n">
        <v>0</v>
      </c>
      <c r="K176" s="1873" t="n">
        <v>0</v>
      </c>
      <c r="L176" s="1873" t="n">
        <v>0</v>
      </c>
      <c r="M176" s="1873" t="n">
        <v>0</v>
      </c>
      <c r="N176" s="1873" t="n">
        <v>0</v>
      </c>
      <c r="O176" s="1873" t="n">
        <v>0</v>
      </c>
      <c r="P176" s="1846" t="n"/>
    </row>
    <row r="177" hidden="1">
      <c r="A177" s="480" t="n"/>
      <c r="B177" s="345" t="n">
        <v>0</v>
      </c>
      <c r="C177" s="1873" t="n">
        <v>0</v>
      </c>
      <c r="D177" s="1873" t="n">
        <v>0</v>
      </c>
      <c r="E177" s="1873" t="n">
        <v>0</v>
      </c>
      <c r="F177" s="1873" t="n">
        <v>0</v>
      </c>
      <c r="G177" s="1873" t="n">
        <v>0</v>
      </c>
      <c r="H177" s="1873" t="n">
        <v>0</v>
      </c>
      <c r="I177" s="1873" t="n">
        <v>0</v>
      </c>
      <c r="J177" s="1873" t="n">
        <v>0</v>
      </c>
      <c r="K177" s="1873" t="n">
        <v>0</v>
      </c>
      <c r="L177" s="1873" t="n">
        <v>0</v>
      </c>
      <c r="M177" s="1873" t="n">
        <v>0</v>
      </c>
      <c r="N177" s="1873" t="n">
        <v>0</v>
      </c>
      <c r="O177" s="1873" t="n">
        <v>0</v>
      </c>
      <c r="P177" s="1846" t="n"/>
    </row>
    <row r="178" hidden="1">
      <c r="A178" s="480" t="n"/>
      <c r="B178" s="345" t="n">
        <v>0</v>
      </c>
      <c r="C178" s="1873" t="n">
        <v>0</v>
      </c>
      <c r="D178" s="1873" t="n">
        <v>0</v>
      </c>
      <c r="E178" s="1873" t="n">
        <v>0</v>
      </c>
      <c r="F178" s="1873" t="n">
        <v>0</v>
      </c>
      <c r="G178" s="1873" t="n">
        <v>0</v>
      </c>
      <c r="H178" s="1873" t="n">
        <v>0</v>
      </c>
      <c r="I178" s="1873" t="n">
        <v>0</v>
      </c>
      <c r="J178" s="1873" t="n">
        <v>0</v>
      </c>
      <c r="K178" s="1873" t="n">
        <v>0</v>
      </c>
      <c r="L178" s="1873" t="n">
        <v>0</v>
      </c>
      <c r="M178" s="1873" t="n">
        <v>0</v>
      </c>
      <c r="N178" s="1873" t="n">
        <v>0</v>
      </c>
      <c r="O178" s="1873" t="n">
        <v>0</v>
      </c>
      <c r="P178" s="1846" t="n"/>
    </row>
    <row r="179" hidden="1">
      <c r="A179" s="480" t="n"/>
      <c r="B179" s="345" t="n">
        <v>0</v>
      </c>
      <c r="C179" s="1873" t="n">
        <v>0</v>
      </c>
      <c r="D179" s="1873" t="n">
        <v>0</v>
      </c>
      <c r="E179" s="1873" t="n">
        <v>0</v>
      </c>
      <c r="F179" s="1873" t="n">
        <v>0</v>
      </c>
      <c r="G179" s="1873" t="n">
        <v>0</v>
      </c>
      <c r="H179" s="1873" t="n">
        <v>0</v>
      </c>
      <c r="I179" s="1873" t="n">
        <v>0</v>
      </c>
      <c r="J179" s="1873" t="n">
        <v>0</v>
      </c>
      <c r="K179" s="1873" t="n">
        <v>0</v>
      </c>
      <c r="L179" s="1873" t="n">
        <v>0</v>
      </c>
      <c r="M179" s="1873" t="n">
        <v>0</v>
      </c>
      <c r="N179" s="1873" t="n">
        <v>0</v>
      </c>
      <c r="O179" s="1873" t="n">
        <v>0</v>
      </c>
      <c r="P179" s="1846" t="n"/>
    </row>
    <row r="180" hidden="1">
      <c r="A180" s="480" t="n"/>
      <c r="B180" s="345" t="n">
        <v>0</v>
      </c>
      <c r="C180" s="1873" t="n">
        <v>0</v>
      </c>
      <c r="D180" s="1873" t="n">
        <v>0</v>
      </c>
      <c r="E180" s="1873" t="n">
        <v>0</v>
      </c>
      <c r="F180" s="1873" t="n">
        <v>0</v>
      </c>
      <c r="G180" s="1873" t="n">
        <v>0</v>
      </c>
      <c r="H180" s="1873" t="n">
        <v>0</v>
      </c>
      <c r="I180" s="1873" t="n">
        <v>0</v>
      </c>
      <c r="J180" s="1873" t="n">
        <v>0</v>
      </c>
      <c r="K180" s="1873" t="n">
        <v>0</v>
      </c>
      <c r="L180" s="1873" t="n">
        <v>0</v>
      </c>
      <c r="M180" s="1873" t="n">
        <v>0</v>
      </c>
      <c r="N180" s="1873" t="n">
        <v>0</v>
      </c>
      <c r="O180" s="1873" t="n">
        <v>0</v>
      </c>
      <c r="P180" s="1846" t="n"/>
    </row>
    <row r="181" hidden="1">
      <c r="A181" s="480" t="n"/>
      <c r="B181" s="345" t="n">
        <v>0</v>
      </c>
      <c r="C181" s="1873" t="n">
        <v>0</v>
      </c>
      <c r="D181" s="1873" t="n">
        <v>0</v>
      </c>
      <c r="E181" s="1873" t="n">
        <v>0</v>
      </c>
      <c r="F181" s="1873" t="n">
        <v>0</v>
      </c>
      <c r="G181" s="1873" t="n">
        <v>0</v>
      </c>
      <c r="H181" s="1873" t="n">
        <v>0</v>
      </c>
      <c r="I181" s="1873" t="n">
        <v>0</v>
      </c>
      <c r="J181" s="1873" t="n">
        <v>0</v>
      </c>
      <c r="K181" s="1873" t="n">
        <v>0</v>
      </c>
      <c r="L181" s="1873" t="n">
        <v>0</v>
      </c>
      <c r="M181" s="1873" t="n">
        <v>0</v>
      </c>
      <c r="N181" s="1873" t="n">
        <v>0</v>
      </c>
      <c r="O181" s="1873" t="n">
        <v>0</v>
      </c>
      <c r="P181" s="1846" t="n"/>
    </row>
    <row r="182" hidden="1">
      <c r="A182" s="480" t="n"/>
      <c r="B182" s="351" t="n"/>
      <c r="C182" s="1873" t="n"/>
      <c r="D182" s="1873" t="n"/>
      <c r="E182" s="1873" t="n"/>
      <c r="F182" s="1873" t="n"/>
      <c r="G182" s="1873" t="n"/>
      <c r="H182" s="1873" t="n"/>
      <c r="I182" s="1873" t="n"/>
      <c r="J182" s="1873" t="n"/>
      <c r="K182" s="1873" t="n"/>
      <c r="L182" s="1873" t="n"/>
      <c r="M182" s="1873" t="n"/>
      <c r="N182" s="1873" t="n"/>
      <c r="O182" s="1873" t="n"/>
      <c r="P182" s="1846" t="n"/>
    </row>
    <row r="183" hidden="1">
      <c r="A183" s="482" t="n"/>
      <c r="B183" s="354" t="inlineStr">
        <is>
          <t>2023 Year</t>
        </is>
      </c>
      <c r="C183" s="1874" t="n">
        <v>31</v>
      </c>
      <c r="D183" s="1874" t="n">
        <v>28</v>
      </c>
      <c r="E183" s="1874" t="n">
        <v>31</v>
      </c>
      <c r="F183" s="1874" t="n">
        <v>30</v>
      </c>
      <c r="G183" s="1874" t="n">
        <v>31</v>
      </c>
      <c r="H183" s="1874" t="n">
        <v>30</v>
      </c>
      <c r="I183" s="1874" t="n">
        <v>31</v>
      </c>
      <c r="J183" s="1874" t="n">
        <v>31</v>
      </c>
      <c r="K183" s="1874" t="n">
        <v>30</v>
      </c>
      <c r="L183" s="1874" t="n">
        <v>31</v>
      </c>
      <c r="M183" s="1874" t="n">
        <v>30</v>
      </c>
      <c r="N183" s="1874" t="n">
        <v>31</v>
      </c>
      <c r="O183" s="1875" t="n">
        <v>0</v>
      </c>
      <c r="P183" s="1846" t="n"/>
    </row>
    <row r="184" hidden="1">
      <c r="A184" s="480" t="n"/>
      <c r="B184" s="351" t="n"/>
      <c r="C184" s="1870" t="n"/>
      <c r="D184" s="1870" t="n"/>
      <c r="E184" s="1870" t="n"/>
      <c r="F184" s="1870" t="n"/>
      <c r="G184" s="1870" t="n"/>
      <c r="H184" s="1870" t="n"/>
      <c r="I184" s="1870" t="n"/>
      <c r="J184" s="1870" t="n"/>
      <c r="K184" s="1870" t="n"/>
      <c r="L184" s="1870" t="n"/>
      <c r="M184" s="1870" t="n"/>
      <c r="N184" s="1870" t="n"/>
      <c r="O184" s="1870" t="n"/>
      <c r="P184" s="1846" t="n"/>
    </row>
    <row r="185" hidden="1">
      <c r="A185" s="480" t="n"/>
      <c r="B185" s="345" t="inlineStr">
        <is>
          <t>ST loan</t>
        </is>
      </c>
      <c r="C185" s="1873" t="n">
        <v>0</v>
      </c>
      <c r="D185" s="1873" t="n">
        <v>0</v>
      </c>
      <c r="E185" s="1873" t="n">
        <v>0</v>
      </c>
      <c r="F185" s="1873" t="n">
        <v>0</v>
      </c>
      <c r="G185" s="1873" t="n">
        <v>0</v>
      </c>
      <c r="H185" s="1873" t="n">
        <v>0</v>
      </c>
      <c r="I185" s="1873" t="n">
        <v>0</v>
      </c>
      <c r="J185" s="1873" t="n">
        <v>0</v>
      </c>
      <c r="K185" s="1873" t="n">
        <v>0</v>
      </c>
      <c r="L185" s="1873" t="n">
        <v>0</v>
      </c>
      <c r="M185" s="1873" t="n">
        <v>0</v>
      </c>
      <c r="N185" s="1873" t="n">
        <v>0</v>
      </c>
      <c r="O185" s="1873" t="n">
        <v>0</v>
      </c>
      <c r="P185" s="1846" t="n"/>
    </row>
    <row r="186" hidden="1">
      <c r="A186" s="480" t="n"/>
      <c r="B186" s="345" t="n">
        <v>0</v>
      </c>
      <c r="C186" s="1873" t="n">
        <v>0</v>
      </c>
      <c r="D186" s="1873" t="n">
        <v>0</v>
      </c>
      <c r="E186" s="1873" t="n">
        <v>0</v>
      </c>
      <c r="F186" s="1873" t="n">
        <v>0</v>
      </c>
      <c r="G186" s="1873" t="n">
        <v>0</v>
      </c>
      <c r="H186" s="1873" t="n">
        <v>0</v>
      </c>
      <c r="I186" s="1873" t="n">
        <v>0</v>
      </c>
      <c r="J186" s="1873" t="n">
        <v>0</v>
      </c>
      <c r="K186" s="1873" t="n">
        <v>0</v>
      </c>
      <c r="L186" s="1873" t="n">
        <v>0</v>
      </c>
      <c r="M186" s="1873" t="n">
        <v>0</v>
      </c>
      <c r="N186" s="1873" t="n">
        <v>0</v>
      </c>
      <c r="O186" s="1873" t="n">
        <v>0</v>
      </c>
      <c r="P186" s="1846" t="n"/>
    </row>
    <row r="187" hidden="1">
      <c r="A187" s="480" t="n"/>
      <c r="B187" s="345" t="n">
        <v>0</v>
      </c>
      <c r="C187" s="1873" t="n">
        <v>0</v>
      </c>
      <c r="D187" s="1873" t="n">
        <v>0</v>
      </c>
      <c r="E187" s="1873" t="n">
        <v>0</v>
      </c>
      <c r="F187" s="1873" t="n">
        <v>0</v>
      </c>
      <c r="G187" s="1873" t="n">
        <v>0</v>
      </c>
      <c r="H187" s="1873" t="n">
        <v>0</v>
      </c>
      <c r="I187" s="1873" t="n">
        <v>0</v>
      </c>
      <c r="J187" s="1873" t="n">
        <v>0</v>
      </c>
      <c r="K187" s="1873" t="n">
        <v>0</v>
      </c>
      <c r="L187" s="1873" t="n">
        <v>0</v>
      </c>
      <c r="M187" s="1873" t="n">
        <v>0</v>
      </c>
      <c r="N187" s="1873" t="n">
        <v>0</v>
      </c>
      <c r="O187" s="1873" t="n">
        <v>0</v>
      </c>
      <c r="P187" s="1846" t="n"/>
    </row>
    <row r="188" hidden="1">
      <c r="A188" s="480" t="n"/>
      <c r="B188" s="345" t="n">
        <v>0</v>
      </c>
      <c r="C188" s="1873" t="n">
        <v>0</v>
      </c>
      <c r="D188" s="1873" t="n">
        <v>0</v>
      </c>
      <c r="E188" s="1873" t="n">
        <v>0</v>
      </c>
      <c r="F188" s="1873" t="n">
        <v>0</v>
      </c>
      <c r="G188" s="1873" t="n">
        <v>0</v>
      </c>
      <c r="H188" s="1873" t="n">
        <v>0</v>
      </c>
      <c r="I188" s="1873" t="n">
        <v>0</v>
      </c>
      <c r="J188" s="1873" t="n">
        <v>0</v>
      </c>
      <c r="K188" s="1873" t="n">
        <v>0</v>
      </c>
      <c r="L188" s="1873" t="n">
        <v>0</v>
      </c>
      <c r="M188" s="1873" t="n">
        <v>0</v>
      </c>
      <c r="N188" s="1873" t="n">
        <v>0</v>
      </c>
      <c r="O188" s="1873" t="n">
        <v>0</v>
      </c>
      <c r="P188" s="1846" t="n"/>
    </row>
    <row r="189" hidden="1">
      <c r="A189" s="480" t="n"/>
      <c r="B189" s="345" t="n"/>
      <c r="C189" s="1873" t="n"/>
      <c r="D189" s="1873" t="n"/>
      <c r="E189" s="1873" t="n"/>
      <c r="F189" s="1873" t="n"/>
      <c r="G189" s="1873" t="n"/>
      <c r="H189" s="1873" t="n"/>
      <c r="I189" s="1873" t="n"/>
      <c r="J189" s="1873" t="n"/>
      <c r="K189" s="1873" t="n"/>
      <c r="L189" s="1873" t="n"/>
      <c r="M189" s="1873" t="n"/>
      <c r="N189" s="1873" t="n"/>
      <c r="O189" s="1873" t="n"/>
      <c r="P189" s="1846" t="n"/>
    </row>
    <row r="190" hidden="1">
      <c r="A190" s="480" t="n"/>
      <c r="B190" s="345" t="n"/>
      <c r="C190" s="1873" t="n"/>
      <c r="D190" s="1873" t="n"/>
      <c r="E190" s="1873" t="n"/>
      <c r="F190" s="1873" t="n"/>
      <c r="G190" s="1873" t="n"/>
      <c r="H190" s="1873" t="n"/>
      <c r="I190" s="1873" t="n"/>
      <c r="J190" s="1873" t="n"/>
      <c r="K190" s="1873" t="n"/>
      <c r="L190" s="1873" t="n"/>
      <c r="M190" s="1873" t="n"/>
      <c r="N190" s="1873" t="n"/>
      <c r="O190" s="1873" t="n"/>
      <c r="P190" s="1846" t="n"/>
    </row>
    <row r="191" hidden="1">
      <c r="A191" s="480" t="n"/>
      <c r="B191" s="349" t="inlineStr">
        <is>
          <t>ST loan</t>
        </is>
      </c>
      <c r="C191" s="1873" t="n">
        <v>0</v>
      </c>
      <c r="D191" s="1873" t="n">
        <v>0</v>
      </c>
      <c r="E191" s="1873" t="n">
        <v>0</v>
      </c>
      <c r="F191" s="1873" t="n">
        <v>0</v>
      </c>
      <c r="G191" s="1873" t="n">
        <v>0</v>
      </c>
      <c r="H191" s="1873" t="n">
        <v>0</v>
      </c>
      <c r="I191" s="1873" t="n">
        <v>0</v>
      </c>
      <c r="J191" s="1873" t="n">
        <v>0</v>
      </c>
      <c r="K191" s="1873" t="n">
        <v>0</v>
      </c>
      <c r="L191" s="1873" t="n">
        <v>0</v>
      </c>
      <c r="M191" s="1873" t="n">
        <v>0</v>
      </c>
      <c r="N191" s="1873" t="n">
        <v>0</v>
      </c>
      <c r="O191" s="1873" t="n">
        <v>0</v>
      </c>
      <c r="P191" s="1846" t="n"/>
    </row>
    <row r="192" hidden="1">
      <c r="A192" s="480" t="n"/>
      <c r="B192" s="345" t="n">
        <v>0</v>
      </c>
      <c r="C192" s="1873" t="n">
        <v>0</v>
      </c>
      <c r="D192" s="1873" t="n">
        <v>0</v>
      </c>
      <c r="E192" s="1873" t="n">
        <v>0</v>
      </c>
      <c r="F192" s="1873" t="n">
        <v>0</v>
      </c>
      <c r="G192" s="1873" t="n">
        <v>0</v>
      </c>
      <c r="H192" s="1873" t="n">
        <v>0</v>
      </c>
      <c r="I192" s="1873" t="n">
        <v>0</v>
      </c>
      <c r="J192" s="1873" t="n">
        <v>0</v>
      </c>
      <c r="K192" s="1873" t="n">
        <v>0</v>
      </c>
      <c r="L192" s="1873" t="n">
        <v>0</v>
      </c>
      <c r="M192" s="1873" t="n">
        <v>0</v>
      </c>
      <c r="N192" s="1873" t="n">
        <v>0</v>
      </c>
      <c r="O192" s="1873" t="n">
        <v>0</v>
      </c>
      <c r="P192" s="1846" t="n"/>
    </row>
    <row r="193" hidden="1">
      <c r="A193" s="480" t="n"/>
      <c r="B193" s="345" t="n">
        <v>0</v>
      </c>
      <c r="C193" s="1873" t="n">
        <v>0</v>
      </c>
      <c r="D193" s="1873" t="n">
        <v>0</v>
      </c>
      <c r="E193" s="1873" t="n">
        <v>0</v>
      </c>
      <c r="F193" s="1873" t="n">
        <v>0</v>
      </c>
      <c r="G193" s="1873" t="n">
        <v>0</v>
      </c>
      <c r="H193" s="1873" t="n">
        <v>0</v>
      </c>
      <c r="I193" s="1873" t="n">
        <v>0</v>
      </c>
      <c r="J193" s="1873" t="n">
        <v>0</v>
      </c>
      <c r="K193" s="1873" t="n">
        <v>0</v>
      </c>
      <c r="L193" s="1873" t="n">
        <v>0</v>
      </c>
      <c r="M193" s="1873" t="n">
        <v>0</v>
      </c>
      <c r="N193" s="1873" t="n">
        <v>0</v>
      </c>
      <c r="O193" s="1873" t="n">
        <v>0</v>
      </c>
      <c r="P193" s="1846" t="n"/>
    </row>
    <row r="194" hidden="1">
      <c r="A194" s="480" t="n"/>
      <c r="B194" s="345" t="n">
        <v>0</v>
      </c>
      <c r="C194" s="1873" t="n">
        <v>0</v>
      </c>
      <c r="D194" s="1873" t="n">
        <v>0</v>
      </c>
      <c r="E194" s="1873" t="n">
        <v>0</v>
      </c>
      <c r="F194" s="1873" t="n">
        <v>0</v>
      </c>
      <c r="G194" s="1873" t="n">
        <v>0</v>
      </c>
      <c r="H194" s="1873" t="n">
        <v>0</v>
      </c>
      <c r="I194" s="1873" t="n">
        <v>0</v>
      </c>
      <c r="J194" s="1873" t="n">
        <v>0</v>
      </c>
      <c r="K194" s="1873" t="n">
        <v>0</v>
      </c>
      <c r="L194" s="1873" t="n">
        <v>0</v>
      </c>
      <c r="M194" s="1873" t="n">
        <v>0</v>
      </c>
      <c r="N194" s="1873" t="n">
        <v>0</v>
      </c>
      <c r="O194" s="1873" t="n">
        <v>0</v>
      </c>
      <c r="P194" s="1846" t="n"/>
    </row>
    <row r="195" hidden="1">
      <c r="A195" s="480" t="n"/>
      <c r="B195" s="345" t="n">
        <v>0</v>
      </c>
      <c r="C195" s="1873" t="n">
        <v>0</v>
      </c>
      <c r="D195" s="1873" t="n">
        <v>0</v>
      </c>
      <c r="E195" s="1873" t="n">
        <v>0</v>
      </c>
      <c r="F195" s="1873" t="n">
        <v>0</v>
      </c>
      <c r="G195" s="1873" t="n">
        <v>0</v>
      </c>
      <c r="H195" s="1873" t="n">
        <v>0</v>
      </c>
      <c r="I195" s="1873" t="n">
        <v>0</v>
      </c>
      <c r="J195" s="1873" t="n">
        <v>0</v>
      </c>
      <c r="K195" s="1873" t="n">
        <v>0</v>
      </c>
      <c r="L195" s="1873" t="n">
        <v>0</v>
      </c>
      <c r="M195" s="1873" t="n">
        <v>0</v>
      </c>
      <c r="N195" s="1873" t="n">
        <v>0</v>
      </c>
      <c r="O195" s="1873" t="n">
        <v>0</v>
      </c>
      <c r="P195" s="1846" t="n"/>
    </row>
    <row r="196" hidden="1">
      <c r="A196" s="480" t="n"/>
      <c r="B196" s="345" t="n">
        <v>0</v>
      </c>
      <c r="C196" s="1873" t="n">
        <v>0</v>
      </c>
      <c r="D196" s="1873" t="n">
        <v>0</v>
      </c>
      <c r="E196" s="1873" t="n">
        <v>0</v>
      </c>
      <c r="F196" s="1873" t="n">
        <v>0</v>
      </c>
      <c r="G196" s="1873" t="n">
        <v>0</v>
      </c>
      <c r="H196" s="1873" t="n">
        <v>0</v>
      </c>
      <c r="I196" s="1873" t="n">
        <v>0</v>
      </c>
      <c r="J196" s="1873" t="n">
        <v>0</v>
      </c>
      <c r="K196" s="1873" t="n">
        <v>0</v>
      </c>
      <c r="L196" s="1873" t="n">
        <v>0</v>
      </c>
      <c r="M196" s="1873" t="n">
        <v>0</v>
      </c>
      <c r="N196" s="1873" t="n">
        <v>0</v>
      </c>
      <c r="O196" s="1873" t="n">
        <v>0</v>
      </c>
      <c r="P196" s="1846" t="n"/>
    </row>
    <row r="197" hidden="1">
      <c r="A197" s="480" t="n"/>
      <c r="B197" s="345" t="n">
        <v>0</v>
      </c>
      <c r="C197" s="1873" t="n">
        <v>0</v>
      </c>
      <c r="D197" s="1873" t="n">
        <v>0</v>
      </c>
      <c r="E197" s="1873" t="n">
        <v>0</v>
      </c>
      <c r="F197" s="1873" t="n">
        <v>0</v>
      </c>
      <c r="G197" s="1873" t="n">
        <v>0</v>
      </c>
      <c r="H197" s="1873" t="n">
        <v>0</v>
      </c>
      <c r="I197" s="1873" t="n">
        <v>0</v>
      </c>
      <c r="J197" s="1873" t="n">
        <v>0</v>
      </c>
      <c r="K197" s="1873" t="n">
        <v>0</v>
      </c>
      <c r="L197" s="1873" t="n">
        <v>0</v>
      </c>
      <c r="M197" s="1873" t="n">
        <v>0</v>
      </c>
      <c r="N197" s="1873" t="n">
        <v>0</v>
      </c>
      <c r="O197" s="1873" t="n">
        <v>0</v>
      </c>
      <c r="P197" s="1846" t="n"/>
    </row>
    <row r="198" hidden="1">
      <c r="A198" s="480" t="n"/>
      <c r="B198" s="345" t="n">
        <v>0</v>
      </c>
      <c r="C198" s="1873" t="n">
        <v>0</v>
      </c>
      <c r="D198" s="1873" t="n">
        <v>0</v>
      </c>
      <c r="E198" s="1873" t="n">
        <v>0</v>
      </c>
      <c r="F198" s="1873" t="n">
        <v>0</v>
      </c>
      <c r="G198" s="1873" t="n">
        <v>0</v>
      </c>
      <c r="H198" s="1873" t="n">
        <v>0</v>
      </c>
      <c r="I198" s="1873" t="n">
        <v>0</v>
      </c>
      <c r="J198" s="1873" t="n">
        <v>0</v>
      </c>
      <c r="K198" s="1873" t="n">
        <v>0</v>
      </c>
      <c r="L198" s="1873" t="n">
        <v>0</v>
      </c>
      <c r="M198" s="1873" t="n">
        <v>0</v>
      </c>
      <c r="N198" s="1873" t="n">
        <v>0</v>
      </c>
      <c r="O198" s="1873" t="n">
        <v>0</v>
      </c>
      <c r="P198" s="1846" t="n"/>
    </row>
    <row r="199" hidden="1">
      <c r="A199" s="480" t="n"/>
      <c r="B199" s="345" t="n">
        <v>0</v>
      </c>
      <c r="C199" s="1873" t="n">
        <v>0</v>
      </c>
      <c r="D199" s="1873" t="n">
        <v>0</v>
      </c>
      <c r="E199" s="1873" t="n">
        <v>0</v>
      </c>
      <c r="F199" s="1873" t="n">
        <v>0</v>
      </c>
      <c r="G199" s="1873" t="n">
        <v>0</v>
      </c>
      <c r="H199" s="1873" t="n">
        <v>0</v>
      </c>
      <c r="I199" s="1873" t="n">
        <v>0</v>
      </c>
      <c r="J199" s="1873" t="n">
        <v>0</v>
      </c>
      <c r="K199" s="1873" t="n">
        <v>0</v>
      </c>
      <c r="L199" s="1873" t="n">
        <v>0</v>
      </c>
      <c r="M199" s="1873" t="n">
        <v>0</v>
      </c>
      <c r="N199" s="1873" t="n">
        <v>0</v>
      </c>
      <c r="O199" s="1873" t="n">
        <v>0</v>
      </c>
      <c r="P199" s="1846" t="n"/>
    </row>
    <row r="200" hidden="1">
      <c r="A200" s="480" t="n"/>
      <c r="B200" s="345" t="n">
        <v>0</v>
      </c>
      <c r="C200" s="1873" t="n">
        <v>0</v>
      </c>
      <c r="D200" s="1873" t="n">
        <v>0</v>
      </c>
      <c r="E200" s="1873" t="n">
        <v>0</v>
      </c>
      <c r="F200" s="1873" t="n">
        <v>0</v>
      </c>
      <c r="G200" s="1873" t="n">
        <v>0</v>
      </c>
      <c r="H200" s="1873" t="n">
        <v>0</v>
      </c>
      <c r="I200" s="1873" t="n">
        <v>0</v>
      </c>
      <c r="J200" s="1873" t="n">
        <v>0</v>
      </c>
      <c r="K200" s="1873" t="n">
        <v>0</v>
      </c>
      <c r="L200" s="1873" t="n">
        <v>0</v>
      </c>
      <c r="M200" s="1873" t="n">
        <v>0</v>
      </c>
      <c r="N200" s="1873" t="n">
        <v>0</v>
      </c>
      <c r="O200" s="1873" t="n">
        <v>0</v>
      </c>
      <c r="P200" s="1846" t="n"/>
    </row>
    <row r="201" hidden="1">
      <c r="A201" s="480" t="n"/>
      <c r="B201" s="345" t="n">
        <v>0</v>
      </c>
      <c r="C201" s="1873" t="n">
        <v>0</v>
      </c>
      <c r="D201" s="1873" t="n">
        <v>0</v>
      </c>
      <c r="E201" s="1873" t="n">
        <v>0</v>
      </c>
      <c r="F201" s="1873" t="n">
        <v>0</v>
      </c>
      <c r="G201" s="1873" t="n">
        <v>0</v>
      </c>
      <c r="H201" s="1873" t="n">
        <v>0</v>
      </c>
      <c r="I201" s="1873" t="n">
        <v>0</v>
      </c>
      <c r="J201" s="1873" t="n">
        <v>0</v>
      </c>
      <c r="K201" s="1873" t="n">
        <v>0</v>
      </c>
      <c r="L201" s="1873" t="n">
        <v>0</v>
      </c>
      <c r="M201" s="1873" t="n">
        <v>0</v>
      </c>
      <c r="N201" s="1873" t="n">
        <v>0</v>
      </c>
      <c r="O201" s="1873" t="n">
        <v>0</v>
      </c>
      <c r="P201" s="1846" t="n"/>
    </row>
    <row r="202" hidden="1">
      <c r="A202" s="480" t="n"/>
      <c r="B202" s="345" t="n">
        <v>0</v>
      </c>
      <c r="C202" s="1873" t="n">
        <v>0</v>
      </c>
      <c r="D202" s="1873" t="n">
        <v>0</v>
      </c>
      <c r="E202" s="1873" t="n">
        <v>0</v>
      </c>
      <c r="F202" s="1873" t="n">
        <v>0</v>
      </c>
      <c r="G202" s="1873" t="n">
        <v>0</v>
      </c>
      <c r="H202" s="1873" t="n">
        <v>0</v>
      </c>
      <c r="I202" s="1873" t="n">
        <v>0</v>
      </c>
      <c r="J202" s="1873" t="n">
        <v>0</v>
      </c>
      <c r="K202" s="1873" t="n">
        <v>0</v>
      </c>
      <c r="L202" s="1873" t="n">
        <v>0</v>
      </c>
      <c r="M202" s="1873" t="n">
        <v>0</v>
      </c>
      <c r="N202" s="1873" t="n">
        <v>0</v>
      </c>
      <c r="O202" s="1873" t="n">
        <v>0</v>
      </c>
      <c r="P202" s="1846" t="n"/>
    </row>
    <row r="203" hidden="1">
      <c r="A203" s="480" t="n"/>
      <c r="B203" s="345" t="n">
        <v>0</v>
      </c>
      <c r="C203" s="1873" t="n">
        <v>0</v>
      </c>
      <c r="D203" s="1873" t="n">
        <v>0</v>
      </c>
      <c r="E203" s="1873" t="n">
        <v>0</v>
      </c>
      <c r="F203" s="1873" t="n">
        <v>0</v>
      </c>
      <c r="G203" s="1873" t="n">
        <v>0</v>
      </c>
      <c r="H203" s="1873" t="n">
        <v>0</v>
      </c>
      <c r="I203" s="1873" t="n">
        <v>0</v>
      </c>
      <c r="J203" s="1873" t="n">
        <v>0</v>
      </c>
      <c r="K203" s="1873" t="n">
        <v>0</v>
      </c>
      <c r="L203" s="1873" t="n">
        <v>0</v>
      </c>
      <c r="M203" s="1873" t="n">
        <v>0</v>
      </c>
      <c r="N203" s="1873" t="n">
        <v>0</v>
      </c>
      <c r="O203" s="1873" t="n">
        <v>0</v>
      </c>
      <c r="P203" s="1846" t="n"/>
    </row>
    <row r="204" hidden="1">
      <c r="A204" s="480" t="n"/>
      <c r="B204" s="345" t="n">
        <v>0</v>
      </c>
      <c r="C204" s="1873" t="n">
        <v>0</v>
      </c>
      <c r="D204" s="1873" t="n">
        <v>0</v>
      </c>
      <c r="E204" s="1873" t="n">
        <v>0</v>
      </c>
      <c r="F204" s="1873" t="n">
        <v>0</v>
      </c>
      <c r="G204" s="1873" t="n">
        <v>0</v>
      </c>
      <c r="H204" s="1873" t="n">
        <v>0</v>
      </c>
      <c r="I204" s="1873" t="n">
        <v>0</v>
      </c>
      <c r="J204" s="1873" t="n">
        <v>0</v>
      </c>
      <c r="K204" s="1873" t="n">
        <v>0</v>
      </c>
      <c r="L204" s="1873" t="n">
        <v>0</v>
      </c>
      <c r="M204" s="1873" t="n">
        <v>0</v>
      </c>
      <c r="N204" s="1873" t="n">
        <v>0</v>
      </c>
      <c r="O204" s="1873" t="n">
        <v>0</v>
      </c>
      <c r="P204" s="1846" t="n"/>
    </row>
    <row r="205" hidden="1">
      <c r="A205" s="480" t="n"/>
      <c r="B205" s="345" t="n">
        <v>0</v>
      </c>
      <c r="C205" s="1873" t="n">
        <v>0</v>
      </c>
      <c r="D205" s="1873" t="n">
        <v>0</v>
      </c>
      <c r="E205" s="1873" t="n">
        <v>0</v>
      </c>
      <c r="F205" s="1873" t="n">
        <v>0</v>
      </c>
      <c r="G205" s="1873" t="n">
        <v>0</v>
      </c>
      <c r="H205" s="1873" t="n">
        <v>0</v>
      </c>
      <c r="I205" s="1873" t="n">
        <v>0</v>
      </c>
      <c r="J205" s="1873" t="n">
        <v>0</v>
      </c>
      <c r="K205" s="1873" t="n">
        <v>0</v>
      </c>
      <c r="L205" s="1873" t="n">
        <v>0</v>
      </c>
      <c r="M205" s="1873" t="n">
        <v>0</v>
      </c>
      <c r="N205" s="1873" t="n">
        <v>0</v>
      </c>
      <c r="O205" s="1873" t="n">
        <v>0</v>
      </c>
      <c r="P205" s="1846" t="n"/>
    </row>
    <row r="206" hidden="1">
      <c r="A206" s="480" t="n"/>
      <c r="B206" s="345" t="n">
        <v>0</v>
      </c>
      <c r="C206" s="1873" t="n">
        <v>0</v>
      </c>
      <c r="D206" s="1873" t="n">
        <v>0</v>
      </c>
      <c r="E206" s="1873" t="n">
        <v>0</v>
      </c>
      <c r="F206" s="1873" t="n">
        <v>0</v>
      </c>
      <c r="G206" s="1873" t="n">
        <v>0</v>
      </c>
      <c r="H206" s="1873" t="n">
        <v>0</v>
      </c>
      <c r="I206" s="1873" t="n">
        <v>0</v>
      </c>
      <c r="J206" s="1873" t="n">
        <v>0</v>
      </c>
      <c r="K206" s="1873" t="n">
        <v>0</v>
      </c>
      <c r="L206" s="1873" t="n">
        <v>0</v>
      </c>
      <c r="M206" s="1873" t="n">
        <v>0</v>
      </c>
      <c r="N206" s="1873" t="n">
        <v>0</v>
      </c>
      <c r="O206" s="1873" t="n">
        <v>0</v>
      </c>
      <c r="P206" s="1846" t="n"/>
    </row>
    <row r="207" hidden="1">
      <c r="A207" s="480" t="n"/>
      <c r="B207" s="345" t="n">
        <v>0</v>
      </c>
      <c r="C207" s="1873" t="n">
        <v>0</v>
      </c>
      <c r="D207" s="1873" t="n">
        <v>0</v>
      </c>
      <c r="E207" s="1873" t="n">
        <v>0</v>
      </c>
      <c r="F207" s="1873" t="n">
        <v>0</v>
      </c>
      <c r="G207" s="1873" t="n">
        <v>0</v>
      </c>
      <c r="H207" s="1873" t="n">
        <v>0</v>
      </c>
      <c r="I207" s="1873" t="n">
        <v>0</v>
      </c>
      <c r="J207" s="1873" t="n">
        <v>0</v>
      </c>
      <c r="K207" s="1873" t="n">
        <v>0</v>
      </c>
      <c r="L207" s="1873" t="n">
        <v>0</v>
      </c>
      <c r="M207" s="1873" t="n">
        <v>0</v>
      </c>
      <c r="N207" s="1873" t="n">
        <v>0</v>
      </c>
      <c r="O207" s="1873" t="n">
        <v>0</v>
      </c>
      <c r="P207" s="1846" t="n"/>
    </row>
    <row r="208" hidden="1">
      <c r="A208" s="480" t="n"/>
      <c r="B208" s="345" t="n">
        <v>0</v>
      </c>
      <c r="C208" s="1873" t="n">
        <v>0</v>
      </c>
      <c r="D208" s="1873" t="n">
        <v>0</v>
      </c>
      <c r="E208" s="1873" t="n">
        <v>0</v>
      </c>
      <c r="F208" s="1873" t="n">
        <v>0</v>
      </c>
      <c r="G208" s="1873" t="n">
        <v>0</v>
      </c>
      <c r="H208" s="1873" t="n">
        <v>0</v>
      </c>
      <c r="I208" s="1873" t="n">
        <v>0</v>
      </c>
      <c r="J208" s="1873" t="n">
        <v>0</v>
      </c>
      <c r="K208" s="1873" t="n">
        <v>0</v>
      </c>
      <c r="L208" s="1873" t="n">
        <v>0</v>
      </c>
      <c r="M208" s="1873" t="n">
        <v>0</v>
      </c>
      <c r="N208" s="1873" t="n">
        <v>0</v>
      </c>
      <c r="O208" s="1873" t="n">
        <v>0</v>
      </c>
      <c r="P208" s="1846" t="n"/>
    </row>
    <row r="209" hidden="1">
      <c r="A209" s="480" t="n"/>
      <c r="B209" s="345" t="n">
        <v>0</v>
      </c>
      <c r="C209" s="1873" t="n">
        <v>0</v>
      </c>
      <c r="D209" s="1873" t="n">
        <v>0</v>
      </c>
      <c r="E209" s="1873" t="n">
        <v>0</v>
      </c>
      <c r="F209" s="1873" t="n">
        <v>0</v>
      </c>
      <c r="G209" s="1873" t="n">
        <v>0</v>
      </c>
      <c r="H209" s="1873" t="n">
        <v>0</v>
      </c>
      <c r="I209" s="1873" t="n">
        <v>0</v>
      </c>
      <c r="J209" s="1873" t="n">
        <v>0</v>
      </c>
      <c r="K209" s="1873" t="n">
        <v>0</v>
      </c>
      <c r="L209" s="1873" t="n">
        <v>0</v>
      </c>
      <c r="M209" s="1873" t="n">
        <v>0</v>
      </c>
      <c r="N209" s="1873" t="n">
        <v>0</v>
      </c>
      <c r="O209" s="1873" t="n">
        <v>0</v>
      </c>
      <c r="P209" s="1846" t="n"/>
    </row>
    <row r="210" hidden="1">
      <c r="A210" s="480" t="n"/>
      <c r="B210" s="345" t="n">
        <v>0</v>
      </c>
      <c r="C210" s="1873" t="n">
        <v>0</v>
      </c>
      <c r="D210" s="1873" t="n">
        <v>0</v>
      </c>
      <c r="E210" s="1873" t="n">
        <v>0</v>
      </c>
      <c r="F210" s="1873" t="n">
        <v>0</v>
      </c>
      <c r="G210" s="1873" t="n">
        <v>0</v>
      </c>
      <c r="H210" s="1873" t="n">
        <v>0</v>
      </c>
      <c r="I210" s="1873" t="n">
        <v>0</v>
      </c>
      <c r="J210" s="1873" t="n">
        <v>0</v>
      </c>
      <c r="K210" s="1873" t="n">
        <v>0</v>
      </c>
      <c r="L210" s="1873" t="n">
        <v>0</v>
      </c>
      <c r="M210" s="1873" t="n">
        <v>0</v>
      </c>
      <c r="N210" s="1873" t="n">
        <v>0</v>
      </c>
      <c r="O210" s="1873" t="n">
        <v>0</v>
      </c>
      <c r="P210" s="1846" t="n"/>
    </row>
    <row r="211" hidden="1">
      <c r="A211" s="480" t="n"/>
      <c r="B211" s="351" t="n"/>
      <c r="C211" s="1870" t="n"/>
      <c r="D211" s="1870" t="n"/>
      <c r="E211" s="1870" t="n"/>
      <c r="F211" s="1870" t="n"/>
      <c r="G211" s="1870" t="n"/>
      <c r="H211" s="1870" t="n"/>
      <c r="I211" s="1870" t="n"/>
      <c r="J211" s="1870" t="n"/>
      <c r="K211" s="1870" t="n"/>
      <c r="L211" s="1870" t="n"/>
      <c r="M211" s="1870" t="n"/>
      <c r="N211" s="1870" t="n"/>
      <c r="O211" s="1870" t="n"/>
      <c r="P211" s="1846" t="n"/>
    </row>
    <row r="212" hidden="1">
      <c r="A212" s="480" t="n"/>
      <c r="B212" s="351" t="n"/>
      <c r="C212" s="1870" t="n"/>
      <c r="D212" s="1870" t="n"/>
      <c r="E212" s="1870" t="n"/>
      <c r="F212" s="1870" t="n"/>
      <c r="G212" s="1870" t="n"/>
      <c r="H212" s="1870" t="n"/>
      <c r="I212" s="1870" t="n"/>
      <c r="J212" s="1870" t="n"/>
      <c r="K212" s="1870" t="n"/>
      <c r="L212" s="1870" t="n"/>
      <c r="M212" s="1870" t="n"/>
      <c r="N212" s="1870" t="n"/>
      <c r="O212" s="1870" t="n"/>
      <c r="P212" s="1846" t="n"/>
    </row>
    <row r="213" hidden="1">
      <c r="A213" s="480" t="n"/>
      <c r="B213" s="351" t="n"/>
      <c r="C213" s="1870" t="n"/>
      <c r="D213" s="1870" t="n"/>
      <c r="E213" s="1870" t="n"/>
      <c r="F213" s="1870" t="n"/>
      <c r="G213" s="1870" t="n"/>
      <c r="H213" s="1870" t="n"/>
      <c r="I213" s="1870" t="n"/>
      <c r="J213" s="1870" t="n"/>
      <c r="K213" s="1870" t="n"/>
      <c r="L213" s="1870" t="n"/>
      <c r="M213" s="1870" t="n"/>
      <c r="N213" s="1870" t="n"/>
      <c r="O213" s="1870" t="n"/>
      <c r="P213" s="1846" t="n"/>
    </row>
    <row r="214" hidden="1">
      <c r="A214" s="480" t="n"/>
      <c r="B214" s="351" t="n"/>
      <c r="C214" s="1870" t="n"/>
      <c r="D214" s="1870" t="n"/>
      <c r="E214" s="1870" t="n"/>
      <c r="F214" s="1870" t="n"/>
      <c r="G214" s="1870" t="n"/>
      <c r="H214" s="1870" t="n"/>
      <c r="I214" s="1870" t="n"/>
      <c r="J214" s="1870" t="n"/>
      <c r="K214" s="1870" t="n"/>
      <c r="L214" s="1870" t="n"/>
      <c r="M214" s="1870" t="n"/>
      <c r="N214" s="1870" t="n"/>
      <c r="O214" s="1870" t="n"/>
      <c r="P214" s="1846" t="n"/>
    </row>
    <row r="215" hidden="1">
      <c r="A215" s="480" t="n"/>
      <c r="B215" s="351" t="n"/>
      <c r="C215" s="1870" t="n"/>
      <c r="D215" s="1870" t="n"/>
      <c r="E215" s="1870" t="n"/>
      <c r="F215" s="1870" t="n"/>
      <c r="G215" s="1870" t="n"/>
      <c r="H215" s="1870" t="n"/>
      <c r="I215" s="1870" t="n"/>
      <c r="J215" s="1870" t="n"/>
      <c r="K215" s="1870" t="n"/>
      <c r="L215" s="1870" t="n"/>
      <c r="M215" s="1870" t="n"/>
      <c r="N215" s="1870" t="n"/>
      <c r="O215" s="1870" t="n"/>
      <c r="P215" s="1846" t="n"/>
    </row>
    <row r="216" hidden="1">
      <c r="A216" s="480" t="n"/>
      <c r="B216" s="351" t="n"/>
      <c r="C216" s="1870" t="n"/>
      <c r="D216" s="1870" t="n"/>
      <c r="E216" s="1870" t="n"/>
      <c r="F216" s="1870" t="n"/>
      <c r="G216" s="1870" t="n"/>
      <c r="H216" s="1870" t="n"/>
      <c r="I216" s="1870" t="n"/>
      <c r="J216" s="1870" t="n"/>
      <c r="K216" s="1870" t="n"/>
      <c r="L216" s="1870" t="n"/>
      <c r="M216" s="1870" t="n"/>
      <c r="N216" s="1870" t="n"/>
      <c r="O216" s="1870" t="n"/>
      <c r="P216" s="1846" t="n"/>
    </row>
    <row r="217" hidden="1">
      <c r="A217" s="480" t="n"/>
      <c r="B217" s="351" t="n"/>
      <c r="C217" s="1870" t="n"/>
      <c r="D217" s="1870" t="n"/>
      <c r="E217" s="1870" t="n"/>
      <c r="F217" s="1870" t="n"/>
      <c r="G217" s="1870" t="n"/>
      <c r="H217" s="1870" t="n"/>
      <c r="I217" s="1870" t="n"/>
      <c r="J217" s="1870" t="n"/>
      <c r="K217" s="1870" t="n"/>
      <c r="L217" s="1870" t="n"/>
      <c r="M217" s="1870" t="n"/>
      <c r="N217" s="1870" t="n"/>
      <c r="O217" s="1870" t="n"/>
      <c r="P217" s="1846" t="n"/>
    </row>
    <row r="218" hidden="1">
      <c r="A218" s="480" t="n"/>
      <c r="B218" s="351" t="n"/>
      <c r="C218" s="1870" t="n"/>
      <c r="D218" s="1870" t="n"/>
      <c r="E218" s="1870" t="n"/>
      <c r="F218" s="1870" t="n"/>
      <c r="G218" s="1870" t="n"/>
      <c r="H218" s="1870" t="n"/>
      <c r="I218" s="1870" t="n"/>
      <c r="J218" s="1870" t="n"/>
      <c r="K218" s="1870" t="n"/>
      <c r="L218" s="1870" t="n"/>
      <c r="M218" s="1870" t="n"/>
      <c r="N218" s="1870" t="n"/>
      <c r="O218" s="1870" t="n"/>
      <c r="P218" s="1846" t="n"/>
    </row>
    <row r="219" hidden="1">
      <c r="A219" s="480" t="n"/>
      <c r="B219" s="351" t="n"/>
      <c r="C219" s="1870" t="n"/>
      <c r="D219" s="1870" t="n"/>
      <c r="E219" s="1870" t="n"/>
      <c r="F219" s="1870" t="n"/>
      <c r="G219" s="1870" t="n"/>
      <c r="H219" s="1870" t="n"/>
      <c r="I219" s="1870" t="n"/>
      <c r="J219" s="1870" t="n"/>
      <c r="K219" s="1870" t="n"/>
      <c r="L219" s="1870" t="n"/>
      <c r="M219" s="1870" t="n"/>
      <c r="N219" s="1870" t="n"/>
      <c r="O219" s="1870" t="n"/>
      <c r="P219" s="1846" t="n"/>
    </row>
    <row r="220" hidden="1">
      <c r="A220" s="480" t="n"/>
      <c r="B220" s="351" t="n"/>
      <c r="C220" s="1870" t="n"/>
      <c r="D220" s="1870" t="n"/>
      <c r="E220" s="1870" t="n"/>
      <c r="F220" s="1870" t="n"/>
      <c r="G220" s="1870" t="n"/>
      <c r="H220" s="1870" t="n"/>
      <c r="I220" s="1870" t="n"/>
      <c r="J220" s="1870" t="n"/>
      <c r="K220" s="1870" t="n"/>
      <c r="L220" s="1870" t="n"/>
      <c r="M220" s="1870" t="n"/>
      <c r="N220" s="1870" t="n"/>
      <c r="O220" s="1870" t="n"/>
      <c r="P220" s="1846" t="n"/>
    </row>
    <row r="221" hidden="1">
      <c r="A221" s="480" t="n"/>
      <c r="B221" s="351" t="n"/>
      <c r="C221" s="1870" t="n"/>
      <c r="D221" s="1870" t="n"/>
      <c r="E221" s="1870" t="n"/>
      <c r="F221" s="1870" t="n"/>
      <c r="G221" s="1870" t="n"/>
      <c r="H221" s="1870" t="n"/>
      <c r="I221" s="1870" t="n"/>
      <c r="J221" s="1870" t="n"/>
      <c r="K221" s="1870" t="n"/>
      <c r="L221" s="1870" t="n"/>
      <c r="M221" s="1870" t="n"/>
      <c r="N221" s="1870" t="n"/>
      <c r="O221" s="1870" t="n"/>
      <c r="P221" s="1846" t="n"/>
    </row>
    <row r="222" hidden="1">
      <c r="A222" s="480" t="n"/>
      <c r="B222" s="351" t="n"/>
      <c r="C222" s="1870" t="n"/>
      <c r="D222" s="1870" t="n"/>
      <c r="E222" s="1870" t="n"/>
      <c r="F222" s="1870" t="n"/>
      <c r="G222" s="1870" t="n"/>
      <c r="H222" s="1870" t="n"/>
      <c r="I222" s="1870" t="n"/>
      <c r="J222" s="1870" t="n"/>
      <c r="K222" s="1870" t="n"/>
      <c r="L222" s="1870" t="n"/>
      <c r="M222" s="1870" t="n"/>
      <c r="N222" s="1870" t="n"/>
      <c r="O222" s="1870" t="n"/>
      <c r="P222" s="1846" t="n"/>
    </row>
    <row r="223" hidden="1">
      <c r="A223" s="480" t="n"/>
      <c r="B223" s="351" t="n"/>
      <c r="C223" s="1870" t="n"/>
      <c r="D223" s="1870" t="n"/>
      <c r="E223" s="1870" t="n"/>
      <c r="F223" s="1870" t="n"/>
      <c r="G223" s="1870" t="n"/>
      <c r="H223" s="1870" t="n"/>
      <c r="I223" s="1870" t="n"/>
      <c r="J223" s="1870" t="n"/>
      <c r="K223" s="1870" t="n"/>
      <c r="L223" s="1870" t="n"/>
      <c r="M223" s="1870" t="n"/>
      <c r="N223" s="1870" t="n"/>
      <c r="O223" s="1870" t="n"/>
      <c r="P223" s="1846" t="n"/>
    </row>
    <row r="224" hidden="1">
      <c r="A224" s="480" t="n"/>
      <c r="B224" s="351" t="n"/>
      <c r="C224" s="1870" t="n"/>
      <c r="D224" s="1870" t="n"/>
      <c r="E224" s="1870" t="n"/>
      <c r="F224" s="1870" t="n"/>
      <c r="G224" s="1870" t="n"/>
      <c r="H224" s="1870" t="n"/>
      <c r="I224" s="1870" t="n"/>
      <c r="J224" s="1870" t="n"/>
      <c r="K224" s="1870" t="n"/>
      <c r="L224" s="1870" t="n"/>
      <c r="M224" s="1870" t="n"/>
      <c r="N224" s="1870" t="n"/>
      <c r="O224" s="1870" t="n"/>
      <c r="P224" s="1846" t="n"/>
    </row>
    <row r="225" hidden="1">
      <c r="A225" s="480" t="n"/>
      <c r="B225" s="351" t="n"/>
      <c r="C225" s="1870" t="n"/>
      <c r="D225" s="1870" t="n"/>
      <c r="E225" s="1870" t="n"/>
      <c r="F225" s="1870" t="n"/>
      <c r="G225" s="1870" t="n"/>
      <c r="H225" s="1870" t="n"/>
      <c r="I225" s="1870" t="n"/>
      <c r="J225" s="1870" t="n"/>
      <c r="K225" s="1870" t="n"/>
      <c r="L225" s="1870" t="n"/>
      <c r="M225" s="1870" t="n"/>
      <c r="N225" s="1870" t="n"/>
      <c r="O225" s="1870" t="n"/>
      <c r="P225" s="1846" t="n"/>
    </row>
    <row r="226" hidden="1">
      <c r="A226" s="480" t="n"/>
      <c r="B226" s="351" t="n"/>
      <c r="C226" s="1870" t="n"/>
      <c r="D226" s="1870" t="n"/>
      <c r="E226" s="1870" t="n"/>
      <c r="F226" s="1870" t="n"/>
      <c r="G226" s="1870" t="n"/>
      <c r="H226" s="1870" t="n"/>
      <c r="I226" s="1870" t="n"/>
      <c r="J226" s="1870" t="n"/>
      <c r="K226" s="1870" t="n"/>
      <c r="L226" s="1870" t="n"/>
      <c r="M226" s="1870" t="n"/>
      <c r="N226" s="1870" t="n"/>
      <c r="O226" s="1870" t="n"/>
      <c r="P226" s="1846" t="n"/>
    </row>
    <row r="227" hidden="1">
      <c r="A227" s="480" t="n"/>
      <c r="B227" s="351" t="n"/>
      <c r="C227" s="1870" t="n"/>
      <c r="D227" s="1870" t="n"/>
      <c r="E227" s="1870" t="n"/>
      <c r="F227" s="1870" t="n"/>
      <c r="G227" s="1870" t="n"/>
      <c r="H227" s="1870" t="n"/>
      <c r="I227" s="1870" t="n"/>
      <c r="J227" s="1870" t="n"/>
      <c r="K227" s="1870" t="n"/>
      <c r="L227" s="1870" t="n"/>
      <c r="M227" s="1870" t="n"/>
      <c r="N227" s="1870" t="n"/>
      <c r="O227" s="1870" t="n"/>
      <c r="P227" s="1846" t="n"/>
    </row>
    <row r="228">
      <c r="A228" s="480" t="n"/>
      <c r="B228" s="351" t="n"/>
      <c r="C228" s="1870" t="n"/>
      <c r="D228" s="1870" t="n"/>
      <c r="E228" s="1870" t="n"/>
      <c r="F228" s="1870" t="n"/>
      <c r="G228" s="1870" t="n"/>
      <c r="H228" s="1870" t="n"/>
      <c r="I228" s="1870" t="n"/>
      <c r="J228" s="1870" t="n"/>
      <c r="K228" s="1870" t="n"/>
      <c r="L228" s="1870" t="n"/>
      <c r="M228" s="1870" t="n"/>
      <c r="N228" s="1870" t="n"/>
      <c r="O228" s="1870" t="n"/>
      <c r="P228" s="1846" t="n"/>
    </row>
    <row r="229">
      <c r="C229" s="1846" t="n"/>
      <c r="D229" s="1846" t="n"/>
      <c r="E229" s="1846" t="n"/>
      <c r="F229" s="1846" t="n"/>
      <c r="G229" s="1846" t="n"/>
      <c r="H229" s="1846" t="n"/>
      <c r="I229" s="1846" t="n"/>
      <c r="J229" s="1846" t="n"/>
      <c r="K229" s="1846" t="n"/>
      <c r="L229" s="1846" t="n"/>
      <c r="M229" s="1846" t="n"/>
      <c r="N229" s="1846" t="n"/>
      <c r="O229" s="1846" t="n"/>
      <c r="P229" s="358" t="n"/>
    </row>
    <row r="230">
      <c r="C230" s="1846" t="n"/>
      <c r="D230" s="1846" t="n"/>
      <c r="E230" s="1846" t="n"/>
      <c r="F230" s="1846" t="n"/>
      <c r="G230" s="1846" t="n"/>
      <c r="H230" s="1846" t="n"/>
      <c r="I230" s="1846" t="n"/>
      <c r="J230" s="1846" t="n"/>
      <c r="K230" s="1846" t="n"/>
      <c r="L230" s="1846" t="n"/>
      <c r="M230" s="1846" t="n"/>
      <c r="N230" s="1846" t="n"/>
      <c r="O230" s="1846" t="n"/>
      <c r="P230" s="358" t="n"/>
    </row>
    <row r="231">
      <c r="C231" s="1846" t="n"/>
      <c r="D231" s="1846" t="n"/>
      <c r="E231" s="1846" t="n"/>
      <c r="F231" s="1846" t="n"/>
      <c r="G231" s="1846" t="n"/>
      <c r="H231" s="1846" t="n"/>
      <c r="I231" s="1846" t="n"/>
      <c r="J231" s="1846" t="n"/>
      <c r="K231" s="1846" t="n"/>
      <c r="L231" s="1846" t="n"/>
      <c r="M231" s="1846" t="n"/>
      <c r="N231" s="1846" t="n"/>
      <c r="O231" s="1846" t="n"/>
      <c r="P231" s="358" t="n"/>
    </row>
    <row r="232">
      <c r="C232" s="319" t="n"/>
      <c r="D232" s="319" t="n"/>
      <c r="E232" s="319" t="n"/>
      <c r="F232" s="319" t="n"/>
      <c r="G232" s="319" t="n"/>
      <c r="H232" s="319" t="n"/>
      <c r="I232" s="319" t="n"/>
      <c r="J232" s="319" t="n"/>
      <c r="K232" s="319" t="n"/>
      <c r="L232" s="319" t="n"/>
      <c r="M232" s="319" t="n"/>
      <c r="N232" s="319" t="n"/>
      <c r="O232" s="319" t="n"/>
      <c r="P232" s="358" t="n"/>
    </row>
    <row r="233">
      <c r="C233" s="319" t="n"/>
      <c r="D233" s="319" t="n"/>
      <c r="E233" s="319" t="n"/>
      <c r="F233" s="319" t="n"/>
      <c r="G233" s="319" t="n"/>
      <c r="H233" s="319" t="n"/>
      <c r="I233" s="319" t="n"/>
      <c r="J233" s="319" t="n"/>
      <c r="K233" s="319" t="n"/>
      <c r="L233" s="319" t="n"/>
      <c r="M233" s="319" t="n"/>
      <c r="N233" s="319" t="n"/>
      <c r="O233" s="319" t="n"/>
      <c r="P233" s="358" t="n"/>
    </row>
    <row r="234">
      <c r="C234" s="319" t="n"/>
      <c r="D234" s="319" t="n"/>
      <c r="E234" s="319" t="n"/>
      <c r="F234" s="319" t="n"/>
      <c r="G234" s="319" t="n"/>
      <c r="H234" s="319" t="n"/>
      <c r="I234" s="319" t="n"/>
      <c r="J234" s="319" t="n"/>
      <c r="K234" s="319" t="n"/>
      <c r="L234" s="319" t="n"/>
      <c r="M234" s="319" t="n"/>
      <c r="N234" s="319" t="n"/>
      <c r="O234" s="319" t="n"/>
      <c r="P234" s="358" t="n"/>
    </row>
    <row r="235">
      <c r="C235" s="319" t="n"/>
      <c r="D235" s="319" t="n"/>
      <c r="E235" s="319" t="n"/>
      <c r="F235" s="319" t="n"/>
      <c r="G235" s="319" t="n"/>
      <c r="H235" s="319" t="n"/>
      <c r="I235" s="319" t="n"/>
      <c r="J235" s="319" t="n"/>
      <c r="K235" s="319" t="n"/>
      <c r="L235" s="319" t="n"/>
      <c r="M235" s="319" t="n"/>
      <c r="N235" s="319" t="n"/>
      <c r="O235" s="319" t="n"/>
      <c r="P235" s="358" t="n"/>
    </row>
  </sheetData>
  <pageMargins left="0.2362204724409449" right="0.2362204724409449" top="0.7480314960629921" bottom="0.7480314960629921" header="0.3149606299212598" footer="0.3149606299212598"/>
  <pageSetup orientation="landscape" paperSize="9" scale="6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Panita Siwalai</dc:creator>
  <dcterms:created xmlns:dcterms="http://purl.org/dc/terms/" xmlns:xsi="http://www.w3.org/2001/XMLSchema-instance" xsi:type="dcterms:W3CDTF">2022-03-01T16:34:50Z</dcterms:created>
  <dcterms:modified xmlns:dcterms="http://purl.org/dc/terms/" xmlns:xsi="http://www.w3.org/2001/XMLSchema-instance" xsi:type="dcterms:W3CDTF">2025-08-18T08:53:58Z</dcterms:modified>
  <cp:lastModifiedBy>Artur Scherbin</cp:lastModifiedBy>
  <cp:lastPrinted>2024-11-25T05:32:19Z</cp:lastPrinted>
</cp:coreProperties>
</file>