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9e4d2a4ae686322/Documents/Financial Modelling/"/>
    </mc:Choice>
  </mc:AlternateContent>
  <xr:revisionPtr revIDLastSave="509" documentId="8_{4CABEE71-72ED-4C29-BD10-515CC38ABBEB}" xr6:coauthVersionLast="47" xr6:coauthVersionMax="47" xr10:uidLastSave="{9572110A-5DE0-429E-BF1E-D98124EDF747}"/>
  <bookViews>
    <workbookView xWindow="5115" yWindow="2475" windowWidth="15375" windowHeight="8325" firstSheet="1" activeTab="4" xr2:uid="{00000000-000D-0000-FFFF-FFFF00000000}"/>
  </bookViews>
  <sheets>
    <sheet name="Financials&gt;" sheetId="7" r:id="rId1"/>
    <sheet name="HistoricalFS" sheetId="8" r:id="rId2"/>
    <sheet name="Ratio Analysis" sheetId="11" r:id="rId3"/>
    <sheet name=" Forecasting Practice" sheetId="12" r:id="rId4"/>
    <sheet name="Forecasting" sheetId="13" r:id="rId5"/>
    <sheet name="Data&gt;" sheetId="9" r:id="rId6"/>
    <sheet name="Data Sheet" sheetId="6" r:id="rId7"/>
    <sheet name="Cashflow Data" sheetId="10" r:id="rId8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3" l="1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7" i="13"/>
  <c r="N21" i="13"/>
  <c r="N20" i="13"/>
  <c r="N19" i="13"/>
  <c r="N18" i="13"/>
  <c r="N17" i="13"/>
  <c r="N16" i="13"/>
  <c r="N6" i="13" a="1"/>
  <c r="N7" i="13" s="1"/>
  <c r="M21" i="13"/>
  <c r="M20" i="13"/>
  <c r="M19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L7" i="13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4" i="13"/>
  <c r="I21" i="13"/>
  <c r="I20" i="13"/>
  <c r="I19" i="13"/>
  <c r="I18" i="13"/>
  <c r="I17" i="13"/>
  <c r="I16" i="13"/>
  <c r="I6" i="13" a="1"/>
  <c r="I6" i="13" s="1"/>
  <c r="G4" i="13"/>
  <c r="B4" i="13"/>
  <c r="H16" i="13"/>
  <c r="H7" i="13"/>
  <c r="H8" i="13"/>
  <c r="H9" i="13"/>
  <c r="H10" i="13"/>
  <c r="H11" i="13"/>
  <c r="H12" i="13"/>
  <c r="H13" i="13"/>
  <c r="H14" i="13"/>
  <c r="H15" i="13"/>
  <c r="H17" i="13"/>
  <c r="H18" i="13"/>
  <c r="H19" i="13"/>
  <c r="H20" i="13"/>
  <c r="H21" i="13"/>
  <c r="H6" i="13"/>
  <c r="G7" i="13"/>
  <c r="G8" i="13" s="1"/>
  <c r="G9" i="13" s="1"/>
  <c r="G10" i="13" s="1"/>
  <c r="G11" i="13" s="1"/>
  <c r="G12" i="13" s="1"/>
  <c r="G13" i="13" s="1"/>
  <c r="G14" i="13" s="1"/>
  <c r="G15" i="13" s="1"/>
  <c r="G16" i="13" s="1"/>
  <c r="G17" i="13" s="1"/>
  <c r="G18" i="13" s="1"/>
  <c r="G19" i="13" s="1"/>
  <c r="G20" i="13" s="1"/>
  <c r="G21" i="13" s="1"/>
  <c r="B8" i="13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7" i="13"/>
  <c r="C8" i="13"/>
  <c r="C9" i="13"/>
  <c r="C10" i="13"/>
  <c r="C11" i="13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7" i="13"/>
  <c r="D6" i="13" a="1"/>
  <c r="D8" i="13" s="1"/>
  <c r="C6" i="13"/>
  <c r="C4" i="12"/>
  <c r="F22" i="12"/>
  <c r="F21" i="12"/>
  <c r="F20" i="12"/>
  <c r="F19" i="12"/>
  <c r="F18" i="12"/>
  <c r="E22" i="12"/>
  <c r="E21" i="12"/>
  <c r="E20" i="12"/>
  <c r="E19" i="12"/>
  <c r="E18" i="12"/>
  <c r="D22" i="12"/>
  <c r="C22" i="12"/>
  <c r="F23" i="12"/>
  <c r="N12" i="13" l="1"/>
  <c r="N8" i="13"/>
  <c r="N14" i="13"/>
  <c r="N10" i="13"/>
  <c r="N6" i="13"/>
  <c r="N13" i="13"/>
  <c r="N9" i="13"/>
  <c r="N15" i="13"/>
  <c r="N11" i="13"/>
  <c r="I14" i="13"/>
  <c r="I10" i="13"/>
  <c r="I13" i="13"/>
  <c r="I9" i="13"/>
  <c r="I12" i="13"/>
  <c r="I8" i="13"/>
  <c r="I15" i="13"/>
  <c r="I11" i="13"/>
  <c r="I7" i="13"/>
  <c r="D21" i="13"/>
  <c r="D19" i="13"/>
  <c r="D18" i="13"/>
  <c r="D16" i="13"/>
  <c r="D20" i="13"/>
  <c r="D17" i="13"/>
  <c r="D15" i="13"/>
  <c r="D11" i="13"/>
  <c r="D7" i="13"/>
  <c r="D14" i="13"/>
  <c r="D10" i="13"/>
  <c r="D6" i="13"/>
  <c r="D13" i="13"/>
  <c r="D9" i="13"/>
  <c r="D12" i="13"/>
  <c r="J10" i="12" l="1"/>
  <c r="F17" i="12"/>
  <c r="F16" i="12"/>
  <c r="F15" i="12"/>
  <c r="F14" i="12"/>
  <c r="F13" i="12"/>
  <c r="F12" i="12"/>
  <c r="F11" i="12"/>
  <c r="F10" i="12"/>
  <c r="F9" i="12"/>
  <c r="F8" i="12"/>
  <c r="J7" i="12" s="1"/>
  <c r="F7" i="12"/>
  <c r="D7" i="12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C8" i="12"/>
  <c r="C9" i="12" s="1"/>
  <c r="C10" i="12" s="1"/>
  <c r="C11" i="12" s="1"/>
  <c r="C12" i="12" s="1"/>
  <c r="C13" i="12" s="1"/>
  <c r="C14" i="12" s="1"/>
  <c r="C15" i="12" s="1"/>
  <c r="C16" i="12" s="1"/>
  <c r="C17" i="12" s="1"/>
  <c r="C7" i="12"/>
  <c r="L11" i="11"/>
  <c r="K11" i="11"/>
  <c r="J11" i="11"/>
  <c r="I11" i="11"/>
  <c r="H11" i="11"/>
  <c r="G11" i="11"/>
  <c r="F11" i="11"/>
  <c r="E11" i="11"/>
  <c r="L10" i="11"/>
  <c r="K10" i="11"/>
  <c r="J10" i="11"/>
  <c r="I10" i="11"/>
  <c r="H10" i="11"/>
  <c r="O10" i="11" s="1"/>
  <c r="G10" i="11"/>
  <c r="F10" i="11"/>
  <c r="E10" i="11"/>
  <c r="L9" i="11"/>
  <c r="K9" i="11"/>
  <c r="J9" i="11"/>
  <c r="I9" i="11"/>
  <c r="H9" i="11"/>
  <c r="G9" i="11"/>
  <c r="F9" i="11"/>
  <c r="E9" i="11"/>
  <c r="L8" i="11"/>
  <c r="K8" i="11"/>
  <c r="J8" i="11"/>
  <c r="I8" i="11"/>
  <c r="H8" i="11"/>
  <c r="G8" i="11"/>
  <c r="F8" i="11"/>
  <c r="E8" i="11"/>
  <c r="E7" i="11"/>
  <c r="F7" i="11"/>
  <c r="G7" i="11"/>
  <c r="H7" i="11"/>
  <c r="I7" i="11"/>
  <c r="J7" i="11"/>
  <c r="K7" i="11"/>
  <c r="L7" i="11"/>
  <c r="D7" i="11"/>
  <c r="N7" i="11" s="1"/>
  <c r="L44" i="11"/>
  <c r="K44" i="11"/>
  <c r="J44" i="11"/>
  <c r="I44" i="11"/>
  <c r="H44" i="11"/>
  <c r="G44" i="11"/>
  <c r="F44" i="11"/>
  <c r="E44" i="11"/>
  <c r="O44" i="11" s="1"/>
  <c r="D44" i="11"/>
  <c r="L43" i="11"/>
  <c r="K43" i="11"/>
  <c r="J43" i="11"/>
  <c r="I43" i="11"/>
  <c r="H43" i="11"/>
  <c r="G43" i="11"/>
  <c r="F43" i="11"/>
  <c r="N43" i="11" s="1"/>
  <c r="E43" i="11"/>
  <c r="D43" i="11"/>
  <c r="L42" i="11"/>
  <c r="K42" i="11"/>
  <c r="J42" i="11"/>
  <c r="I42" i="11"/>
  <c r="H42" i="11"/>
  <c r="G42" i="11"/>
  <c r="O42" i="11" s="1"/>
  <c r="F42" i="11"/>
  <c r="E42" i="11"/>
  <c r="D42" i="11"/>
  <c r="C44" i="11"/>
  <c r="C43" i="11"/>
  <c r="C42" i="11"/>
  <c r="C31" i="11"/>
  <c r="C38" i="11" s="1"/>
  <c r="L33" i="11"/>
  <c r="K33" i="11"/>
  <c r="J33" i="11"/>
  <c r="I33" i="11"/>
  <c r="H33" i="11"/>
  <c r="G33" i="11"/>
  <c r="F33" i="11"/>
  <c r="E33" i="11"/>
  <c r="D33" i="11"/>
  <c r="L32" i="11"/>
  <c r="K32" i="11"/>
  <c r="J32" i="11"/>
  <c r="I32" i="11"/>
  <c r="H32" i="11"/>
  <c r="G32" i="11"/>
  <c r="F32" i="11"/>
  <c r="E32" i="11"/>
  <c r="D32" i="11"/>
  <c r="L31" i="11"/>
  <c r="L38" i="11" s="1"/>
  <c r="K31" i="11"/>
  <c r="K38" i="11" s="1"/>
  <c r="J31" i="11"/>
  <c r="J38" i="11" s="1"/>
  <c r="I31" i="11"/>
  <c r="I38" i="11" s="1"/>
  <c r="H31" i="11"/>
  <c r="H38" i="11" s="1"/>
  <c r="G31" i="11"/>
  <c r="G38" i="11" s="1"/>
  <c r="F31" i="11"/>
  <c r="F38" i="11" s="1"/>
  <c r="E31" i="11"/>
  <c r="D31" i="11"/>
  <c r="D38" i="11" s="1"/>
  <c r="L30" i="11"/>
  <c r="L37" i="11" s="1"/>
  <c r="K30" i="11"/>
  <c r="K37" i="11" s="1"/>
  <c r="J30" i="11"/>
  <c r="J37" i="11" s="1"/>
  <c r="I30" i="11"/>
  <c r="I37" i="11" s="1"/>
  <c r="H30" i="11"/>
  <c r="H37" i="11" s="1"/>
  <c r="G30" i="11"/>
  <c r="G37" i="11" s="1"/>
  <c r="F30" i="11"/>
  <c r="F37" i="11" s="1"/>
  <c r="E30" i="11"/>
  <c r="E37" i="11" s="1"/>
  <c r="D30" i="11"/>
  <c r="D37" i="11" s="1"/>
  <c r="L29" i="11"/>
  <c r="L36" i="11" s="1"/>
  <c r="K29" i="11"/>
  <c r="K36" i="11" s="1"/>
  <c r="J29" i="11"/>
  <c r="J36" i="11" s="1"/>
  <c r="I29" i="11"/>
  <c r="I36" i="11" s="1"/>
  <c r="H29" i="11"/>
  <c r="H36" i="11" s="1"/>
  <c r="G29" i="11"/>
  <c r="G36" i="11" s="1"/>
  <c r="F29" i="11"/>
  <c r="F36" i="11" s="1"/>
  <c r="E29" i="11"/>
  <c r="E36" i="11" s="1"/>
  <c r="D29" i="11"/>
  <c r="D36" i="11" s="1"/>
  <c r="C29" i="11"/>
  <c r="C36" i="11" s="1"/>
  <c r="C30" i="11"/>
  <c r="C37" i="11" s="1"/>
  <c r="C32" i="11"/>
  <c r="C33" i="11"/>
  <c r="L27" i="11"/>
  <c r="K27" i="11"/>
  <c r="J27" i="11"/>
  <c r="I27" i="11"/>
  <c r="H27" i="11"/>
  <c r="G27" i="11"/>
  <c r="F27" i="11"/>
  <c r="E27" i="11"/>
  <c r="D27" i="11"/>
  <c r="C27" i="11"/>
  <c r="L25" i="11"/>
  <c r="K25" i="11"/>
  <c r="J25" i="11"/>
  <c r="I25" i="11"/>
  <c r="H25" i="11"/>
  <c r="G25" i="11"/>
  <c r="F25" i="11"/>
  <c r="E25" i="11"/>
  <c r="D25" i="11"/>
  <c r="L24" i="11"/>
  <c r="L26" i="11" s="1"/>
  <c r="K24" i="11"/>
  <c r="J24" i="11"/>
  <c r="I24" i="11"/>
  <c r="H24" i="11"/>
  <c r="H26" i="11" s="1"/>
  <c r="G24" i="11"/>
  <c r="F24" i="11"/>
  <c r="E24" i="11"/>
  <c r="D24" i="11"/>
  <c r="D26" i="11" s="1"/>
  <c r="L23" i="11"/>
  <c r="K23" i="11"/>
  <c r="J23" i="11"/>
  <c r="I23" i="11"/>
  <c r="H23" i="11"/>
  <c r="G23" i="11"/>
  <c r="F23" i="11"/>
  <c r="E23" i="11"/>
  <c r="D23" i="11"/>
  <c r="C25" i="11"/>
  <c r="C44" i="8"/>
  <c r="C24" i="11"/>
  <c r="C23" i="11"/>
  <c r="L20" i="11"/>
  <c r="K20" i="11"/>
  <c r="J20" i="11"/>
  <c r="I20" i="11"/>
  <c r="H20" i="11"/>
  <c r="G20" i="11"/>
  <c r="F20" i="11"/>
  <c r="E20" i="11"/>
  <c r="D20" i="11"/>
  <c r="N20" i="11" s="1"/>
  <c r="L19" i="11"/>
  <c r="K19" i="11"/>
  <c r="J19" i="11"/>
  <c r="I19" i="11"/>
  <c r="H19" i="11"/>
  <c r="G19" i="11"/>
  <c r="F19" i="11"/>
  <c r="E19" i="11"/>
  <c r="D19" i="11"/>
  <c r="C20" i="11"/>
  <c r="C19" i="11"/>
  <c r="L17" i="11"/>
  <c r="K17" i="11"/>
  <c r="J17" i="11"/>
  <c r="I17" i="11"/>
  <c r="H17" i="11"/>
  <c r="G17" i="11"/>
  <c r="F17" i="11"/>
  <c r="E17" i="11"/>
  <c r="D17" i="11"/>
  <c r="N17" i="11" s="1"/>
  <c r="L16" i="11"/>
  <c r="K16" i="11"/>
  <c r="J16" i="11"/>
  <c r="I16" i="11"/>
  <c r="H16" i="11"/>
  <c r="G16" i="11"/>
  <c r="F16" i="11"/>
  <c r="E16" i="11"/>
  <c r="D16" i="11"/>
  <c r="L14" i="11"/>
  <c r="K14" i="11"/>
  <c r="J14" i="11"/>
  <c r="I14" i="11"/>
  <c r="H14" i="11"/>
  <c r="G14" i="11"/>
  <c r="F14" i="11"/>
  <c r="E14" i="11"/>
  <c r="D14" i="11"/>
  <c r="L15" i="11"/>
  <c r="L21" i="11" s="1"/>
  <c r="K15" i="11"/>
  <c r="K21" i="11" s="1"/>
  <c r="J15" i="11"/>
  <c r="J21" i="11" s="1"/>
  <c r="I15" i="11"/>
  <c r="I21" i="11" s="1"/>
  <c r="H15" i="11"/>
  <c r="H21" i="11" s="1"/>
  <c r="G15" i="11"/>
  <c r="G21" i="11" s="1"/>
  <c r="F15" i="11"/>
  <c r="F21" i="11" s="1"/>
  <c r="E15" i="11"/>
  <c r="E21" i="11" s="1"/>
  <c r="D15" i="11"/>
  <c r="D21" i="11" s="1"/>
  <c r="L13" i="11"/>
  <c r="K13" i="11"/>
  <c r="J13" i="11"/>
  <c r="I13" i="11"/>
  <c r="H13" i="11"/>
  <c r="G13" i="11"/>
  <c r="F13" i="11"/>
  <c r="E13" i="11"/>
  <c r="D13" i="11"/>
  <c r="C15" i="11"/>
  <c r="C21" i="11" s="1"/>
  <c r="C17" i="11"/>
  <c r="C16" i="11"/>
  <c r="C14" i="11"/>
  <c r="C13" i="11"/>
  <c r="D11" i="11"/>
  <c r="D10" i="11"/>
  <c r="E18" i="8"/>
  <c r="D9" i="11"/>
  <c r="D8" i="11"/>
  <c r="B3" i="11"/>
  <c r="L103" i="8"/>
  <c r="K103" i="8"/>
  <c r="J103" i="8"/>
  <c r="I103" i="8"/>
  <c r="H103" i="8"/>
  <c r="G103" i="8"/>
  <c r="F103" i="8"/>
  <c r="E103" i="8"/>
  <c r="D103" i="8"/>
  <c r="C103" i="8"/>
  <c r="L101" i="8"/>
  <c r="K101" i="8"/>
  <c r="J101" i="8"/>
  <c r="I101" i="8"/>
  <c r="H101" i="8"/>
  <c r="G101" i="8"/>
  <c r="F101" i="8"/>
  <c r="E101" i="8"/>
  <c r="D101" i="8"/>
  <c r="C101" i="8"/>
  <c r="L100" i="8"/>
  <c r="K100" i="8"/>
  <c r="J100" i="8"/>
  <c r="I100" i="8"/>
  <c r="H100" i="8"/>
  <c r="G100" i="8"/>
  <c r="F100" i="8"/>
  <c r="E100" i="8"/>
  <c r="D100" i="8"/>
  <c r="C100" i="8"/>
  <c r="L99" i="8"/>
  <c r="K99" i="8"/>
  <c r="J99" i="8"/>
  <c r="I99" i="8"/>
  <c r="H99" i="8"/>
  <c r="G99" i="8"/>
  <c r="F99" i="8"/>
  <c r="E99" i="8"/>
  <c r="D99" i="8"/>
  <c r="C99" i="8"/>
  <c r="L98" i="8"/>
  <c r="K98" i="8"/>
  <c r="J98" i="8"/>
  <c r="I98" i="8"/>
  <c r="H98" i="8"/>
  <c r="G98" i="8"/>
  <c r="F98" i="8"/>
  <c r="E98" i="8"/>
  <c r="D98" i="8"/>
  <c r="C98" i="8"/>
  <c r="L97" i="8"/>
  <c r="K97" i="8"/>
  <c r="J97" i="8"/>
  <c r="I97" i="8"/>
  <c r="H97" i="8"/>
  <c r="G97" i="8"/>
  <c r="F97" i="8"/>
  <c r="E97" i="8"/>
  <c r="D97" i="8"/>
  <c r="C97" i="8"/>
  <c r="L96" i="8"/>
  <c r="K96" i="8"/>
  <c r="J96" i="8"/>
  <c r="I96" i="8"/>
  <c r="H96" i="8"/>
  <c r="G96" i="8"/>
  <c r="F96" i="8"/>
  <c r="E96" i="8"/>
  <c r="D96" i="8"/>
  <c r="C96" i="8"/>
  <c r="L95" i="8"/>
  <c r="K95" i="8"/>
  <c r="J95" i="8"/>
  <c r="I95" i="8"/>
  <c r="H95" i="8"/>
  <c r="G95" i="8"/>
  <c r="F95" i="8"/>
  <c r="E95" i="8"/>
  <c r="D95" i="8"/>
  <c r="C95" i="8"/>
  <c r="L94" i="8"/>
  <c r="K94" i="8"/>
  <c r="J94" i="8"/>
  <c r="I94" i="8"/>
  <c r="H94" i="8"/>
  <c r="G94" i="8"/>
  <c r="F94" i="8"/>
  <c r="E94" i="8"/>
  <c r="D94" i="8"/>
  <c r="C94" i="8"/>
  <c r="L93" i="8"/>
  <c r="K93" i="8"/>
  <c r="J93" i="8"/>
  <c r="I93" i="8"/>
  <c r="H93" i="8"/>
  <c r="G93" i="8"/>
  <c r="F93" i="8"/>
  <c r="E93" i="8"/>
  <c r="D93" i="8"/>
  <c r="C93" i="8"/>
  <c r="L90" i="8"/>
  <c r="K90" i="8"/>
  <c r="J90" i="8"/>
  <c r="I90" i="8"/>
  <c r="H90" i="8"/>
  <c r="G90" i="8"/>
  <c r="F90" i="8"/>
  <c r="E90" i="8"/>
  <c r="D90" i="8"/>
  <c r="C90" i="8"/>
  <c r="L89" i="8"/>
  <c r="K89" i="8"/>
  <c r="J89" i="8"/>
  <c r="I89" i="8"/>
  <c r="H89" i="8"/>
  <c r="G89" i="8"/>
  <c r="F89" i="8"/>
  <c r="E89" i="8"/>
  <c r="D89" i="8"/>
  <c r="C89" i="8"/>
  <c r="L88" i="8"/>
  <c r="K88" i="8"/>
  <c r="J88" i="8"/>
  <c r="I88" i="8"/>
  <c r="H88" i="8"/>
  <c r="G88" i="8"/>
  <c r="F88" i="8"/>
  <c r="E88" i="8"/>
  <c r="D88" i="8"/>
  <c r="C88" i="8"/>
  <c r="L87" i="8"/>
  <c r="K87" i="8"/>
  <c r="J87" i="8"/>
  <c r="I87" i="8"/>
  <c r="H87" i="8"/>
  <c r="G87" i="8"/>
  <c r="F87" i="8"/>
  <c r="E87" i="8"/>
  <c r="D87" i="8"/>
  <c r="C87" i="8"/>
  <c r="L86" i="8"/>
  <c r="K86" i="8"/>
  <c r="J86" i="8"/>
  <c r="I86" i="8"/>
  <c r="H86" i="8"/>
  <c r="G86" i="8"/>
  <c r="F86" i="8"/>
  <c r="E86" i="8"/>
  <c r="D86" i="8"/>
  <c r="C86" i="8"/>
  <c r="L85" i="8"/>
  <c r="K85" i="8"/>
  <c r="J85" i="8"/>
  <c r="I85" i="8"/>
  <c r="H85" i="8"/>
  <c r="G85" i="8"/>
  <c r="F85" i="8"/>
  <c r="E85" i="8"/>
  <c r="D85" i="8"/>
  <c r="C85" i="8"/>
  <c r="L84" i="8"/>
  <c r="K84" i="8"/>
  <c r="J84" i="8"/>
  <c r="I84" i="8"/>
  <c r="H84" i="8"/>
  <c r="G84" i="8"/>
  <c r="F84" i="8"/>
  <c r="E84" i="8"/>
  <c r="D84" i="8"/>
  <c r="C84" i="8"/>
  <c r="L83" i="8"/>
  <c r="K83" i="8"/>
  <c r="J83" i="8"/>
  <c r="I83" i="8"/>
  <c r="H83" i="8"/>
  <c r="G83" i="8"/>
  <c r="F83" i="8"/>
  <c r="E83" i="8"/>
  <c r="D83" i="8"/>
  <c r="C83" i="8"/>
  <c r="L82" i="8"/>
  <c r="K82" i="8"/>
  <c r="J82" i="8"/>
  <c r="I82" i="8"/>
  <c r="H82" i="8"/>
  <c r="G82" i="8"/>
  <c r="F82" i="8"/>
  <c r="E82" i="8"/>
  <c r="D82" i="8"/>
  <c r="C82" i="8"/>
  <c r="L81" i="8"/>
  <c r="K81" i="8"/>
  <c r="J81" i="8"/>
  <c r="I81" i="8"/>
  <c r="H81" i="8"/>
  <c r="G81" i="8"/>
  <c r="F81" i="8"/>
  <c r="E81" i="8"/>
  <c r="D81" i="8"/>
  <c r="C81" i="8"/>
  <c r="L80" i="8"/>
  <c r="K80" i="8"/>
  <c r="J80" i="8"/>
  <c r="I80" i="8"/>
  <c r="H80" i="8"/>
  <c r="G80" i="8"/>
  <c r="F80" i="8"/>
  <c r="E80" i="8"/>
  <c r="D80" i="8"/>
  <c r="C80" i="8"/>
  <c r="L76" i="8"/>
  <c r="K76" i="8"/>
  <c r="J76" i="8"/>
  <c r="I76" i="8"/>
  <c r="H76" i="8"/>
  <c r="G76" i="8"/>
  <c r="F76" i="8"/>
  <c r="E76" i="8"/>
  <c r="D76" i="8"/>
  <c r="C76" i="8"/>
  <c r="L75" i="8"/>
  <c r="K75" i="8"/>
  <c r="J75" i="8"/>
  <c r="I75" i="8"/>
  <c r="H75" i="8"/>
  <c r="G75" i="8"/>
  <c r="F75" i="8"/>
  <c r="E75" i="8"/>
  <c r="D75" i="8"/>
  <c r="C75" i="8"/>
  <c r="L74" i="8"/>
  <c r="K74" i="8"/>
  <c r="J74" i="8"/>
  <c r="I74" i="8"/>
  <c r="H74" i="8"/>
  <c r="G74" i="8"/>
  <c r="F74" i="8"/>
  <c r="E74" i="8"/>
  <c r="D74" i="8"/>
  <c r="C74" i="8"/>
  <c r="L73" i="8"/>
  <c r="K73" i="8"/>
  <c r="J73" i="8"/>
  <c r="I73" i="8"/>
  <c r="H73" i="8"/>
  <c r="G73" i="8"/>
  <c r="F73" i="8"/>
  <c r="E73" i="8"/>
  <c r="D73" i="8"/>
  <c r="C73" i="8"/>
  <c r="L72" i="8"/>
  <c r="K72" i="8"/>
  <c r="J72" i="8"/>
  <c r="I72" i="8"/>
  <c r="H72" i="8"/>
  <c r="G72" i="8"/>
  <c r="F72" i="8"/>
  <c r="E72" i="8"/>
  <c r="D72" i="8"/>
  <c r="C72" i="8"/>
  <c r="L71" i="8"/>
  <c r="K71" i="8"/>
  <c r="J71" i="8"/>
  <c r="I71" i="8"/>
  <c r="H71" i="8"/>
  <c r="G71" i="8"/>
  <c r="F71" i="8"/>
  <c r="E71" i="8"/>
  <c r="D71" i="8"/>
  <c r="C71" i="8"/>
  <c r="L70" i="8"/>
  <c r="K70" i="8"/>
  <c r="J70" i="8"/>
  <c r="I70" i="8"/>
  <c r="H70" i="8"/>
  <c r="G70" i="8"/>
  <c r="F70" i="8"/>
  <c r="E70" i="8"/>
  <c r="D70" i="8"/>
  <c r="C70" i="8"/>
  <c r="L77" i="8"/>
  <c r="K77" i="8"/>
  <c r="J77" i="8"/>
  <c r="I77" i="8"/>
  <c r="H77" i="8"/>
  <c r="G77" i="8"/>
  <c r="F77" i="8"/>
  <c r="E77" i="8"/>
  <c r="D77" i="8"/>
  <c r="C77" i="8"/>
  <c r="L56" i="8"/>
  <c r="K56" i="8"/>
  <c r="J56" i="8"/>
  <c r="I56" i="8"/>
  <c r="H56" i="8"/>
  <c r="G56" i="8"/>
  <c r="F56" i="8"/>
  <c r="E56" i="8"/>
  <c r="D56" i="8"/>
  <c r="J64" i="8"/>
  <c r="J66" i="8" s="1"/>
  <c r="F64" i="8"/>
  <c r="F66" i="8" s="1"/>
  <c r="L57" i="8"/>
  <c r="L64" i="8" s="1"/>
  <c r="L66" i="8" s="1"/>
  <c r="K57" i="8"/>
  <c r="K64" i="8" s="1"/>
  <c r="K66" i="8" s="1"/>
  <c r="J57" i="8"/>
  <c r="I57" i="8"/>
  <c r="I64" i="8" s="1"/>
  <c r="I66" i="8" s="1"/>
  <c r="H57" i="8"/>
  <c r="H64" i="8" s="1"/>
  <c r="H66" i="8" s="1"/>
  <c r="G57" i="8"/>
  <c r="G64" i="8" s="1"/>
  <c r="G66" i="8" s="1"/>
  <c r="F57" i="8"/>
  <c r="E57" i="8"/>
  <c r="E64" i="8" s="1"/>
  <c r="E66" i="8" s="1"/>
  <c r="D57" i="8"/>
  <c r="D64" i="8" s="1"/>
  <c r="D66" i="8" s="1"/>
  <c r="C57" i="8"/>
  <c r="C56" i="8"/>
  <c r="C64" i="8"/>
  <c r="C66" i="8" s="1"/>
  <c r="L61" i="8"/>
  <c r="K61" i="8"/>
  <c r="J61" i="8"/>
  <c r="I61" i="8"/>
  <c r="H61" i="8"/>
  <c r="G61" i="8"/>
  <c r="F61" i="8"/>
  <c r="E61" i="8"/>
  <c r="D61" i="8"/>
  <c r="C61" i="8"/>
  <c r="L60" i="8"/>
  <c r="K60" i="8"/>
  <c r="J60" i="8"/>
  <c r="J62" i="8" s="1"/>
  <c r="I60" i="8"/>
  <c r="I62" i="8" s="1"/>
  <c r="H60" i="8"/>
  <c r="G60" i="8"/>
  <c r="F60" i="8"/>
  <c r="F62" i="8" s="1"/>
  <c r="E60" i="8"/>
  <c r="E62" i="8" s="1"/>
  <c r="D60" i="8"/>
  <c r="C60" i="8"/>
  <c r="L59" i="8"/>
  <c r="L62" i="8" s="1"/>
  <c r="K59" i="8"/>
  <c r="K62" i="8" s="1"/>
  <c r="J59" i="8"/>
  <c r="I59" i="8"/>
  <c r="H59" i="8"/>
  <c r="H62" i="8" s="1"/>
  <c r="G59" i="8"/>
  <c r="G62" i="8" s="1"/>
  <c r="F59" i="8"/>
  <c r="E59" i="8"/>
  <c r="D59" i="8"/>
  <c r="D62" i="8" s="1"/>
  <c r="C59" i="8"/>
  <c r="C62" i="8" s="1"/>
  <c r="L55" i="8"/>
  <c r="K55" i="8"/>
  <c r="J55" i="8"/>
  <c r="I55" i="8"/>
  <c r="H55" i="8"/>
  <c r="G55" i="8"/>
  <c r="F55" i="8"/>
  <c r="E55" i="8"/>
  <c r="D55" i="8"/>
  <c r="C55" i="8"/>
  <c r="L54" i="8"/>
  <c r="K54" i="8"/>
  <c r="J54" i="8"/>
  <c r="I54" i="8"/>
  <c r="H54" i="8"/>
  <c r="G54" i="8"/>
  <c r="F54" i="8"/>
  <c r="E54" i="8"/>
  <c r="D54" i="8"/>
  <c r="C54" i="8"/>
  <c r="L53" i="8"/>
  <c r="K53" i="8"/>
  <c r="J53" i="8"/>
  <c r="I53" i="8"/>
  <c r="H53" i="8"/>
  <c r="G53" i="8"/>
  <c r="F53" i="8"/>
  <c r="E53" i="8"/>
  <c r="D53" i="8"/>
  <c r="C53" i="8"/>
  <c r="L51" i="8"/>
  <c r="K51" i="8"/>
  <c r="J51" i="8"/>
  <c r="I51" i="8"/>
  <c r="H51" i="8"/>
  <c r="G51" i="8"/>
  <c r="F51" i="8"/>
  <c r="E51" i="8"/>
  <c r="D51" i="8"/>
  <c r="C51" i="8"/>
  <c r="L50" i="8"/>
  <c r="K50" i="8"/>
  <c r="J50" i="8"/>
  <c r="I50" i="8"/>
  <c r="H50" i="8"/>
  <c r="G50" i="8"/>
  <c r="F50" i="8"/>
  <c r="E50" i="8"/>
  <c r="D50" i="8"/>
  <c r="C50" i="8"/>
  <c r="L49" i="8"/>
  <c r="K49" i="8"/>
  <c r="J49" i="8"/>
  <c r="I49" i="8"/>
  <c r="H49" i="8"/>
  <c r="G49" i="8"/>
  <c r="F49" i="8"/>
  <c r="E49" i="8"/>
  <c r="D49" i="8"/>
  <c r="C49" i="8"/>
  <c r="L48" i="8"/>
  <c r="K48" i="8"/>
  <c r="J48" i="8"/>
  <c r="I48" i="8"/>
  <c r="H48" i="8"/>
  <c r="G48" i="8"/>
  <c r="F48" i="8"/>
  <c r="E48" i="8"/>
  <c r="D48" i="8"/>
  <c r="C48" i="8"/>
  <c r="L47" i="8"/>
  <c r="K47" i="8"/>
  <c r="J47" i="8"/>
  <c r="I47" i="8"/>
  <c r="H47" i="8"/>
  <c r="G47" i="8"/>
  <c r="F47" i="8"/>
  <c r="E47" i="8"/>
  <c r="D47" i="8"/>
  <c r="C47" i="8"/>
  <c r="L36" i="8"/>
  <c r="L41" i="8" s="1"/>
  <c r="K36" i="8"/>
  <c r="K41" i="8" s="1"/>
  <c r="J36" i="8"/>
  <c r="J41" i="8" s="1"/>
  <c r="I36" i="8"/>
  <c r="I41" i="8" s="1"/>
  <c r="H36" i="8"/>
  <c r="H41" i="8" s="1"/>
  <c r="G36" i="8"/>
  <c r="G41" i="8" s="1"/>
  <c r="F36" i="8"/>
  <c r="F41" i="8" s="1"/>
  <c r="E36" i="8"/>
  <c r="E41" i="8" s="1"/>
  <c r="D36" i="8"/>
  <c r="D41" i="8" s="1"/>
  <c r="C36" i="8"/>
  <c r="C41" i="8" s="1"/>
  <c r="M33" i="8"/>
  <c r="M30" i="8"/>
  <c r="L30" i="8"/>
  <c r="K30" i="8"/>
  <c r="J30" i="8"/>
  <c r="I30" i="8"/>
  <c r="H30" i="8"/>
  <c r="G30" i="8"/>
  <c r="F30" i="8"/>
  <c r="E30" i="8"/>
  <c r="D30" i="8"/>
  <c r="C30" i="8"/>
  <c r="M24" i="8"/>
  <c r="M21" i="8"/>
  <c r="M27" i="8" s="1"/>
  <c r="M28" i="8" s="1"/>
  <c r="L24" i="8"/>
  <c r="K24" i="8"/>
  <c r="J24" i="8"/>
  <c r="I24" i="8"/>
  <c r="H24" i="8"/>
  <c r="G24" i="8"/>
  <c r="F24" i="8"/>
  <c r="E24" i="8"/>
  <c r="D24" i="8"/>
  <c r="C24" i="8"/>
  <c r="L21" i="8"/>
  <c r="K21" i="8"/>
  <c r="J21" i="8"/>
  <c r="I21" i="8"/>
  <c r="H21" i="8"/>
  <c r="G21" i="8"/>
  <c r="F21" i="8"/>
  <c r="E21" i="8"/>
  <c r="D21" i="8"/>
  <c r="C21" i="8"/>
  <c r="L15" i="8"/>
  <c r="K15" i="8"/>
  <c r="J15" i="8"/>
  <c r="I15" i="8"/>
  <c r="H15" i="8"/>
  <c r="G15" i="8"/>
  <c r="F15" i="8"/>
  <c r="E15" i="8"/>
  <c r="D15" i="8"/>
  <c r="C15" i="8"/>
  <c r="M9" i="8"/>
  <c r="L9" i="8"/>
  <c r="L10" i="8" s="1"/>
  <c r="K9" i="8"/>
  <c r="J9" i="8"/>
  <c r="I9" i="8"/>
  <c r="H9" i="8"/>
  <c r="H10" i="8" s="1"/>
  <c r="G9" i="8"/>
  <c r="F9" i="8"/>
  <c r="E9" i="8"/>
  <c r="D9" i="8"/>
  <c r="D10" i="8" s="1"/>
  <c r="C9" i="8"/>
  <c r="M6" i="8"/>
  <c r="M16" i="8" s="1"/>
  <c r="L6" i="8"/>
  <c r="K6" i="8"/>
  <c r="J6" i="8"/>
  <c r="I6" i="8"/>
  <c r="H6" i="8"/>
  <c r="G6" i="8"/>
  <c r="F6" i="8"/>
  <c r="E6" i="8"/>
  <c r="D6" i="8"/>
  <c r="C6" i="8"/>
  <c r="B2" i="8"/>
  <c r="K3" i="8"/>
  <c r="L3" i="8"/>
  <c r="D3" i="8"/>
  <c r="E3" i="8"/>
  <c r="F3" i="8"/>
  <c r="G3" i="8"/>
  <c r="H3" i="8"/>
  <c r="I3" i="8"/>
  <c r="J3" i="8"/>
  <c r="C3" i="8"/>
  <c r="B6" i="6"/>
  <c r="E1" i="6"/>
  <c r="O25" i="11" l="1"/>
  <c r="C39" i="11"/>
  <c r="N32" i="11"/>
  <c r="N42" i="11"/>
  <c r="N8" i="11"/>
  <c r="O11" i="11"/>
  <c r="N21" i="11"/>
  <c r="O14" i="11"/>
  <c r="N36" i="11"/>
  <c r="O33" i="11"/>
  <c r="O43" i="11"/>
  <c r="N13" i="11"/>
  <c r="N10" i="11"/>
  <c r="N23" i="11"/>
  <c r="N27" i="11"/>
  <c r="O36" i="11"/>
  <c r="N31" i="11"/>
  <c r="O9" i="11"/>
  <c r="O16" i="11"/>
  <c r="O19" i="11"/>
  <c r="E26" i="11"/>
  <c r="I26" i="11"/>
  <c r="N25" i="11"/>
  <c r="N44" i="11"/>
  <c r="O21" i="11"/>
  <c r="N37" i="11"/>
  <c r="O37" i="11"/>
  <c r="E38" i="11"/>
  <c r="O38" i="11" s="1"/>
  <c r="O8" i="11"/>
  <c r="O13" i="11"/>
  <c r="O15" i="11"/>
  <c r="O17" i="11"/>
  <c r="O20" i="11"/>
  <c r="O23" i="11"/>
  <c r="O27" i="11"/>
  <c r="O30" i="11"/>
  <c r="O32" i="11"/>
  <c r="G39" i="11"/>
  <c r="O7" i="11"/>
  <c r="N9" i="11"/>
  <c r="N11" i="11"/>
  <c r="N14" i="11"/>
  <c r="N16" i="11"/>
  <c r="N19" i="11"/>
  <c r="N24" i="11"/>
  <c r="N29" i="11"/>
  <c r="N33" i="11"/>
  <c r="O24" i="11"/>
  <c r="O29" i="11"/>
  <c r="O31" i="11"/>
  <c r="C26" i="11"/>
  <c r="F26" i="11"/>
  <c r="J26" i="11"/>
  <c r="N15" i="11"/>
  <c r="N30" i="11"/>
  <c r="J8" i="12"/>
  <c r="C18" i="12"/>
  <c r="C19" i="12" s="1"/>
  <c r="C20" i="12" s="1"/>
  <c r="C21" i="12" s="1"/>
  <c r="K39" i="11"/>
  <c r="F39" i="11"/>
  <c r="I39" i="11"/>
  <c r="G26" i="11"/>
  <c r="D39" i="11"/>
  <c r="H39" i="11"/>
  <c r="L39" i="11"/>
  <c r="J39" i="11"/>
  <c r="K26" i="11"/>
  <c r="C22" i="8"/>
  <c r="K22" i="8"/>
  <c r="D12" i="8"/>
  <c r="D13" i="8" s="1"/>
  <c r="H12" i="8"/>
  <c r="H13" i="8" s="1"/>
  <c r="L12" i="8"/>
  <c r="L13" i="8" s="1"/>
  <c r="E12" i="8"/>
  <c r="E13" i="8" s="1"/>
  <c r="I12" i="8"/>
  <c r="I18" i="8" s="1"/>
  <c r="I19" i="8" s="1"/>
  <c r="C25" i="8"/>
  <c r="C10" i="8"/>
  <c r="G10" i="8"/>
  <c r="K10" i="8"/>
  <c r="D16" i="8"/>
  <c r="L16" i="8"/>
  <c r="L25" i="8"/>
  <c r="I25" i="8"/>
  <c r="M25" i="8"/>
  <c r="F7" i="8"/>
  <c r="J7" i="8"/>
  <c r="E7" i="8"/>
  <c r="E10" i="8"/>
  <c r="I10" i="8"/>
  <c r="E16" i="8"/>
  <c r="I16" i="8"/>
  <c r="D22" i="8"/>
  <c r="H22" i="8"/>
  <c r="L22" i="8"/>
  <c r="E25" i="8"/>
  <c r="M31" i="8"/>
  <c r="C12" i="8"/>
  <c r="C13" i="8" s="1"/>
  <c r="M7" i="8"/>
  <c r="F10" i="8"/>
  <c r="J10" i="8"/>
  <c r="M10" i="8"/>
  <c r="E22" i="8"/>
  <c r="I22" i="8"/>
  <c r="E27" i="8"/>
  <c r="F16" i="8"/>
  <c r="J16" i="8"/>
  <c r="F25" i="8"/>
  <c r="J25" i="8"/>
  <c r="I7" i="8"/>
  <c r="C16" i="8"/>
  <c r="G16" i="8"/>
  <c r="K16" i="8"/>
  <c r="H16" i="8"/>
  <c r="H25" i="8"/>
  <c r="F22" i="8"/>
  <c r="J22" i="8"/>
  <c r="D25" i="8"/>
  <c r="M34" i="8"/>
  <c r="L18" i="8"/>
  <c r="E19" i="8"/>
  <c r="M12" i="8"/>
  <c r="M13" i="8" s="1"/>
  <c r="F12" i="8"/>
  <c r="F13" i="8" s="1"/>
  <c r="J12" i="8"/>
  <c r="J13" i="8" s="1"/>
  <c r="G12" i="8"/>
  <c r="G13" i="8" s="1"/>
  <c r="G7" i="8"/>
  <c r="K12" i="8"/>
  <c r="K13" i="8" s="1"/>
  <c r="K7" i="8"/>
  <c r="G25" i="8"/>
  <c r="K25" i="8"/>
  <c r="G22" i="8"/>
  <c r="M19" i="8"/>
  <c r="M22" i="8"/>
  <c r="D7" i="8"/>
  <c r="H7" i="8"/>
  <c r="L7" i="8"/>
  <c r="E39" i="11" l="1"/>
  <c r="O39" i="11" s="1"/>
  <c r="N26" i="11"/>
  <c r="O26" i="11"/>
  <c r="N39" i="11"/>
  <c r="N38" i="11"/>
  <c r="I27" i="8"/>
  <c r="H18" i="8"/>
  <c r="I13" i="8"/>
  <c r="D18" i="8"/>
  <c r="D27" i="8" s="1"/>
  <c r="C18" i="8"/>
  <c r="C27" i="8" s="1"/>
  <c r="E33" i="8"/>
  <c r="E31" i="8"/>
  <c r="E28" i="8"/>
  <c r="K18" i="8"/>
  <c r="J18" i="8"/>
  <c r="I33" i="8"/>
  <c r="I28" i="8"/>
  <c r="I31" i="8"/>
  <c r="H19" i="8"/>
  <c r="H27" i="8"/>
  <c r="G18" i="8"/>
  <c r="F18" i="8"/>
  <c r="L19" i="8"/>
  <c r="L27" i="8"/>
  <c r="D19" i="8"/>
  <c r="C19" i="8" l="1"/>
  <c r="L33" i="8"/>
  <c r="L28" i="8"/>
  <c r="L31" i="8"/>
  <c r="J19" i="8"/>
  <c r="J27" i="8"/>
  <c r="K27" i="8"/>
  <c r="K19" i="8"/>
  <c r="G27" i="8"/>
  <c r="G19" i="8"/>
  <c r="D28" i="8"/>
  <c r="D33" i="8"/>
  <c r="D31" i="8"/>
  <c r="H33" i="8"/>
  <c r="H28" i="8"/>
  <c r="H31" i="8"/>
  <c r="I38" i="8"/>
  <c r="I34" i="8"/>
  <c r="C31" i="8"/>
  <c r="C28" i="8"/>
  <c r="C33" i="8"/>
  <c r="F19" i="8"/>
  <c r="F27" i="8"/>
  <c r="E38" i="8"/>
  <c r="E34" i="8"/>
  <c r="E42" i="8" l="1"/>
  <c r="E44" i="8" s="1"/>
  <c r="I44" i="8"/>
  <c r="I42" i="8"/>
  <c r="C34" i="8"/>
  <c r="C38" i="8"/>
  <c r="G28" i="8"/>
  <c r="G31" i="8"/>
  <c r="G33" i="8"/>
  <c r="D38" i="8"/>
  <c r="E39" i="8" s="1"/>
  <c r="D34" i="8"/>
  <c r="F31" i="8"/>
  <c r="F28" i="8"/>
  <c r="F33" i="8"/>
  <c r="K28" i="8"/>
  <c r="K31" i="8"/>
  <c r="K33" i="8"/>
  <c r="H38" i="8"/>
  <c r="I39" i="8" s="1"/>
  <c r="H34" i="8"/>
  <c r="J31" i="8"/>
  <c r="J33" i="8"/>
  <c r="J28" i="8"/>
  <c r="L38" i="8"/>
  <c r="L34" i="8"/>
  <c r="L42" i="8" l="1"/>
  <c r="L44" i="8" s="1"/>
  <c r="H44" i="8"/>
  <c r="H42" i="8"/>
  <c r="D39" i="8"/>
  <c r="D42" i="8"/>
  <c r="D44" i="8" s="1"/>
  <c r="C42" i="8"/>
  <c r="F38" i="8"/>
  <c r="F34" i="8"/>
  <c r="J38" i="8"/>
  <c r="J34" i="8"/>
  <c r="K34" i="8"/>
  <c r="K38" i="8"/>
  <c r="L39" i="8" s="1"/>
  <c r="G34" i="8"/>
  <c r="G38" i="8"/>
  <c r="F44" i="8" l="1"/>
  <c r="F42" i="8"/>
  <c r="F39" i="8"/>
  <c r="G44" i="8"/>
  <c r="G39" i="8"/>
  <c r="G42" i="8"/>
  <c r="J44" i="8"/>
  <c r="J42" i="8"/>
  <c r="J39" i="8"/>
  <c r="K39" i="8"/>
  <c r="K42" i="8"/>
  <c r="K44" i="8" s="1"/>
  <c r="H39" i="8"/>
</calcChain>
</file>

<file path=xl/sharedStrings.xml><?xml version="1.0" encoding="utf-8"?>
<sst xmlns="http://schemas.openxmlformats.org/spreadsheetml/2006/main" count="258" uniqueCount="183">
  <si>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</si>
  <si>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</si>
  <si>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</si>
  <si>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</si>
  <si>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</si>
  <si>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</si>
  <si>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</si>
  <si>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</si>
  <si>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</si>
  <si>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</si>
  <si>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</si>
  <si>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</si>
  <si>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</si>
  <si>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</si>
  <si>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</si>
  <si>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</si>
  <si>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</si>
  <si>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</si>
  <si>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</si>
  <si>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</si>
  <si>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</si>
  <si>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</si>
  <si>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</si>
  <si>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</si>
  <si>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</si>
  <si>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</si>
  <si>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</si>
  <si>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</si>
  <si>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</si>
  <si>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</si>
  <si>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</si>
  <si>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</si>
  <si>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TATA MOTORS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</si>
  <si>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</si>
  <si>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</si>
  <si>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</si>
  <si>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</si>
  <si>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</si>
  <si>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</si>
  <si>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</si>
  <si>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</si>
  <si>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</si>
  <si>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</si>
  <si>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</si>
  <si>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</si>
  <si>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</si>
  <si>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</si>
  <si>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</si>
  <si>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</si>
  <si>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</si>
  <si>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</si>
  <si>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</si>
  <si>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</si>
  <si>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</si>
  <si>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</si>
  <si>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</si>
  <si>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</si>
  <si>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</si>
  <si>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</si>
  <si>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</si>
  <si>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</si>
  <si>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</si>
  <si>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</si>
  <si>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Gross Margin</t>
  </si>
  <si>
    <t>S &amp; G Expenses</t>
  </si>
  <si>
    <t>S &amp; G Exp % sales</t>
  </si>
  <si>
    <t>EBITDA</t>
  </si>
  <si>
    <t>EBITDA Margins</t>
  </si>
  <si>
    <t>D &amp; A</t>
  </si>
  <si>
    <t>Interest % sales</t>
  </si>
  <si>
    <t>Dep % sales</t>
  </si>
  <si>
    <t>EBT</t>
  </si>
  <si>
    <t>EBT % sales</t>
  </si>
  <si>
    <t>Effective Tax rate</t>
  </si>
  <si>
    <t>Net Profit</t>
  </si>
  <si>
    <t>Net Margin</t>
  </si>
  <si>
    <t>No. of shares</t>
  </si>
  <si>
    <t>EPS</t>
  </si>
  <si>
    <t>Dividend per Share</t>
  </si>
  <si>
    <t>EPS growth%</t>
  </si>
  <si>
    <t>Dividend Payout Ratio</t>
  </si>
  <si>
    <t>Retained Earnings</t>
  </si>
  <si>
    <t>Balance Sheet</t>
  </si>
  <si>
    <t>Total Liability</t>
  </si>
  <si>
    <t>Fixed Asset Net Block</t>
  </si>
  <si>
    <t>Total Non- current Assets</t>
  </si>
  <si>
    <t>Total Current Assets</t>
  </si>
  <si>
    <t>Total Assets</t>
  </si>
  <si>
    <t>Check</t>
  </si>
  <si>
    <t>Cash from Operating Activity -</t>
  </si>
  <si>
    <t>Profit from operations</t>
  </si>
  <si>
    <t>Payables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</si>
  <si>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</si>
  <si>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</si>
  <si>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</si>
  <si>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</si>
  <si>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</si>
  <si>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</si>
  <si>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</si>
  <si>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</si>
  <si>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</si>
  <si>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</si>
  <si>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</si>
  <si>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</si>
  <si>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</si>
  <si>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</si>
  <si>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</si>
  <si>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</si>
  <si>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Proceeds from borrowings</t>
  </si>
  <si>
    <t>Repayment of borrowings</t>
  </si>
  <si>
    <t>Corporate loans</t>
  </si>
  <si>
    <t>Interest paid fin</t>
  </si>
  <si>
    <t>Dividends paid</t>
  </si>
  <si>
    <t>Financial liabilities</t>
  </si>
  <si>
    <t>Other financing items</t>
  </si>
  <si>
    <t>Cash Flow Statement</t>
  </si>
  <si>
    <t xml:space="preserve">Cash from Operating Activity </t>
  </si>
  <si>
    <t xml:space="preserve">Cash from Investing Activity </t>
  </si>
  <si>
    <t xml:space="preserve">Cash from Financing Activity </t>
  </si>
  <si>
    <t xml:space="preserve">Operating Activity </t>
  </si>
  <si>
    <t xml:space="preserve">Investing Activity </t>
  </si>
  <si>
    <t xml:space="preserve">Financing Activity </t>
  </si>
  <si>
    <t xml:space="preserve"> </t>
  </si>
  <si>
    <t>EBITDA Growth</t>
  </si>
  <si>
    <t>EBIT Growth</t>
  </si>
  <si>
    <t>NP Growth</t>
  </si>
  <si>
    <t>Dividend Growth</t>
  </si>
  <si>
    <t>EBITDA Margin</t>
  </si>
  <si>
    <t>EBIT Margin</t>
  </si>
  <si>
    <t>EBT Margin</t>
  </si>
  <si>
    <t>NP Margin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</si>
  <si>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</si>
  <si>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</si>
  <si>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</si>
  <si>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</si>
  <si>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</si>
  <si>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</si>
  <si>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</si>
  <si>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</si>
  <si>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</si>
  <si>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Inventory Turnover</t>
  </si>
  <si>
    <t>Fixed Asset Turnover</t>
  </si>
  <si>
    <t>Capital Turnover Ratio</t>
  </si>
  <si>
    <t>Creditor Turnover Ratio</t>
  </si>
  <si>
    <t>Debtor Days</t>
  </si>
  <si>
    <t>Payable Days</t>
  </si>
  <si>
    <t>Inventory Days</t>
  </si>
  <si>
    <t>Cash Conversion Cycle</t>
  </si>
  <si>
    <t>(in days)</t>
  </si>
  <si>
    <t>CFO/Sales</t>
  </si>
  <si>
    <t>CFO/Total Asset</t>
  </si>
  <si>
    <t>CFO/Total Debt</t>
  </si>
  <si>
    <t>Mean</t>
  </si>
  <si>
    <t>Median</t>
  </si>
  <si>
    <t>Year</t>
  </si>
  <si>
    <t>Year Weight</t>
  </si>
  <si>
    <t>Arthematic Growth</t>
  </si>
  <si>
    <t>Geometric Growth</t>
  </si>
  <si>
    <t>Standard Deviation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</si>
  <si>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</si>
  <si>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</si>
  <si>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</si>
  <si>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</si>
  <si>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</si>
  <si>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</si>
  <si>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</si>
  <si>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</si>
  <si>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</si>
  <si>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</si>
  <si>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</si>
  <si>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</si>
  <si>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</si>
  <si>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</si>
  <si>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</si>
  <si>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</si>
  <si>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</si>
  <si>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</si>
  <si>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</si>
  <si>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</si>
  <si>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</si>
  <si>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</si>
  <si>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</si>
  <si>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EPS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</si>
</sst>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0"/>
    <numFmt numFmtId="167" formatCode="&quot;₹&quot;\ #,##0.0"/>
    <numFmt numFmtId="168" formatCode="&quot;₹&quot;\ #,##0.00;\(#,##0.00\);\-"/>
    <numFmt numFmtId="169" formatCode="0.00&quot;x&quot;"/>
    <numFmt numFmtId="170" formatCode="#,##0.0"/>
    <numFmt numFmtId="171" formatCode="0&quot;A&quot;"/>
    <numFmt numFmtId="172" formatCode="0&quot;E&quot;"/>
    <numFmt numFmtId="173" formatCode="yyyy&quot;A&quot;"/>
    <numFmt numFmtId="174" formatCode="yyyy&quot;E&quot;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606F7B"/>
      <name val="Arial"/>
      <family val="2"/>
    </font>
    <font>
      <sz val="11"/>
      <color rgb="FF22222F"/>
      <name val="Arial"/>
      <family val="2"/>
    </font>
    <font>
      <sz val="11"/>
      <color theme="7" tint="-0.249977111117893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/>
      <bottom style="medium">
        <color rgb="FFDBE4F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72">
    <xf numFmtId="0" fontId="0" fillId="0" borderId="0" xfId="0"/>
    <xf numFmtId="43" fontId="1" fillId="0" borderId="0" xfId="1" applyFont="1" applyBorder="1"/>
    <xf numFmtId="43" fontId="0" fillId="0" borderId="0" xfId="1" applyFont="1" applyBorder="1"/>
    <xf numFmtId="43" fontId="3" fillId="0" borderId="0" xfId="1" applyFont="1" applyBorder="1"/>
    <xf numFmtId="165" fontId="2" fillId="3" borderId="0" xfId="0" applyNumberFormat="1" applyFont="1" applyFill="1" applyAlignment="1">
      <alignment horizontal="center"/>
    </xf>
    <xf numFmtId="165" fontId="2" fillId="3" borderId="0" xfId="1" applyNumberFormat="1" applyFont="1" applyFill="1" applyBorder="1"/>
    <xf numFmtId="165" fontId="6" fillId="0" borderId="0" xfId="1" applyNumberFormat="1" applyFont="1" applyFill="1" applyBorder="1"/>
    <xf numFmtId="164" fontId="0" fillId="0" borderId="0" xfId="1" applyNumberFormat="1" applyFont="1" applyBorder="1"/>
    <xf numFmtId="0" fontId="1" fillId="0" borderId="0" xfId="0" applyFont="1"/>
    <xf numFmtId="17" fontId="0" fillId="0" borderId="0" xfId="0" applyNumberFormat="1"/>
    <xf numFmtId="17" fontId="5" fillId="4" borderId="0" xfId="0" applyNumberFormat="1" applyFont="1" applyFill="1"/>
    <xf numFmtId="166" fontId="0" fillId="0" borderId="0" xfId="0" applyNumberFormat="1"/>
    <xf numFmtId="10" fontId="0" fillId="0" borderId="0" xfId="4" applyNumberFormat="1" applyFont="1"/>
    <xf numFmtId="10" fontId="7" fillId="0" borderId="0" xfId="4" applyNumberFormat="1" applyFont="1"/>
    <xf numFmtId="4" fontId="0" fillId="0" borderId="0" xfId="0" applyNumberFormat="1"/>
    <xf numFmtId="4" fontId="5" fillId="4" borderId="0" xfId="0" applyNumberFormat="1" applyFont="1" applyFill="1"/>
    <xf numFmtId="17" fontId="5" fillId="4" borderId="0" xfId="0" applyNumberFormat="1" applyFont="1" applyFill="1" applyAlignment="1">
      <alignment horizontal="right"/>
    </xf>
    <xf numFmtId="167" fontId="1" fillId="0" borderId="0" xfId="0" applyNumberFormat="1" applyFont="1"/>
    <xf numFmtId="167" fontId="0" fillId="0" borderId="0" xfId="0" applyNumberFormat="1"/>
    <xf numFmtId="167" fontId="7" fillId="0" borderId="0" xfId="0" applyNumberFormat="1" applyFont="1"/>
    <xf numFmtId="168" fontId="0" fillId="0" borderId="0" xfId="0" applyNumberFormat="1"/>
    <xf numFmtId="10" fontId="7" fillId="0" borderId="0" xfId="4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4" fontId="0" fillId="5" borderId="0" xfId="0" applyNumberFormat="1" applyFill="1"/>
    <xf numFmtId="167" fontId="0" fillId="5" borderId="0" xfId="0" applyNumberFormat="1" applyFill="1"/>
    <xf numFmtId="168" fontId="0" fillId="5" borderId="0" xfId="0" applyNumberFormat="1" applyFill="1"/>
    <xf numFmtId="167" fontId="1" fillId="5" borderId="0" xfId="0" applyNumberFormat="1" applyFont="1" applyFill="1"/>
    <xf numFmtId="4" fontId="0" fillId="6" borderId="0" xfId="0" applyNumberFormat="1" applyFill="1"/>
    <xf numFmtId="4" fontId="5" fillId="6" borderId="0" xfId="0" applyNumberFormat="1" applyFont="1" applyFill="1"/>
    <xf numFmtId="17" fontId="5" fillId="6" borderId="0" xfId="0" applyNumberFormat="1" applyFont="1" applyFill="1"/>
    <xf numFmtId="17" fontId="5" fillId="6" borderId="0" xfId="0" applyNumberFormat="1" applyFont="1" applyFill="1" applyAlignment="1">
      <alignment horizontal="right"/>
    </xf>
    <xf numFmtId="168" fontId="1" fillId="0" borderId="0" xfId="0" applyNumberFormat="1" applyFont="1"/>
    <xf numFmtId="168" fontId="7" fillId="0" borderId="0" xfId="0" applyNumberFormat="1" applyFont="1"/>
    <xf numFmtId="3" fontId="0" fillId="0" borderId="0" xfId="0" applyNumberFormat="1"/>
    <xf numFmtId="10" fontId="0" fillId="0" borderId="0" xfId="0" applyNumberFormat="1"/>
    <xf numFmtId="169" fontId="0" fillId="0" borderId="0" xfId="0" applyNumberFormat="1"/>
    <xf numFmtId="10" fontId="0" fillId="0" borderId="0" xfId="4" applyNumberFormat="1" applyFont="1" applyBorder="1"/>
    <xf numFmtId="1" fontId="0" fillId="0" borderId="0" xfId="0" applyNumberFormat="1"/>
    <xf numFmtId="0" fontId="0" fillId="0" borderId="1" xfId="0" applyBorder="1"/>
    <xf numFmtId="10" fontId="0" fillId="0" borderId="1" xfId="4" applyNumberFormat="1" applyFont="1" applyBorder="1"/>
    <xf numFmtId="0" fontId="0" fillId="0" borderId="2" xfId="0" applyBorder="1"/>
    <xf numFmtId="10" fontId="0" fillId="0" borderId="2" xfId="4" applyNumberFormat="1" applyFont="1" applyBorder="1"/>
    <xf numFmtId="169" fontId="0" fillId="0" borderId="2" xfId="0" applyNumberFormat="1" applyBorder="1"/>
    <xf numFmtId="169" fontId="0" fillId="0" borderId="1" xfId="0" applyNumberFormat="1" applyBorder="1"/>
    <xf numFmtId="1" fontId="0" fillId="0" borderId="2" xfId="0" applyNumberFormat="1" applyBorder="1"/>
    <xf numFmtId="0" fontId="8" fillId="0" borderId="1" xfId="0" applyFont="1" applyBorder="1"/>
    <xf numFmtId="10" fontId="0" fillId="0" borderId="1" xfId="0" applyNumberFormat="1" applyBorder="1"/>
    <xf numFmtId="10" fontId="0" fillId="0" borderId="2" xfId="0" applyNumberFormat="1" applyBorder="1"/>
    <xf numFmtId="17" fontId="9" fillId="7" borderId="3" xfId="0" applyNumberFormat="1" applyFont="1" applyFill="1" applyBorder="1" applyAlignment="1">
      <alignment horizontal="right" vertical="center" wrapText="1" indent="1"/>
    </xf>
    <xf numFmtId="0" fontId="10" fillId="8" borderId="0" xfId="0" applyFont="1" applyFill="1" applyAlignment="1">
      <alignment horizontal="left" vertical="center" indent="2"/>
    </xf>
    <xf numFmtId="170" fontId="10" fillId="8" borderId="0" xfId="0" applyNumberFormat="1" applyFont="1" applyFill="1" applyAlignment="1">
      <alignment horizontal="right" vertical="center" wrapText="1" indent="1"/>
    </xf>
    <xf numFmtId="0" fontId="5" fillId="4" borderId="0" xfId="0" applyFont="1" applyFill="1"/>
    <xf numFmtId="0" fontId="5" fillId="4" borderId="0" xfId="0" applyFont="1" applyFill="1" applyAlignment="1">
      <alignment horizontal="right"/>
    </xf>
    <xf numFmtId="0" fontId="0" fillId="0" borderId="0" xfId="0" applyAlignment="1">
      <alignment horizontal="left"/>
    </xf>
    <xf numFmtId="170" fontId="11" fillId="9" borderId="0" xfId="0" applyNumberFormat="1" applyFont="1" applyFill="1" applyAlignment="1">
      <alignment horizontal="right" vertical="center" wrapText="1" indent="1"/>
    </xf>
    <xf numFmtId="171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0" fontId="0" fillId="0" borderId="4" xfId="0" applyBorder="1"/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Continuous"/>
    </xf>
    <xf numFmtId="170" fontId="12" fillId="9" borderId="0" xfId="0" applyNumberFormat="1" applyFont="1" applyFill="1" applyAlignment="1">
      <alignment horizontal="right" vertical="center" wrapText="1" indent="1"/>
    </xf>
    <xf numFmtId="43" fontId="1" fillId="0" borderId="0" xfId="0" applyNumberFormat="1" applyFont="1"/>
    <xf numFmtId="173" fontId="0" fillId="0" borderId="0" xfId="0" applyNumberFormat="1" applyAlignment="1">
      <alignment horizontal="right"/>
    </xf>
    <xf numFmtId="170" fontId="0" fillId="0" borderId="0" xfId="0" applyNumberFormat="1"/>
    <xf numFmtId="0" fontId="0" fillId="10" borderId="0" xfId="0" applyFill="1" applyAlignment="1">
      <alignment horizontal="left"/>
    </xf>
    <xf numFmtId="174" fontId="0" fillId="10" borderId="0" xfId="0" applyNumberFormat="1" applyFill="1" applyAlignment="1">
      <alignment horizontal="right"/>
    </xf>
    <xf numFmtId="170" fontId="0" fillId="10" borderId="0" xfId="0" applyNumberFormat="1" applyFill="1"/>
    <xf numFmtId="10" fontId="0" fillId="10" borderId="0" xfId="4" applyNumberFormat="1" applyFont="1" applyFill="1"/>
    <xf numFmtId="4" fontId="2" fillId="4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</cellXfs>
  <cellStyles count="5">
    <cellStyle name="Accent6" xfId="3" builtinId="49"/>
    <cellStyle name="Comma" xfId="1" builtinId="3"/>
    <cellStyle name="Hyperlink" xfId="2" builtinId="8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58114610673666"/>
          <c:y val="0.13930555555555557"/>
          <c:w val="0.78818285214348205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 Forecasting Practice'!$E$5</c:f>
              <c:strCache>
                <c:ptCount val="1"/>
                <c:pt idx="0">
                  <c:v>Sales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 Forecasting Practice'!$D$6:$D$17</c:f>
              <c:numCache>
                <c:formatCode>0"A"</c:formatCode>
                <c:ptCount val="12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</c:numCache>
            </c:numRef>
          </c:xVal>
          <c:yVal>
            <c:numRef>
              <c:f>' Forecasting Practice'!$E$6:$E$17</c:f>
              <c:numCache>
                <c:formatCode>#,##0.0</c:formatCode>
                <c:ptCount val="12"/>
                <c:pt idx="0">
                  <c:v>232834</c:v>
                </c:pt>
                <c:pt idx="1">
                  <c:v>263159</c:v>
                </c:pt>
                <c:pt idx="2">
                  <c:v>273046</c:v>
                </c:pt>
                <c:pt idx="3">
                  <c:v>269693</c:v>
                </c:pt>
                <c:pt idx="4">
                  <c:v>291550</c:v>
                </c:pt>
                <c:pt idx="5">
                  <c:v>301938</c:v>
                </c:pt>
                <c:pt idx="6">
                  <c:v>261068</c:v>
                </c:pt>
                <c:pt idx="7">
                  <c:v>249795</c:v>
                </c:pt>
                <c:pt idx="8">
                  <c:v>278454</c:v>
                </c:pt>
                <c:pt idx="9">
                  <c:v>345967</c:v>
                </c:pt>
                <c:pt idx="10">
                  <c:v>434016</c:v>
                </c:pt>
                <c:pt idx="11">
                  <c:v>439695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24-4939-A29B-ABB9A77E4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373472"/>
        <c:axId val="1317372032"/>
      </c:scatterChart>
      <c:valAx>
        <c:axId val="131737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372032"/>
        <c:crosses val="autoZero"/>
        <c:crossBetween val="midCat"/>
      </c:valAx>
      <c:valAx>
        <c:axId val="131737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37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361950</xdr:colOff>
      <xdr:row>4</xdr:row>
      <xdr:rowOff>171450</xdr:rowOff>
    </xdr:from>
    <xdr:to>
      <xdr:col>15</xdr:col>
      <xdr:colOff>666750</xdr:colOff>
      <xdr:row>19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CBEE78-FC06-6C22-4C32-F66B04AB8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FD86-6AA2-4C09-BE0C-461DC734015D}">
  <sheetPr codeName="Sheet1">
    <tabColor theme="7" tint="-0.499984740745262"/>
  </sheetPr>
  <dimension ref="A1"/>
  <sheetViews>
    <sheetView workbookViewId="0">
      <selection activeCell="C1" sqref="C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B19E-CD16-4991-BA43-B63440D24116}">
  <sheetPr codeName="Sheet2"/>
  <dimension ref="A1:M106"/>
  <sheetViews>
    <sheetView showGridLines="0" workbookViewId="0">
      <pane ySplit="3" topLeftCell="A4" activePane="bottomLeft" state="frozen"/>
      <selection pane="bottomLeft" activeCell="D7" sqref="D7"/>
    </sheetView>
  </sheetViews>
  <sheetFormatPr defaultRowHeight="15" x14ac:dyDescent="0.25"/>
  <cols>
    <col min="1" max="1" width="2" style="14" bestFit="1" customWidth="1"/>
    <col min="2" max="2" width="28" style="18" bestFit="1" customWidth="1"/>
    <col min="3" max="13" width="12.28515625" style="20" bestFit="1" customWidth="1"/>
    <col min="14" max="16384" width="9.140625" style="18"/>
  </cols>
  <sheetData>
    <row r="1" spans="1:13" s="14" customFormat="1" x14ac:dyDescent="0.25"/>
    <row r="2" spans="1:13" s="14" customFormat="1" x14ac:dyDescent="0.25">
      <c r="B2" s="68" t="str">
        <f>"Historical Financial Statement - "&amp;'Data Sheet'!B1</f>
        <v>Historical Financial Statement - TATA MOTORS LTD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</row>
    <row r="3" spans="1:13" s="14" customFormat="1" x14ac:dyDescent="0.25">
      <c r="B3" s="15" t="s">
        <v>54</v>
      </c>
      <c r="C3" s="10">
        <f>'Data Sheet'!B16</f>
        <v>42460</v>
      </c>
      <c r="D3" s="10">
        <f>'Data Sheet'!C16</f>
        <v>42825</v>
      </c>
      <c r="E3" s="10">
        <f>'Data Sheet'!D16</f>
        <v>43190</v>
      </c>
      <c r="F3" s="10">
        <f>'Data Sheet'!E16</f>
        <v>43555</v>
      </c>
      <c r="G3" s="10">
        <f>'Data Sheet'!F16</f>
        <v>43921</v>
      </c>
      <c r="H3" s="10">
        <f>'Data Sheet'!G16</f>
        <v>44286</v>
      </c>
      <c r="I3" s="10">
        <f>'Data Sheet'!H16</f>
        <v>44651</v>
      </c>
      <c r="J3" s="10">
        <f>'Data Sheet'!I16</f>
        <v>45016</v>
      </c>
      <c r="K3" s="10">
        <f>'Data Sheet'!J16</f>
        <v>45382</v>
      </c>
      <c r="L3" s="10">
        <f>'Data Sheet'!K16</f>
        <v>45747</v>
      </c>
      <c r="M3" s="16" t="s">
        <v>55</v>
      </c>
    </row>
    <row r="4" spans="1:13" s="27" customFormat="1" x14ac:dyDescent="0.25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30"/>
    </row>
    <row r="5" spans="1:13" s="24" customFormat="1" x14ac:dyDescent="0.25">
      <c r="A5" s="23" t="s">
        <v>57</v>
      </c>
      <c r="B5" s="26" t="s">
        <v>56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B6" s="18" t="s">
        <v>1</v>
      </c>
      <c r="C6" s="20">
        <f>IFERROR('Data Sheet'!B17,0)</f>
        <v>273045.59999999998</v>
      </c>
      <c r="D6" s="20">
        <f>IFERROR('Data Sheet'!C17,0)</f>
        <v>269692.51</v>
      </c>
      <c r="E6" s="20">
        <f>IFERROR('Data Sheet'!D17,0)</f>
        <v>291550.48</v>
      </c>
      <c r="F6" s="20">
        <f>IFERROR('Data Sheet'!E17,0)</f>
        <v>301938.40000000002</v>
      </c>
      <c r="G6" s="20">
        <f>IFERROR('Data Sheet'!F17,0)</f>
        <v>261067.97</v>
      </c>
      <c r="H6" s="20">
        <f>IFERROR('Data Sheet'!G17,0)</f>
        <v>249794.75</v>
      </c>
      <c r="I6" s="20">
        <f>IFERROR('Data Sheet'!H17,0)</f>
        <v>278453.62</v>
      </c>
      <c r="J6" s="20">
        <f>IFERROR('Data Sheet'!I17,0)</f>
        <v>345966.97</v>
      </c>
      <c r="K6" s="20">
        <f>IFERROR('Data Sheet'!J17,0)</f>
        <v>434016</v>
      </c>
      <c r="L6" s="20">
        <f>IFERROR('Data Sheet'!K17,0)</f>
        <v>439695</v>
      </c>
      <c r="M6" s="20">
        <f>IFERROR(SUM('Data Sheet'!G42:K42),0)</f>
        <v>560642</v>
      </c>
    </row>
    <row r="7" spans="1:13" x14ac:dyDescent="0.25">
      <c r="B7" s="19" t="s">
        <v>58</v>
      </c>
      <c r="C7" s="21" t="s">
        <v>59</v>
      </c>
      <c r="D7" s="13">
        <f>D6/C6-1</f>
        <v>-1.2280329732469508E-2</v>
      </c>
      <c r="E7" s="13">
        <f t="shared" ref="E7:M7" si="0">E6/D6-1</f>
        <v>8.104774581985974E-2</v>
      </c>
      <c r="F7" s="13">
        <f t="shared" si="0"/>
        <v>3.5629919045237157E-2</v>
      </c>
      <c r="G7" s="13">
        <f t="shared" si="0"/>
        <v>-0.135360159555724</v>
      </c>
      <c r="H7" s="13">
        <f t="shared" si="0"/>
        <v>-4.3181168490336042E-2</v>
      </c>
      <c r="I7" s="13">
        <f t="shared" si="0"/>
        <v>0.11472967306158344</v>
      </c>
      <c r="J7" s="13">
        <f t="shared" si="0"/>
        <v>0.24245815155859707</v>
      </c>
      <c r="K7" s="13">
        <f t="shared" si="0"/>
        <v>0.25450126062612277</v>
      </c>
      <c r="L7" s="13">
        <f t="shared" si="0"/>
        <v>1.3084771068347711E-2</v>
      </c>
      <c r="M7" s="13">
        <f t="shared" si="0"/>
        <v>0.27507021912916918</v>
      </c>
    </row>
    <row r="9" spans="1:13" x14ac:dyDescent="0.25">
      <c r="B9" s="18" t="s">
        <v>60</v>
      </c>
      <c r="C9" s="20">
        <f>IFERROR(SUM('Data Sheet'!B18,'Data Sheet'!B20,'Data Sheet'!B21,'Data Sheet'!B22)-1*'Data Sheet'!B19,0)</f>
        <v>205509.07</v>
      </c>
      <c r="D9" s="20">
        <f>IFERROR(SUM('Data Sheet'!C18,'Data Sheet'!C20,'Data Sheet'!C21,'Data Sheet'!C22)-1*'Data Sheet'!C19,0)</f>
        <v>205454.23999999996</v>
      </c>
      <c r="E9" s="20">
        <f>IFERROR(SUM('Data Sheet'!D18,'Data Sheet'!D20,'Data Sheet'!D21,'Data Sheet'!D22)-1*'Data Sheet'!D19,0)</f>
        <v>228429.83</v>
      </c>
      <c r="F9" s="20">
        <f>IFERROR(SUM('Data Sheet'!E18,'Data Sheet'!E20,'Data Sheet'!E21,'Data Sheet'!E22)-1*'Data Sheet'!E19,0)</f>
        <v>242845.53</v>
      </c>
      <c r="G9" s="20">
        <f>IFERROR(SUM('Data Sheet'!F18,'Data Sheet'!F20,'Data Sheet'!F21,'Data Sheet'!F22)-1*'Data Sheet'!F19,0)</f>
        <v>210376.07000000004</v>
      </c>
      <c r="H9" s="20">
        <f>IFERROR(SUM('Data Sheet'!G18,'Data Sheet'!G20,'Data Sheet'!G21,'Data Sheet'!G22)-1*'Data Sheet'!G19,0)</f>
        <v>195326.04</v>
      </c>
      <c r="I9" s="20">
        <f>IFERROR(SUM('Data Sheet'!H18,'Data Sheet'!H20,'Data Sheet'!H21,'Data Sheet'!H22)-1*'Data Sheet'!H19,0)</f>
        <v>223300.00999999998</v>
      </c>
      <c r="J9" s="20">
        <f>IFERROR(SUM('Data Sheet'!I18,'Data Sheet'!I20,'Data Sheet'!I21,'Data Sheet'!I22)-1*'Data Sheet'!I19,0)</f>
        <v>274403.64</v>
      </c>
      <c r="K9" s="20">
        <f>IFERROR(SUM('Data Sheet'!J18,'Data Sheet'!J20,'Data Sheet'!J21,'Data Sheet'!J22)-1*'Data Sheet'!J19,0)</f>
        <v>334380</v>
      </c>
      <c r="L9" s="20">
        <f>IFERROR(SUM('Data Sheet'!K18,'Data Sheet'!K20,'Data Sheet'!K21,'Data Sheet'!K22)-1*'Data Sheet'!K19,0)</f>
        <v>340809</v>
      </c>
      <c r="M9" s="20">
        <f>IFERROR(SUM('Data Sheet'!H43:K43),0)</f>
        <v>384424</v>
      </c>
    </row>
    <row r="10" spans="1:13" x14ac:dyDescent="0.25">
      <c r="B10" s="19" t="s">
        <v>61</v>
      </c>
      <c r="C10" s="13">
        <f>C9/C6</f>
        <v>0.75265475803309057</v>
      </c>
      <c r="D10" s="13">
        <f t="shared" ref="D10:M10" si="1">D9/D6</f>
        <v>0.76180921746770036</v>
      </c>
      <c r="E10" s="13">
        <f t="shared" si="1"/>
        <v>0.78350009919380004</v>
      </c>
      <c r="F10" s="13">
        <f t="shared" si="1"/>
        <v>0.80428832503583503</v>
      </c>
      <c r="G10" s="13">
        <f t="shared" si="1"/>
        <v>0.80582872728508226</v>
      </c>
      <c r="H10" s="13">
        <f t="shared" si="1"/>
        <v>0.7819461377791167</v>
      </c>
      <c r="I10" s="13">
        <f t="shared" si="1"/>
        <v>0.80192891728252624</v>
      </c>
      <c r="J10" s="13">
        <f t="shared" si="1"/>
        <v>0.79314982005363122</v>
      </c>
      <c r="K10" s="13">
        <f t="shared" si="1"/>
        <v>0.7704324264543243</v>
      </c>
      <c r="L10" s="13">
        <f t="shared" si="1"/>
        <v>0.77510319653396109</v>
      </c>
      <c r="M10" s="13">
        <f t="shared" si="1"/>
        <v>0.6856853393074368</v>
      </c>
    </row>
    <row r="12" spans="1:13" x14ac:dyDescent="0.25">
      <c r="B12" s="18" t="s">
        <v>62</v>
      </c>
      <c r="C12" s="20">
        <f>C6-C9</f>
        <v>67536.52999999997</v>
      </c>
      <c r="D12" s="20">
        <f t="shared" ref="D12:L12" si="2">D6-D9</f>
        <v>64238.270000000048</v>
      </c>
      <c r="E12" s="20">
        <f t="shared" si="2"/>
        <v>63120.649999999994</v>
      </c>
      <c r="F12" s="20">
        <f t="shared" si="2"/>
        <v>59092.870000000024</v>
      </c>
      <c r="G12" s="20">
        <f t="shared" si="2"/>
        <v>50691.899999999965</v>
      </c>
      <c r="H12" s="20">
        <f t="shared" si="2"/>
        <v>54468.709999999992</v>
      </c>
      <c r="I12" s="20">
        <f t="shared" si="2"/>
        <v>55153.610000000015</v>
      </c>
      <c r="J12" s="20">
        <f t="shared" si="2"/>
        <v>71563.329999999958</v>
      </c>
      <c r="K12" s="20">
        <f t="shared" si="2"/>
        <v>99636</v>
      </c>
      <c r="L12" s="20">
        <f t="shared" si="2"/>
        <v>98886</v>
      </c>
      <c r="M12" s="20">
        <f>M6-M9</f>
        <v>176218</v>
      </c>
    </row>
    <row r="13" spans="1:13" x14ac:dyDescent="0.25">
      <c r="B13" s="19" t="s">
        <v>63</v>
      </c>
      <c r="C13" s="13">
        <f>C12/C6</f>
        <v>0.24734524196690946</v>
      </c>
      <c r="D13" s="13">
        <f t="shared" ref="D13:M13" si="3">D12/D6</f>
        <v>0.23819078253229964</v>
      </c>
      <c r="E13" s="13">
        <f t="shared" si="3"/>
        <v>0.21649990080619999</v>
      </c>
      <c r="F13" s="13">
        <f t="shared" si="3"/>
        <v>0.19571167496416494</v>
      </c>
      <c r="G13" s="13">
        <f t="shared" si="3"/>
        <v>0.19417127271491774</v>
      </c>
      <c r="H13" s="13">
        <f t="shared" si="3"/>
        <v>0.2180538622208833</v>
      </c>
      <c r="I13" s="13">
        <f t="shared" si="3"/>
        <v>0.19807108271747378</v>
      </c>
      <c r="J13" s="13">
        <f t="shared" si="3"/>
        <v>0.20685017994636876</v>
      </c>
      <c r="K13" s="13">
        <f t="shared" si="3"/>
        <v>0.22956757354567572</v>
      </c>
      <c r="L13" s="13">
        <f t="shared" si="3"/>
        <v>0.22489680346603896</v>
      </c>
      <c r="M13" s="13">
        <f t="shared" si="3"/>
        <v>0.31431466069256314</v>
      </c>
    </row>
    <row r="15" spans="1:13" x14ac:dyDescent="0.25">
      <c r="B15" s="18" t="s">
        <v>64</v>
      </c>
      <c r="C15" s="20">
        <f>IFERROR(SUM('Data Sheet'!B23:B24),0)</f>
        <v>29141.280000000002</v>
      </c>
      <c r="D15" s="20">
        <f>IFERROR(SUM('Data Sheet'!C23:C24),0)</f>
        <v>34649.58</v>
      </c>
      <c r="E15" s="20">
        <f>IFERROR(SUM('Data Sheet'!D23:D24),0)</f>
        <v>31662.97</v>
      </c>
      <c r="F15" s="20">
        <f>IFERROR(SUM('Data Sheet'!E23:E24),0)</f>
        <v>34428.54</v>
      </c>
      <c r="G15" s="20">
        <f>IFERROR(SUM('Data Sheet'!F23:F24),0)</f>
        <v>32704.83</v>
      </c>
      <c r="H15" s="20">
        <f>IFERROR(SUM('Data Sheet'!G23:G24),0)</f>
        <v>22181.280000000002</v>
      </c>
      <c r="I15" s="20">
        <f>IFERROR(SUM('Data Sheet'!H23:H24),0)</f>
        <v>30433.52</v>
      </c>
      <c r="J15" s="20">
        <f>IFERROR(SUM('Data Sheet'!I23:I24),0)</f>
        <v>39747.53</v>
      </c>
      <c r="K15" s="20">
        <f>IFERROR(SUM('Data Sheet'!J23:J24),0)</f>
        <v>41812</v>
      </c>
      <c r="L15" s="20">
        <f>IFERROR(SUM('Data Sheet'!K23:K24),0)</f>
        <v>43670</v>
      </c>
    </row>
    <row r="16" spans="1:13" x14ac:dyDescent="0.25">
      <c r="B16" s="19" t="s">
        <v>65</v>
      </c>
      <c r="C16" s="13">
        <f>C15/C6</f>
        <v>0.10672678849247161</v>
      </c>
      <c r="D16" s="13">
        <f t="shared" ref="D16:M16" si="4">D15/D6</f>
        <v>0.12847809529452636</v>
      </c>
      <c r="E16" s="13">
        <f t="shared" si="4"/>
        <v>0.10860201636437025</v>
      </c>
      <c r="F16" s="13">
        <f t="shared" si="4"/>
        <v>0.11402504616835751</v>
      </c>
      <c r="G16" s="13">
        <f t="shared" si="4"/>
        <v>0.12527323822987554</v>
      </c>
      <c r="H16" s="13">
        <f t="shared" si="4"/>
        <v>8.8798023177028354E-2</v>
      </c>
      <c r="I16" s="13">
        <f t="shared" si="4"/>
        <v>0.10929475436519734</v>
      </c>
      <c r="J16" s="13">
        <f t="shared" si="4"/>
        <v>0.11488822184383672</v>
      </c>
      <c r="K16" s="13">
        <f t="shared" si="4"/>
        <v>9.6337462213374622E-2</v>
      </c>
      <c r="L16" s="13">
        <f t="shared" si="4"/>
        <v>9.9318846018262658E-2</v>
      </c>
      <c r="M16" s="13">
        <f t="shared" si="4"/>
        <v>0</v>
      </c>
    </row>
    <row r="18" spans="2:13" x14ac:dyDescent="0.25">
      <c r="B18" s="18" t="s">
        <v>66</v>
      </c>
      <c r="C18" s="20">
        <f>C12-C15</f>
        <v>38395.249999999971</v>
      </c>
      <c r="D18" s="20">
        <f t="shared" ref="D18:L18" si="5">D12-D15</f>
        <v>29588.690000000046</v>
      </c>
      <c r="E18" s="20">
        <f>E12-E15</f>
        <v>31457.679999999993</v>
      </c>
      <c r="F18" s="20">
        <f t="shared" si="5"/>
        <v>24664.330000000024</v>
      </c>
      <c r="G18" s="20">
        <f t="shared" si="5"/>
        <v>17987.069999999963</v>
      </c>
      <c r="H18" s="20">
        <f t="shared" si="5"/>
        <v>32287.429999999989</v>
      </c>
      <c r="I18" s="20">
        <f t="shared" si="5"/>
        <v>24720.090000000015</v>
      </c>
      <c r="J18" s="20">
        <f t="shared" si="5"/>
        <v>31815.799999999959</v>
      </c>
      <c r="K18" s="20">
        <f t="shared" si="5"/>
        <v>57824</v>
      </c>
      <c r="L18" s="20">
        <f t="shared" si="5"/>
        <v>55216</v>
      </c>
    </row>
    <row r="19" spans="2:13" x14ac:dyDescent="0.25">
      <c r="B19" s="19" t="s">
        <v>67</v>
      </c>
      <c r="C19" s="13">
        <f>C18/C6</f>
        <v>0.14061845347443788</v>
      </c>
      <c r="D19" s="13">
        <f t="shared" ref="D19:M19" si="6">D18/D6</f>
        <v>0.10971268723777329</v>
      </c>
      <c r="E19" s="13">
        <f t="shared" si="6"/>
        <v>0.10789788444182975</v>
      </c>
      <c r="F19" s="13">
        <f t="shared" si="6"/>
        <v>8.1686628795807431E-2</v>
      </c>
      <c r="G19" s="13">
        <f t="shared" si="6"/>
        <v>6.8898034485042198E-2</v>
      </c>
      <c r="H19" s="13">
        <f t="shared" si="6"/>
        <v>0.12925583904385496</v>
      </c>
      <c r="I19" s="13">
        <f t="shared" si="6"/>
        <v>8.877632835227646E-2</v>
      </c>
      <c r="J19" s="13">
        <f t="shared" si="6"/>
        <v>9.1961958102532049E-2</v>
      </c>
      <c r="K19" s="13">
        <f t="shared" si="6"/>
        <v>0.13323011133230112</v>
      </c>
      <c r="L19" s="13">
        <f t="shared" si="6"/>
        <v>0.12557795744777631</v>
      </c>
      <c r="M19" s="13">
        <f t="shared" si="6"/>
        <v>0</v>
      </c>
    </row>
    <row r="21" spans="2:13" x14ac:dyDescent="0.25">
      <c r="B21" s="18" t="s">
        <v>6</v>
      </c>
      <c r="C21" s="20">
        <f>IFERROR('Data Sheet'!B27,0)</f>
        <v>4889.08</v>
      </c>
      <c r="D21" s="20">
        <f>IFERROR('Data Sheet'!C27,0)</f>
        <v>4238.01</v>
      </c>
      <c r="E21" s="20">
        <f>IFERROR('Data Sheet'!D27,0)</f>
        <v>4681.79</v>
      </c>
      <c r="F21" s="20">
        <f>IFERROR('Data Sheet'!E27,0)</f>
        <v>5758.6</v>
      </c>
      <c r="G21" s="20">
        <f>IFERROR('Data Sheet'!F27,0)</f>
        <v>7243.33</v>
      </c>
      <c r="H21" s="20">
        <f>IFERROR('Data Sheet'!G27,0)</f>
        <v>8097.17</v>
      </c>
      <c r="I21" s="20">
        <f>IFERROR('Data Sheet'!H27,0)</f>
        <v>9311.86</v>
      </c>
      <c r="J21" s="20">
        <f>IFERROR('Data Sheet'!I27,0)</f>
        <v>10225.48</v>
      </c>
      <c r="K21" s="20">
        <f>IFERROR('Data Sheet'!J27,0)</f>
        <v>7594</v>
      </c>
      <c r="L21" s="20">
        <f>IFERROR('Data Sheet'!K27,0)</f>
        <v>5083</v>
      </c>
      <c r="M21" s="20">
        <f>IFERROR(SUM('Data Sheet'!H27:K27),0)</f>
        <v>32214.34</v>
      </c>
    </row>
    <row r="22" spans="2:13" x14ac:dyDescent="0.25">
      <c r="B22" s="19" t="s">
        <v>69</v>
      </c>
      <c r="C22" s="13">
        <f>C21/C6</f>
        <v>1.7905727101993223E-2</v>
      </c>
      <c r="D22" s="13">
        <f t="shared" ref="D22:M22" si="7">D21/D6</f>
        <v>1.5714229512714312E-2</v>
      </c>
      <c r="E22" s="13">
        <f t="shared" si="7"/>
        <v>1.605824830060304E-2</v>
      </c>
      <c r="F22" s="13">
        <f t="shared" si="7"/>
        <v>1.9072102124141878E-2</v>
      </c>
      <c r="G22" s="13">
        <f t="shared" si="7"/>
        <v>2.7744996829752802E-2</v>
      </c>
      <c r="H22" s="13">
        <f t="shared" si="7"/>
        <v>3.2415292955516477E-2</v>
      </c>
      <c r="I22" s="13">
        <f t="shared" si="7"/>
        <v>3.3441332168710897E-2</v>
      </c>
      <c r="J22" s="13">
        <f t="shared" si="7"/>
        <v>2.9556231914277829E-2</v>
      </c>
      <c r="K22" s="13">
        <f t="shared" si="7"/>
        <v>1.7497050799970507E-2</v>
      </c>
      <c r="L22" s="13">
        <f t="shared" si="7"/>
        <v>1.1560286107415368E-2</v>
      </c>
      <c r="M22" s="13">
        <f t="shared" si="7"/>
        <v>5.7459733662479799E-2</v>
      </c>
    </row>
    <row r="24" spans="2:13" x14ac:dyDescent="0.25">
      <c r="B24" s="18" t="s">
        <v>68</v>
      </c>
      <c r="C24" s="20">
        <f>IFERROR('Data Sheet'!B26,0)</f>
        <v>16710.78</v>
      </c>
      <c r="D24" s="20">
        <f>IFERROR('Data Sheet'!C26,0)</f>
        <v>17904.990000000002</v>
      </c>
      <c r="E24" s="20">
        <f>IFERROR('Data Sheet'!D26,0)</f>
        <v>21553.59</v>
      </c>
      <c r="F24" s="20">
        <f>IFERROR('Data Sheet'!E26,0)</f>
        <v>23590.63</v>
      </c>
      <c r="G24" s="20">
        <f>IFERROR('Data Sheet'!F26,0)</f>
        <v>21425.43</v>
      </c>
      <c r="H24" s="20">
        <f>IFERROR('Data Sheet'!G26,0)</f>
        <v>23546.71</v>
      </c>
      <c r="I24" s="20">
        <f>IFERROR('Data Sheet'!H26,0)</f>
        <v>24835.69</v>
      </c>
      <c r="J24" s="20">
        <f>IFERROR('Data Sheet'!I26,0)</f>
        <v>24860.36</v>
      </c>
      <c r="K24" s="20">
        <f>IFERROR('Data Sheet'!J26,0)</f>
        <v>27239</v>
      </c>
      <c r="L24" s="20">
        <f>IFERROR('Data Sheet'!K26,0)</f>
        <v>23256</v>
      </c>
      <c r="M24" s="20">
        <f>IFERROR(SUM('Data Sheet'!H45:K45),0)</f>
        <v>23273</v>
      </c>
    </row>
    <row r="25" spans="2:13" x14ac:dyDescent="0.25">
      <c r="B25" s="19" t="s">
        <v>70</v>
      </c>
      <c r="C25" s="13">
        <f>C24/C6</f>
        <v>6.1201425695927715E-2</v>
      </c>
      <c r="D25" s="13">
        <f>D24/D6</f>
        <v>6.63903865924938E-2</v>
      </c>
      <c r="E25" s="13">
        <f t="shared" ref="E25:M25" si="8">E24/E6</f>
        <v>7.3927472182518786E-2</v>
      </c>
      <c r="F25" s="13">
        <f t="shared" si="8"/>
        <v>7.8130605447998658E-2</v>
      </c>
      <c r="G25" s="13">
        <f t="shared" si="8"/>
        <v>8.206839774331566E-2</v>
      </c>
      <c r="H25" s="13">
        <f t="shared" si="8"/>
        <v>9.4264230933596482E-2</v>
      </c>
      <c r="I25" s="13">
        <f t="shared" si="8"/>
        <v>8.9191478279219347E-2</v>
      </c>
      <c r="J25" s="13">
        <f t="shared" si="8"/>
        <v>7.1857611147098821E-2</v>
      </c>
      <c r="K25" s="13">
        <f t="shared" si="8"/>
        <v>6.2760359065103591E-2</v>
      </c>
      <c r="L25" s="13">
        <f t="shared" si="8"/>
        <v>5.2891208678743216E-2</v>
      </c>
      <c r="M25" s="13">
        <f t="shared" si="8"/>
        <v>4.1511338786605359E-2</v>
      </c>
    </row>
    <row r="27" spans="2:13" x14ac:dyDescent="0.25">
      <c r="B27" s="18" t="s">
        <v>71</v>
      </c>
      <c r="C27" s="20">
        <f>IFERROR(C18-SUM((C21,C24)),0)</f>
        <v>16795.38999999997</v>
      </c>
      <c r="D27" s="20">
        <f>IFERROR(D18-SUM((D21,D24)),0)</f>
        <v>7445.690000000046</v>
      </c>
      <c r="E27" s="20">
        <f>IFERROR(E18-SUM((E21,E24)),0)</f>
        <v>5222.299999999992</v>
      </c>
      <c r="F27" s="20">
        <f>IFERROR(F18-SUM((F21,F24)),0)</f>
        <v>-4684.8999999999796</v>
      </c>
      <c r="G27" s="20">
        <f>IFERROR(G18-SUM((G21,G24)),0)</f>
        <v>-10681.690000000039</v>
      </c>
      <c r="H27" s="20">
        <f>IFERROR(H18-SUM((H21,H24)),0)</f>
        <v>643.549999999992</v>
      </c>
      <c r="I27" s="20">
        <f>IFERROR(I18-SUM((I21,I24)),0)</f>
        <v>-9427.4599999999882</v>
      </c>
      <c r="J27" s="20">
        <f>IFERROR(J18-SUM((J21,J24)),0)</f>
        <v>-3270.0400000000373</v>
      </c>
      <c r="K27" s="20">
        <f>IFERROR(K18-SUM((K21,K24)),0)</f>
        <v>22991</v>
      </c>
      <c r="L27" s="20">
        <f>IFERROR(L18-SUM((L21,L24)),0)</f>
        <v>26877</v>
      </c>
      <c r="M27" s="20">
        <f>IFERROR(M18-SUM((M21,M24)),0)</f>
        <v>-55487.34</v>
      </c>
    </row>
    <row r="28" spans="2:13" x14ac:dyDescent="0.25">
      <c r="B28" s="19" t="s">
        <v>72</v>
      </c>
      <c r="C28" s="13">
        <f>C27/C6</f>
        <v>6.1511300676516931E-2</v>
      </c>
      <c r="D28" s="13">
        <f t="shared" ref="D28:M28" si="9">D27/D6</f>
        <v>2.7608071132565179E-2</v>
      </c>
      <c r="E28" s="13">
        <f t="shared" si="9"/>
        <v>1.7912163958707913E-2</v>
      </c>
      <c r="F28" s="13">
        <f t="shared" si="9"/>
        <v>-1.5516078776333117E-2</v>
      </c>
      <c r="G28" s="13">
        <f t="shared" si="9"/>
        <v>-4.0915360088026265E-2</v>
      </c>
      <c r="H28" s="13">
        <f t="shared" si="9"/>
        <v>2.5763151547420113E-3</v>
      </c>
      <c r="I28" s="13">
        <f t="shared" si="9"/>
        <v>-3.3856482095653805E-2</v>
      </c>
      <c r="J28" s="13">
        <f t="shared" si="9"/>
        <v>-9.4518849588445895E-3</v>
      </c>
      <c r="K28" s="13">
        <f t="shared" si="9"/>
        <v>5.2972701467227018E-2</v>
      </c>
      <c r="L28" s="13">
        <f t="shared" si="9"/>
        <v>6.1126462661617711E-2</v>
      </c>
      <c r="M28" s="13">
        <f t="shared" si="9"/>
        <v>-9.8971072449085151E-2</v>
      </c>
    </row>
    <row r="30" spans="2:13" x14ac:dyDescent="0.25">
      <c r="B30" s="18" t="s">
        <v>8</v>
      </c>
      <c r="C30" s="20">
        <f>IFERROR('Data Sheet'!B29,0)</f>
        <v>3025.05</v>
      </c>
      <c r="D30" s="20">
        <f>IFERROR('Data Sheet'!C29,0)</f>
        <v>3251.23</v>
      </c>
      <c r="E30" s="20">
        <f>IFERROR('Data Sheet'!D29,0)</f>
        <v>4341.93</v>
      </c>
      <c r="F30" s="20">
        <f>IFERROR('Data Sheet'!E29,0)</f>
        <v>-2437.4499999999998</v>
      </c>
      <c r="G30" s="20">
        <f>IFERROR('Data Sheet'!F29,0)</f>
        <v>395.25</v>
      </c>
      <c r="H30" s="20">
        <f>IFERROR('Data Sheet'!G29,0)</f>
        <v>2541.86</v>
      </c>
      <c r="I30" s="20">
        <f>IFERROR('Data Sheet'!H29,0)</f>
        <v>4231.29</v>
      </c>
      <c r="J30" s="20">
        <f>IFERROR('Data Sheet'!I29,0)</f>
        <v>704.06</v>
      </c>
      <c r="K30" s="20">
        <f>IFERROR('Data Sheet'!J29,0)</f>
        <v>-4024</v>
      </c>
      <c r="L30" s="20">
        <f>IFERROR('Data Sheet'!K29,0)</f>
        <v>10502</v>
      </c>
      <c r="M30" s="20">
        <f>IFERROR(SUM('Data Sheet'!H48:K48),0)</f>
        <v>10563</v>
      </c>
    </row>
    <row r="31" spans="2:13" x14ac:dyDescent="0.25">
      <c r="B31" s="19" t="s">
        <v>73</v>
      </c>
      <c r="C31" s="13">
        <f>C30/C27</f>
        <v>0.18011192356950362</v>
      </c>
      <c r="D31" s="13">
        <f t="shared" ref="D31:M31" si="10">D30/D27</f>
        <v>0.43665932908836924</v>
      </c>
      <c r="E31" s="13">
        <f t="shared" si="10"/>
        <v>0.8314210213890445</v>
      </c>
      <c r="F31" s="13">
        <f t="shared" si="10"/>
        <v>0.52027791414971725</v>
      </c>
      <c r="G31" s="13">
        <f t="shared" si="10"/>
        <v>-3.7002571690434617E-2</v>
      </c>
      <c r="H31" s="13">
        <f t="shared" si="10"/>
        <v>3.9497474943672315</v>
      </c>
      <c r="I31" s="13">
        <f t="shared" si="10"/>
        <v>-0.4488260888935095</v>
      </c>
      <c r="J31" s="13">
        <f t="shared" si="10"/>
        <v>-0.21530623478611635</v>
      </c>
      <c r="K31" s="13">
        <f t="shared" si="10"/>
        <v>-0.17502500978643817</v>
      </c>
      <c r="L31" s="13">
        <f t="shared" si="10"/>
        <v>0.39074301447334153</v>
      </c>
      <c r="M31" s="13">
        <f t="shared" si="10"/>
        <v>-0.1903677487513368</v>
      </c>
    </row>
    <row r="33" spans="1:13" x14ac:dyDescent="0.25">
      <c r="B33" s="18" t="s">
        <v>74</v>
      </c>
      <c r="C33" s="20">
        <f>IFERROR(C27-C30,0)</f>
        <v>13770.339999999971</v>
      </c>
      <c r="D33" s="20">
        <f t="shared" ref="D33:L33" si="11">IFERROR(D27-D30,0)</f>
        <v>4194.4600000000464</v>
      </c>
      <c r="E33" s="20">
        <f t="shared" si="11"/>
        <v>880.36999999999171</v>
      </c>
      <c r="F33" s="20">
        <f t="shared" si="11"/>
        <v>-2247.4499999999798</v>
      </c>
      <c r="G33" s="20">
        <f t="shared" si="11"/>
        <v>-11076.940000000039</v>
      </c>
      <c r="H33" s="20">
        <f t="shared" si="11"/>
        <v>-1898.3100000000081</v>
      </c>
      <c r="I33" s="20">
        <f t="shared" si="11"/>
        <v>-13658.749999999989</v>
      </c>
      <c r="J33" s="20">
        <f t="shared" si="11"/>
        <v>-3974.1000000000372</v>
      </c>
      <c r="K33" s="20">
        <f t="shared" si="11"/>
        <v>27015</v>
      </c>
      <c r="L33" s="20">
        <f t="shared" si="11"/>
        <v>16375</v>
      </c>
      <c r="M33" s="20">
        <f>IFERROR(SUM('Data Sheet'!H49:K49),0)</f>
        <v>22785</v>
      </c>
    </row>
    <row r="34" spans="1:13" x14ac:dyDescent="0.25">
      <c r="B34" s="19" t="s">
        <v>75</v>
      </c>
      <c r="C34" s="13">
        <f>C33/C6</f>
        <v>5.0432381990407359E-2</v>
      </c>
      <c r="D34" s="13">
        <f t="shared" ref="D34:M34" si="12">D33/D6</f>
        <v>1.5552749314395296E-2</v>
      </c>
      <c r="E34" s="13">
        <f t="shared" si="12"/>
        <v>3.01961430487095E-3</v>
      </c>
      <c r="F34" s="13">
        <f t="shared" si="12"/>
        <v>-7.4434056747998256E-3</v>
      </c>
      <c r="G34" s="13">
        <f t="shared" si="12"/>
        <v>-4.2429333632923408E-2</v>
      </c>
      <c r="H34" s="13">
        <f t="shared" si="12"/>
        <v>-7.5994791724005731E-3</v>
      </c>
      <c r="I34" s="13">
        <f t="shared" si="12"/>
        <v>-4.9052154538339235E-2</v>
      </c>
      <c r="J34" s="13">
        <f t="shared" si="12"/>
        <v>-1.1486934720964945E-2</v>
      </c>
      <c r="K34" s="13">
        <f t="shared" si="12"/>
        <v>6.224424905994249E-2</v>
      </c>
      <c r="L34" s="13">
        <f t="shared" si="12"/>
        <v>3.724172437712505E-2</v>
      </c>
      <c r="M34" s="13">
        <f t="shared" si="12"/>
        <v>4.0640908101783314E-2</v>
      </c>
    </row>
    <row r="36" spans="1:13" x14ac:dyDescent="0.25">
      <c r="B36" s="18" t="s">
        <v>76</v>
      </c>
      <c r="C36" s="14">
        <f>IFERROR('Data Sheet'!B93,0)</f>
        <v>288.72000000000003</v>
      </c>
      <c r="D36" s="14">
        <f>IFERROR('Data Sheet'!C93,0)</f>
        <v>288.73</v>
      </c>
      <c r="E36" s="14">
        <f>IFERROR('Data Sheet'!D93,0)</f>
        <v>288.73</v>
      </c>
      <c r="F36" s="14">
        <f>IFERROR('Data Sheet'!E93,0)</f>
        <v>288.73</v>
      </c>
      <c r="G36" s="14">
        <f>IFERROR('Data Sheet'!F93,0)</f>
        <v>308.89999999999998</v>
      </c>
      <c r="H36" s="14">
        <f>IFERROR('Data Sheet'!G93,0)</f>
        <v>332.03</v>
      </c>
      <c r="I36" s="14">
        <f>IFERROR('Data Sheet'!H93,0)</f>
        <v>332.07</v>
      </c>
      <c r="J36" s="14">
        <f>IFERROR('Data Sheet'!I93,0)</f>
        <v>332.13</v>
      </c>
      <c r="K36" s="14">
        <f>IFERROR('Data Sheet'!J93,0)</f>
        <v>332.37</v>
      </c>
      <c r="L36" s="14">
        <f>IFERROR('Data Sheet'!K93,0)</f>
        <v>368.13</v>
      </c>
    </row>
    <row r="38" spans="1:13" x14ac:dyDescent="0.25">
      <c r="B38" s="18" t="s">
        <v>77</v>
      </c>
      <c r="C38" s="11">
        <f>IFERROR(C33/C36,0)</f>
        <v>47.694444444444336</v>
      </c>
      <c r="D38" s="11">
        <f t="shared" ref="D38:L38" si="13">IFERROR(D33/D36,0)</f>
        <v>14.527274616423808</v>
      </c>
      <c r="E38" s="11">
        <f t="shared" si="13"/>
        <v>3.049111626779315</v>
      </c>
      <c r="F38" s="11">
        <f t="shared" si="13"/>
        <v>-7.7839157690575265</v>
      </c>
      <c r="G38" s="11">
        <f t="shared" si="13"/>
        <v>-35.859307219164904</v>
      </c>
      <c r="H38" s="11">
        <f t="shared" si="13"/>
        <v>-5.7172845827184542</v>
      </c>
      <c r="I38" s="11">
        <f t="shared" si="13"/>
        <v>-41.132140813683833</v>
      </c>
      <c r="J38" s="11">
        <f t="shared" si="13"/>
        <v>-11.965495438533218</v>
      </c>
      <c r="K38" s="11">
        <f t="shared" si="13"/>
        <v>81.279898907843673</v>
      </c>
      <c r="L38" s="11">
        <f t="shared" si="13"/>
        <v>44.481569010947219</v>
      </c>
    </row>
    <row r="39" spans="1:13" x14ac:dyDescent="0.25">
      <c r="B39" s="19" t="s">
        <v>79</v>
      </c>
      <c r="C39" s="22" t="s">
        <v>59</v>
      </c>
      <c r="D39" s="13">
        <f>IFERROR(D38/C38-1,0)</f>
        <v>-0.69540950134463697</v>
      </c>
      <c r="E39" s="13">
        <f t="shared" ref="E39:L39" si="14">IFERROR(E38/D38-1,0)</f>
        <v>-0.79011124197155724</v>
      </c>
      <c r="F39" s="13">
        <f t="shared" si="14"/>
        <v>-3.5528470983790919</v>
      </c>
      <c r="G39" s="13">
        <f t="shared" si="14"/>
        <v>3.6068467700681115</v>
      </c>
      <c r="H39" s="13">
        <f t="shared" si="14"/>
        <v>-0.84056344011958861</v>
      </c>
      <c r="I39" s="13">
        <f t="shared" si="14"/>
        <v>6.194349033807641</v>
      </c>
      <c r="J39" s="13">
        <f t="shared" si="14"/>
        <v>-0.70909621522659627</v>
      </c>
      <c r="K39" s="13">
        <f t="shared" si="14"/>
        <v>-7.7928569548481077</v>
      </c>
      <c r="L39" s="13">
        <f t="shared" si="14"/>
        <v>-0.45273592107464278</v>
      </c>
    </row>
    <row r="41" spans="1:13" x14ac:dyDescent="0.25">
      <c r="B41" s="18" t="s">
        <v>78</v>
      </c>
      <c r="C41" s="20">
        <f>IFERROR('Data Sheet'!B31/HistoricalFS!C36,0)</f>
        <v>0.23524522028262676</v>
      </c>
      <c r="D41" s="20">
        <f>IFERROR('Data Sheet'!C31/HistoricalFS!D36,0)</f>
        <v>0</v>
      </c>
      <c r="E41" s="20">
        <f>IFERROR('Data Sheet'!D31/HistoricalFS!E36,0)</f>
        <v>0</v>
      </c>
      <c r="F41" s="20">
        <f>IFERROR('Data Sheet'!E31/HistoricalFS!F36,0)</f>
        <v>0</v>
      </c>
      <c r="G41" s="20">
        <f>IFERROR('Data Sheet'!F31/HistoricalFS!G36,0)</f>
        <v>0</v>
      </c>
      <c r="H41" s="20">
        <f>IFERROR('Data Sheet'!G31/HistoricalFS!H36,0)</f>
        <v>0</v>
      </c>
      <c r="I41" s="20">
        <f>IFERROR('Data Sheet'!H31/HistoricalFS!I36,0)</f>
        <v>0</v>
      </c>
      <c r="J41" s="20">
        <f>IFERROR('Data Sheet'!I31/HistoricalFS!J36,0)</f>
        <v>2.3063860536536898</v>
      </c>
      <c r="K41" s="20">
        <f>IFERROR('Data Sheet'!J31/HistoricalFS!K36,0)</f>
        <v>6.9230074916508713</v>
      </c>
      <c r="L41" s="20">
        <f>IFERROR('Data Sheet'!K31/HistoricalFS!L36,0)</f>
        <v>5.9978811832776469</v>
      </c>
    </row>
    <row r="42" spans="1:13" x14ac:dyDescent="0.25">
      <c r="B42" s="18" t="s">
        <v>80</v>
      </c>
      <c r="C42" s="12">
        <f>IFERROR(C41/C38,0)</f>
        <v>4.9323400874633563E-3</v>
      </c>
      <c r="D42" s="12">
        <f t="shared" ref="D42:L42" si="15">IFERROR(D41/D38,0)</f>
        <v>0</v>
      </c>
      <c r="E42" s="12">
        <f t="shared" si="15"/>
        <v>0</v>
      </c>
      <c r="F42" s="12">
        <f t="shared" si="15"/>
        <v>0</v>
      </c>
      <c r="G42" s="12">
        <f t="shared" si="15"/>
        <v>0</v>
      </c>
      <c r="H42" s="12">
        <f t="shared" si="15"/>
        <v>0</v>
      </c>
      <c r="I42" s="12">
        <f t="shared" si="15"/>
        <v>0</v>
      </c>
      <c r="J42" s="12">
        <f t="shared" si="15"/>
        <v>-0.19275307616818721</v>
      </c>
      <c r="K42" s="12">
        <f t="shared" si="15"/>
        <v>8.517490283176013E-2</v>
      </c>
      <c r="L42" s="12">
        <f t="shared" si="15"/>
        <v>0.13483969465648857</v>
      </c>
    </row>
    <row r="44" spans="1:13" x14ac:dyDescent="0.25">
      <c r="B44" s="18" t="s">
        <v>81</v>
      </c>
      <c r="C44" s="12">
        <f>IFERROR(IF(C38&gt;C41,1-C42,0),0)</f>
        <v>0.99506765991253665</v>
      </c>
      <c r="D44" s="12">
        <f>IFERROR(IF(D38&gt;D41,1-D42),0)</f>
        <v>1</v>
      </c>
      <c r="E44" s="12">
        <f t="shared" ref="E44:L44" si="16">IFERROR(IF(E38&gt;E41,1-E42),0)</f>
        <v>1</v>
      </c>
      <c r="F44" s="12" t="b">
        <f t="shared" si="16"/>
        <v>0</v>
      </c>
      <c r="G44" s="12" t="b">
        <f t="shared" si="16"/>
        <v>0</v>
      </c>
      <c r="H44" s="12" t="b">
        <f t="shared" si="16"/>
        <v>0</v>
      </c>
      <c r="I44" s="12" t="b">
        <f t="shared" si="16"/>
        <v>0</v>
      </c>
      <c r="J44" s="12" t="b">
        <f t="shared" si="16"/>
        <v>0</v>
      </c>
      <c r="K44" s="12">
        <f t="shared" si="16"/>
        <v>0.9148250971682399</v>
      </c>
      <c r="L44" s="12">
        <f t="shared" si="16"/>
        <v>0.8651603053435114</v>
      </c>
    </row>
    <row r="46" spans="1:13" s="24" customFormat="1" x14ac:dyDescent="0.25">
      <c r="A46" s="23" t="s">
        <v>57</v>
      </c>
      <c r="B46" s="24" t="s">
        <v>82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7" spans="1:13" x14ac:dyDescent="0.25">
      <c r="B47" s="18" t="s">
        <v>10</v>
      </c>
      <c r="C47" s="20">
        <f>IFERROR('Data Sheet'!B57,0)</f>
        <v>679.18</v>
      </c>
      <c r="D47" s="20">
        <f>IFERROR('Data Sheet'!C57,0)</f>
        <v>679.22</v>
      </c>
      <c r="E47" s="20">
        <f>IFERROR('Data Sheet'!D57,0)</f>
        <v>679.22</v>
      </c>
      <c r="F47" s="20">
        <f>IFERROR('Data Sheet'!E57,0)</f>
        <v>679.22</v>
      </c>
      <c r="G47" s="20">
        <f>IFERROR('Data Sheet'!F57,0)</f>
        <v>719.54</v>
      </c>
      <c r="H47" s="20">
        <f>IFERROR('Data Sheet'!G57,0)</f>
        <v>765.81</v>
      </c>
      <c r="I47" s="20">
        <f>IFERROR('Data Sheet'!H57,0)</f>
        <v>765.88</v>
      </c>
      <c r="J47" s="20">
        <f>IFERROR('Data Sheet'!I57,0)</f>
        <v>766.02</v>
      </c>
      <c r="K47" s="20">
        <f>IFERROR('Data Sheet'!J57,0)</f>
        <v>767</v>
      </c>
      <c r="L47" s="20">
        <f>IFERROR('Data Sheet'!K57,0)</f>
        <v>736</v>
      </c>
    </row>
    <row r="48" spans="1:13" x14ac:dyDescent="0.25">
      <c r="B48" s="18" t="s">
        <v>11</v>
      </c>
      <c r="C48" s="20">
        <f>IFERROR('Data Sheet'!B58,0)</f>
        <v>78273.23</v>
      </c>
      <c r="D48" s="20">
        <f>IFERROR('Data Sheet'!C58,0)</f>
        <v>57382.67</v>
      </c>
      <c r="E48" s="20">
        <f>IFERROR('Data Sheet'!D58,0)</f>
        <v>94748.69</v>
      </c>
      <c r="F48" s="20">
        <f>IFERROR('Data Sheet'!E58,0)</f>
        <v>59500.34</v>
      </c>
      <c r="G48" s="20">
        <f>IFERROR('Data Sheet'!F58,0)</f>
        <v>62358.99</v>
      </c>
      <c r="H48" s="20">
        <f>IFERROR('Data Sheet'!G58,0)</f>
        <v>54480.91</v>
      </c>
      <c r="I48" s="20">
        <f>IFERROR('Data Sheet'!H58,0)</f>
        <v>43795.360000000001</v>
      </c>
      <c r="J48" s="20">
        <f>IFERROR('Data Sheet'!I58,0)</f>
        <v>44555.77</v>
      </c>
      <c r="K48" s="20">
        <f>IFERROR('Data Sheet'!J58,0)</f>
        <v>84151</v>
      </c>
      <c r="L48" s="20">
        <f>IFERROR('Data Sheet'!K58,0)</f>
        <v>115408</v>
      </c>
    </row>
    <row r="49" spans="2:12" x14ac:dyDescent="0.25">
      <c r="B49" s="18" t="s">
        <v>35</v>
      </c>
      <c r="C49" s="20">
        <f>IFERROR('Data Sheet'!B59,0)</f>
        <v>69359.960000000006</v>
      </c>
      <c r="D49" s="20">
        <f>IFERROR('Data Sheet'!C59,0)</f>
        <v>78603.98</v>
      </c>
      <c r="E49" s="20">
        <f>IFERROR('Data Sheet'!D59,0)</f>
        <v>88950.47</v>
      </c>
      <c r="F49" s="20">
        <f>IFERROR('Data Sheet'!E59,0)</f>
        <v>106175.34</v>
      </c>
      <c r="G49" s="20">
        <f>IFERROR('Data Sheet'!F59,0)</f>
        <v>124787.64</v>
      </c>
      <c r="H49" s="20">
        <f>IFERROR('Data Sheet'!G59,0)</f>
        <v>142130.57</v>
      </c>
      <c r="I49" s="20">
        <f>IFERROR('Data Sheet'!H59,0)</f>
        <v>146449.03</v>
      </c>
      <c r="J49" s="20">
        <f>IFERROR('Data Sheet'!I59,0)</f>
        <v>134113.44</v>
      </c>
      <c r="K49" s="20">
        <f>IFERROR('Data Sheet'!J59,0)</f>
        <v>107264</v>
      </c>
      <c r="L49" s="20">
        <f>IFERROR('Data Sheet'!K59,0)</f>
        <v>71540</v>
      </c>
    </row>
    <row r="50" spans="2:12" x14ac:dyDescent="0.25">
      <c r="B50" s="18" t="s">
        <v>36</v>
      </c>
      <c r="C50" s="20">
        <f>IFERROR('Data Sheet'!B60,0)</f>
        <v>114871.75</v>
      </c>
      <c r="D50" s="20">
        <f>IFERROR('Data Sheet'!C60,0)</f>
        <v>135914.49</v>
      </c>
      <c r="E50" s="20">
        <f>IFERROR('Data Sheet'!D60,0)</f>
        <v>142813.43</v>
      </c>
      <c r="F50" s="20">
        <f>IFERROR('Data Sheet'!E60,0)</f>
        <v>139348.59</v>
      </c>
      <c r="G50" s="20">
        <f>IFERROR('Data Sheet'!F60,0)</f>
        <v>132313.22</v>
      </c>
      <c r="H50" s="20">
        <f>IFERROR('Data Sheet'!G60,0)</f>
        <v>144192.62</v>
      </c>
      <c r="I50" s="20">
        <f>IFERROR('Data Sheet'!H60,0)</f>
        <v>138051.22</v>
      </c>
      <c r="J50" s="20">
        <f>IFERROR('Data Sheet'!I60,0)</f>
        <v>155239.20000000001</v>
      </c>
      <c r="K50" s="20">
        <f>IFERROR('Data Sheet'!J60,0)</f>
        <v>177339</v>
      </c>
      <c r="L50" s="20">
        <f>IFERROR('Data Sheet'!K60,0)</f>
        <v>189289</v>
      </c>
    </row>
    <row r="51" spans="2:12" x14ac:dyDescent="0.25">
      <c r="B51" s="17" t="s">
        <v>83</v>
      </c>
      <c r="C51" s="31">
        <f>IFERROR('Data Sheet'!B61,0)</f>
        <v>263184.12</v>
      </c>
      <c r="D51" s="31">
        <f>IFERROR('Data Sheet'!C61,0)</f>
        <v>272580.36</v>
      </c>
      <c r="E51" s="31">
        <f>IFERROR('Data Sheet'!D61,0)</f>
        <v>327191.81</v>
      </c>
      <c r="F51" s="31">
        <f>IFERROR('Data Sheet'!E61,0)</f>
        <v>305703.49</v>
      </c>
      <c r="G51" s="31">
        <f>IFERROR('Data Sheet'!F61,0)</f>
        <v>320179.39</v>
      </c>
      <c r="H51" s="31">
        <f>IFERROR('Data Sheet'!G61,0)</f>
        <v>341569.91</v>
      </c>
      <c r="I51" s="31">
        <f>IFERROR('Data Sheet'!H61,0)</f>
        <v>329061.49</v>
      </c>
      <c r="J51" s="31">
        <f>IFERROR('Data Sheet'!I61,0)</f>
        <v>334674.43</v>
      </c>
      <c r="K51" s="31">
        <f>IFERROR('Data Sheet'!J61,0)</f>
        <v>369521</v>
      </c>
      <c r="L51" s="31">
        <f>IFERROR('Data Sheet'!K61,0)</f>
        <v>376973</v>
      </c>
    </row>
    <row r="53" spans="2:12" x14ac:dyDescent="0.25">
      <c r="B53" s="18" t="s">
        <v>84</v>
      </c>
      <c r="C53" s="20">
        <f>IFERROR('Data Sheet'!B62,0)</f>
        <v>107231.76</v>
      </c>
      <c r="D53" s="20">
        <f>IFERROR('Data Sheet'!C62,0)</f>
        <v>95944.08</v>
      </c>
      <c r="E53" s="20">
        <f>IFERROR('Data Sheet'!D62,0)</f>
        <v>121413.86</v>
      </c>
      <c r="F53" s="20">
        <f>IFERROR('Data Sheet'!E62,0)</f>
        <v>111234.47</v>
      </c>
      <c r="G53" s="20">
        <f>IFERROR('Data Sheet'!F62,0)</f>
        <v>127107.14</v>
      </c>
      <c r="H53" s="20">
        <f>IFERROR('Data Sheet'!G62,0)</f>
        <v>138707.60999999999</v>
      </c>
      <c r="I53" s="20">
        <f>IFERROR('Data Sheet'!H62,0)</f>
        <v>138855.45000000001</v>
      </c>
      <c r="J53" s="20">
        <f>IFERROR('Data Sheet'!I62,0)</f>
        <v>132079.76</v>
      </c>
      <c r="K53" s="20">
        <f>IFERROR('Data Sheet'!J62,0)</f>
        <v>121285</v>
      </c>
      <c r="L53" s="20">
        <f>IFERROR('Data Sheet'!K62,0)</f>
        <v>115697</v>
      </c>
    </row>
    <row r="54" spans="2:12" x14ac:dyDescent="0.25">
      <c r="B54" s="18" t="s">
        <v>14</v>
      </c>
      <c r="C54" s="20">
        <f>IFERROR('Data Sheet'!B63,0)</f>
        <v>25918.94</v>
      </c>
      <c r="D54" s="20">
        <f>IFERROR('Data Sheet'!C63,0)</f>
        <v>33698.839999999997</v>
      </c>
      <c r="E54" s="20">
        <f>IFERROR('Data Sheet'!D63,0)</f>
        <v>40033.5</v>
      </c>
      <c r="F54" s="20">
        <f>IFERROR('Data Sheet'!E63,0)</f>
        <v>31883.84</v>
      </c>
      <c r="G54" s="20">
        <f>IFERROR('Data Sheet'!F63,0)</f>
        <v>35622.29</v>
      </c>
      <c r="H54" s="20">
        <f>IFERROR('Data Sheet'!G63,0)</f>
        <v>20963.93</v>
      </c>
      <c r="I54" s="20">
        <f>IFERROR('Data Sheet'!H63,0)</f>
        <v>10251.09</v>
      </c>
      <c r="J54" s="20">
        <f>IFERROR('Data Sheet'!I63,0)</f>
        <v>14274.5</v>
      </c>
      <c r="K54" s="20">
        <f>IFERROR('Data Sheet'!J63,0)</f>
        <v>35698</v>
      </c>
      <c r="L54" s="20">
        <f>IFERROR('Data Sheet'!K63,0)</f>
        <v>65806</v>
      </c>
    </row>
    <row r="55" spans="2:12" x14ac:dyDescent="0.25">
      <c r="B55" s="18" t="s">
        <v>15</v>
      </c>
      <c r="C55" s="20">
        <f>IFERROR('Data Sheet'!B64,0)</f>
        <v>23767.02</v>
      </c>
      <c r="D55" s="20">
        <f>IFERROR('Data Sheet'!C64,0)</f>
        <v>20337.919999999998</v>
      </c>
      <c r="E55" s="20">
        <f>IFERROR('Data Sheet'!D64,0)</f>
        <v>20812.75</v>
      </c>
      <c r="F55" s="20">
        <f>IFERROR('Data Sheet'!E64,0)</f>
        <v>15770.72</v>
      </c>
      <c r="G55" s="20">
        <f>IFERROR('Data Sheet'!F64,0)</f>
        <v>16308.48</v>
      </c>
      <c r="H55" s="20">
        <f>IFERROR('Data Sheet'!G64,0)</f>
        <v>24620.28</v>
      </c>
      <c r="I55" s="20">
        <f>IFERROR('Data Sheet'!H64,0)</f>
        <v>29379.53</v>
      </c>
      <c r="J55" s="20">
        <f>IFERROR('Data Sheet'!I64,0)</f>
        <v>26379.16</v>
      </c>
      <c r="K55" s="20">
        <f>IFERROR('Data Sheet'!J64,0)</f>
        <v>22971</v>
      </c>
      <c r="L55" s="20">
        <f>IFERROR('Data Sheet'!K64,0)</f>
        <v>35656</v>
      </c>
    </row>
    <row r="56" spans="2:12" x14ac:dyDescent="0.25">
      <c r="B56" s="18" t="s">
        <v>37</v>
      </c>
      <c r="C56" s="20">
        <f>IFERROR('Data Sheet'!B65-SUM('Data Sheet'!B67:B69),0)</f>
        <v>29579.359999999986</v>
      </c>
      <c r="D56" s="20">
        <f>IFERROR('Data Sheet'!C65-SUM('Data Sheet'!C67:C69),0)</f>
        <v>37360.780000000013</v>
      </c>
      <c r="E56" s="20">
        <f>IFERROR('Data Sheet'!D65-SUM('Data Sheet'!D67:D69),0)</f>
        <v>48286.860000000015</v>
      </c>
      <c r="F56" s="20">
        <f>IFERROR('Data Sheet'!E65-SUM('Data Sheet'!E67:E69),0)</f>
        <v>56155.739999999991</v>
      </c>
      <c r="G56" s="20">
        <f>IFERROR('Data Sheet'!F65-SUM('Data Sheet'!F67:F69),0)</f>
        <v>58784.94</v>
      </c>
      <c r="H56" s="20">
        <f>IFERROR('Data Sheet'!G65-SUM('Data Sheet'!G67:G69),0)</f>
        <v>61717.959999999992</v>
      </c>
      <c r="I56" s="20">
        <f>IFERROR('Data Sheet'!H65-SUM('Data Sheet'!H67:H69),0)</f>
        <v>62223.770000000019</v>
      </c>
      <c r="J56" s="20">
        <f>IFERROR('Data Sheet'!I65-SUM('Data Sheet'!I67:I69),0)</f>
        <v>68432.090000000011</v>
      </c>
      <c r="K56" s="20">
        <f>IFERROR('Data Sheet'!J65-SUM('Data Sheet'!J67:J69),0)</f>
        <v>79020</v>
      </c>
      <c r="L56" s="20">
        <f>IFERROR('Data Sheet'!K65-SUM('Data Sheet'!K67:K69),0)</f>
        <v>58463</v>
      </c>
    </row>
    <row r="57" spans="2:12" x14ac:dyDescent="0.25">
      <c r="B57" s="17" t="s">
        <v>85</v>
      </c>
      <c r="C57" s="31">
        <f>IFERROR(SUM(C53:C56),0)</f>
        <v>186497.07999999996</v>
      </c>
      <c r="D57" s="31">
        <f t="shared" ref="D57:L57" si="17">IFERROR(SUM(D53:D56),0)</f>
        <v>187341.62</v>
      </c>
      <c r="E57" s="31">
        <f t="shared" si="17"/>
        <v>230546.97</v>
      </c>
      <c r="F57" s="31">
        <f t="shared" si="17"/>
        <v>215044.77</v>
      </c>
      <c r="G57" s="31">
        <f t="shared" si="17"/>
        <v>237822.85</v>
      </c>
      <c r="H57" s="31">
        <f t="shared" si="17"/>
        <v>246009.77999999997</v>
      </c>
      <c r="I57" s="31">
        <f t="shared" si="17"/>
        <v>240709.84000000003</v>
      </c>
      <c r="J57" s="31">
        <f t="shared" si="17"/>
        <v>241165.51</v>
      </c>
      <c r="K57" s="31">
        <f t="shared" si="17"/>
        <v>258974</v>
      </c>
      <c r="L57" s="31">
        <f t="shared" si="17"/>
        <v>275622</v>
      </c>
    </row>
    <row r="58" spans="2:12" x14ac:dyDescent="0.25">
      <c r="B58" s="17"/>
    </row>
    <row r="59" spans="2:12" x14ac:dyDescent="0.25">
      <c r="B59" s="18" t="s">
        <v>42</v>
      </c>
      <c r="C59" s="20">
        <f>IFERROR('Data Sheet'!B67,0)</f>
        <v>13570.91</v>
      </c>
      <c r="D59" s="20">
        <f>IFERROR('Data Sheet'!C67,0)</f>
        <v>14075.55</v>
      </c>
      <c r="E59" s="20">
        <f>IFERROR('Data Sheet'!D67,0)</f>
        <v>19893.3</v>
      </c>
      <c r="F59" s="20">
        <f>IFERROR('Data Sheet'!E67,0)</f>
        <v>18996.169999999998</v>
      </c>
      <c r="G59" s="20">
        <f>IFERROR('Data Sheet'!F67,0)</f>
        <v>11172.69</v>
      </c>
      <c r="H59" s="20">
        <f>IFERROR('Data Sheet'!G67,0)</f>
        <v>12679.08</v>
      </c>
      <c r="I59" s="20">
        <f>IFERROR('Data Sheet'!H67,0)</f>
        <v>12442.12</v>
      </c>
      <c r="J59" s="20">
        <f>IFERROR('Data Sheet'!I67,0)</f>
        <v>15737.97</v>
      </c>
      <c r="K59" s="20">
        <f>IFERROR('Data Sheet'!J67,0)</f>
        <v>16952</v>
      </c>
      <c r="L59" s="20">
        <f>IFERROR('Data Sheet'!K67,0)</f>
        <v>13248</v>
      </c>
    </row>
    <row r="60" spans="2:12" x14ac:dyDescent="0.25">
      <c r="B60" s="18" t="s">
        <v>29</v>
      </c>
      <c r="C60" s="20">
        <f>IFERROR('Data Sheet'!B68,0)</f>
        <v>32655.73</v>
      </c>
      <c r="D60" s="20">
        <f>IFERROR('Data Sheet'!C68,0)</f>
        <v>35085.31</v>
      </c>
      <c r="E60" s="20">
        <f>IFERROR('Data Sheet'!D68,0)</f>
        <v>42137.63</v>
      </c>
      <c r="F60" s="20">
        <f>IFERROR('Data Sheet'!E68,0)</f>
        <v>39013.730000000003</v>
      </c>
      <c r="G60" s="20">
        <f>IFERROR('Data Sheet'!F68,0)</f>
        <v>37456.879999999997</v>
      </c>
      <c r="H60" s="20">
        <f>IFERROR('Data Sheet'!G68,0)</f>
        <v>36088.589999999997</v>
      </c>
      <c r="I60" s="20">
        <f>IFERROR('Data Sheet'!H68,0)</f>
        <v>35240.339999999997</v>
      </c>
      <c r="J60" s="20">
        <f>IFERROR('Data Sheet'!I68,0)</f>
        <v>40755.39</v>
      </c>
      <c r="K60" s="20">
        <f>IFERROR('Data Sheet'!J68,0)</f>
        <v>47788</v>
      </c>
      <c r="L60" s="20">
        <f>IFERROR('Data Sheet'!K68,0)</f>
        <v>47269</v>
      </c>
    </row>
    <row r="61" spans="2:12" x14ac:dyDescent="0.25">
      <c r="B61" s="18" t="s">
        <v>51</v>
      </c>
      <c r="C61" s="20">
        <f>IFERROR('Data Sheet'!B69,0)</f>
        <v>30460.400000000001</v>
      </c>
      <c r="D61" s="20">
        <f>IFERROR('Data Sheet'!C69,0)</f>
        <v>36077.879999999997</v>
      </c>
      <c r="E61" s="20">
        <f>IFERROR('Data Sheet'!D69,0)</f>
        <v>34613.910000000003</v>
      </c>
      <c r="F61" s="20">
        <f>IFERROR('Data Sheet'!E69,0)</f>
        <v>32648.82</v>
      </c>
      <c r="G61" s="20">
        <f>IFERROR('Data Sheet'!F69,0)</f>
        <v>33726.97</v>
      </c>
      <c r="H61" s="20">
        <f>IFERROR('Data Sheet'!G69,0)</f>
        <v>46792.46</v>
      </c>
      <c r="I61" s="20">
        <f>IFERROR('Data Sheet'!H69,0)</f>
        <v>40669.19</v>
      </c>
      <c r="J61" s="20">
        <f>IFERROR('Data Sheet'!I69,0)</f>
        <v>37015.56</v>
      </c>
      <c r="K61" s="20">
        <f>IFERROR('Data Sheet'!J69,0)</f>
        <v>45807</v>
      </c>
      <c r="L61" s="20">
        <f>IFERROR('Data Sheet'!K69,0)</f>
        <v>40834</v>
      </c>
    </row>
    <row r="62" spans="2:12" x14ac:dyDescent="0.25">
      <c r="B62" s="17" t="s">
        <v>86</v>
      </c>
      <c r="C62" s="31">
        <f>IFERROR(SUM(C59:C61),0)</f>
        <v>76687.040000000008</v>
      </c>
      <c r="D62" s="31">
        <f t="shared" ref="D62:L62" si="18">IFERROR(SUM(D59:D61),0)</f>
        <v>85238.739999999991</v>
      </c>
      <c r="E62" s="31">
        <f t="shared" si="18"/>
        <v>96644.84</v>
      </c>
      <c r="F62" s="31">
        <f t="shared" si="18"/>
        <v>90658.72</v>
      </c>
      <c r="G62" s="31">
        <f t="shared" si="18"/>
        <v>82356.540000000008</v>
      </c>
      <c r="H62" s="31">
        <f t="shared" si="18"/>
        <v>95560.13</v>
      </c>
      <c r="I62" s="31">
        <f t="shared" si="18"/>
        <v>88351.65</v>
      </c>
      <c r="J62" s="31">
        <f t="shared" si="18"/>
        <v>93508.92</v>
      </c>
      <c r="K62" s="31">
        <f t="shared" si="18"/>
        <v>110547</v>
      </c>
      <c r="L62" s="31">
        <f t="shared" si="18"/>
        <v>101351</v>
      </c>
    </row>
    <row r="64" spans="2:12" x14ac:dyDescent="0.25">
      <c r="B64" s="17" t="s">
        <v>87</v>
      </c>
      <c r="C64" s="31">
        <f>IFERROR(C62+C57,0)</f>
        <v>263184.12</v>
      </c>
      <c r="D64" s="31">
        <f t="shared" ref="D64:L64" si="19">IFERROR(D62+D57,0)</f>
        <v>272580.36</v>
      </c>
      <c r="E64" s="31">
        <f t="shared" si="19"/>
        <v>327191.81</v>
      </c>
      <c r="F64" s="31">
        <f t="shared" si="19"/>
        <v>305703.49</v>
      </c>
      <c r="G64" s="31">
        <f t="shared" si="19"/>
        <v>320179.39</v>
      </c>
      <c r="H64" s="31">
        <f t="shared" si="19"/>
        <v>341569.91</v>
      </c>
      <c r="I64" s="31">
        <f t="shared" si="19"/>
        <v>329061.49</v>
      </c>
      <c r="J64" s="31">
        <f t="shared" si="19"/>
        <v>334674.43</v>
      </c>
      <c r="K64" s="31">
        <f t="shared" si="19"/>
        <v>369521</v>
      </c>
      <c r="L64" s="31">
        <f t="shared" si="19"/>
        <v>376973</v>
      </c>
    </row>
    <row r="66" spans="1:13" x14ac:dyDescent="0.25">
      <c r="B66" s="19" t="s">
        <v>88</v>
      </c>
      <c r="C66" s="32" t="b">
        <f>C64=C51</f>
        <v>1</v>
      </c>
      <c r="D66" s="32" t="b">
        <f t="shared" ref="D66:L66" si="20">D64=D51</f>
        <v>1</v>
      </c>
      <c r="E66" s="32" t="b">
        <f t="shared" si="20"/>
        <v>1</v>
      </c>
      <c r="F66" s="32" t="b">
        <f t="shared" si="20"/>
        <v>1</v>
      </c>
      <c r="G66" s="32" t="b">
        <f t="shared" si="20"/>
        <v>1</v>
      </c>
      <c r="H66" s="32" t="b">
        <f t="shared" si="20"/>
        <v>1</v>
      </c>
      <c r="I66" s="32" t="b">
        <f t="shared" si="20"/>
        <v>1</v>
      </c>
      <c r="J66" s="32" t="b">
        <f t="shared" si="20"/>
        <v>1</v>
      </c>
      <c r="K66" s="32" t="b">
        <f t="shared" si="20"/>
        <v>1</v>
      </c>
      <c r="L66" s="32" t="b">
        <f t="shared" si="20"/>
        <v>1</v>
      </c>
    </row>
    <row r="68" spans="1:13" s="24" customFormat="1" x14ac:dyDescent="0.25">
      <c r="A68" s="23" t="s">
        <v>57</v>
      </c>
      <c r="B68" s="24" t="s">
        <v>115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spans="1:13" x14ac:dyDescent="0.25">
      <c r="B69" s="8" t="s">
        <v>119</v>
      </c>
    </row>
    <row r="70" spans="1:13" x14ac:dyDescent="0.25">
      <c r="B70" t="s">
        <v>90</v>
      </c>
      <c r="C70" s="20">
        <f>IFERROR('Cashflow Data'!E4,0)</f>
        <v>6824</v>
      </c>
      <c r="D70" s="20">
        <f>IFERROR('Cashflow Data'!F4,0)</f>
        <v>17581</v>
      </c>
      <c r="E70" s="20">
        <f>IFERROR('Cashflow Data'!G4,0)</f>
        <v>20187</v>
      </c>
      <c r="F70" s="20">
        <f>IFERROR('Cashflow Data'!H4,0)</f>
        <v>27840</v>
      </c>
      <c r="G70" s="20">
        <f>IFERROR('Cashflow Data'!I4,0)</f>
        <v>18078</v>
      </c>
      <c r="H70" s="20">
        <f>IFERROR('Cashflow Data'!J4,0)</f>
        <v>28540</v>
      </c>
      <c r="I70" s="20">
        <f>IFERROR('Cashflow Data'!K4,0)</f>
        <v>65900</v>
      </c>
      <c r="J70" s="20">
        <f>IFERROR('Cashflow Data'!L4,0)</f>
        <v>30908</v>
      </c>
      <c r="K70" s="20">
        <f>IFERROR('Cashflow Data'!M4,0)</f>
        <v>22237</v>
      </c>
      <c r="L70" s="20">
        <f>IFERROR('Cashflow Data'!N4,0)</f>
        <v>23929</v>
      </c>
    </row>
    <row r="71" spans="1:13" x14ac:dyDescent="0.25">
      <c r="B71" t="s">
        <v>42</v>
      </c>
      <c r="C71" s="20">
        <f>IFERROR('Cashflow Data'!E5,0)</f>
        <v>0</v>
      </c>
      <c r="D71" s="20">
        <f>IFERROR('Cashflow Data'!F5,0)</f>
        <v>0</v>
      </c>
      <c r="E71" s="20">
        <f>IFERROR('Cashflow Data'!G5,0)</f>
        <v>0</v>
      </c>
      <c r="F71" s="20">
        <f>IFERROR('Cashflow Data'!H5,0)</f>
        <v>0</v>
      </c>
      <c r="G71" s="20">
        <f>IFERROR('Cashflow Data'!I5,0)</f>
        <v>0</v>
      </c>
      <c r="H71" s="20">
        <f>IFERROR('Cashflow Data'!J5,0)</f>
        <v>0</v>
      </c>
      <c r="I71" s="20">
        <f>IFERROR('Cashflow Data'!K5,0)</f>
        <v>0</v>
      </c>
      <c r="J71" s="20">
        <f>IFERROR('Cashflow Data'!L5,0)</f>
        <v>0</v>
      </c>
      <c r="K71" s="20">
        <f>IFERROR('Cashflow Data'!M5,0)</f>
        <v>0</v>
      </c>
      <c r="L71" s="20">
        <f>IFERROR('Cashflow Data'!N5,0)</f>
        <v>0</v>
      </c>
    </row>
    <row r="72" spans="1:13" x14ac:dyDescent="0.25">
      <c r="B72" t="s">
        <v>29</v>
      </c>
      <c r="C72" s="20">
        <f>IFERROR('Cashflow Data'!E6,0)</f>
        <v>5618</v>
      </c>
      <c r="D72" s="20">
        <f>IFERROR('Cashflow Data'!F6,0)</f>
        <v>-8243</v>
      </c>
      <c r="E72" s="20">
        <f>IFERROR('Cashflow Data'!G6,0)</f>
        <v>-1595</v>
      </c>
      <c r="F72" s="20">
        <f>IFERROR('Cashflow Data'!H6,0)</f>
        <v>-1069</v>
      </c>
      <c r="G72" s="20">
        <f>IFERROR('Cashflow Data'!I6,0)</f>
        <v>1562</v>
      </c>
      <c r="H72" s="20">
        <f>IFERROR('Cashflow Data'!J6,0)</f>
        <v>46</v>
      </c>
      <c r="I72" s="20">
        <f>IFERROR('Cashflow Data'!K6,0)</f>
        <v>-16917</v>
      </c>
      <c r="J72" s="20">
        <f>IFERROR('Cashflow Data'!L6,0)</f>
        <v>-4031</v>
      </c>
      <c r="K72" s="20">
        <f>IFERROR('Cashflow Data'!M6,0)</f>
        <v>5566</v>
      </c>
      <c r="L72" s="20">
        <f>IFERROR('Cashflow Data'!N6,0)</f>
        <v>4776</v>
      </c>
    </row>
    <row r="73" spans="1:13" x14ac:dyDescent="0.25">
      <c r="B73" t="s">
        <v>91</v>
      </c>
      <c r="C73" s="20">
        <f>IFERROR('Cashflow Data'!E7,0)</f>
        <v>0</v>
      </c>
      <c r="D73" s="20">
        <f>IFERROR('Cashflow Data'!F7,0)</f>
        <v>0</v>
      </c>
      <c r="E73" s="20">
        <f>IFERROR('Cashflow Data'!G7,0)</f>
        <v>0</v>
      </c>
      <c r="F73" s="20">
        <f>IFERROR('Cashflow Data'!H7,0)</f>
        <v>0</v>
      </c>
      <c r="G73" s="20">
        <f>IFERROR('Cashflow Data'!I7,0)</f>
        <v>0</v>
      </c>
      <c r="H73" s="20">
        <f>IFERROR('Cashflow Data'!J7,0)</f>
        <v>0</v>
      </c>
      <c r="I73" s="20">
        <f>IFERROR('Cashflow Data'!K7,0)</f>
        <v>0</v>
      </c>
      <c r="J73" s="20">
        <f>IFERROR('Cashflow Data'!L7,0)</f>
        <v>0</v>
      </c>
      <c r="K73" s="20">
        <f>IFERROR('Cashflow Data'!M7,0)</f>
        <v>0</v>
      </c>
      <c r="L73" s="20">
        <f>IFERROR('Cashflow Data'!N7,0)</f>
        <v>0</v>
      </c>
    </row>
    <row r="74" spans="1:13" x14ac:dyDescent="0.25">
      <c r="B74" t="s">
        <v>92</v>
      </c>
      <c r="C74" s="20">
        <f>IFERROR('Cashflow Data'!E8,0)</f>
        <v>548</v>
      </c>
      <c r="D74" s="20">
        <f>IFERROR('Cashflow Data'!F8,0)</f>
        <v>3329</v>
      </c>
      <c r="E74" s="20">
        <f>IFERROR('Cashflow Data'!G8,0)</f>
        <v>-7680</v>
      </c>
      <c r="F74" s="20">
        <f>IFERROR('Cashflow Data'!H8,0)</f>
        <v>3659</v>
      </c>
      <c r="G74" s="20">
        <f>IFERROR('Cashflow Data'!I8,0)</f>
        <v>2634</v>
      </c>
      <c r="H74" s="20">
        <f>IFERROR('Cashflow Data'!J8,0)</f>
        <v>16446</v>
      </c>
      <c r="I74" s="20">
        <f>IFERROR('Cashflow Data'!K8,0)</f>
        <v>7299</v>
      </c>
      <c r="J74" s="20">
        <f>IFERROR('Cashflow Data'!L8,0)</f>
        <v>325</v>
      </c>
      <c r="K74" s="20">
        <f>IFERROR('Cashflow Data'!M8,0)</f>
        <v>-2182</v>
      </c>
      <c r="L74" s="20">
        <f>IFERROR('Cashflow Data'!N8,0)</f>
        <v>-2569</v>
      </c>
    </row>
    <row r="75" spans="1:13" x14ac:dyDescent="0.25">
      <c r="B75" t="s">
        <v>93</v>
      </c>
      <c r="C75" s="20">
        <f>IFERROR('Cashflow Data'!E9,0)</f>
        <v>6166</v>
      </c>
      <c r="D75" s="20">
        <f>IFERROR('Cashflow Data'!F9,0)</f>
        <v>-4914</v>
      </c>
      <c r="E75" s="20">
        <f>IFERROR('Cashflow Data'!G9,0)</f>
        <v>-9276</v>
      </c>
      <c r="F75" s="20">
        <f>IFERROR('Cashflow Data'!H9,0)</f>
        <v>2591</v>
      </c>
      <c r="G75" s="20">
        <f>IFERROR('Cashflow Data'!I9,0)</f>
        <v>4196</v>
      </c>
      <c r="H75" s="20">
        <f>IFERROR('Cashflow Data'!J9,0)</f>
        <v>16491</v>
      </c>
      <c r="I75" s="20">
        <f>IFERROR('Cashflow Data'!K9,0)</f>
        <v>-9618</v>
      </c>
      <c r="J75" s="20">
        <f>IFERROR('Cashflow Data'!L9,0)</f>
        <v>-3706</v>
      </c>
      <c r="K75" s="20">
        <f>IFERROR('Cashflow Data'!M9,0)</f>
        <v>3384</v>
      </c>
      <c r="L75" s="20">
        <f>IFERROR('Cashflow Data'!N9,0)</f>
        <v>2207</v>
      </c>
    </row>
    <row r="76" spans="1:13" x14ac:dyDescent="0.25">
      <c r="B76" t="s">
        <v>94</v>
      </c>
      <c r="C76" s="20">
        <f>IFERROR('Cashflow Data'!E10,0)</f>
        <v>-1534</v>
      </c>
      <c r="D76" s="20">
        <f>IFERROR('Cashflow Data'!F10,0)</f>
        <v>-1843</v>
      </c>
      <c r="E76" s="20">
        <f>IFERROR('Cashflow Data'!G10,0)</f>
        <v>-2888</v>
      </c>
      <c r="F76" s="20">
        <f>IFERROR('Cashflow Data'!H10,0)</f>
        <v>-5094</v>
      </c>
      <c r="G76" s="20">
        <f>IFERROR('Cashflow Data'!I10,0)</f>
        <v>-2106</v>
      </c>
      <c r="H76" s="20">
        <f>IFERROR('Cashflow Data'!J10,0)</f>
        <v>-704</v>
      </c>
      <c r="I76" s="20">
        <f>IFERROR('Cashflow Data'!K10,0)</f>
        <v>-11902</v>
      </c>
      <c r="J76" s="20">
        <f>IFERROR('Cashflow Data'!L10,0)</f>
        <v>-5519</v>
      </c>
      <c r="K76" s="20">
        <f>IFERROR('Cashflow Data'!M10,0)</f>
        <v>-5320</v>
      </c>
      <c r="L76" s="20">
        <f>IFERROR('Cashflow Data'!N10,0)</f>
        <v>-2624</v>
      </c>
    </row>
    <row r="77" spans="1:13" x14ac:dyDescent="0.25">
      <c r="B77" s="17" t="s">
        <v>116</v>
      </c>
      <c r="C77" s="31">
        <f>IFERROR(SUM(C70:C76),0)</f>
        <v>17622</v>
      </c>
      <c r="D77" s="31">
        <f t="shared" ref="D77:L77" si="21">IFERROR(SUM(D70:D76),0)</f>
        <v>5910</v>
      </c>
      <c r="E77" s="31">
        <f t="shared" si="21"/>
        <v>-1252</v>
      </c>
      <c r="F77" s="31">
        <f t="shared" si="21"/>
        <v>27927</v>
      </c>
      <c r="G77" s="31">
        <f t="shared" si="21"/>
        <v>24364</v>
      </c>
      <c r="H77" s="31">
        <f t="shared" si="21"/>
        <v>60819</v>
      </c>
      <c r="I77" s="31">
        <f t="shared" si="21"/>
        <v>34762</v>
      </c>
      <c r="J77" s="31">
        <f t="shared" si="21"/>
        <v>17977</v>
      </c>
      <c r="K77" s="31">
        <f t="shared" si="21"/>
        <v>23685</v>
      </c>
      <c r="L77" s="31">
        <f t="shared" si="21"/>
        <v>25719</v>
      </c>
    </row>
    <row r="79" spans="1:13" x14ac:dyDescent="0.25">
      <c r="B79" s="8" t="s">
        <v>120</v>
      </c>
    </row>
    <row r="80" spans="1:13" x14ac:dyDescent="0.25">
      <c r="B80" s="18" t="s">
        <v>96</v>
      </c>
      <c r="C80" s="20">
        <f>IFERROR('Cashflow Data'!E12,0)</f>
        <v>-10163</v>
      </c>
      <c r="D80" s="20">
        <f>IFERROR('Cashflow Data'!F12,0)</f>
        <v>-7716</v>
      </c>
      <c r="E80" s="20">
        <f>IFERROR('Cashflow Data'!G12,0)</f>
        <v>-7478</v>
      </c>
      <c r="F80" s="20">
        <f>IFERROR('Cashflow Data'!H12,0)</f>
        <v>-9091</v>
      </c>
      <c r="G80" s="20">
        <f>IFERROR('Cashflow Data'!I12,0)</f>
        <v>-10398</v>
      </c>
      <c r="H80" s="20">
        <f>IFERROR('Cashflow Data'!J12,0)</f>
        <v>-6979</v>
      </c>
      <c r="I80" s="20">
        <f>IFERROR('Cashflow Data'!K12,0)</f>
        <v>-10522</v>
      </c>
      <c r="J80" s="20">
        <f>IFERROR('Cashflow Data'!L12,0)</f>
        <v>-14142</v>
      </c>
      <c r="K80" s="20">
        <f>IFERROR('Cashflow Data'!M12,0)</f>
        <v>-18207</v>
      </c>
      <c r="L80" s="20">
        <f>IFERROR('Cashflow Data'!N12,0)</f>
        <v>-15671</v>
      </c>
    </row>
    <row r="81" spans="2:12" x14ac:dyDescent="0.25">
      <c r="B81" s="18" t="s">
        <v>97</v>
      </c>
      <c r="C81" s="20">
        <f>IFERROR('Cashflow Data'!E13,0)</f>
        <v>231</v>
      </c>
      <c r="D81" s="20">
        <f>IFERROR('Cashflow Data'!F13,0)</f>
        <v>289</v>
      </c>
      <c r="E81" s="20">
        <f>IFERROR('Cashflow Data'!G13,0)</f>
        <v>179</v>
      </c>
      <c r="F81" s="20">
        <f>IFERROR('Cashflow Data'!H13,0)</f>
        <v>467</v>
      </c>
      <c r="G81" s="20">
        <f>IFERROR('Cashflow Data'!I13,0)</f>
        <v>386</v>
      </c>
      <c r="H81" s="20">
        <f>IFERROR('Cashflow Data'!J13,0)</f>
        <v>445</v>
      </c>
      <c r="I81" s="20">
        <f>IFERROR('Cashflow Data'!K13,0)</f>
        <v>569</v>
      </c>
      <c r="J81" s="20">
        <f>IFERROR('Cashflow Data'!L13,0)</f>
        <v>328</v>
      </c>
      <c r="K81" s="20">
        <f>IFERROR('Cashflow Data'!M13,0)</f>
        <v>475</v>
      </c>
      <c r="L81" s="20">
        <f>IFERROR('Cashflow Data'!N13,0)</f>
        <v>1264</v>
      </c>
    </row>
    <row r="82" spans="2:12" x14ac:dyDescent="0.25">
      <c r="B82" s="18" t="s">
        <v>98</v>
      </c>
      <c r="C82" s="20">
        <f>IFERROR('Cashflow Data'!E14,0)</f>
        <v>-3796</v>
      </c>
      <c r="D82" s="20">
        <f>IFERROR('Cashflow Data'!F14,0)</f>
        <v>-861</v>
      </c>
      <c r="E82" s="20">
        <f>IFERROR('Cashflow Data'!G14,0)</f>
        <v>-8641</v>
      </c>
      <c r="F82" s="20">
        <f>IFERROR('Cashflow Data'!H14,0)</f>
        <v>-490</v>
      </c>
      <c r="G82" s="20">
        <f>IFERROR('Cashflow Data'!I14,0)</f>
        <v>-828</v>
      </c>
      <c r="H82" s="20">
        <f>IFERROR('Cashflow Data'!J14,0)</f>
        <v>-3631</v>
      </c>
      <c r="I82" s="20">
        <f>IFERROR('Cashflow Data'!K14,0)</f>
        <v>-1153</v>
      </c>
      <c r="J82" s="20">
        <f>IFERROR('Cashflow Data'!L14,0)</f>
        <v>-326</v>
      </c>
      <c r="K82" s="20">
        <f>IFERROR('Cashflow Data'!M14,0)</f>
        <v>-4</v>
      </c>
      <c r="L82" s="20">
        <f>IFERROR('Cashflow Data'!N14,0)</f>
        <v>-393</v>
      </c>
    </row>
    <row r="83" spans="2:12" x14ac:dyDescent="0.25">
      <c r="B83" s="18" t="s">
        <v>99</v>
      </c>
      <c r="C83" s="20">
        <f>IFERROR('Cashflow Data'!E15,0)</f>
        <v>4275</v>
      </c>
      <c r="D83" s="20">
        <f>IFERROR('Cashflow Data'!F15,0)</f>
        <v>91</v>
      </c>
      <c r="E83" s="20">
        <f>IFERROR('Cashflow Data'!G15,0)</f>
        <v>3899</v>
      </c>
      <c r="F83" s="20">
        <f>IFERROR('Cashflow Data'!H15,0)</f>
        <v>13556</v>
      </c>
      <c r="G83" s="20">
        <f>IFERROR('Cashflow Data'!I15,0)</f>
        <v>121</v>
      </c>
      <c r="H83" s="20">
        <f>IFERROR('Cashflow Data'!J15,0)</f>
        <v>0</v>
      </c>
      <c r="I83" s="20">
        <f>IFERROR('Cashflow Data'!K15,0)</f>
        <v>63</v>
      </c>
      <c r="J83" s="20">
        <f>IFERROR('Cashflow Data'!L15,0)</f>
        <v>5191</v>
      </c>
      <c r="K83" s="20">
        <f>IFERROR('Cashflow Data'!M15,0)</f>
        <v>3171</v>
      </c>
      <c r="L83" s="20">
        <f>IFERROR('Cashflow Data'!N15,0)</f>
        <v>554</v>
      </c>
    </row>
    <row r="84" spans="2:12" x14ac:dyDescent="0.25">
      <c r="B84" s="18" t="s">
        <v>100</v>
      </c>
      <c r="C84" s="20">
        <f>IFERROR('Cashflow Data'!E16,0)</f>
        <v>133</v>
      </c>
      <c r="D84" s="20">
        <f>IFERROR('Cashflow Data'!F16,0)</f>
        <v>140</v>
      </c>
      <c r="E84" s="20">
        <f>IFERROR('Cashflow Data'!G16,0)</f>
        <v>254</v>
      </c>
      <c r="F84" s="20">
        <f>IFERROR('Cashflow Data'!H16,0)</f>
        <v>175</v>
      </c>
      <c r="G84" s="20">
        <f>IFERROR('Cashflow Data'!I16,0)</f>
        <v>203</v>
      </c>
      <c r="H84" s="20">
        <f>IFERROR('Cashflow Data'!J16,0)</f>
        <v>266</v>
      </c>
      <c r="I84" s="20">
        <f>IFERROR('Cashflow Data'!K16,0)</f>
        <v>137</v>
      </c>
      <c r="J84" s="20">
        <f>IFERROR('Cashflow Data'!L16,0)</f>
        <v>248</v>
      </c>
      <c r="K84" s="20">
        <f>IFERROR('Cashflow Data'!M16,0)</f>
        <v>333</v>
      </c>
      <c r="L84" s="20">
        <f>IFERROR('Cashflow Data'!N16,0)</f>
        <v>242</v>
      </c>
    </row>
    <row r="85" spans="2:12" x14ac:dyDescent="0.25">
      <c r="B85" s="18" t="s">
        <v>101</v>
      </c>
      <c r="C85" s="20">
        <f>IFERROR('Cashflow Data'!E17,0)</f>
        <v>108</v>
      </c>
      <c r="D85" s="20">
        <f>IFERROR('Cashflow Data'!F17,0)</f>
        <v>85</v>
      </c>
      <c r="E85" s="20">
        <f>IFERROR('Cashflow Data'!G17,0)</f>
        <v>111</v>
      </c>
      <c r="F85" s="20">
        <f>IFERROR('Cashflow Data'!H17,0)</f>
        <v>148</v>
      </c>
      <c r="G85" s="20">
        <f>IFERROR('Cashflow Data'!I17,0)</f>
        <v>103</v>
      </c>
      <c r="H85" s="20">
        <f>IFERROR('Cashflow Data'!J17,0)</f>
        <v>135</v>
      </c>
      <c r="I85" s="20">
        <f>IFERROR('Cashflow Data'!K17,0)</f>
        <v>162</v>
      </c>
      <c r="J85" s="20">
        <f>IFERROR('Cashflow Data'!L17,0)</f>
        <v>317</v>
      </c>
      <c r="K85" s="20">
        <f>IFERROR('Cashflow Data'!M17,0)</f>
        <v>336</v>
      </c>
      <c r="L85" s="20">
        <f>IFERROR('Cashflow Data'!N17,0)</f>
        <v>294</v>
      </c>
    </row>
    <row r="86" spans="2:12" x14ac:dyDescent="0.25">
      <c r="B86" s="18" t="s">
        <v>102</v>
      </c>
      <c r="C86" s="20">
        <f>IFERROR('Cashflow Data'!E18,0)</f>
        <v>0</v>
      </c>
      <c r="D86" s="20">
        <f>IFERROR('Cashflow Data'!F18,0)</f>
        <v>0</v>
      </c>
      <c r="E86" s="20">
        <f>IFERROR('Cashflow Data'!G18,0)</f>
        <v>34</v>
      </c>
      <c r="F86" s="20">
        <f>IFERROR('Cashflow Data'!H18,0)</f>
        <v>156</v>
      </c>
      <c r="G86" s="20">
        <f>IFERROR('Cashflow Data'!I18,0)</f>
        <v>378</v>
      </c>
      <c r="H86" s="20">
        <f>IFERROR('Cashflow Data'!J18,0)</f>
        <v>90</v>
      </c>
      <c r="I86" s="20">
        <f>IFERROR('Cashflow Data'!K18,0)</f>
        <v>1208</v>
      </c>
      <c r="J86" s="20">
        <f>IFERROR('Cashflow Data'!L18,0)</f>
        <v>166</v>
      </c>
      <c r="K86" s="20">
        <f>IFERROR('Cashflow Data'!M18,0)</f>
        <v>123</v>
      </c>
      <c r="L86" s="20">
        <f>IFERROR('Cashflow Data'!N18,0)</f>
        <v>28</v>
      </c>
    </row>
    <row r="87" spans="2:12" x14ac:dyDescent="0.25">
      <c r="B87" s="18" t="s">
        <v>103</v>
      </c>
      <c r="C87" s="20">
        <f>IFERROR('Cashflow Data'!E19,0)</f>
        <v>-78</v>
      </c>
      <c r="D87" s="20">
        <f>IFERROR('Cashflow Data'!F19,0)</f>
        <v>-1081</v>
      </c>
      <c r="E87" s="20">
        <f>IFERROR('Cashflow Data'!G19,0)</f>
        <v>-255</v>
      </c>
      <c r="F87" s="20">
        <f>IFERROR('Cashflow Data'!H19,0)</f>
        <v>-34569</v>
      </c>
      <c r="G87" s="20">
        <f>IFERROR('Cashflow Data'!I19,0)</f>
        <v>-4433</v>
      </c>
      <c r="H87" s="20">
        <f>IFERROR('Cashflow Data'!J19,0)</f>
        <v>0</v>
      </c>
      <c r="I87" s="20">
        <f>IFERROR('Cashflow Data'!K19,0)</f>
        <v>-53</v>
      </c>
      <c r="J87" s="20">
        <f>IFERROR('Cashflow Data'!L19,0)</f>
        <v>-10569</v>
      </c>
      <c r="K87" s="20">
        <f>IFERROR('Cashflow Data'!M19,0)</f>
        <v>0</v>
      </c>
      <c r="L87" s="20">
        <f>IFERROR('Cashflow Data'!N19,0)</f>
        <v>-6</v>
      </c>
    </row>
    <row r="88" spans="2:12" x14ac:dyDescent="0.25">
      <c r="B88" s="18" t="s">
        <v>104</v>
      </c>
      <c r="C88" s="20">
        <f>IFERROR('Cashflow Data'!E20,0)</f>
        <v>0</v>
      </c>
      <c r="D88" s="20">
        <f>IFERROR('Cashflow Data'!F20,0)</f>
        <v>0</v>
      </c>
      <c r="E88" s="20">
        <f>IFERROR('Cashflow Data'!G20,0)</f>
        <v>0</v>
      </c>
      <c r="F88" s="20">
        <f>IFERROR('Cashflow Data'!H20,0)</f>
        <v>0</v>
      </c>
      <c r="G88" s="20">
        <f>IFERROR('Cashflow Data'!I20,0)</f>
        <v>0</v>
      </c>
      <c r="H88" s="20">
        <f>IFERROR('Cashflow Data'!J20,0)</f>
        <v>0</v>
      </c>
      <c r="I88" s="20">
        <f>IFERROR('Cashflow Data'!K20,0)</f>
        <v>0</v>
      </c>
      <c r="J88" s="20">
        <f>IFERROR('Cashflow Data'!L20,0)</f>
        <v>0</v>
      </c>
      <c r="K88" s="20">
        <f>IFERROR('Cashflow Data'!M20,0)</f>
        <v>0</v>
      </c>
      <c r="L88" s="20">
        <f>IFERROR('Cashflow Data'!N20,0)</f>
        <v>0</v>
      </c>
    </row>
    <row r="89" spans="2:12" x14ac:dyDescent="0.25">
      <c r="B89" s="18" t="s">
        <v>105</v>
      </c>
      <c r="C89" s="20">
        <f>IFERROR('Cashflow Data'!E21,0)</f>
        <v>496</v>
      </c>
      <c r="D89" s="20">
        <f>IFERROR('Cashflow Data'!F21,0)</f>
        <v>-437</v>
      </c>
      <c r="E89" s="20">
        <f>IFERROR('Cashflow Data'!G21,0)</f>
        <v>166</v>
      </c>
      <c r="F89" s="20">
        <f>IFERROR('Cashflow Data'!H21,0)</f>
        <v>471</v>
      </c>
      <c r="G89" s="20">
        <f>IFERROR('Cashflow Data'!I21,0)</f>
        <v>456</v>
      </c>
      <c r="H89" s="20">
        <f>IFERROR('Cashflow Data'!J21,0)</f>
        <v>236</v>
      </c>
      <c r="I89" s="20">
        <f>IFERROR('Cashflow Data'!K21,0)</f>
        <v>-1315</v>
      </c>
      <c r="J89" s="20">
        <f>IFERROR('Cashflow Data'!L21,0)</f>
        <v>609</v>
      </c>
      <c r="K89" s="20">
        <f>IFERROR('Cashflow Data'!M21,0)</f>
        <v>-481</v>
      </c>
      <c r="L89" s="20">
        <f>IFERROR('Cashflow Data'!N21,0)</f>
        <v>-485</v>
      </c>
    </row>
    <row r="90" spans="2:12" x14ac:dyDescent="0.25">
      <c r="B90" s="8" t="s">
        <v>117</v>
      </c>
      <c r="C90" s="20">
        <f>IFERROR('Cashflow Data'!E22,0)</f>
        <v>-4729</v>
      </c>
      <c r="D90" s="20">
        <f>IFERROR('Cashflow Data'!F22,0)</f>
        <v>-2579</v>
      </c>
      <c r="E90" s="20">
        <f>IFERROR('Cashflow Data'!G22,0)</f>
        <v>6640</v>
      </c>
      <c r="F90" s="20">
        <f>IFERROR('Cashflow Data'!H22,0)</f>
        <v>-673</v>
      </c>
      <c r="G90" s="20">
        <f>IFERROR('Cashflow Data'!I22,0)</f>
        <v>-1695</v>
      </c>
      <c r="H90" s="20">
        <f>IFERROR('Cashflow Data'!J22,0)</f>
        <v>-37090</v>
      </c>
      <c r="I90" s="20">
        <f>IFERROR('Cashflow Data'!K22,0)</f>
        <v>-23401</v>
      </c>
      <c r="J90" s="20">
        <f>IFERROR('Cashflow Data'!L22,0)</f>
        <v>-6981</v>
      </c>
      <c r="K90" s="20">
        <f>IFERROR('Cashflow Data'!M22,0)</f>
        <v>-11097</v>
      </c>
      <c r="L90" s="20">
        <f>IFERROR('Cashflow Data'!N22,0)</f>
        <v>-7002</v>
      </c>
    </row>
    <row r="92" spans="2:12" x14ac:dyDescent="0.25">
      <c r="B92" s="17" t="s">
        <v>121</v>
      </c>
    </row>
    <row r="93" spans="2:12" x14ac:dyDescent="0.25">
      <c r="B93" s="18" t="s">
        <v>107</v>
      </c>
      <c r="C93" s="20">
        <f>IFERROR('Cashflow Data'!E23,0)</f>
        <v>0</v>
      </c>
      <c r="D93" s="20">
        <f>IFERROR('Cashflow Data'!F23,0)</f>
        <v>652</v>
      </c>
      <c r="E93" s="20">
        <f>IFERROR('Cashflow Data'!G23,0)</f>
        <v>9087</v>
      </c>
      <c r="F93" s="20">
        <f>IFERROR('Cashflow Data'!H23,0)</f>
        <v>0</v>
      </c>
      <c r="G93" s="20">
        <f>IFERROR('Cashflow Data'!I23,0)</f>
        <v>188</v>
      </c>
      <c r="H93" s="20">
        <f>IFERROR('Cashflow Data'!J23,0)</f>
        <v>3239</v>
      </c>
      <c r="I93" s="20">
        <f>IFERROR('Cashflow Data'!K23,0)</f>
        <v>326</v>
      </c>
      <c r="J93" s="20">
        <f>IFERROR('Cashflow Data'!L23,0)</f>
        <v>1</v>
      </c>
      <c r="K93" s="20">
        <f>IFERROR('Cashflow Data'!M23,0)</f>
        <v>0</v>
      </c>
      <c r="L93" s="20">
        <f>IFERROR('Cashflow Data'!N23,0)</f>
        <v>0</v>
      </c>
    </row>
    <row r="94" spans="2:12" x14ac:dyDescent="0.25">
      <c r="B94" s="18" t="s">
        <v>108</v>
      </c>
      <c r="C94" s="20">
        <f>IFERROR('Cashflow Data'!E24,0)</f>
        <v>0</v>
      </c>
      <c r="D94" s="20">
        <f>IFERROR('Cashflow Data'!F24,0)</f>
        <v>0</v>
      </c>
      <c r="E94" s="20">
        <f>IFERROR('Cashflow Data'!G24,0)</f>
        <v>0</v>
      </c>
      <c r="F94" s="20">
        <f>IFERROR('Cashflow Data'!H24,0)</f>
        <v>33344</v>
      </c>
      <c r="G94" s="20">
        <f>IFERROR('Cashflow Data'!I24,0)</f>
        <v>16574</v>
      </c>
      <c r="H94" s="20">
        <f>IFERROR('Cashflow Data'!J24,0)</f>
        <v>9801</v>
      </c>
      <c r="I94" s="20">
        <f>IFERROR('Cashflow Data'!K24,0)</f>
        <v>12439</v>
      </c>
      <c r="J94" s="20">
        <f>IFERROR('Cashflow Data'!L24,0)</f>
        <v>16769</v>
      </c>
      <c r="K94" s="20">
        <f>IFERROR('Cashflow Data'!M24,0)</f>
        <v>14120</v>
      </c>
      <c r="L94" s="20">
        <f>IFERROR('Cashflow Data'!N24,0)</f>
        <v>23893</v>
      </c>
    </row>
    <row r="95" spans="2:12" x14ac:dyDescent="0.25">
      <c r="B95" s="18" t="s">
        <v>109</v>
      </c>
      <c r="C95" s="20">
        <f>IFERROR('Cashflow Data'!E25,0)</f>
        <v>0</v>
      </c>
      <c r="D95" s="20">
        <f>IFERROR('Cashflow Data'!F25,0)</f>
        <v>0</v>
      </c>
      <c r="E95" s="20">
        <f>IFERROR('Cashflow Data'!G25,0)</f>
        <v>0</v>
      </c>
      <c r="F95" s="20">
        <f>IFERROR('Cashflow Data'!H25,0)</f>
        <v>-25077</v>
      </c>
      <c r="G95" s="20">
        <f>IFERROR('Cashflow Data'!I25,0)</f>
        <v>-7937</v>
      </c>
      <c r="H95" s="20">
        <f>IFERROR('Cashflow Data'!J25,0)</f>
        <v>-39177</v>
      </c>
      <c r="I95" s="20">
        <f>IFERROR('Cashflow Data'!K25,0)</f>
        <v>-26360</v>
      </c>
      <c r="J95" s="20">
        <f>IFERROR('Cashflow Data'!L25,0)</f>
        <v>-10226</v>
      </c>
      <c r="K95" s="20">
        <f>IFERROR('Cashflow Data'!M25,0)</f>
        <v>-11908</v>
      </c>
      <c r="L95" s="20">
        <f>IFERROR('Cashflow Data'!N25,0)</f>
        <v>-17597</v>
      </c>
    </row>
    <row r="96" spans="2:12" x14ac:dyDescent="0.25">
      <c r="B96" s="18" t="s">
        <v>110</v>
      </c>
      <c r="C96" s="20">
        <f>IFERROR('Cashflow Data'!E26,0)</f>
        <v>0</v>
      </c>
      <c r="D96" s="20">
        <f>IFERROR('Cashflow Data'!F26,0)</f>
        <v>0</v>
      </c>
      <c r="E96" s="20">
        <f>IFERROR('Cashflow Data'!G26,0)</f>
        <v>0</v>
      </c>
      <c r="F96" s="20">
        <f>IFERROR('Cashflow Data'!H26,0)</f>
        <v>0</v>
      </c>
      <c r="G96" s="20">
        <f>IFERROR('Cashflow Data'!I26,0)</f>
        <v>0</v>
      </c>
      <c r="H96" s="20">
        <f>IFERROR('Cashflow Data'!J26,0)</f>
        <v>0</v>
      </c>
      <c r="I96" s="20">
        <f>IFERROR('Cashflow Data'!K26,0)</f>
        <v>0</v>
      </c>
      <c r="J96" s="20">
        <f>IFERROR('Cashflow Data'!L26,0)</f>
        <v>0</v>
      </c>
      <c r="K96" s="20">
        <f>IFERROR('Cashflow Data'!M26,0)</f>
        <v>0</v>
      </c>
      <c r="L96" s="20">
        <f>IFERROR('Cashflow Data'!N26,0)</f>
        <v>-30</v>
      </c>
    </row>
    <row r="97" spans="2:12" x14ac:dyDescent="0.25">
      <c r="B97" s="18" t="s">
        <v>111</v>
      </c>
      <c r="C97" s="20">
        <f>IFERROR('Cashflow Data'!E27,0)</f>
        <v>-5483</v>
      </c>
      <c r="D97" s="20">
        <f>IFERROR('Cashflow Data'!F27,0)</f>
        <v>-4733</v>
      </c>
      <c r="E97" s="20">
        <f>IFERROR('Cashflow Data'!G27,0)</f>
        <v>-5146</v>
      </c>
      <c r="F97" s="20">
        <f>IFERROR('Cashflow Data'!H27,0)</f>
        <v>-6901</v>
      </c>
      <c r="G97" s="20">
        <f>IFERROR('Cashflow Data'!I27,0)</f>
        <v>-7419</v>
      </c>
      <c r="H97" s="20">
        <f>IFERROR('Cashflow Data'!J27,0)</f>
        <v>-6804</v>
      </c>
      <c r="I97" s="20">
        <f>IFERROR('Cashflow Data'!K27,0)</f>
        <v>-4687</v>
      </c>
      <c r="J97" s="20">
        <f>IFERROR('Cashflow Data'!L27,0)</f>
        <v>-6120</v>
      </c>
      <c r="K97" s="20">
        <f>IFERROR('Cashflow Data'!M27,0)</f>
        <v>-8145</v>
      </c>
      <c r="L97" s="20">
        <f>IFERROR('Cashflow Data'!N27,0)</f>
        <v>-8119</v>
      </c>
    </row>
    <row r="98" spans="2:12" x14ac:dyDescent="0.25">
      <c r="B98" s="18" t="s">
        <v>112</v>
      </c>
      <c r="C98" s="20">
        <f>IFERROR('Cashflow Data'!E28,0)</f>
        <v>-788</v>
      </c>
      <c r="D98" s="20">
        <f>IFERROR('Cashflow Data'!F28,0)</f>
        <v>-791</v>
      </c>
      <c r="E98" s="20">
        <f>IFERROR('Cashflow Data'!G28,0)</f>
        <v>-982</v>
      </c>
      <c r="F98" s="20">
        <f>IFERROR('Cashflow Data'!H28,0)</f>
        <v>-1186</v>
      </c>
      <c r="G98" s="20">
        <f>IFERROR('Cashflow Data'!I28,0)</f>
        <v>-1507</v>
      </c>
      <c r="H98" s="20">
        <f>IFERROR('Cashflow Data'!J28,0)</f>
        <v>-1151</v>
      </c>
      <c r="I98" s="20">
        <f>IFERROR('Cashflow Data'!K28,0)</f>
        <v>-3020</v>
      </c>
      <c r="J98" s="20">
        <f>IFERROR('Cashflow Data'!L28,0)</f>
        <v>-6293</v>
      </c>
      <c r="K98" s="20">
        <f>IFERROR('Cashflow Data'!M28,0)</f>
        <v>-4429</v>
      </c>
      <c r="L98" s="20">
        <f>IFERROR('Cashflow Data'!N28,0)</f>
        <v>-4490</v>
      </c>
    </row>
    <row r="99" spans="2:12" x14ac:dyDescent="0.25">
      <c r="B99" s="18" t="s">
        <v>113</v>
      </c>
      <c r="C99" s="20">
        <f>IFERROR('Cashflow Data'!E29,0)</f>
        <v>-200</v>
      </c>
      <c r="D99" s="20">
        <f>IFERROR('Cashflow Data'!F29,0)</f>
        <v>-208</v>
      </c>
      <c r="E99" s="20">
        <f>IFERROR('Cashflow Data'!G29,0)</f>
        <v>-211</v>
      </c>
      <c r="F99" s="20">
        <f>IFERROR('Cashflow Data'!H29,0)</f>
        <v>-276</v>
      </c>
      <c r="G99" s="20">
        <f>IFERROR('Cashflow Data'!I29,0)</f>
        <v>-1029</v>
      </c>
      <c r="H99" s="20">
        <f>IFERROR('Cashflow Data'!J29,0)</f>
        <v>-1284</v>
      </c>
      <c r="I99" s="20">
        <f>IFERROR('Cashflow Data'!K29,0)</f>
        <v>-1310</v>
      </c>
      <c r="J99" s="20">
        <f>IFERROR('Cashflow Data'!L29,0)</f>
        <v>-1114</v>
      </c>
      <c r="K99" s="20">
        <f>IFERROR('Cashflow Data'!M29,0)</f>
        <v>-1140</v>
      </c>
      <c r="L99" s="20">
        <f>IFERROR('Cashflow Data'!N29,0)</f>
        <v>-1943</v>
      </c>
    </row>
    <row r="100" spans="2:12" x14ac:dyDescent="0.25">
      <c r="B100" s="18" t="s">
        <v>114</v>
      </c>
      <c r="C100" s="20">
        <f>IFERROR('Cashflow Data'!E30,0)</f>
        <v>1743</v>
      </c>
      <c r="D100" s="20">
        <f>IFERROR('Cashflow Data'!F30,0)</f>
        <v>2501</v>
      </c>
      <c r="E100" s="20">
        <f>IFERROR('Cashflow Data'!G30,0)</f>
        <v>3892</v>
      </c>
      <c r="F100" s="20">
        <f>IFERROR('Cashflow Data'!H30,0)</f>
        <v>-576</v>
      </c>
      <c r="G100" s="20">
        <f>IFERROR('Cashflow Data'!I30,0)</f>
        <v>-564</v>
      </c>
      <c r="H100" s="20">
        <f>IFERROR('Cashflow Data'!J30,0)</f>
        <v>-1714</v>
      </c>
      <c r="I100" s="20">
        <f>IFERROR('Cashflow Data'!K30,0)</f>
        <v>-789</v>
      </c>
      <c r="J100" s="20">
        <f>IFERROR('Cashflow Data'!L30,0)</f>
        <v>2</v>
      </c>
      <c r="K100" s="20">
        <f>IFERROR('Cashflow Data'!M30,0)</f>
        <v>404</v>
      </c>
      <c r="L100" s="20">
        <f>IFERROR('Cashflow Data'!N30,0)</f>
        <v>1283</v>
      </c>
    </row>
    <row r="101" spans="2:12" x14ac:dyDescent="0.25">
      <c r="B101" s="17" t="s">
        <v>118</v>
      </c>
      <c r="C101" s="20">
        <f>IFERROR('Cashflow Data'!E31,0)</f>
        <v>-2068</v>
      </c>
      <c r="D101" s="20">
        <f>IFERROR('Cashflow Data'!F31,0)</f>
        <v>-1245</v>
      </c>
      <c r="E101" s="20">
        <f>IFERROR('Cashflow Data'!G31,0)</f>
        <v>2933</v>
      </c>
      <c r="F101" s="20">
        <f>IFERROR('Cashflow Data'!H31,0)</f>
        <v>-4513</v>
      </c>
      <c r="G101" s="20">
        <f>IFERROR('Cashflow Data'!I31,0)</f>
        <v>4462</v>
      </c>
      <c r="H101" s="20">
        <f>IFERROR('Cashflow Data'!J31,0)</f>
        <v>-2200</v>
      </c>
      <c r="I101" s="20">
        <f>IFERROR('Cashflow Data'!K31,0)</f>
        <v>10075</v>
      </c>
      <c r="J101" s="20">
        <f>IFERROR('Cashflow Data'!L31,0)</f>
        <v>-3477</v>
      </c>
      <c r="K101" s="20">
        <f>IFERROR('Cashflow Data'!M31,0)</f>
        <v>-5049</v>
      </c>
      <c r="L101" s="20">
        <f>IFERROR('Cashflow Data'!N31,0)</f>
        <v>2337</v>
      </c>
    </row>
    <row r="103" spans="2:12" x14ac:dyDescent="0.25">
      <c r="B103" s="17" t="s">
        <v>20</v>
      </c>
      <c r="C103" s="31">
        <f>IFERROR(C101+C90+C77,0)</f>
        <v>10825</v>
      </c>
      <c r="D103" s="31">
        <f t="shared" ref="D103:L103" si="22">IFERROR(D101+D90+D77,0)</f>
        <v>2086</v>
      </c>
      <c r="E103" s="31">
        <f t="shared" si="22"/>
        <v>8321</v>
      </c>
      <c r="F103" s="31">
        <f t="shared" si="22"/>
        <v>22741</v>
      </c>
      <c r="G103" s="31">
        <f t="shared" si="22"/>
        <v>27131</v>
      </c>
      <c r="H103" s="31">
        <f t="shared" si="22"/>
        <v>21529</v>
      </c>
      <c r="I103" s="31">
        <f t="shared" si="22"/>
        <v>21436</v>
      </c>
      <c r="J103" s="31">
        <f t="shared" si="22"/>
        <v>7519</v>
      </c>
      <c r="K103" s="31">
        <f t="shared" si="22"/>
        <v>7539</v>
      </c>
      <c r="L103" s="31">
        <f t="shared" si="22"/>
        <v>21054</v>
      </c>
    </row>
    <row r="106" spans="2:12" x14ac:dyDescent="0.25">
      <c r="D106" s="20" t="s">
        <v>122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6 M33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FE3A-C26A-4CB9-8BDC-6929F1EB828B}">
  <sheetPr codeName="Sheet3"/>
  <dimension ref="B3:O44"/>
  <sheetViews>
    <sheetView showGridLines="0" workbookViewId="0">
      <selection activeCell="Q12" sqref="Q12"/>
    </sheetView>
  </sheetViews>
  <sheetFormatPr defaultRowHeight="15" x14ac:dyDescent="0.25"/>
  <cols>
    <col min="1" max="1" width="1.85546875" customWidth="1"/>
    <col min="2" max="2" width="26.42578125" bestFit="1" customWidth="1"/>
    <col min="3" max="6" width="9.5703125" bestFit="1" customWidth="1"/>
    <col min="7" max="7" width="10.28515625" bestFit="1" customWidth="1"/>
    <col min="8" max="8" width="9.5703125" bestFit="1" customWidth="1"/>
    <col min="9" max="9" width="10.28515625" bestFit="1" customWidth="1"/>
    <col min="10" max="12" width="9.5703125" bestFit="1" customWidth="1"/>
    <col min="13" max="13" width="15.28515625" customWidth="1"/>
    <col min="14" max="15" width="10.85546875" bestFit="1" customWidth="1"/>
  </cols>
  <sheetData>
    <row r="3" spans="2:15" x14ac:dyDescent="0.25">
      <c r="B3" s="68" t="str">
        <f>"Ratio Analysis - "&amp;'Data Sheet'!B1</f>
        <v>Ratio Analysis - TATA MOTORS LTD</v>
      </c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2:15" x14ac:dyDescent="0.25">
      <c r="B4" s="15" t="s">
        <v>54</v>
      </c>
      <c r="C4" s="10">
        <v>42460</v>
      </c>
      <c r="D4" s="10">
        <v>42825</v>
      </c>
      <c r="E4" s="10">
        <v>43190</v>
      </c>
      <c r="F4" s="10">
        <v>43555</v>
      </c>
      <c r="G4" s="10">
        <v>43921</v>
      </c>
      <c r="H4" s="10">
        <v>44286</v>
      </c>
      <c r="I4" s="10">
        <v>44651</v>
      </c>
      <c r="J4" s="10">
        <v>45016</v>
      </c>
      <c r="K4" s="10">
        <v>45382</v>
      </c>
      <c r="L4" s="10">
        <v>45747</v>
      </c>
      <c r="N4" s="10" t="s">
        <v>152</v>
      </c>
      <c r="O4" s="10" t="s">
        <v>153</v>
      </c>
    </row>
    <row r="7" spans="2:15" x14ac:dyDescent="0.25">
      <c r="B7" s="38" t="s">
        <v>58</v>
      </c>
      <c r="C7" s="38"/>
      <c r="D7" s="39">
        <f>IFERROR(HistoricalFS!D7,0)</f>
        <v>-1.2280329732469508E-2</v>
      </c>
      <c r="E7" s="39">
        <f>IFERROR(HistoricalFS!F7,0)</f>
        <v>3.5629919045237157E-2</v>
      </c>
      <c r="F7" s="39">
        <f>IFERROR(HistoricalFS!G7,0)</f>
        <v>-0.135360159555724</v>
      </c>
      <c r="G7" s="39">
        <f>IFERROR(HistoricalFS!H7,0)</f>
        <v>-4.3181168490336042E-2</v>
      </c>
      <c r="H7" s="39">
        <f>IFERROR(HistoricalFS!I7,0)</f>
        <v>0.11472967306158344</v>
      </c>
      <c r="I7" s="39">
        <f>IFERROR(HistoricalFS!J7,0)</f>
        <v>0.24245815155859707</v>
      </c>
      <c r="J7" s="39">
        <f>IFERROR(HistoricalFS!K7,0)</f>
        <v>0.25450126062612277</v>
      </c>
      <c r="K7" s="39">
        <f>IFERROR(HistoricalFS!L7,0)</f>
        <v>1.3084771068347711E-2</v>
      </c>
      <c r="L7" s="39">
        <f>IFERROR(HistoricalFS!M7,0)</f>
        <v>0.27507021912916918</v>
      </c>
      <c r="M7" s="38"/>
      <c r="N7" s="39">
        <f>IFERROR(AVERAGE(D7:L7),0)</f>
        <v>8.2739148523391981E-2</v>
      </c>
      <c r="O7" s="39">
        <f>IFERROR(MEDIAN(D7:L7),0)</f>
        <v>3.5629919045237157E-2</v>
      </c>
    </row>
    <row r="8" spans="2:15" x14ac:dyDescent="0.25">
      <c r="B8" t="s">
        <v>123</v>
      </c>
      <c r="D8" s="36">
        <f>IFERROR(HistoricalFS!D18/HistoricalFS!C18-1,0)</f>
        <v>-0.22936587208052905</v>
      </c>
      <c r="E8" s="36">
        <f>IFERROR(HistoricalFS!E18/HistoricalFS!D18-1,0)</f>
        <v>6.3165689322506102E-2</v>
      </c>
      <c r="F8" s="36">
        <f>IFERROR(HistoricalFS!F18/HistoricalFS!E18-1,0)</f>
        <v>-0.21595203460649259</v>
      </c>
      <c r="G8" s="36">
        <f>IFERROR(HistoricalFS!G18/HistoricalFS!F18-1,0)</f>
        <v>-0.27072537547138131</v>
      </c>
      <c r="H8" s="36">
        <f>IFERROR(HistoricalFS!H18/HistoricalFS!G18-1,0)</f>
        <v>0.79503554497758966</v>
      </c>
      <c r="I8" s="36">
        <f>IFERROR(HistoricalFS!I18/HistoricalFS!H18-1,0)</f>
        <v>-0.234374182150762</v>
      </c>
      <c r="J8" s="36">
        <f>IFERROR(HistoricalFS!J18/HistoricalFS!I18-1,0)</f>
        <v>0.28704223973294352</v>
      </c>
      <c r="K8" s="36">
        <f>IFERROR(HistoricalFS!K18/HistoricalFS!J18-1,0)</f>
        <v>0.81746176428064277</v>
      </c>
      <c r="L8" s="36">
        <f>IFERROR(HistoricalFS!L18/HistoricalFS!K18-1,0)</f>
        <v>-4.510237963475372E-2</v>
      </c>
      <c r="N8" s="36">
        <f t="shared" ref="N8:N11" si="0">IFERROR(AVERAGE(D8:L8),0)</f>
        <v>0.1074650438188626</v>
      </c>
      <c r="O8" s="36">
        <f t="shared" ref="O8:O11" si="1">IFERROR(MEDIAN(D8:L8),0)</f>
        <v>-4.510237963475372E-2</v>
      </c>
    </row>
    <row r="9" spans="2:15" x14ac:dyDescent="0.25">
      <c r="B9" t="s">
        <v>124</v>
      </c>
      <c r="D9" s="36">
        <f>IFERROR((HistoricalFS!D18-HistoricalFS!D24)/(HistoricalFS!C18-HistoricalFS!C24)-1,0)</f>
        <v>-0.46119503958362551</v>
      </c>
      <c r="E9" s="36">
        <f>IFERROR((HistoricalFS!E18-HistoricalFS!E24)/(HistoricalFS!D18-HistoricalFS!D24)-1,0)</f>
        <v>-0.15231561919597769</v>
      </c>
      <c r="F9" s="36">
        <f>IFERROR((HistoricalFS!F18-HistoricalFS!F24)/(HistoricalFS!E18-HistoricalFS!E24)-1,0)</f>
        <v>-0.89159024201112635</v>
      </c>
      <c r="G9" s="36">
        <f>IFERROR((HistoricalFS!G18-HistoricalFS!G24)/(HistoricalFS!F18-HistoricalFS!F24)-1,0)</f>
        <v>-4.2023470243084331</v>
      </c>
      <c r="H9" s="36">
        <f>IFERROR((HistoricalFS!H18-HistoricalFS!H24)/(HistoricalFS!G18-HistoricalFS!G24)-1,0)</f>
        <v>-3.5421189171581497</v>
      </c>
      <c r="I9" s="36">
        <f>IFERROR((HistoricalFS!I18-HistoricalFS!I24)/(HistoricalFS!H18-HistoricalFS!H24)-1,0)</f>
        <v>-1.0132254551112476</v>
      </c>
      <c r="J9" s="36">
        <f>IFERROR((HistoricalFS!J18-HistoricalFS!J24)/(HistoricalFS!I18-HistoricalFS!I24)-1,0)</f>
        <v>-61.168166089973369</v>
      </c>
      <c r="K9" s="36">
        <f>IFERROR((HistoricalFS!K18-HistoricalFS!K24)/(HistoricalFS!J18-HistoricalFS!J24)-1,0)</f>
        <v>3.3972775266554214</v>
      </c>
      <c r="L9" s="36">
        <f>IFERROR((HistoricalFS!L18-HistoricalFS!L24)/(HistoricalFS!K18-HistoricalFS!K24)-1,0)</f>
        <v>4.4956678110184667E-2</v>
      </c>
      <c r="N9" s="36">
        <f t="shared" si="0"/>
        <v>-7.5543026869529264</v>
      </c>
      <c r="O9" s="36">
        <f t="shared" si="1"/>
        <v>-0.89159024201112635</v>
      </c>
    </row>
    <row r="10" spans="2:15" x14ac:dyDescent="0.25">
      <c r="B10" t="s">
        <v>125</v>
      </c>
      <c r="D10" s="36">
        <f>IFERROR(HistoricalFS!D33/HistoricalFS!C33-1,0)</f>
        <v>-0.69539895165986787</v>
      </c>
      <c r="E10" s="36">
        <f>IFERROR(HistoricalFS!E33/HistoricalFS!D33-1,0)</f>
        <v>-0.79011124197155724</v>
      </c>
      <c r="F10" s="36">
        <f>IFERROR(HistoricalFS!F33/HistoricalFS!E33-1,0)</f>
        <v>-3.5528470983790919</v>
      </c>
      <c r="G10" s="36">
        <f>IFERROR(HistoricalFS!G33/HistoricalFS!F33-1,0)</f>
        <v>3.9286702707513577</v>
      </c>
      <c r="H10" s="36">
        <f>IFERROR(HistoricalFS!H33/HistoricalFS!G33-1,0)</f>
        <v>-0.82862505348950144</v>
      </c>
      <c r="I10" s="36">
        <f>IFERROR(HistoricalFS!I33/HistoricalFS!H33-1,0)</f>
        <v>6.1952157445306248</v>
      </c>
      <c r="J10" s="36">
        <f>IFERROR(HistoricalFS!J33/HistoricalFS!I33-1,0)</f>
        <v>-0.7090436533357708</v>
      </c>
      <c r="K10" s="36">
        <f>IFERROR(HistoricalFS!K33/HistoricalFS!J33-1,0)</f>
        <v>-7.7977655318184613</v>
      </c>
      <c r="L10" s="36">
        <f>IFERROR(HistoricalFS!L33/HistoricalFS!K33-1,0)</f>
        <v>-0.39385526559318895</v>
      </c>
      <c r="N10" s="36">
        <f t="shared" si="0"/>
        <v>-0.51597342010727287</v>
      </c>
      <c r="O10" s="36">
        <f t="shared" si="1"/>
        <v>-0.7090436533357708</v>
      </c>
    </row>
    <row r="11" spans="2:15" x14ac:dyDescent="0.25">
      <c r="B11" s="40" t="s">
        <v>126</v>
      </c>
      <c r="C11" s="40"/>
      <c r="D11" s="41">
        <f>IFERROR(HistoricalFS!D41/HistoricalFS!C41-1,0)</f>
        <v>-1</v>
      </c>
      <c r="E11" s="41">
        <f>IFERROR(HistoricalFS!E41/HistoricalFS!D41-1,0)</f>
        <v>0</v>
      </c>
      <c r="F11" s="41">
        <f>IFERROR(HistoricalFS!F41/HistoricalFS!E41-1,0)</f>
        <v>0</v>
      </c>
      <c r="G11" s="41">
        <f>IFERROR(HistoricalFS!G41/HistoricalFS!F41-1,0)</f>
        <v>0</v>
      </c>
      <c r="H11" s="41">
        <f>IFERROR(HistoricalFS!H41/HistoricalFS!G41-1,0)</f>
        <v>0</v>
      </c>
      <c r="I11" s="41">
        <f>IFERROR(HistoricalFS!I41/HistoricalFS!H41-1,0)</f>
        <v>0</v>
      </c>
      <c r="J11" s="41">
        <f>IFERROR(HistoricalFS!J41/HistoricalFS!I41-1,0)</f>
        <v>0</v>
      </c>
      <c r="K11" s="41">
        <f>IFERROR(HistoricalFS!K41/HistoricalFS!J41-1,0)</f>
        <v>2.0016689880185949</v>
      </c>
      <c r="L11" s="41">
        <f>IFERROR(HistoricalFS!L41/HistoricalFS!K41-1,0)</f>
        <v>-0.1336306958339889</v>
      </c>
      <c r="M11" s="40"/>
      <c r="N11" s="41">
        <f t="shared" si="0"/>
        <v>9.6448699131622892E-2</v>
      </c>
      <c r="O11" s="41">
        <f t="shared" si="1"/>
        <v>0</v>
      </c>
    </row>
    <row r="13" spans="2:15" x14ac:dyDescent="0.25">
      <c r="B13" s="38" t="s">
        <v>63</v>
      </c>
      <c r="C13" s="39">
        <f>IFERROR(HistoricalFS!C13,0)</f>
        <v>0.24734524196690946</v>
      </c>
      <c r="D13" s="39">
        <f>IFERROR(HistoricalFS!D13,0)</f>
        <v>0.23819078253229964</v>
      </c>
      <c r="E13" s="39">
        <f>IFERROR(HistoricalFS!E13,0)</f>
        <v>0.21649990080619999</v>
      </c>
      <c r="F13" s="39">
        <f>IFERROR(HistoricalFS!F13,0)</f>
        <v>0.19571167496416494</v>
      </c>
      <c r="G13" s="39">
        <f>IFERROR(HistoricalFS!G13,0)</f>
        <v>0.19417127271491774</v>
      </c>
      <c r="H13" s="39">
        <f>IFERROR(HistoricalFS!H13,0)</f>
        <v>0.2180538622208833</v>
      </c>
      <c r="I13" s="39">
        <f>IFERROR(HistoricalFS!I13,0)</f>
        <v>0.19807108271747378</v>
      </c>
      <c r="J13" s="39">
        <f>IFERROR(HistoricalFS!J13,0)</f>
        <v>0.20685017994636876</v>
      </c>
      <c r="K13" s="39">
        <f>IFERROR(HistoricalFS!K13,0)</f>
        <v>0.22956757354567572</v>
      </c>
      <c r="L13" s="39">
        <f>IFERROR(HistoricalFS!L13,0)</f>
        <v>0.22489680346603896</v>
      </c>
      <c r="M13" s="38"/>
      <c r="N13" s="39">
        <f t="shared" ref="N13:N17" si="2">IFERROR(AVERAGE(D13:L13),0)</f>
        <v>0.21355701476822475</v>
      </c>
      <c r="O13" s="39">
        <f t="shared" ref="O13:O17" si="3">IFERROR(MEDIAN(D13:L13),0)</f>
        <v>0.21649990080619999</v>
      </c>
    </row>
    <row r="14" spans="2:15" x14ac:dyDescent="0.25">
      <c r="B14" t="s">
        <v>127</v>
      </c>
      <c r="C14" s="36">
        <f>IFERROR(HistoricalFS!C19,0)</f>
        <v>0.14061845347443788</v>
      </c>
      <c r="D14" s="36">
        <f>IFERROR(HistoricalFS!D19,0)</f>
        <v>0.10971268723777329</v>
      </c>
      <c r="E14" s="36">
        <f>IFERROR(HistoricalFS!E19,0)</f>
        <v>0.10789788444182975</v>
      </c>
      <c r="F14" s="36">
        <f>IFERROR(HistoricalFS!F19,0)</f>
        <v>8.1686628795807431E-2</v>
      </c>
      <c r="G14" s="36">
        <f>IFERROR(HistoricalFS!G19,0)</f>
        <v>6.8898034485042198E-2</v>
      </c>
      <c r="H14" s="36">
        <f>IFERROR(HistoricalFS!H19,0)</f>
        <v>0.12925583904385496</v>
      </c>
      <c r="I14" s="36">
        <f>IFERROR(HistoricalFS!I19,0)</f>
        <v>8.877632835227646E-2</v>
      </c>
      <c r="J14" s="36">
        <f>IFERROR(HistoricalFS!J19,0)</f>
        <v>9.1961958102532049E-2</v>
      </c>
      <c r="K14" s="36">
        <f>IFERROR(HistoricalFS!K19,0)</f>
        <v>0.13323011133230112</v>
      </c>
      <c r="L14" s="36">
        <f>IFERROR(HistoricalFS!L19,0)</f>
        <v>0.12557795744777631</v>
      </c>
      <c r="N14" s="36">
        <f t="shared" si="2"/>
        <v>0.10411082547102152</v>
      </c>
      <c r="O14" s="36">
        <f t="shared" si="3"/>
        <v>0.10789788444182975</v>
      </c>
    </row>
    <row r="15" spans="2:15" x14ac:dyDescent="0.25">
      <c r="B15" t="s">
        <v>128</v>
      </c>
      <c r="C15" s="36">
        <f>IFERROR((HistoricalFS!C18-HistoricalFS!C24)/HistoricalFS!C6,0)</f>
        <v>7.941702777851016E-2</v>
      </c>
      <c r="D15" s="36">
        <f>IFERROR((HistoricalFS!D18-HistoricalFS!D24)/HistoricalFS!D6,0)</f>
        <v>4.3322300645279484E-2</v>
      </c>
      <c r="E15" s="36">
        <f>IFERROR((HistoricalFS!E18-HistoricalFS!E24)/HistoricalFS!E6,0)</f>
        <v>3.3970412259310953E-2</v>
      </c>
      <c r="F15" s="36">
        <f>IFERROR((HistoricalFS!F18-HistoricalFS!F24)/HistoricalFS!F6,0)</f>
        <v>3.5560233478087663E-3</v>
      </c>
      <c r="G15" s="36">
        <f>IFERROR((HistoricalFS!G18-HistoricalFS!G24)/HistoricalFS!G6,0)</f>
        <v>-1.3170363258273456E-2</v>
      </c>
      <c r="H15" s="36">
        <f>IFERROR((HistoricalFS!H18-HistoricalFS!H24)/HistoricalFS!H6,0)</f>
        <v>3.4991608110258483E-2</v>
      </c>
      <c r="I15" s="36">
        <f>IFERROR((HistoricalFS!I18-HistoricalFS!I24)/HistoricalFS!I6,0)</f>
        <v>-4.1514992694289269E-4</v>
      </c>
      <c r="J15" s="36">
        <f>IFERROR((HistoricalFS!J18-HistoricalFS!J24)/HistoricalFS!J6,0)</f>
        <v>2.0104346955433228E-2</v>
      </c>
      <c r="K15" s="36">
        <f>IFERROR((HistoricalFS!K18-HistoricalFS!K24)/HistoricalFS!K6,0)</f>
        <v>7.0469752267197525E-2</v>
      </c>
      <c r="L15" s="36">
        <f>IFERROR((HistoricalFS!L18-HistoricalFS!L24)/HistoricalFS!L6,0)</f>
        <v>7.2686748769033083E-2</v>
      </c>
      <c r="N15" s="36">
        <f t="shared" si="2"/>
        <v>2.9501742129900574E-2</v>
      </c>
      <c r="O15" s="36">
        <f t="shared" si="3"/>
        <v>3.3970412259310953E-2</v>
      </c>
    </row>
    <row r="16" spans="2:15" x14ac:dyDescent="0.25">
      <c r="B16" t="s">
        <v>129</v>
      </c>
      <c r="C16" s="36">
        <f>IFERROR(HistoricalFS!C28,0)</f>
        <v>6.1511300676516931E-2</v>
      </c>
      <c r="D16" s="36">
        <f>IFERROR(HistoricalFS!D28,0)</f>
        <v>2.7608071132565179E-2</v>
      </c>
      <c r="E16" s="36">
        <f>IFERROR(HistoricalFS!E28,0)</f>
        <v>1.7912163958707913E-2</v>
      </c>
      <c r="F16" s="36">
        <f>IFERROR(HistoricalFS!F28,0)</f>
        <v>-1.5516078776333117E-2</v>
      </c>
      <c r="G16" s="36">
        <f>IFERROR(HistoricalFS!G28,0)</f>
        <v>-4.0915360088026265E-2</v>
      </c>
      <c r="H16" s="36">
        <f>IFERROR(HistoricalFS!H28,0)</f>
        <v>2.5763151547420113E-3</v>
      </c>
      <c r="I16" s="36">
        <f>IFERROR(HistoricalFS!I28,0)</f>
        <v>-3.3856482095653805E-2</v>
      </c>
      <c r="J16" s="36">
        <f>IFERROR(HistoricalFS!J28,0)</f>
        <v>-9.4518849588445895E-3</v>
      </c>
      <c r="K16" s="36">
        <f>IFERROR(HistoricalFS!K28,0)</f>
        <v>5.2972701467227018E-2</v>
      </c>
      <c r="L16" s="36">
        <f>IFERROR(HistoricalFS!L28,0)</f>
        <v>6.1126462661617711E-2</v>
      </c>
      <c r="N16" s="36">
        <f t="shared" si="2"/>
        <v>6.9395453840002293E-3</v>
      </c>
      <c r="O16" s="36">
        <f t="shared" si="3"/>
        <v>2.5763151547420113E-3</v>
      </c>
    </row>
    <row r="17" spans="2:15" x14ac:dyDescent="0.25">
      <c r="B17" s="40" t="s">
        <v>130</v>
      </c>
      <c r="C17" s="41">
        <f>IFERROR(HistoricalFS!C34,0)</f>
        <v>5.0432381990407359E-2</v>
      </c>
      <c r="D17" s="41">
        <f>IFERROR(HistoricalFS!D34,0)</f>
        <v>1.5552749314395296E-2</v>
      </c>
      <c r="E17" s="41">
        <f>IFERROR(HistoricalFS!E34,0)</f>
        <v>3.01961430487095E-3</v>
      </c>
      <c r="F17" s="41">
        <f>IFERROR(HistoricalFS!F34,0)</f>
        <v>-7.4434056747998256E-3</v>
      </c>
      <c r="G17" s="41">
        <f>IFERROR(HistoricalFS!G34,0)</f>
        <v>-4.2429333632923408E-2</v>
      </c>
      <c r="H17" s="41">
        <f>IFERROR(HistoricalFS!H34,0)</f>
        <v>-7.5994791724005731E-3</v>
      </c>
      <c r="I17" s="41">
        <f>IFERROR(HistoricalFS!I34,0)</f>
        <v>-4.9052154538339235E-2</v>
      </c>
      <c r="J17" s="41">
        <f>IFERROR(HistoricalFS!J34,0)</f>
        <v>-1.1486934720964945E-2</v>
      </c>
      <c r="K17" s="41">
        <f>IFERROR(HistoricalFS!K34,0)</f>
        <v>6.224424905994249E-2</v>
      </c>
      <c r="L17" s="41">
        <f>IFERROR(HistoricalFS!L34,0)</f>
        <v>3.724172437712505E-2</v>
      </c>
      <c r="M17" s="40"/>
      <c r="N17" s="41">
        <f t="shared" si="2"/>
        <v>5.2254796561996957E-6</v>
      </c>
      <c r="O17" s="41">
        <f t="shared" si="3"/>
        <v>-7.4434056747998256E-3</v>
      </c>
    </row>
    <row r="19" spans="2:15" x14ac:dyDescent="0.25">
      <c r="B19" s="38" t="s">
        <v>131</v>
      </c>
      <c r="C19" s="46">
        <f>IFERROR(HistoricalFS!C16,0)</f>
        <v>0.10672678849247161</v>
      </c>
      <c r="D19" s="46">
        <f>IFERROR(HistoricalFS!D16,0)</f>
        <v>0.12847809529452636</v>
      </c>
      <c r="E19" s="46">
        <f>IFERROR(HistoricalFS!E16,0)</f>
        <v>0.10860201636437025</v>
      </c>
      <c r="F19" s="46">
        <f>IFERROR(HistoricalFS!F16,0)</f>
        <v>0.11402504616835751</v>
      </c>
      <c r="G19" s="46">
        <f>IFERROR(HistoricalFS!G16,0)</f>
        <v>0.12527323822987554</v>
      </c>
      <c r="H19" s="46">
        <f>IFERROR(HistoricalFS!H16,0)</f>
        <v>8.8798023177028354E-2</v>
      </c>
      <c r="I19" s="46">
        <f>IFERROR(HistoricalFS!I16,0)</f>
        <v>0.10929475436519734</v>
      </c>
      <c r="J19" s="46">
        <f>IFERROR(HistoricalFS!J16,0)</f>
        <v>0.11488822184383672</v>
      </c>
      <c r="K19" s="46">
        <f>IFERROR(HistoricalFS!K16,0)</f>
        <v>9.6337462213374622E-2</v>
      </c>
      <c r="L19" s="46">
        <f>IFERROR(HistoricalFS!L16,0)</f>
        <v>9.9318846018262658E-2</v>
      </c>
      <c r="M19" s="38"/>
      <c r="N19" s="39">
        <f t="shared" ref="N19:N21" si="4">IFERROR(AVERAGE(D19:L19),0)</f>
        <v>0.10944618929720326</v>
      </c>
      <c r="O19" s="39">
        <f t="shared" ref="O19:O21" si="5">IFERROR(MEDIAN(D19:L19),0)</f>
        <v>0.10929475436519734</v>
      </c>
    </row>
    <row r="20" spans="2:15" x14ac:dyDescent="0.25">
      <c r="B20" t="s">
        <v>132</v>
      </c>
      <c r="C20" s="34">
        <f>IFERROR(HistoricalFS!C25,0)</f>
        <v>6.1201425695927715E-2</v>
      </c>
      <c r="D20" s="34">
        <f>IFERROR(HistoricalFS!D25,0)</f>
        <v>6.63903865924938E-2</v>
      </c>
      <c r="E20" s="34">
        <f>IFERROR(HistoricalFS!E25,0)</f>
        <v>7.3927472182518786E-2</v>
      </c>
      <c r="F20" s="34">
        <f>IFERROR(HistoricalFS!F25,0)</f>
        <v>7.8130605447998658E-2</v>
      </c>
      <c r="G20" s="34">
        <f>IFERROR(HistoricalFS!G25,0)</f>
        <v>8.206839774331566E-2</v>
      </c>
      <c r="H20" s="34">
        <f>IFERROR(HistoricalFS!H25,0)</f>
        <v>9.4264230933596482E-2</v>
      </c>
      <c r="I20" s="34">
        <f>IFERROR(HistoricalFS!I25,0)</f>
        <v>8.9191478279219347E-2</v>
      </c>
      <c r="J20" s="34">
        <f>IFERROR(HistoricalFS!J25,0)</f>
        <v>7.1857611147098821E-2</v>
      </c>
      <c r="K20" s="34">
        <f>IFERROR(HistoricalFS!K25,0)</f>
        <v>6.2760359065103591E-2</v>
      </c>
      <c r="L20" s="34">
        <f>IFERROR(HistoricalFS!L25,0)</f>
        <v>5.2891208678743216E-2</v>
      </c>
      <c r="N20" s="36">
        <f t="shared" si="4"/>
        <v>7.4609083341120916E-2</v>
      </c>
      <c r="O20" s="36">
        <f t="shared" si="5"/>
        <v>7.3927472182518786E-2</v>
      </c>
    </row>
    <row r="21" spans="2:15" x14ac:dyDescent="0.25">
      <c r="B21" s="40" t="s">
        <v>133</v>
      </c>
      <c r="C21" s="47">
        <f>'Ratio Analysis'!C15</f>
        <v>7.941702777851016E-2</v>
      </c>
      <c r="D21" s="47">
        <f>'Ratio Analysis'!D15</f>
        <v>4.3322300645279484E-2</v>
      </c>
      <c r="E21" s="47">
        <f>'Ratio Analysis'!E15</f>
        <v>3.3970412259310953E-2</v>
      </c>
      <c r="F21" s="47">
        <f>'Ratio Analysis'!F15</f>
        <v>3.5560233478087663E-3</v>
      </c>
      <c r="G21" s="47">
        <f>'Ratio Analysis'!G15</f>
        <v>-1.3170363258273456E-2</v>
      </c>
      <c r="H21" s="47">
        <f>'Ratio Analysis'!H15</f>
        <v>3.4991608110258483E-2</v>
      </c>
      <c r="I21" s="47">
        <f>'Ratio Analysis'!I15</f>
        <v>-4.1514992694289269E-4</v>
      </c>
      <c r="J21" s="47">
        <f>'Ratio Analysis'!J15</f>
        <v>2.0104346955433228E-2</v>
      </c>
      <c r="K21" s="47">
        <f>'Ratio Analysis'!K15</f>
        <v>7.0469752267197525E-2</v>
      </c>
      <c r="L21" s="47">
        <f>'Ratio Analysis'!L15</f>
        <v>7.2686748769033083E-2</v>
      </c>
      <c r="M21" s="40"/>
      <c r="N21" s="41">
        <f t="shared" si="4"/>
        <v>2.9501742129900574E-2</v>
      </c>
      <c r="O21" s="41">
        <f t="shared" si="5"/>
        <v>3.3970412259310953E-2</v>
      </c>
    </row>
    <row r="23" spans="2:15" x14ac:dyDescent="0.25">
      <c r="B23" s="38" t="s">
        <v>134</v>
      </c>
      <c r="C23" s="46">
        <f>IFERROR((HistoricalFS!C18-HistoricalFS!C24)/SUM(HistoricalFS!C47:C49),0)</f>
        <v>0.1462081011853561</v>
      </c>
      <c r="D23" s="46">
        <f>IFERROR((HistoricalFS!D18-HistoricalFS!D24)/SUM(HistoricalFS!D47:D49),0)</f>
        <v>8.5490986154773282E-2</v>
      </c>
      <c r="E23" s="46">
        <f>IFERROR((HistoricalFS!E18-HistoricalFS!E24)/SUM(HistoricalFS!E47:E49),0)</f>
        <v>5.3716113570365424E-2</v>
      </c>
      <c r="F23" s="46">
        <f>IFERROR((HistoricalFS!F18-HistoricalFS!F24)/SUM(HistoricalFS!F47:F49),0)</f>
        <v>6.4542733637543747E-3</v>
      </c>
      <c r="G23" s="46">
        <f>IFERROR((HistoricalFS!G18-HistoricalFS!G24)/SUM(HistoricalFS!G47:G49),0)</f>
        <v>-1.8302177555437667E-2</v>
      </c>
      <c r="H23" s="46">
        <f>IFERROR((HistoricalFS!H18-HistoricalFS!H24)/SUM(HistoricalFS!H47:H49),0)</f>
        <v>4.4284324706251613E-2</v>
      </c>
      <c r="I23" s="46">
        <f>IFERROR((HistoricalFS!I18-HistoricalFS!I24)/SUM(HistoricalFS!I47:I49),0)</f>
        <v>-6.0520306054739361E-4</v>
      </c>
      <c r="J23" s="46">
        <f>IFERROR((HistoricalFS!J18-HistoricalFS!J24)/SUM(HistoricalFS!J47:J49),0)</f>
        <v>3.8762956416083731E-2</v>
      </c>
      <c r="K23" s="46">
        <f>IFERROR((HistoricalFS!K18-HistoricalFS!K24)/SUM(HistoricalFS!K47:K49),0)</f>
        <v>0.15914601783725843</v>
      </c>
      <c r="L23" s="46">
        <f>IFERROR((HistoricalFS!L18-HistoricalFS!L24)/SUM(HistoricalFS!L47:L49),0)</f>
        <v>0.17028622578376421</v>
      </c>
      <c r="M23" s="38"/>
      <c r="N23" s="39">
        <f t="shared" ref="N23:N27" si="6">IFERROR(AVERAGE(D23:L23),0)</f>
        <v>5.9914835246251776E-2</v>
      </c>
      <c r="O23" s="39">
        <f t="shared" ref="O23:O27" si="7">IFERROR(MEDIAN(D23:L23),0)</f>
        <v>4.4284324706251613E-2</v>
      </c>
    </row>
    <row r="24" spans="2:15" x14ac:dyDescent="0.25">
      <c r="B24" t="s">
        <v>135</v>
      </c>
      <c r="C24" s="34">
        <f>HistoricalFS!C44</f>
        <v>0.99506765991253665</v>
      </c>
      <c r="D24" s="34">
        <f>HistoricalFS!D44</f>
        <v>1</v>
      </c>
      <c r="E24" s="34">
        <f>HistoricalFS!E44</f>
        <v>1</v>
      </c>
      <c r="F24" s="34" t="b">
        <f>HistoricalFS!F44</f>
        <v>0</v>
      </c>
      <c r="G24" s="34" t="b">
        <f>HistoricalFS!G44</f>
        <v>0</v>
      </c>
      <c r="H24" s="34" t="b">
        <f>HistoricalFS!H44</f>
        <v>0</v>
      </c>
      <c r="I24" s="34" t="b">
        <f>HistoricalFS!I44</f>
        <v>0</v>
      </c>
      <c r="J24" s="34" t="b">
        <f>HistoricalFS!J44</f>
        <v>0</v>
      </c>
      <c r="K24" s="34">
        <f>HistoricalFS!K44</f>
        <v>0.9148250971682399</v>
      </c>
      <c r="L24" s="34">
        <f>HistoricalFS!L44</f>
        <v>0.8651603053435114</v>
      </c>
      <c r="N24" s="36">
        <f t="shared" si="6"/>
        <v>0.94499635062793785</v>
      </c>
      <c r="O24" s="36">
        <f t="shared" si="7"/>
        <v>0.95741254858411995</v>
      </c>
    </row>
    <row r="25" spans="2:15" x14ac:dyDescent="0.25">
      <c r="B25" t="s">
        <v>136</v>
      </c>
      <c r="C25" s="34">
        <f>IFERROR(HistoricalFS!C33/SUM(HistoricalFS!C47:C48),0)</f>
        <v>0.17441316864171685</v>
      </c>
      <c r="D25" s="34">
        <f>IFERROR(HistoricalFS!D33/SUM(HistoricalFS!D47:D48),0)</f>
        <v>7.2241189530689517E-2</v>
      </c>
      <c r="E25" s="34">
        <f>IFERROR(HistoricalFS!E33/SUM(HistoricalFS!E47:E48),0)</f>
        <v>9.2254980749341738E-3</v>
      </c>
      <c r="F25" s="34">
        <f>IFERROR(HistoricalFS!F33/SUM(HistoricalFS!F47:F48),0)</f>
        <v>-3.7345736658758885E-2</v>
      </c>
      <c r="G25" s="34">
        <f>IFERROR(HistoricalFS!G33/SUM(HistoricalFS!G47:G48),0)</f>
        <v>-0.17560555073176307</v>
      </c>
      <c r="H25" s="34">
        <f>IFERROR(HistoricalFS!H33/SUM(HistoricalFS!H47:H48),0)</f>
        <v>-3.4360591904822733E-2</v>
      </c>
      <c r="I25" s="34">
        <f>IFERROR(HistoricalFS!I33/SUM(HistoricalFS!I47:I48),0)</f>
        <v>-0.30651638060341208</v>
      </c>
      <c r="J25" s="34">
        <f>IFERROR(HistoricalFS!J33/SUM(HistoricalFS!J47:J48),0)</f>
        <v>-8.7686298356707396E-2</v>
      </c>
      <c r="K25" s="34">
        <f>IFERROR(HistoricalFS!K33/SUM(HistoricalFS!K47:K48),0)</f>
        <v>0.31813043171059141</v>
      </c>
      <c r="L25" s="34">
        <f>IFERROR(HistoricalFS!L33/SUM(HistoricalFS!L47:L48),0)</f>
        <v>0.14098877255820361</v>
      </c>
      <c r="N25" s="36">
        <f t="shared" si="6"/>
        <v>-1.1214296264560612E-2</v>
      </c>
      <c r="O25" s="36">
        <f t="shared" si="7"/>
        <v>-3.4360591904822733E-2</v>
      </c>
    </row>
    <row r="26" spans="2:15" x14ac:dyDescent="0.25">
      <c r="B26" t="s">
        <v>137</v>
      </c>
      <c r="C26" s="34">
        <f>IFERROR(C24*C25,0)</f>
        <v>0.17355290357824379</v>
      </c>
      <c r="D26" s="34">
        <f t="shared" ref="D26:L26" si="8">IFERROR(D24*D25,0)</f>
        <v>7.2241189530689517E-2</v>
      </c>
      <c r="E26" s="34">
        <f t="shared" si="8"/>
        <v>9.2254980749341738E-3</v>
      </c>
      <c r="F26" s="34">
        <f t="shared" si="8"/>
        <v>0</v>
      </c>
      <c r="G26" s="34">
        <f t="shared" si="8"/>
        <v>0</v>
      </c>
      <c r="H26" s="34">
        <f t="shared" si="8"/>
        <v>0</v>
      </c>
      <c r="I26" s="34">
        <f t="shared" si="8"/>
        <v>0</v>
      </c>
      <c r="J26" s="34">
        <f t="shared" si="8"/>
        <v>0</v>
      </c>
      <c r="K26" s="34">
        <f t="shared" si="8"/>
        <v>0.29103370310181592</v>
      </c>
      <c r="L26" s="34">
        <f t="shared" si="8"/>
        <v>0.12197788951646231</v>
      </c>
      <c r="N26" s="36">
        <f t="shared" si="6"/>
        <v>5.4942031135989104E-2</v>
      </c>
      <c r="O26" s="36">
        <f t="shared" si="7"/>
        <v>0</v>
      </c>
    </row>
    <row r="27" spans="2:15" x14ac:dyDescent="0.25">
      <c r="B27" s="40" t="s">
        <v>138</v>
      </c>
      <c r="C27" s="42">
        <f>IFERROR((HistoricalFS!C18-HistoricalFS!C24)/HistoricalFS!C21,0)</f>
        <v>4.4352863933500721</v>
      </c>
      <c r="D27" s="42">
        <f>IFERROR((HistoricalFS!D18-HistoricalFS!D24)/HistoricalFS!D21,0)</f>
        <v>2.7568835373205922</v>
      </c>
      <c r="E27" s="42">
        <f>IFERROR((HistoricalFS!E18-HistoricalFS!E24)/HistoricalFS!E21,0)</f>
        <v>2.1154494328024094</v>
      </c>
      <c r="F27" s="42">
        <f>IFERROR((HistoricalFS!F18-HistoricalFS!F24)/HistoricalFS!F21,0)</f>
        <v>0.18645156808947008</v>
      </c>
      <c r="G27" s="42">
        <f>IFERROR((HistoricalFS!G18-HistoricalFS!G24)/HistoricalFS!G21,0)</f>
        <v>-0.47469326953211261</v>
      </c>
      <c r="H27" s="42">
        <f>IFERROR((HistoricalFS!H18-HistoricalFS!H24)/HistoricalFS!H21,0)</f>
        <v>1.079478385658198</v>
      </c>
      <c r="I27" s="42">
        <f>IFERROR((HistoricalFS!I18-HistoricalFS!I24)/HistoricalFS!I21,0)</f>
        <v>-1.2414275987824557E-2</v>
      </c>
      <c r="J27" s="42">
        <f>IFERROR((HistoricalFS!J18-HistoricalFS!J24)/HistoricalFS!J21,0)</f>
        <v>0.68020669934320532</v>
      </c>
      <c r="K27" s="42">
        <f>IFERROR((HistoricalFS!K18-HistoricalFS!K24)/HistoricalFS!K21,0)</f>
        <v>4.0275217276797468</v>
      </c>
      <c r="L27" s="42">
        <f>IFERROR((HistoricalFS!L18-HistoricalFS!L24)/HistoricalFS!L21,0)</f>
        <v>6.2876254180602009</v>
      </c>
      <c r="M27" s="40"/>
      <c r="N27" s="42">
        <f t="shared" si="6"/>
        <v>1.8496121359370987</v>
      </c>
      <c r="O27" s="42">
        <f t="shared" si="7"/>
        <v>1.079478385658198</v>
      </c>
    </row>
    <row r="29" spans="2:15" x14ac:dyDescent="0.25">
      <c r="B29" s="38" t="s">
        <v>139</v>
      </c>
      <c r="C29" s="43">
        <f>IFERROR(HistoricalFS!C6/HistoricalFS!C59,0)</f>
        <v>20.119918266350599</v>
      </c>
      <c r="D29" s="43">
        <f>IFERROR(HistoricalFS!D6/HistoricalFS!D59,0)</f>
        <v>19.160353236640844</v>
      </c>
      <c r="E29" s="43">
        <f>IFERROR(HistoricalFS!E6/HistoricalFS!E59,0)</f>
        <v>14.655712224718874</v>
      </c>
      <c r="F29" s="43">
        <f>IFERROR(HistoricalFS!F6/HistoricalFS!F59,0)</f>
        <v>15.894698773489607</v>
      </c>
      <c r="G29" s="43">
        <f>IFERROR(HistoricalFS!G6/HistoricalFS!G59,0)</f>
        <v>23.366617170976728</v>
      </c>
      <c r="H29" s="43">
        <f>IFERROR(HistoricalFS!H6/HistoricalFS!H59,0)</f>
        <v>19.701330853658153</v>
      </c>
      <c r="I29" s="43">
        <f>IFERROR(HistoricalFS!I6/HistoricalFS!I59,0)</f>
        <v>22.379917570317598</v>
      </c>
      <c r="J29" s="43">
        <f>IFERROR(HistoricalFS!J6/HistoricalFS!J59,0)</f>
        <v>21.982947610142858</v>
      </c>
      <c r="K29" s="43">
        <f>IFERROR(HistoricalFS!K6/HistoricalFS!K59,0)</f>
        <v>25.602642756016991</v>
      </c>
      <c r="L29" s="43">
        <f>IFERROR(HistoricalFS!L6/HistoricalFS!L59,0)</f>
        <v>33.189538043478258</v>
      </c>
      <c r="M29" s="38"/>
      <c r="N29" s="43">
        <f t="shared" ref="N29:N33" si="9">IFERROR(AVERAGE(D29:L29),0)</f>
        <v>21.770417582159993</v>
      </c>
      <c r="O29" s="43">
        <f t="shared" ref="O29:O33" si="10">IFERROR(MEDIAN(D29:L29),0)</f>
        <v>21.982947610142858</v>
      </c>
    </row>
    <row r="30" spans="2:15" x14ac:dyDescent="0.25">
      <c r="B30" t="s">
        <v>143</v>
      </c>
      <c r="C30" s="35">
        <f>IFERROR(HistoricalFS!C6/HistoricalFS!C50,0)</f>
        <v>2.3769603927858673</v>
      </c>
      <c r="D30" s="35">
        <f>IFERROR(HistoricalFS!D6/HistoricalFS!D50,0)</f>
        <v>1.9842807783040648</v>
      </c>
      <c r="E30" s="35">
        <f>IFERROR(HistoricalFS!E6/HistoricalFS!E50,0)</f>
        <v>2.0414780318629697</v>
      </c>
      <c r="F30" s="35">
        <f>IFERROR(HistoricalFS!F6/HistoricalFS!F50,0)</f>
        <v>2.1667847518227492</v>
      </c>
      <c r="G30" s="35">
        <f>IFERROR(HistoricalFS!G6/HistoricalFS!G50,0)</f>
        <v>1.9731057108276859</v>
      </c>
      <c r="H30" s="35">
        <f>IFERROR(HistoricalFS!H6/HistoricalFS!H50,0)</f>
        <v>1.7323684804395676</v>
      </c>
      <c r="I30" s="35">
        <f>IFERROR(HistoricalFS!I6/HistoricalFS!I50,0)</f>
        <v>2.0170312149360217</v>
      </c>
      <c r="J30" s="35">
        <f>IFERROR(HistoricalFS!J6/HistoricalFS!J50,0)</f>
        <v>2.2286057258733614</v>
      </c>
      <c r="K30" s="35">
        <f>IFERROR(HistoricalFS!K6/HistoricalFS!K50,0)</f>
        <v>2.4473804408505742</v>
      </c>
      <c r="L30" s="35">
        <f>IFERROR(HistoricalFS!L6/HistoricalFS!L50,0)</f>
        <v>2.3228766594994954</v>
      </c>
      <c r="N30" s="35">
        <f t="shared" si="9"/>
        <v>2.1015457549351653</v>
      </c>
      <c r="O30" s="35">
        <f t="shared" si="10"/>
        <v>2.0414780318629697</v>
      </c>
    </row>
    <row r="31" spans="2:15" x14ac:dyDescent="0.25">
      <c r="B31" t="s">
        <v>140</v>
      </c>
      <c r="C31" s="35">
        <f>IFERROR(HistoricalFS!C6/HistoricalFS!C72,0)</f>
        <v>48.601922392310428</v>
      </c>
      <c r="D31" s="35">
        <f>IFERROR(HistoricalFS!D6/HistoricalFS!D72,0)</f>
        <v>-32.717761737231591</v>
      </c>
      <c r="E31" s="35">
        <f>IFERROR(HistoricalFS!E6/HistoricalFS!E72,0)</f>
        <v>-182.79026959247648</v>
      </c>
      <c r="F31" s="35">
        <f>IFERROR(HistoricalFS!F6/HistoricalFS!F72,0)</f>
        <v>-282.44939195509824</v>
      </c>
      <c r="G31" s="35">
        <f>IFERROR(HistoricalFS!G6/HistoricalFS!G72,0)</f>
        <v>167.13698463508322</v>
      </c>
      <c r="H31" s="35">
        <f>IFERROR(HistoricalFS!H6/HistoricalFS!H72,0)</f>
        <v>5430.320652173913</v>
      </c>
      <c r="I31" s="35">
        <f>IFERROR(HistoricalFS!I6/HistoricalFS!I72,0)</f>
        <v>-16.459988177572857</v>
      </c>
      <c r="J31" s="35">
        <f>IFERROR(HistoricalFS!J6/HistoricalFS!J72,0)</f>
        <v>-85.826586454973949</v>
      </c>
      <c r="K31" s="35">
        <f>IFERROR(HistoricalFS!K6/HistoricalFS!K72,0)</f>
        <v>77.976284584980235</v>
      </c>
      <c r="L31" s="35">
        <f>IFERROR(HistoricalFS!L6/HistoricalFS!L72,0)</f>
        <v>92.063442211055275</v>
      </c>
      <c r="N31" s="35">
        <f t="shared" si="9"/>
        <v>574.13926285418654</v>
      </c>
      <c r="O31" s="35">
        <f t="shared" si="10"/>
        <v>-16.459988177572857</v>
      </c>
    </row>
    <row r="32" spans="2:15" x14ac:dyDescent="0.25">
      <c r="B32" t="s">
        <v>141</v>
      </c>
      <c r="C32" s="35">
        <f>IFERROR(HistoricalFS!C6/HistoricalFS!C53,0)</f>
        <v>2.546312771514708</v>
      </c>
      <c r="D32" s="35">
        <f>IFERROR(HistoricalFS!D6/HistoricalFS!D53,0)</f>
        <v>2.8109343484246239</v>
      </c>
      <c r="E32" s="35">
        <f>IFERROR(HistoricalFS!E6/HistoricalFS!E53,0)</f>
        <v>2.4012948768781421</v>
      </c>
      <c r="F32" s="35">
        <f>IFERROR(HistoricalFS!F6/HistoricalFS!F53,0)</f>
        <v>2.7144319562092578</v>
      </c>
      <c r="G32" s="35">
        <f>IFERROR(HistoricalFS!G6/HistoricalFS!G53,0)</f>
        <v>2.0539205744067566</v>
      </c>
      <c r="H32" s="35">
        <f>IFERROR(HistoricalFS!H6/HistoricalFS!H53,0)</f>
        <v>1.8008727134726064</v>
      </c>
      <c r="I32" s="35">
        <f>IFERROR(HistoricalFS!I6/HistoricalFS!I53,0)</f>
        <v>2.0053488717943728</v>
      </c>
      <c r="J32" s="35">
        <f>IFERROR(HistoricalFS!J6/HistoricalFS!J53,0)</f>
        <v>2.6193791539294131</v>
      </c>
      <c r="K32" s="35">
        <f>IFERROR(HistoricalFS!K6/HistoricalFS!K53,0)</f>
        <v>3.5784804386362699</v>
      </c>
      <c r="L32" s="35">
        <f>IFERROR(HistoricalFS!L6/HistoricalFS!L53,0)</f>
        <v>3.8004010475638954</v>
      </c>
      <c r="N32" s="35">
        <f t="shared" si="9"/>
        <v>2.6427848868128154</v>
      </c>
      <c r="O32" s="35">
        <f t="shared" si="10"/>
        <v>2.6193791539294131</v>
      </c>
    </row>
    <row r="33" spans="2:15" x14ac:dyDescent="0.25">
      <c r="B33" s="40" t="s">
        <v>142</v>
      </c>
      <c r="C33" s="42">
        <f>IFERROR(HistoricalFS!C6/SUM(HistoricalFS!C47:C48),0)</f>
        <v>3.4583567493379874</v>
      </c>
      <c r="D33" s="42">
        <f>IFERROR(HistoricalFS!D6/SUM(HistoricalFS!D47:D48),0)</f>
        <v>4.6449144180459854</v>
      </c>
      <c r="E33" s="42">
        <f>IFERROR(HistoricalFS!E6/SUM(HistoricalFS!E47:E48),0)</f>
        <v>3.0551908765475422</v>
      </c>
      <c r="F33" s="42">
        <f>IFERROR(HistoricalFS!F6/SUM(HistoricalFS!F47:F48),0)</f>
        <v>5.0172915853821474</v>
      </c>
      <c r="G33" s="42">
        <f>IFERROR(HistoricalFS!G6/SUM(HistoricalFS!G47:G48),0)</f>
        <v>4.1387770133514525</v>
      </c>
      <c r="H33" s="42">
        <f>IFERROR(HistoricalFS!H6/SUM(HistoricalFS!H47:H48),0)</f>
        <v>4.5214403678625628</v>
      </c>
      <c r="I33" s="42">
        <f>IFERROR(HistoricalFS!I6/SUM(HistoricalFS!I47:I48),0)</f>
        <v>6.2487852671963351</v>
      </c>
      <c r="J33" s="42">
        <f>IFERROR(HistoricalFS!J6/SUM(HistoricalFS!J47:J48),0)</f>
        <v>7.6335680916398054</v>
      </c>
      <c r="K33" s="42">
        <f>IFERROR(HistoricalFS!K6/SUM(HistoricalFS!K47:K48),0)</f>
        <v>5.1110012011587651</v>
      </c>
      <c r="L33" s="42">
        <f>IFERROR(HistoricalFS!L6/SUM(HistoricalFS!L47:L48),0)</f>
        <v>3.7857745557239291</v>
      </c>
      <c r="M33" s="40"/>
      <c r="N33" s="42">
        <f t="shared" si="9"/>
        <v>4.9063048196565022</v>
      </c>
      <c r="O33" s="42">
        <f t="shared" si="10"/>
        <v>4.6449144180459854</v>
      </c>
    </row>
    <row r="34" spans="2:15" x14ac:dyDescent="0.25">
      <c r="C34" s="35"/>
      <c r="D34" s="35"/>
      <c r="E34" s="35"/>
      <c r="F34" s="35"/>
      <c r="G34" s="35"/>
      <c r="H34" s="35"/>
      <c r="I34" s="35"/>
      <c r="J34" s="35"/>
      <c r="K34" s="35"/>
      <c r="L34" s="35"/>
    </row>
    <row r="35" spans="2:15" x14ac:dyDescent="0.25">
      <c r="B35" s="45" t="s">
        <v>148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</row>
    <row r="36" spans="2:15" x14ac:dyDescent="0.25">
      <c r="B36" t="s">
        <v>144</v>
      </c>
      <c r="C36" s="37">
        <f>IFERROR(365/C29,0)</f>
        <v>18.141226776772818</v>
      </c>
      <c r="D36" s="37">
        <f t="shared" ref="D36:L36" si="11">IFERROR(365/D29,0)</f>
        <v>19.049753180019717</v>
      </c>
      <c r="E36" s="37">
        <f t="shared" si="11"/>
        <v>24.904964999543136</v>
      </c>
      <c r="F36" s="37">
        <f t="shared" si="11"/>
        <v>22.963631157878556</v>
      </c>
      <c r="G36" s="37">
        <f t="shared" si="11"/>
        <v>15.620575170519771</v>
      </c>
      <c r="H36" s="37">
        <f t="shared" si="11"/>
        <v>18.52666719376608</v>
      </c>
      <c r="I36" s="37">
        <f t="shared" si="11"/>
        <v>16.309264717046954</v>
      </c>
      <c r="J36" s="37">
        <f t="shared" si="11"/>
        <v>16.603778823163378</v>
      </c>
      <c r="K36" s="37">
        <f t="shared" si="11"/>
        <v>14.256340780063407</v>
      </c>
      <c r="L36" s="37">
        <f t="shared" si="11"/>
        <v>10.997441408248902</v>
      </c>
      <c r="N36" s="37">
        <f t="shared" ref="N36:N39" si="12">IFERROR(AVERAGE(D36:L36),0)</f>
        <v>17.692490825583324</v>
      </c>
      <c r="O36" s="37">
        <f t="shared" ref="O36:O39" si="13">IFERROR(MEDIAN(D36:L36),0)</f>
        <v>16.603778823163378</v>
      </c>
    </row>
    <row r="37" spans="2:15" x14ac:dyDescent="0.25">
      <c r="B37" t="s">
        <v>145</v>
      </c>
      <c r="C37" s="37">
        <f>IFERROR(365/C30,0)</f>
        <v>153.55745981623585</v>
      </c>
      <c r="D37" s="37">
        <f t="shared" ref="D37:L37" si="14">IFERROR(365/D30,0)</f>
        <v>183.94574194885871</v>
      </c>
      <c r="E37" s="37">
        <f t="shared" si="14"/>
        <v>178.79202925682029</v>
      </c>
      <c r="F37" s="37">
        <f t="shared" si="14"/>
        <v>168.45235766633192</v>
      </c>
      <c r="G37" s="37">
        <f t="shared" si="14"/>
        <v>184.98755439052903</v>
      </c>
      <c r="H37" s="37">
        <f t="shared" si="14"/>
        <v>210.69420514242194</v>
      </c>
      <c r="I37" s="37">
        <f t="shared" si="14"/>
        <v>180.95902398395825</v>
      </c>
      <c r="J37" s="37">
        <f t="shared" si="14"/>
        <v>163.77953074537726</v>
      </c>
      <c r="K37" s="37">
        <f t="shared" si="14"/>
        <v>149.13905247732802</v>
      </c>
      <c r="L37" s="37">
        <f t="shared" si="14"/>
        <v>157.13275111156597</v>
      </c>
      <c r="N37" s="37">
        <f t="shared" si="12"/>
        <v>175.32024963591019</v>
      </c>
      <c r="O37" s="37">
        <f t="shared" si="13"/>
        <v>178.79202925682029</v>
      </c>
    </row>
    <row r="38" spans="2:15" x14ac:dyDescent="0.25">
      <c r="B38" t="s">
        <v>146</v>
      </c>
      <c r="C38" s="37">
        <f>IFERROR(365/C31,0)</f>
        <v>7.5099910051654382</v>
      </c>
      <c r="D38" s="37">
        <f t="shared" ref="D38:L38" si="15">IFERROR(365/D31,0)</f>
        <v>-11.156019868701582</v>
      </c>
      <c r="E38" s="37">
        <f t="shared" si="15"/>
        <v>-1.9968240148326974</v>
      </c>
      <c r="F38" s="37">
        <f t="shared" si="15"/>
        <v>-1.2922668994735349</v>
      </c>
      <c r="G38" s="37">
        <f t="shared" si="15"/>
        <v>2.1838374121497939</v>
      </c>
      <c r="H38" s="37">
        <f t="shared" si="15"/>
        <v>6.7215183665789616E-2</v>
      </c>
      <c r="I38" s="37">
        <f t="shared" si="15"/>
        <v>-22.174985550555959</v>
      </c>
      <c r="J38" s="37">
        <f t="shared" si="15"/>
        <v>-4.2527614702640548</v>
      </c>
      <c r="K38" s="37">
        <f t="shared" si="15"/>
        <v>4.6809103811841037</v>
      </c>
      <c r="L38" s="37">
        <f t="shared" si="15"/>
        <v>3.9646573192781362</v>
      </c>
      <c r="N38" s="37">
        <f t="shared" si="12"/>
        <v>-3.3306930563944452</v>
      </c>
      <c r="O38" s="37">
        <f t="shared" si="13"/>
        <v>-1.2922668994735349</v>
      </c>
    </row>
    <row r="39" spans="2:15" x14ac:dyDescent="0.25">
      <c r="B39" s="40" t="s">
        <v>147</v>
      </c>
      <c r="C39" s="44">
        <f>SUM(C36,C38)-C37</f>
        <v>-127.90624203429759</v>
      </c>
      <c r="D39" s="44">
        <f t="shared" ref="D39:L39" si="16">SUM(D36,D38)-D37</f>
        <v>-176.05200863754058</v>
      </c>
      <c r="E39" s="44">
        <f t="shared" si="16"/>
        <v>-155.88388827210986</v>
      </c>
      <c r="F39" s="44">
        <f t="shared" si="16"/>
        <v>-146.7809934079269</v>
      </c>
      <c r="G39" s="44">
        <f t="shared" si="16"/>
        <v>-167.18314180785947</v>
      </c>
      <c r="H39" s="44">
        <f t="shared" si="16"/>
        <v>-192.10032276499007</v>
      </c>
      <c r="I39" s="44">
        <f t="shared" si="16"/>
        <v>-186.82474481746726</v>
      </c>
      <c r="J39" s="44">
        <f t="shared" si="16"/>
        <v>-151.42851339247792</v>
      </c>
      <c r="K39" s="44">
        <f t="shared" si="16"/>
        <v>-130.20180131608052</v>
      </c>
      <c r="L39" s="44">
        <f t="shared" si="16"/>
        <v>-142.17065238403893</v>
      </c>
      <c r="M39" s="40"/>
      <c r="N39" s="44">
        <f t="shared" si="12"/>
        <v>-160.95845186672125</v>
      </c>
      <c r="O39" s="44">
        <f t="shared" si="13"/>
        <v>-155.88388827210986</v>
      </c>
    </row>
    <row r="42" spans="2:15" x14ac:dyDescent="0.25">
      <c r="B42" s="38" t="s">
        <v>149</v>
      </c>
      <c r="C42" s="39">
        <f>IFERROR(HistoricalFS!C77/HistoricalFS!C6,0)</f>
        <v>6.4538670463834616E-2</v>
      </c>
      <c r="D42" s="39">
        <f>IFERROR(HistoricalFS!D77/HistoricalFS!D6,0)</f>
        <v>2.1913845512431918E-2</v>
      </c>
      <c r="E42" s="39">
        <f>IFERROR(HistoricalFS!E77/HistoricalFS!E6,0)</f>
        <v>-4.2942820742397679E-3</v>
      </c>
      <c r="F42" s="39">
        <f>IFERROR(HistoricalFS!F77/HistoricalFS!F6,0)</f>
        <v>9.2492375928335049E-2</v>
      </c>
      <c r="G42" s="39">
        <f>IFERROR(HistoricalFS!G77/HistoricalFS!G6,0)</f>
        <v>9.3324355339339402E-2</v>
      </c>
      <c r="H42" s="39">
        <f>IFERROR(HistoricalFS!H77/HistoricalFS!H6,0)</f>
        <v>0.24347589370873488</v>
      </c>
      <c r="I42" s="39">
        <f>IFERROR(HistoricalFS!I77/HistoricalFS!I6,0)</f>
        <v>0.1248394615950764</v>
      </c>
      <c r="J42" s="39">
        <f>IFERROR(HistoricalFS!J77/HistoricalFS!J6,0)</f>
        <v>5.1961607780072187E-2</v>
      </c>
      <c r="K42" s="39">
        <f>IFERROR(HistoricalFS!K77/HistoricalFS!K6,0)</f>
        <v>5.457172085821721E-2</v>
      </c>
      <c r="L42" s="39">
        <f>IFERROR(HistoricalFS!L77/HistoricalFS!L6,0)</f>
        <v>5.849281888581858E-2</v>
      </c>
      <c r="M42" s="38"/>
      <c r="N42" s="39">
        <f t="shared" ref="N42:N44" si="17">IFERROR(AVERAGE(D42:L42),0)</f>
        <v>8.1864199725976194E-2</v>
      </c>
      <c r="O42" s="39">
        <f t="shared" ref="O42:O44" si="18">IFERROR(MEDIAN(D42:L42),0)</f>
        <v>5.849281888581858E-2</v>
      </c>
    </row>
    <row r="43" spans="2:15" x14ac:dyDescent="0.25">
      <c r="B43" t="s">
        <v>150</v>
      </c>
      <c r="C43" s="36">
        <f>IFERROR(HistoricalFS!C77/HistoricalFS!C64,0)</f>
        <v>6.695692734044896E-2</v>
      </c>
      <c r="D43" s="36">
        <f>IFERROR(HistoricalFS!D77/HistoricalFS!D64,0)</f>
        <v>2.1681679487106115E-2</v>
      </c>
      <c r="E43" s="36">
        <f>IFERROR(HistoricalFS!E77/HistoricalFS!E64,0)</f>
        <v>-3.8265016474587185E-3</v>
      </c>
      <c r="F43" s="36">
        <f>IFERROR(HistoricalFS!F77/HistoricalFS!F64,0)</f>
        <v>9.1353225964152393E-2</v>
      </c>
      <c r="G43" s="36">
        <f>IFERROR(HistoricalFS!G77/HistoricalFS!G64,0)</f>
        <v>7.6094841707331634E-2</v>
      </c>
      <c r="H43" s="36">
        <f>IFERROR(HistoricalFS!H77/HistoricalFS!H64,0)</f>
        <v>0.17805725334529615</v>
      </c>
      <c r="I43" s="36">
        <f>IFERROR(HistoricalFS!I77/HistoricalFS!I64,0)</f>
        <v>0.10563983041588976</v>
      </c>
      <c r="J43" s="36">
        <f>IFERROR(HistoricalFS!J77/HistoricalFS!J64,0)</f>
        <v>5.371488942253521E-2</v>
      </c>
      <c r="K43" s="36">
        <f>IFERROR(HistoricalFS!K77/HistoricalFS!K64,0)</f>
        <v>6.409649248621864E-2</v>
      </c>
      <c r="L43" s="36">
        <f>IFERROR(HistoricalFS!L77/HistoricalFS!L64,0)</f>
        <v>6.8225045295021131E-2</v>
      </c>
      <c r="N43" s="36">
        <f t="shared" si="17"/>
        <v>7.2781861830676919E-2</v>
      </c>
      <c r="O43" s="36">
        <f t="shared" si="18"/>
        <v>6.8225045295021131E-2</v>
      </c>
    </row>
    <row r="44" spans="2:15" x14ac:dyDescent="0.25">
      <c r="B44" s="40" t="s">
        <v>151</v>
      </c>
      <c r="C44" s="41">
        <f>IFERROR(HistoricalFS!C77/HistoricalFS!C49,0)</f>
        <v>0.25406589046475803</v>
      </c>
      <c r="D44" s="41">
        <f>IFERROR(HistoricalFS!D77/HistoricalFS!D49,0)</f>
        <v>7.5187032514129698E-2</v>
      </c>
      <c r="E44" s="41">
        <f>IFERROR(HistoricalFS!E77/HistoricalFS!E49,0)</f>
        <v>-1.4075248843541804E-2</v>
      </c>
      <c r="F44" s="41">
        <f>IFERROR(HistoricalFS!F77/HistoricalFS!F49,0)</f>
        <v>0.26302717749714766</v>
      </c>
      <c r="G44" s="41">
        <f>IFERROR(HistoricalFS!G77/HistoricalFS!G49,0)</f>
        <v>0.19524369560959723</v>
      </c>
      <c r="H44" s="41">
        <f>IFERROR(HistoricalFS!H77/HistoricalFS!H49,0)</f>
        <v>0.42790935123949758</v>
      </c>
      <c r="I44" s="41">
        <f>IFERROR(HistoricalFS!I77/HistoricalFS!I49,0)</f>
        <v>0.23736586032696838</v>
      </c>
      <c r="J44" s="41">
        <f>IFERROR(HistoricalFS!J77/HistoricalFS!J49,0)</f>
        <v>0.13404323981250499</v>
      </c>
      <c r="K44" s="41">
        <f>IFERROR(HistoricalFS!K77/HistoricalFS!K49,0)</f>
        <v>0.22081033711217185</v>
      </c>
      <c r="L44" s="41">
        <f>IFERROR(HistoricalFS!L77/HistoricalFS!L49,0)</f>
        <v>0.35950517193178644</v>
      </c>
      <c r="M44" s="40"/>
      <c r="N44" s="41">
        <f t="shared" si="17"/>
        <v>0.21100184635558467</v>
      </c>
      <c r="O44" s="41">
        <f t="shared" si="18"/>
        <v>0.22081033711217185</v>
      </c>
    </row>
  </sheetData>
  <mergeCells count="1">
    <mergeCell ref="B3:L3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F106FF8-3474-4B6D-9115-EE268FABAF2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Analysis'!C42:L42</xm:f>
              <xm:sqref>M42</xm:sqref>
            </x14:sparkline>
            <x14:sparkline>
              <xm:f>'Ratio Analysis'!C43:L43</xm:f>
              <xm:sqref>M43</xm:sqref>
            </x14:sparkline>
            <x14:sparkline>
              <xm:f>'Ratio Analysis'!C44:L44</xm:f>
              <xm:sqref>M44</xm:sqref>
            </x14:sparkline>
          </x14:sparklines>
        </x14:sparklineGroup>
        <x14:sparklineGroup displayEmptyCellsAs="gap" xr2:uid="{68A8181E-A2A1-46E2-8F43-F4C00149515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</x14:sparklines>
        </x14:sparklineGroup>
        <x14:sparklineGroup displayEmptyCellsAs="gap" xr2:uid="{CACCC503-B542-4FAA-AAE4-46FC80C422B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</x14:sparklines>
        </x14:sparklineGroup>
        <x14:sparklineGroup displayEmptyCellsAs="gap" xr2:uid="{006F826A-0C3E-441F-9035-77710304547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</x14:sparklines>
        </x14:sparklineGroup>
        <x14:sparklineGroup displayEmptyCellsAs="gap" xr2:uid="{7C58C6F6-AC33-4051-883A-A112DE0FB95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</x14:sparklines>
        </x14:sparklineGroup>
        <x14:sparklineGroup displayEmptyCellsAs="gap" xr2:uid="{CE709FBD-1F64-47F8-850C-66056265DAF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</x14:sparklines>
        </x14:sparklineGroup>
        <x14:sparklineGroup displayEmptyCellsAs="gap" xr2:uid="{3F8023ED-CA44-4C84-95AF-573A5D360AB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  <x14:sparkline>
              <xm:f>'Ratio Analysis'!D10:L10</xm:f>
              <xm:sqref>M10</xm:sqref>
            </x14:sparkline>
            <x14:sparkline>
              <xm:f>'Ratio Analysis'!D11:L11</xm:f>
              <xm:sqref>M11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D984-C066-4CA2-9E09-8B2A11CC094A}">
  <sheetPr codeName="Sheet4"/>
  <dimension ref="C2:Q31"/>
  <sheetViews>
    <sheetView showGridLines="0" workbookViewId="0">
      <selection activeCell="C4" sqref="C4"/>
    </sheetView>
  </sheetViews>
  <sheetFormatPr defaultRowHeight="15" x14ac:dyDescent="0.25"/>
  <cols>
    <col min="1" max="1" width="1.85546875" customWidth="1"/>
    <col min="2" max="2" width="10.7109375" bestFit="1" customWidth="1"/>
    <col min="3" max="3" width="18.140625" bestFit="1" customWidth="1"/>
    <col min="4" max="5" width="12" bestFit="1" customWidth="1"/>
    <col min="6" max="6" width="12.5703125" bestFit="1" customWidth="1"/>
    <col min="7" max="8" width="12" bestFit="1" customWidth="1"/>
    <col min="9" max="9" width="18" bestFit="1" customWidth="1"/>
    <col min="10" max="10" width="12" bestFit="1" customWidth="1"/>
    <col min="11" max="11" width="14.5703125" bestFit="1" customWidth="1"/>
    <col min="12" max="13" width="12" bestFit="1" customWidth="1"/>
    <col min="14" max="14" width="13.42578125" bestFit="1" customWidth="1"/>
    <col min="15" max="15" width="12" bestFit="1" customWidth="1"/>
    <col min="16" max="16" width="12.42578125" bestFit="1" customWidth="1"/>
    <col min="17" max="17" width="12.5703125" bestFit="1" customWidth="1"/>
    <col min="18" max="18" width="12" bestFit="1" customWidth="1"/>
    <col min="19" max="19" width="12.42578125" bestFit="1" customWidth="1"/>
    <col min="20" max="20" width="12.5703125" bestFit="1" customWidth="1"/>
  </cols>
  <sheetData>
    <row r="2" spans="3:15" ht="15.75" thickBot="1" x14ac:dyDescent="0.3"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3:15" x14ac:dyDescent="0.25">
      <c r="C3" s="49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</row>
    <row r="4" spans="3:15" x14ac:dyDescent="0.25">
      <c r="C4" s="61" t="str">
        <f>'Data Sheet'!B1&amp; " - "&amp; 'Data Sheet'!A42</f>
        <v>TATA MOTORS LTD - Sales</v>
      </c>
    </row>
    <row r="5" spans="3:15" x14ac:dyDescent="0.25">
      <c r="C5" s="51" t="s">
        <v>155</v>
      </c>
      <c r="D5" s="52" t="s">
        <v>154</v>
      </c>
      <c r="E5" s="52" t="s">
        <v>1</v>
      </c>
      <c r="F5" s="52" t="s">
        <v>58</v>
      </c>
    </row>
    <row r="6" spans="3:15" x14ac:dyDescent="0.25">
      <c r="C6" s="53">
        <v>1</v>
      </c>
      <c r="D6" s="55">
        <v>2014</v>
      </c>
      <c r="E6" s="54">
        <v>232834</v>
      </c>
    </row>
    <row r="7" spans="3:15" x14ac:dyDescent="0.25">
      <c r="C7" s="53">
        <f>C6+1</f>
        <v>2</v>
      </c>
      <c r="D7" s="55">
        <f t="shared" ref="D7:D22" si="0">D6+1</f>
        <v>2015</v>
      </c>
      <c r="E7" s="54">
        <v>263159</v>
      </c>
      <c r="F7" s="12">
        <f>E7/E6-1</f>
        <v>0.13024300574658332</v>
      </c>
      <c r="I7" t="s">
        <v>156</v>
      </c>
      <c r="J7" s="34">
        <f>AVERAGE(F7:F17)</f>
        <v>6.53128226859674E-2</v>
      </c>
    </row>
    <row r="8" spans="3:15" x14ac:dyDescent="0.25">
      <c r="C8" s="53">
        <f t="shared" ref="C8:C22" si="1">C7+1</f>
        <v>3</v>
      </c>
      <c r="D8" s="55">
        <f t="shared" si="0"/>
        <v>2016</v>
      </c>
      <c r="E8" s="54">
        <v>273046</v>
      </c>
      <c r="F8" s="12">
        <f t="shared" ref="F8:F22" si="2">E8/E7-1</f>
        <v>3.757044220414274E-2</v>
      </c>
      <c r="I8" t="s">
        <v>157</v>
      </c>
      <c r="J8" s="34">
        <f>_xlfn.RRI(C17,E6,E17)</f>
        <v>5.4408165853156332E-2</v>
      </c>
    </row>
    <row r="9" spans="3:15" x14ac:dyDescent="0.25">
      <c r="C9" s="53">
        <f t="shared" si="1"/>
        <v>4</v>
      </c>
      <c r="D9" s="55">
        <f t="shared" si="0"/>
        <v>2017</v>
      </c>
      <c r="E9" s="54">
        <v>269693</v>
      </c>
      <c r="F9" s="12">
        <f t="shared" si="2"/>
        <v>-1.2279982127553546E-2</v>
      </c>
    </row>
    <row r="10" spans="3:15" x14ac:dyDescent="0.25">
      <c r="C10" s="53">
        <f t="shared" si="1"/>
        <v>5</v>
      </c>
      <c r="D10" s="55">
        <f t="shared" si="0"/>
        <v>2018</v>
      </c>
      <c r="E10" s="54">
        <v>291550</v>
      </c>
      <c r="F10" s="12">
        <f t="shared" si="2"/>
        <v>8.1044001883623151E-2</v>
      </c>
      <c r="I10" t="s">
        <v>158</v>
      </c>
      <c r="J10" s="34">
        <f>_xlfn.STDEV.S(F7:F17)</f>
        <v>0.11684032204026763</v>
      </c>
    </row>
    <row r="11" spans="3:15" x14ac:dyDescent="0.25">
      <c r="C11" s="53">
        <f t="shared" si="1"/>
        <v>6</v>
      </c>
      <c r="D11" s="55">
        <f t="shared" si="0"/>
        <v>2019</v>
      </c>
      <c r="E11" s="54">
        <v>301938</v>
      </c>
      <c r="F11" s="12">
        <f t="shared" si="2"/>
        <v>3.5630252100840254E-2</v>
      </c>
    </row>
    <row r="12" spans="3:15" x14ac:dyDescent="0.25">
      <c r="C12" s="53">
        <f t="shared" si="1"/>
        <v>7</v>
      </c>
      <c r="D12" s="55">
        <f t="shared" si="0"/>
        <v>2020</v>
      </c>
      <c r="E12" s="54">
        <v>261068</v>
      </c>
      <c r="F12" s="12">
        <f t="shared" si="2"/>
        <v>-0.13535891474408657</v>
      </c>
      <c r="I12" t="s">
        <v>159</v>
      </c>
    </row>
    <row r="13" spans="3:15" ht="15.75" thickBot="1" x14ac:dyDescent="0.3">
      <c r="C13" s="53">
        <f t="shared" si="1"/>
        <v>8</v>
      </c>
      <c r="D13" s="55">
        <f t="shared" si="0"/>
        <v>2021</v>
      </c>
      <c r="E13" s="54">
        <v>249795</v>
      </c>
      <c r="F13" s="12">
        <f t="shared" si="2"/>
        <v>-4.3180320835950803E-2</v>
      </c>
    </row>
    <row r="14" spans="3:15" x14ac:dyDescent="0.25">
      <c r="C14" s="53">
        <f t="shared" si="1"/>
        <v>9</v>
      </c>
      <c r="D14" s="55">
        <f t="shared" si="0"/>
        <v>2022</v>
      </c>
      <c r="E14" s="54">
        <v>278454</v>
      </c>
      <c r="F14" s="12">
        <f t="shared" si="2"/>
        <v>0.11473007866450491</v>
      </c>
      <c r="I14" s="59" t="s">
        <v>160</v>
      </c>
      <c r="J14" s="59"/>
    </row>
    <row r="15" spans="3:15" x14ac:dyDescent="0.25">
      <c r="C15" s="53">
        <f t="shared" si="1"/>
        <v>10</v>
      </c>
      <c r="D15" s="55">
        <f t="shared" si="0"/>
        <v>2023</v>
      </c>
      <c r="E15" s="54">
        <v>345967</v>
      </c>
      <c r="F15" s="12">
        <f t="shared" si="2"/>
        <v>0.24245656374122837</v>
      </c>
      <c r="I15" t="s">
        <v>161</v>
      </c>
      <c r="J15">
        <v>0.77380615660094521</v>
      </c>
    </row>
    <row r="16" spans="3:15" x14ac:dyDescent="0.25">
      <c r="C16" s="53">
        <f t="shared" si="1"/>
        <v>11</v>
      </c>
      <c r="D16" s="55">
        <f t="shared" si="0"/>
        <v>2024</v>
      </c>
      <c r="E16" s="54">
        <v>434016</v>
      </c>
      <c r="F16" s="12">
        <f t="shared" si="2"/>
        <v>0.25450115184396194</v>
      </c>
      <c r="I16" t="s">
        <v>162</v>
      </c>
      <c r="J16">
        <v>0.5987759679935265</v>
      </c>
    </row>
    <row r="17" spans="3:17" x14ac:dyDescent="0.25">
      <c r="C17" s="53">
        <f t="shared" si="1"/>
        <v>12</v>
      </c>
      <c r="D17" s="55">
        <f t="shared" si="0"/>
        <v>2025</v>
      </c>
      <c r="E17" s="54">
        <v>439695</v>
      </c>
      <c r="F17" s="12">
        <f t="shared" si="2"/>
        <v>1.3084771068347711E-2</v>
      </c>
      <c r="I17" t="s">
        <v>163</v>
      </c>
      <c r="J17">
        <v>0.55865356479287909</v>
      </c>
    </row>
    <row r="18" spans="3:17" x14ac:dyDescent="0.25">
      <c r="C18" s="53">
        <f t="shared" si="1"/>
        <v>13</v>
      </c>
      <c r="D18" s="56">
        <f t="shared" si="0"/>
        <v>2026</v>
      </c>
      <c r="E18" s="60">
        <f>FORECAST(C18,$E$6:$E$17,$C$6:$C$17)</f>
        <v>398918.6969696969</v>
      </c>
      <c r="F18" s="12">
        <f t="shared" si="2"/>
        <v>-9.2737700065506967E-2</v>
      </c>
      <c r="I18" t="s">
        <v>164</v>
      </c>
      <c r="J18">
        <v>45472.31568356463</v>
      </c>
    </row>
    <row r="19" spans="3:17" ht="15.75" thickBot="1" x14ac:dyDescent="0.3">
      <c r="C19" s="53">
        <f t="shared" si="1"/>
        <v>14</v>
      </c>
      <c r="D19" s="56">
        <f t="shared" si="0"/>
        <v>2027</v>
      </c>
      <c r="E19" s="60">
        <f t="shared" ref="E19:E22" si="3">FORECAST(C19,$E$6:$E$17,$C$6:$C$17)</f>
        <v>413608.56060606055</v>
      </c>
      <c r="F19" s="12">
        <f t="shared" si="2"/>
        <v>3.6824204400425886E-2</v>
      </c>
      <c r="I19" s="57" t="s">
        <v>165</v>
      </c>
      <c r="J19" s="57">
        <v>12</v>
      </c>
    </row>
    <row r="20" spans="3:17" x14ac:dyDescent="0.25">
      <c r="C20" s="53">
        <f t="shared" si="1"/>
        <v>15</v>
      </c>
      <c r="D20" s="56">
        <f t="shared" si="0"/>
        <v>2028</v>
      </c>
      <c r="E20" s="60">
        <f t="shared" si="3"/>
        <v>428298.4242424242</v>
      </c>
      <c r="F20" s="12">
        <f t="shared" si="2"/>
        <v>3.5516343314651477E-2</v>
      </c>
    </row>
    <row r="21" spans="3:17" ht="15.75" thickBot="1" x14ac:dyDescent="0.3">
      <c r="C21" s="53">
        <f t="shared" si="1"/>
        <v>16</v>
      </c>
      <c r="D21" s="56">
        <f t="shared" si="0"/>
        <v>2029</v>
      </c>
      <c r="E21" s="60">
        <f t="shared" si="3"/>
        <v>442988.28787878784</v>
      </c>
      <c r="F21" s="12">
        <f t="shared" si="2"/>
        <v>3.4298196782645451E-2</v>
      </c>
      <c r="I21" t="s">
        <v>166</v>
      </c>
    </row>
    <row r="22" spans="3:17" x14ac:dyDescent="0.25">
      <c r="C22" s="53">
        <f t="shared" si="1"/>
        <v>17</v>
      </c>
      <c r="D22" s="56">
        <f t="shared" si="0"/>
        <v>2030</v>
      </c>
      <c r="E22" s="60">
        <f t="shared" si="3"/>
        <v>457678.15151515149</v>
      </c>
      <c r="F22" s="12">
        <f t="shared" si="2"/>
        <v>3.3160839774579287E-2</v>
      </c>
      <c r="I22" s="58"/>
      <c r="J22" s="58" t="s">
        <v>170</v>
      </c>
      <c r="K22" s="58" t="s">
        <v>171</v>
      </c>
      <c r="L22" s="58" t="s">
        <v>172</v>
      </c>
      <c r="M22" s="58" t="s">
        <v>173</v>
      </c>
      <c r="N22" s="58" t="s">
        <v>174</v>
      </c>
    </row>
    <row r="23" spans="3:17" x14ac:dyDescent="0.25">
      <c r="F23" t="str">
        <f ca="1">_xlfn.FORMULATEXT(E18)</f>
        <v>=FORECAST(C18,$E$6:$E$17,$C$6:$C$17)</v>
      </c>
      <c r="I23" t="s">
        <v>167</v>
      </c>
      <c r="J23">
        <v>1</v>
      </c>
      <c r="K23">
        <v>30858269392.659088</v>
      </c>
      <c r="L23">
        <v>30858269392.659088</v>
      </c>
      <c r="M23">
        <v>14.923731387651911</v>
      </c>
      <c r="N23">
        <v>3.144194766831252E-3</v>
      </c>
    </row>
    <row r="24" spans="3:17" x14ac:dyDescent="0.25">
      <c r="I24" t="s">
        <v>168</v>
      </c>
      <c r="J24">
        <v>10</v>
      </c>
      <c r="K24">
        <v>20677314936.257576</v>
      </c>
      <c r="L24">
        <v>2067731493.6257577</v>
      </c>
    </row>
    <row r="25" spans="3:17" ht="15.75" thickBot="1" x14ac:dyDescent="0.3">
      <c r="I25" s="57" t="s">
        <v>12</v>
      </c>
      <c r="J25" s="57">
        <v>11</v>
      </c>
      <c r="K25" s="57">
        <v>51535584328.916664</v>
      </c>
      <c r="L25" s="57"/>
      <c r="M25" s="57"/>
      <c r="N25" s="57"/>
    </row>
    <row r="26" spans="3:17" ht="15.75" thickBot="1" x14ac:dyDescent="0.3"/>
    <row r="27" spans="3:17" x14ac:dyDescent="0.25">
      <c r="C27">
        <v>13</v>
      </c>
      <c r="D27">
        <v>2026</v>
      </c>
      <c r="E27">
        <v>398918.6969696969</v>
      </c>
      <c r="F27">
        <v>-9.2737700065506967E-2</v>
      </c>
      <c r="I27" s="58"/>
      <c r="J27" s="58" t="s">
        <v>175</v>
      </c>
      <c r="K27" s="58" t="s">
        <v>164</v>
      </c>
      <c r="L27" s="58" t="s">
        <v>176</v>
      </c>
      <c r="M27" s="58" t="s">
        <v>177</v>
      </c>
      <c r="N27" s="58" t="s">
        <v>178</v>
      </c>
      <c r="O27" s="58" t="s">
        <v>179</v>
      </c>
      <c r="P27" s="58" t="s">
        <v>180</v>
      </c>
      <c r="Q27" s="58" t="s">
        <v>181</v>
      </c>
    </row>
    <row r="28" spans="3:17" x14ac:dyDescent="0.25">
      <c r="C28">
        <v>14</v>
      </c>
      <c r="D28">
        <v>2027</v>
      </c>
      <c r="E28">
        <v>413608.56060606055</v>
      </c>
      <c r="F28">
        <v>3.6824204400425886E-2</v>
      </c>
      <c r="I28" t="s">
        <v>169</v>
      </c>
      <c r="J28">
        <v>207950.4696969697</v>
      </c>
      <c r="K28">
        <v>27986.275678864327</v>
      </c>
      <c r="L28">
        <v>7.4304445537216353</v>
      </c>
      <c r="M28">
        <v>2.2349423929224751E-5</v>
      </c>
      <c r="N28">
        <v>145593.16153449356</v>
      </c>
      <c r="O28">
        <v>270307.77785944584</v>
      </c>
      <c r="P28">
        <v>145593.16153449356</v>
      </c>
      <c r="Q28">
        <v>270307.77785944584</v>
      </c>
    </row>
    <row r="29" spans="3:17" ht="15.75" thickBot="1" x14ac:dyDescent="0.3">
      <c r="C29">
        <v>15</v>
      </c>
      <c r="D29">
        <v>2028</v>
      </c>
      <c r="E29">
        <v>428298.4242424242</v>
      </c>
      <c r="F29">
        <v>3.5516343314651477E-2</v>
      </c>
      <c r="I29" s="57" t="s">
        <v>155</v>
      </c>
      <c r="J29" s="57">
        <v>14689.863636363632</v>
      </c>
      <c r="K29" s="57">
        <v>3802.5860666901044</v>
      </c>
      <c r="L29" s="57">
        <v>3.8631245627926498</v>
      </c>
      <c r="M29" s="57">
        <v>3.1441947668312607E-3</v>
      </c>
      <c r="N29" s="57">
        <v>6217.1738831497405</v>
      </c>
      <c r="O29" s="57">
        <v>23162.553389577522</v>
      </c>
      <c r="P29" s="57">
        <v>6217.1738831497405</v>
      </c>
      <c r="Q29" s="57">
        <v>23162.553389577522</v>
      </c>
    </row>
    <row r="30" spans="3:17" x14ac:dyDescent="0.25">
      <c r="C30">
        <v>16</v>
      </c>
      <c r="D30">
        <v>2029</v>
      </c>
      <c r="E30">
        <v>442988.28787878784</v>
      </c>
      <c r="F30">
        <v>3.4298196782645451E-2</v>
      </c>
    </row>
    <row r="31" spans="3:17" x14ac:dyDescent="0.25">
      <c r="C31">
        <v>17</v>
      </c>
      <c r="D31">
        <v>2030</v>
      </c>
      <c r="E31">
        <v>457678.15151515149</v>
      </c>
      <c r="F31">
        <v>3.3160839774579287E-2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0754-BEDA-45CA-9622-763FC022486C}">
  <sheetPr codeName="Sheet5"/>
  <dimension ref="B4:O21"/>
  <sheetViews>
    <sheetView showGridLines="0" tabSelected="1" workbookViewId="0">
      <selection activeCell="Q12" sqref="Q12"/>
    </sheetView>
  </sheetViews>
  <sheetFormatPr defaultRowHeight="15" x14ac:dyDescent="0.25"/>
  <cols>
    <col min="1" max="1" width="1.85546875" customWidth="1"/>
    <col min="2" max="2" width="11.7109375" bestFit="1" customWidth="1"/>
    <col min="3" max="3" width="6.28515625" bestFit="1" customWidth="1"/>
    <col min="4" max="4" width="9.7109375" bestFit="1" customWidth="1"/>
    <col min="5" max="5" width="12.5703125" bestFit="1" customWidth="1"/>
    <col min="6" max="6" width="2.7109375" customWidth="1"/>
    <col min="7" max="7" width="11.7109375" bestFit="1" customWidth="1"/>
    <col min="8" max="8" width="6.28515625" bestFit="1" customWidth="1"/>
    <col min="9" max="9" width="8.140625" bestFit="1" customWidth="1"/>
    <col min="10" max="10" width="14.42578125" bestFit="1" customWidth="1"/>
    <col min="11" max="11" width="2.7109375" customWidth="1"/>
    <col min="12" max="12" width="11.7109375" bestFit="1" customWidth="1"/>
    <col min="13" max="13" width="6.28515625" bestFit="1" customWidth="1"/>
    <col min="14" max="14" width="5.28515625" bestFit="1" customWidth="1"/>
    <col min="15" max="15" width="11.140625" bestFit="1" customWidth="1"/>
  </cols>
  <sheetData>
    <row r="4" spans="2:15" x14ac:dyDescent="0.25">
      <c r="B4" s="69" t="str">
        <f>'Data Sheet'!B1&amp;" - "&amp;"Sales forecasting"</f>
        <v>TATA MOTORS LTD - Sales forecasting</v>
      </c>
      <c r="C4" s="69"/>
      <c r="D4" s="69"/>
      <c r="E4" s="69"/>
      <c r="G4" s="69" t="str">
        <f>'Data Sheet'!B1&amp;" - "&amp;"EBITDA forecasting"</f>
        <v>TATA MOTORS LTD - EBITDA forecasting</v>
      </c>
      <c r="H4" s="69"/>
      <c r="I4" s="69"/>
      <c r="J4" s="69"/>
      <c r="L4" s="69" t="str">
        <f>'Data Sheet'!B1&amp;" - "&amp;"EBITDA forecasting"</f>
        <v>TATA MOTORS LTD - EBITDA forecasting</v>
      </c>
      <c r="M4" s="69"/>
      <c r="N4" s="69"/>
      <c r="O4" s="69"/>
    </row>
    <row r="5" spans="2:15" x14ac:dyDescent="0.25">
      <c r="B5" s="51" t="s">
        <v>155</v>
      </c>
      <c r="C5" s="52" t="s">
        <v>154</v>
      </c>
      <c r="D5" s="52" t="s">
        <v>1</v>
      </c>
      <c r="E5" s="52" t="s">
        <v>58</v>
      </c>
      <c r="G5" s="51" t="s">
        <v>155</v>
      </c>
      <c r="H5" s="52" t="s">
        <v>154</v>
      </c>
      <c r="I5" s="52" t="s">
        <v>66</v>
      </c>
      <c r="J5" s="52" t="s">
        <v>123</v>
      </c>
      <c r="L5" s="51" t="s">
        <v>155</v>
      </c>
      <c r="M5" s="52" t="s">
        <v>154</v>
      </c>
      <c r="N5" s="52" t="s">
        <v>77</v>
      </c>
      <c r="O5" s="52" t="s">
        <v>182</v>
      </c>
    </row>
    <row r="6" spans="2:15" x14ac:dyDescent="0.25">
      <c r="B6" s="53">
        <v>1</v>
      </c>
      <c r="C6" s="62">
        <f>'Data Sheet'!B16</f>
        <v>42460</v>
      </c>
      <c r="D6" s="63">
        <f t="array" ref="D6:D15">TRANSPOSE('Data Sheet'!B17:K17)</f>
        <v>273045.59999999998</v>
      </c>
      <c r="G6" s="53">
        <v>1</v>
      </c>
      <c r="H6" s="62">
        <f>C6</f>
        <v>42460</v>
      </c>
      <c r="I6" s="63">
        <f t="array" ref="I6:I15">TRANSPOSE(HistoricalFS!C18:L18)</f>
        <v>38395.249999999971</v>
      </c>
      <c r="L6" s="53">
        <v>1</v>
      </c>
      <c r="M6" s="62">
        <f>H6</f>
        <v>42460</v>
      </c>
      <c r="N6" s="63">
        <f t="array" ref="N6:N15">TRANSPOSE(HistoricalFS!C38:L38)</f>
        <v>47.694444444444336</v>
      </c>
    </row>
    <row r="7" spans="2:15" x14ac:dyDescent="0.25">
      <c r="B7" s="53">
        <f>B6+1</f>
        <v>2</v>
      </c>
      <c r="C7" s="62">
        <f>C6+365</f>
        <v>42825</v>
      </c>
      <c r="D7" s="63">
        <v>269692.51</v>
      </c>
      <c r="E7" s="12">
        <f>IFERROR(D7/D6-1,0)</f>
        <v>-1.2280329732469508E-2</v>
      </c>
      <c r="G7" s="53">
        <f>G6+1</f>
        <v>2</v>
      </c>
      <c r="H7" s="62">
        <f t="shared" ref="H7:H21" si="0">C7</f>
        <v>42825</v>
      </c>
      <c r="I7" s="63">
        <v>29588.690000000046</v>
      </c>
      <c r="J7" s="12">
        <f>IFERROR(I7/I6-1,0)</f>
        <v>-0.22936587208052905</v>
      </c>
      <c r="L7" s="53">
        <f>L6+1</f>
        <v>2</v>
      </c>
      <c r="M7" s="62">
        <f t="shared" ref="M7:M21" si="1">H7</f>
        <v>42825</v>
      </c>
      <c r="N7" s="63">
        <v>14.527274616423808</v>
      </c>
      <c r="O7" s="12">
        <f>IFERROR(N7/N6-1,0)</f>
        <v>-0.69540950134463697</v>
      </c>
    </row>
    <row r="8" spans="2:15" x14ac:dyDescent="0.25">
      <c r="B8" s="53">
        <f t="shared" ref="B8:B21" si="2">B7+1</f>
        <v>3</v>
      </c>
      <c r="C8" s="62">
        <f t="shared" ref="C8:C21" si="3">C7+365</f>
        <v>43190</v>
      </c>
      <c r="D8" s="63">
        <v>291550.48</v>
      </c>
      <c r="E8" s="12">
        <f t="shared" ref="E8:E21" si="4">IFERROR(D8/D7-1,0)</f>
        <v>8.104774581985974E-2</v>
      </c>
      <c r="G8" s="53">
        <f t="shared" ref="G8:G21" si="5">G7+1</f>
        <v>3</v>
      </c>
      <c r="H8" s="62">
        <f t="shared" si="0"/>
        <v>43190</v>
      </c>
      <c r="I8" s="63">
        <v>31457.679999999993</v>
      </c>
      <c r="J8" s="12">
        <f t="shared" ref="J8:J21" si="6">IFERROR(I8/I7-1,0)</f>
        <v>6.3165689322506102E-2</v>
      </c>
      <c r="L8" s="53">
        <f t="shared" ref="L8:L21" si="7">L7+1</f>
        <v>3</v>
      </c>
      <c r="M8" s="62">
        <f t="shared" si="1"/>
        <v>43190</v>
      </c>
      <c r="N8" s="63">
        <v>3.049111626779315</v>
      </c>
      <c r="O8" s="12">
        <f t="shared" ref="O8:O21" si="8">IFERROR(N8/N7-1,0)</f>
        <v>-0.79011124197155724</v>
      </c>
    </row>
    <row r="9" spans="2:15" x14ac:dyDescent="0.25">
      <c r="B9" s="53">
        <f t="shared" si="2"/>
        <v>4</v>
      </c>
      <c r="C9" s="62">
        <f t="shared" si="3"/>
        <v>43555</v>
      </c>
      <c r="D9" s="63">
        <v>301938.40000000002</v>
      </c>
      <c r="E9" s="12">
        <f t="shared" si="4"/>
        <v>3.5629919045237157E-2</v>
      </c>
      <c r="G9" s="53">
        <f t="shared" si="5"/>
        <v>4</v>
      </c>
      <c r="H9" s="62">
        <f t="shared" si="0"/>
        <v>43555</v>
      </c>
      <c r="I9" s="63">
        <v>24664.330000000024</v>
      </c>
      <c r="J9" s="12">
        <f t="shared" si="6"/>
        <v>-0.21595203460649259</v>
      </c>
      <c r="L9" s="53">
        <f t="shared" si="7"/>
        <v>4</v>
      </c>
      <c r="M9" s="62">
        <f t="shared" si="1"/>
        <v>43555</v>
      </c>
      <c r="N9" s="63">
        <v>-7.7839157690575265</v>
      </c>
      <c r="O9" s="12">
        <f t="shared" si="8"/>
        <v>-3.5528470983790919</v>
      </c>
    </row>
    <row r="10" spans="2:15" x14ac:dyDescent="0.25">
      <c r="B10" s="53">
        <f t="shared" si="2"/>
        <v>5</v>
      </c>
      <c r="C10" s="62">
        <f t="shared" si="3"/>
        <v>43920</v>
      </c>
      <c r="D10" s="63">
        <v>261067.97</v>
      </c>
      <c r="E10" s="12">
        <f t="shared" si="4"/>
        <v>-0.135360159555724</v>
      </c>
      <c r="G10" s="53">
        <f t="shared" si="5"/>
        <v>5</v>
      </c>
      <c r="H10" s="62">
        <f t="shared" si="0"/>
        <v>43920</v>
      </c>
      <c r="I10" s="63">
        <v>17987.069999999963</v>
      </c>
      <c r="J10" s="12">
        <f t="shared" si="6"/>
        <v>-0.27072537547138131</v>
      </c>
      <c r="L10" s="53">
        <f t="shared" si="7"/>
        <v>5</v>
      </c>
      <c r="M10" s="62">
        <f t="shared" si="1"/>
        <v>43920</v>
      </c>
      <c r="N10" s="63">
        <v>-35.859307219164904</v>
      </c>
      <c r="O10" s="12">
        <f t="shared" si="8"/>
        <v>3.6068467700681115</v>
      </c>
    </row>
    <row r="11" spans="2:15" x14ac:dyDescent="0.25">
      <c r="B11" s="53">
        <f t="shared" si="2"/>
        <v>6</v>
      </c>
      <c r="C11" s="62">
        <f t="shared" si="3"/>
        <v>44285</v>
      </c>
      <c r="D11" s="63">
        <v>249794.75</v>
      </c>
      <c r="E11" s="12">
        <f t="shared" si="4"/>
        <v>-4.3181168490336042E-2</v>
      </c>
      <c r="G11" s="53">
        <f t="shared" si="5"/>
        <v>6</v>
      </c>
      <c r="H11" s="62">
        <f t="shared" si="0"/>
        <v>44285</v>
      </c>
      <c r="I11" s="63">
        <v>32287.429999999989</v>
      </c>
      <c r="J11" s="12">
        <f t="shared" si="6"/>
        <v>0.79503554497758966</v>
      </c>
      <c r="L11" s="53">
        <f t="shared" si="7"/>
        <v>6</v>
      </c>
      <c r="M11" s="62">
        <f t="shared" si="1"/>
        <v>44285</v>
      </c>
      <c r="N11" s="63">
        <v>-5.7172845827184542</v>
      </c>
      <c r="O11" s="12">
        <f t="shared" si="8"/>
        <v>-0.84056344011958861</v>
      </c>
    </row>
    <row r="12" spans="2:15" x14ac:dyDescent="0.25">
      <c r="B12" s="53">
        <f t="shared" si="2"/>
        <v>7</v>
      </c>
      <c r="C12" s="62">
        <f t="shared" si="3"/>
        <v>44650</v>
      </c>
      <c r="D12" s="63">
        <v>278453.62</v>
      </c>
      <c r="E12" s="12">
        <f t="shared" si="4"/>
        <v>0.11472967306158344</v>
      </c>
      <c r="G12" s="53">
        <f t="shared" si="5"/>
        <v>7</v>
      </c>
      <c r="H12" s="62">
        <f t="shared" si="0"/>
        <v>44650</v>
      </c>
      <c r="I12" s="63">
        <v>24720.090000000015</v>
      </c>
      <c r="J12" s="12">
        <f t="shared" si="6"/>
        <v>-0.234374182150762</v>
      </c>
      <c r="L12" s="53">
        <f t="shared" si="7"/>
        <v>7</v>
      </c>
      <c r="M12" s="62">
        <f t="shared" si="1"/>
        <v>44650</v>
      </c>
      <c r="N12" s="63">
        <v>-41.132140813683833</v>
      </c>
      <c r="O12" s="12">
        <f t="shared" si="8"/>
        <v>6.194349033807641</v>
      </c>
    </row>
    <row r="13" spans="2:15" x14ac:dyDescent="0.25">
      <c r="B13" s="53">
        <f t="shared" si="2"/>
        <v>8</v>
      </c>
      <c r="C13" s="62">
        <f t="shared" si="3"/>
        <v>45015</v>
      </c>
      <c r="D13" s="63">
        <v>345966.97</v>
      </c>
      <c r="E13" s="12">
        <f t="shared" si="4"/>
        <v>0.24245815155859707</v>
      </c>
      <c r="G13" s="53">
        <f t="shared" si="5"/>
        <v>8</v>
      </c>
      <c r="H13" s="62">
        <f t="shared" si="0"/>
        <v>45015</v>
      </c>
      <c r="I13" s="63">
        <v>31815.799999999959</v>
      </c>
      <c r="J13" s="12">
        <f t="shared" si="6"/>
        <v>0.28704223973294352</v>
      </c>
      <c r="L13" s="53">
        <f t="shared" si="7"/>
        <v>8</v>
      </c>
      <c r="M13" s="62">
        <f t="shared" si="1"/>
        <v>45015</v>
      </c>
      <c r="N13" s="63">
        <v>-11.965495438533218</v>
      </c>
      <c r="O13" s="12">
        <f t="shared" si="8"/>
        <v>-0.70909621522659627</v>
      </c>
    </row>
    <row r="14" spans="2:15" x14ac:dyDescent="0.25">
      <c r="B14" s="53">
        <f t="shared" si="2"/>
        <v>9</v>
      </c>
      <c r="C14" s="62">
        <f t="shared" si="3"/>
        <v>45380</v>
      </c>
      <c r="D14" s="63">
        <v>434016</v>
      </c>
      <c r="E14" s="12">
        <f t="shared" si="4"/>
        <v>0.25450126062612277</v>
      </c>
      <c r="G14" s="53">
        <f t="shared" si="5"/>
        <v>9</v>
      </c>
      <c r="H14" s="62">
        <f t="shared" si="0"/>
        <v>45380</v>
      </c>
      <c r="I14" s="63">
        <v>57824</v>
      </c>
      <c r="J14" s="12">
        <f t="shared" si="6"/>
        <v>0.81746176428064277</v>
      </c>
      <c r="L14" s="53">
        <f t="shared" si="7"/>
        <v>9</v>
      </c>
      <c r="M14" s="62">
        <f t="shared" si="1"/>
        <v>45380</v>
      </c>
      <c r="N14" s="63">
        <v>81.279898907843673</v>
      </c>
      <c r="O14" s="12">
        <f t="shared" si="8"/>
        <v>-7.7928569548481077</v>
      </c>
    </row>
    <row r="15" spans="2:15" x14ac:dyDescent="0.25">
      <c r="B15" s="53">
        <f t="shared" si="2"/>
        <v>10</v>
      </c>
      <c r="C15" s="62">
        <f t="shared" si="3"/>
        <v>45745</v>
      </c>
      <c r="D15" s="63">
        <v>439695</v>
      </c>
      <c r="E15" s="12">
        <f t="shared" si="4"/>
        <v>1.3084771068347711E-2</v>
      </c>
      <c r="G15" s="53">
        <f t="shared" si="5"/>
        <v>10</v>
      </c>
      <c r="H15" s="62">
        <f t="shared" si="0"/>
        <v>45745</v>
      </c>
      <c r="I15" s="63">
        <v>55216</v>
      </c>
      <c r="J15" s="12">
        <f t="shared" si="6"/>
        <v>-4.510237963475372E-2</v>
      </c>
      <c r="L15" s="53">
        <f t="shared" si="7"/>
        <v>10</v>
      </c>
      <c r="M15" s="62">
        <f t="shared" si="1"/>
        <v>45745</v>
      </c>
      <c r="N15" s="63">
        <v>44.481569010947219</v>
      </c>
      <c r="O15" s="12">
        <f t="shared" si="8"/>
        <v>-0.45273592107464278</v>
      </c>
    </row>
    <row r="16" spans="2:15" x14ac:dyDescent="0.25">
      <c r="B16" s="64">
        <f t="shared" si="2"/>
        <v>11</v>
      </c>
      <c r="C16" s="65">
        <f t="shared" si="3"/>
        <v>46110</v>
      </c>
      <c r="D16" s="66">
        <f>FORECAST(B16,$D$6:$D$15,$B$6:$B$15)</f>
        <v>409204.26066666667</v>
      </c>
      <c r="E16" s="67">
        <f t="shared" si="4"/>
        <v>-6.9345203682855905E-2</v>
      </c>
      <c r="G16" s="64">
        <f t="shared" si="5"/>
        <v>11</v>
      </c>
      <c r="H16" s="65">
        <f>C16</f>
        <v>46110</v>
      </c>
      <c r="I16" s="66">
        <f>FORECAST(G16,$I$6:$I$15,$G$6:$G$15)</f>
        <v>46572.03933333332</v>
      </c>
      <c r="J16" s="67">
        <f t="shared" si="6"/>
        <v>-0.15654811407321578</v>
      </c>
      <c r="L16" s="64">
        <f t="shared" si="7"/>
        <v>11</v>
      </c>
      <c r="M16" s="65">
        <f>H16</f>
        <v>46110</v>
      </c>
      <c r="N16" s="66">
        <f>FORECAST(L16,$N$6:$N$15,$L$6:$L$15)</f>
        <v>18.636642255477042</v>
      </c>
      <c r="O16" s="67">
        <f t="shared" si="8"/>
        <v>-0.58102551978572436</v>
      </c>
    </row>
    <row r="17" spans="2:15" x14ac:dyDescent="0.25">
      <c r="B17" s="64">
        <f t="shared" si="2"/>
        <v>12</v>
      </c>
      <c r="C17" s="65">
        <f t="shared" si="3"/>
        <v>46475</v>
      </c>
      <c r="D17" s="66">
        <f t="shared" ref="D17:D21" si="9">FORECAST(B17,$D$6:$D$15,$B$6:$B$15)</f>
        <v>426419.19351515151</v>
      </c>
      <c r="E17" s="67">
        <f t="shared" si="4"/>
        <v>4.206929033543938E-2</v>
      </c>
      <c r="G17" s="64">
        <f t="shared" si="5"/>
        <v>12</v>
      </c>
      <c r="H17" s="65">
        <f t="shared" si="0"/>
        <v>46475</v>
      </c>
      <c r="I17" s="66">
        <f t="shared" ref="I17:I21" si="10">FORECAST(G17,$I$6:$I$15,$G$6:$G$15)</f>
        <v>48785.931212121199</v>
      </c>
      <c r="J17" s="67">
        <f t="shared" si="6"/>
        <v>4.7536932255472841E-2</v>
      </c>
      <c r="L17" s="64">
        <f t="shared" si="7"/>
        <v>12</v>
      </c>
      <c r="M17" s="65">
        <f t="shared" si="1"/>
        <v>46475</v>
      </c>
      <c r="N17" s="66">
        <f t="shared" ref="N17:N21" si="11">FORECAST(L17,$N$6:$N$15,$L$6:$L$15)</f>
        <v>20.414683487685949</v>
      </c>
      <c r="O17" s="67">
        <f t="shared" si="8"/>
        <v>9.5405664166052562E-2</v>
      </c>
    </row>
    <row r="18" spans="2:15" x14ac:dyDescent="0.25">
      <c r="B18" s="64">
        <f t="shared" si="2"/>
        <v>13</v>
      </c>
      <c r="C18" s="65">
        <f t="shared" si="3"/>
        <v>46840</v>
      </c>
      <c r="D18" s="66">
        <f t="shared" si="9"/>
        <v>443634.12636363634</v>
      </c>
      <c r="E18" s="67">
        <f t="shared" si="4"/>
        <v>4.0370914607700925E-2</v>
      </c>
      <c r="G18" s="64">
        <f t="shared" si="5"/>
        <v>13</v>
      </c>
      <c r="H18" s="65">
        <f t="shared" si="0"/>
        <v>46840</v>
      </c>
      <c r="I18" s="66">
        <f t="shared" si="10"/>
        <v>50999.823090909078</v>
      </c>
      <c r="J18" s="67">
        <f t="shared" si="6"/>
        <v>4.5379719599117241E-2</v>
      </c>
      <c r="L18" s="64">
        <f t="shared" si="7"/>
        <v>13</v>
      </c>
      <c r="M18" s="65">
        <f t="shared" si="1"/>
        <v>46840</v>
      </c>
      <c r="N18" s="66">
        <f t="shared" si="11"/>
        <v>22.192724719894855</v>
      </c>
      <c r="O18" s="67">
        <f t="shared" si="8"/>
        <v>8.7096193937143962E-2</v>
      </c>
    </row>
    <row r="19" spans="2:15" x14ac:dyDescent="0.25">
      <c r="B19" s="64">
        <f t="shared" si="2"/>
        <v>14</v>
      </c>
      <c r="C19" s="65">
        <f t="shared" si="3"/>
        <v>47205</v>
      </c>
      <c r="D19" s="66">
        <f t="shared" si="9"/>
        <v>460849.05921212118</v>
      </c>
      <c r="E19" s="67">
        <f t="shared" si="4"/>
        <v>3.8804347604165512E-2</v>
      </c>
      <c r="G19" s="64">
        <f t="shared" si="5"/>
        <v>14</v>
      </c>
      <c r="H19" s="65">
        <f t="shared" si="0"/>
        <v>47205</v>
      </c>
      <c r="I19" s="66">
        <f t="shared" si="10"/>
        <v>53213.714969696957</v>
      </c>
      <c r="J19" s="67">
        <f t="shared" si="6"/>
        <v>4.3409795262260742E-2</v>
      </c>
      <c r="L19" s="64">
        <f t="shared" si="7"/>
        <v>14</v>
      </c>
      <c r="M19" s="65">
        <f t="shared" si="1"/>
        <v>47205</v>
      </c>
      <c r="N19" s="66">
        <f t="shared" si="11"/>
        <v>23.970765952103768</v>
      </c>
      <c r="O19" s="67">
        <f t="shared" si="8"/>
        <v>8.0118203359453855E-2</v>
      </c>
    </row>
    <row r="20" spans="2:15" x14ac:dyDescent="0.25">
      <c r="B20" s="64">
        <f t="shared" si="2"/>
        <v>15</v>
      </c>
      <c r="C20" s="65">
        <f t="shared" si="3"/>
        <v>47570</v>
      </c>
      <c r="D20" s="66">
        <f t="shared" si="9"/>
        <v>478063.99206060608</v>
      </c>
      <c r="E20" s="67">
        <f t="shared" si="4"/>
        <v>3.7354818252023803E-2</v>
      </c>
      <c r="G20" s="64">
        <f t="shared" si="5"/>
        <v>15</v>
      </c>
      <c r="H20" s="65">
        <f t="shared" si="0"/>
        <v>47570</v>
      </c>
      <c r="I20" s="66">
        <f t="shared" si="10"/>
        <v>55427.606848484837</v>
      </c>
      <c r="J20" s="67">
        <f t="shared" si="6"/>
        <v>4.160378353679306E-2</v>
      </c>
      <c r="L20" s="64">
        <f t="shared" si="7"/>
        <v>15</v>
      </c>
      <c r="M20" s="65">
        <f t="shared" si="1"/>
        <v>47570</v>
      </c>
      <c r="N20" s="66">
        <f t="shared" si="11"/>
        <v>25.748807184312675</v>
      </c>
      <c r="O20" s="67">
        <f t="shared" si="8"/>
        <v>7.4175403312586097E-2</v>
      </c>
    </row>
    <row r="21" spans="2:15" x14ac:dyDescent="0.25">
      <c r="B21" s="64">
        <f t="shared" si="2"/>
        <v>16</v>
      </c>
      <c r="C21" s="65">
        <f t="shared" si="3"/>
        <v>47935</v>
      </c>
      <c r="D21" s="66">
        <f t="shared" si="9"/>
        <v>495278.92490909091</v>
      </c>
      <c r="E21" s="67">
        <f t="shared" si="4"/>
        <v>3.6009683085067801E-2</v>
      </c>
      <c r="G21" s="64">
        <f t="shared" si="5"/>
        <v>16</v>
      </c>
      <c r="H21" s="65">
        <f t="shared" si="0"/>
        <v>47935</v>
      </c>
      <c r="I21" s="66">
        <f t="shared" si="10"/>
        <v>57641.498727272716</v>
      </c>
      <c r="J21" s="67">
        <f t="shared" si="6"/>
        <v>3.9942043408796257E-2</v>
      </c>
      <c r="L21" s="64">
        <f t="shared" si="7"/>
        <v>16</v>
      </c>
      <c r="M21" s="65">
        <f t="shared" si="1"/>
        <v>47935</v>
      </c>
      <c r="N21" s="66">
        <f t="shared" si="11"/>
        <v>27.526848416521581</v>
      </c>
      <c r="O21" s="67">
        <f t="shared" si="8"/>
        <v>6.9053343694001068E-2</v>
      </c>
    </row>
  </sheetData>
  <mergeCells count="3">
    <mergeCell ref="B4:E4"/>
    <mergeCell ref="G4:J4"/>
    <mergeCell ref="L4:O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6C6A-E040-4878-A311-8C1C42B11DF9}">
  <sheetPr codeName="Sheet6">
    <tabColor theme="7" tint="-0.499984740745262"/>
  </sheetPr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K93"/>
  <sheetViews>
    <sheetView zoomScale="68" zoomScaleNormal="120" zoomScalePageLayoutView="120" workbookViewId="0">
      <pane xSplit="1" ySplit="1" topLeftCell="B25" activePane="bottomRight" state="frozen"/>
      <selection activeCell="C4" sqref="C4"/>
      <selection pane="topRight" activeCell="C4" sqref="C4"/>
      <selection pane="bottomLeft" activeCell="C4" sqref="C4"/>
      <selection pane="bottomRight" activeCell="A75" sqref="A75"/>
    </sheetView>
  </sheetViews>
  <sheetFormatPr defaultColWidth="8.85546875" defaultRowHeight="15" x14ac:dyDescent="0.25"/>
  <cols>
    <col min="1" max="1" width="27.7109375" style="2" bestFit="1" customWidth="1"/>
    <col min="2" max="11" width="13.42578125" style="2" bestFit="1" customWidth="1"/>
    <col min="12" max="16384" width="8.85546875" style="2"/>
  </cols>
  <sheetData>
    <row r="1" spans="1:11" s="1" customFormat="1" x14ac:dyDescent="0.25">
      <c r="A1" s="1" t="s">
        <v>0</v>
      </c>
      <c r="B1" s="1" t="s">
        <v>32</v>
      </c>
      <c r="E1" s="70" t="str">
        <f>IF(B2&lt;&gt;B3, "A NEW VERSION OF THE WORKSHEET IS AVAILABLE", "")</f>
        <v/>
      </c>
      <c r="F1" s="70"/>
      <c r="G1" s="70"/>
      <c r="H1" s="70"/>
      <c r="I1" s="70"/>
      <c r="J1" s="70"/>
      <c r="K1" s="70"/>
    </row>
    <row r="2" spans="1:11" x14ac:dyDescent="0.25">
      <c r="A2" s="1" t="s">
        <v>30</v>
      </c>
      <c r="B2" s="2">
        <v>2.1</v>
      </c>
      <c r="E2" s="71" t="s">
        <v>21</v>
      </c>
      <c r="F2" s="71"/>
      <c r="G2" s="71"/>
      <c r="H2" s="71"/>
      <c r="I2" s="71"/>
      <c r="J2" s="71"/>
      <c r="K2" s="71"/>
    </row>
    <row r="3" spans="1:11" x14ac:dyDescent="0.25">
      <c r="A3" s="1" t="s">
        <v>31</v>
      </c>
      <c r="B3" s="2">
        <v>2.1</v>
      </c>
    </row>
    <row r="4" spans="1:11" x14ac:dyDescent="0.25">
      <c r="A4" s="1"/>
    </row>
    <row r="5" spans="1:11" x14ac:dyDescent="0.25">
      <c r="A5" s="1" t="s">
        <v>33</v>
      </c>
    </row>
    <row r="6" spans="1:11" x14ac:dyDescent="0.25">
      <c r="A6" s="2" t="s">
        <v>27</v>
      </c>
      <c r="B6" s="2">
        <f>IF(B9&gt;0, B9/B8, 0)</f>
        <v>368.14623066104076</v>
      </c>
    </row>
    <row r="7" spans="1:11" x14ac:dyDescent="0.25">
      <c r="A7" s="2" t="s">
        <v>16</v>
      </c>
      <c r="B7">
        <v>2</v>
      </c>
    </row>
    <row r="8" spans="1:11" x14ac:dyDescent="0.25">
      <c r="A8" s="2" t="s">
        <v>28</v>
      </c>
      <c r="B8">
        <v>711</v>
      </c>
    </row>
    <row r="9" spans="1:11" x14ac:dyDescent="0.25">
      <c r="A9" s="2" t="s">
        <v>43</v>
      </c>
      <c r="B9">
        <v>261751.97</v>
      </c>
    </row>
    <row r="15" spans="1:11" x14ac:dyDescent="0.25">
      <c r="A15" s="1" t="s">
        <v>22</v>
      </c>
    </row>
    <row r="16" spans="1:11" s="6" customFormat="1" x14ac:dyDescent="0.25">
      <c r="A16" s="5" t="s">
        <v>23</v>
      </c>
      <c r="B16" s="4">
        <v>42460</v>
      </c>
      <c r="C16" s="4">
        <v>42825</v>
      </c>
      <c r="D16" s="4">
        <v>43190</v>
      </c>
      <c r="E16" s="4">
        <v>43555</v>
      </c>
      <c r="F16" s="4">
        <v>43921</v>
      </c>
      <c r="G16" s="4">
        <v>44286</v>
      </c>
      <c r="H16" s="4">
        <v>44651</v>
      </c>
      <c r="I16" s="4">
        <v>45016</v>
      </c>
      <c r="J16" s="4">
        <v>45382</v>
      </c>
      <c r="K16" s="4">
        <v>45747</v>
      </c>
    </row>
    <row r="17" spans="1:11" s="3" customFormat="1" x14ac:dyDescent="0.25">
      <c r="A17" s="3" t="s">
        <v>1</v>
      </c>
      <c r="B17">
        <v>273045.59999999998</v>
      </c>
      <c r="C17">
        <v>269692.51</v>
      </c>
      <c r="D17">
        <v>291550.48</v>
      </c>
      <c r="E17">
        <v>301938.40000000002</v>
      </c>
      <c r="F17">
        <v>261067.97</v>
      </c>
      <c r="G17">
        <v>249794.75</v>
      </c>
      <c r="H17">
        <v>278453.62</v>
      </c>
      <c r="I17">
        <v>345966.97</v>
      </c>
      <c r="J17">
        <v>434016</v>
      </c>
      <c r="K17">
        <v>439695</v>
      </c>
    </row>
    <row r="18" spans="1:11" s="3" customFormat="1" x14ac:dyDescent="0.25">
      <c r="A18" s="2" t="s">
        <v>44</v>
      </c>
      <c r="B18">
        <v>166134.01</v>
      </c>
      <c r="C18">
        <v>173294.07999999999</v>
      </c>
      <c r="D18">
        <v>187896.58</v>
      </c>
      <c r="E18">
        <v>194267.91</v>
      </c>
      <c r="F18">
        <v>164899.82</v>
      </c>
      <c r="G18">
        <v>153607.35999999999</v>
      </c>
      <c r="H18">
        <v>179295.33</v>
      </c>
      <c r="I18">
        <v>231251.26</v>
      </c>
      <c r="J18">
        <v>274321</v>
      </c>
      <c r="K18">
        <v>268950</v>
      </c>
    </row>
    <row r="19" spans="1:11" s="3" customFormat="1" x14ac:dyDescent="0.25">
      <c r="A19" s="2" t="s">
        <v>45</v>
      </c>
      <c r="B19">
        <v>2750.99</v>
      </c>
      <c r="C19">
        <v>7399.92</v>
      </c>
      <c r="D19">
        <v>2046.58</v>
      </c>
      <c r="E19">
        <v>-2053.2800000000002</v>
      </c>
      <c r="F19">
        <v>-2231.19</v>
      </c>
      <c r="G19">
        <v>-4684.16</v>
      </c>
      <c r="H19">
        <v>-1590.49</v>
      </c>
      <c r="I19">
        <v>4781.62</v>
      </c>
      <c r="J19">
        <v>1566</v>
      </c>
      <c r="K19">
        <v>-2836</v>
      </c>
    </row>
    <row r="20" spans="1:11" s="3" customFormat="1" x14ac:dyDescent="0.25">
      <c r="A20" s="2" t="s">
        <v>46</v>
      </c>
      <c r="B20">
        <v>1143.6300000000001</v>
      </c>
      <c r="C20">
        <v>1159.82</v>
      </c>
      <c r="D20">
        <v>1308.08</v>
      </c>
      <c r="E20">
        <v>1585.93</v>
      </c>
      <c r="F20">
        <v>1264.95</v>
      </c>
      <c r="G20">
        <v>1112.8699999999999</v>
      </c>
      <c r="H20">
        <v>2178.29</v>
      </c>
      <c r="I20">
        <v>2513.33</v>
      </c>
      <c r="J20">
        <v>2189</v>
      </c>
      <c r="K20">
        <v>2443</v>
      </c>
    </row>
    <row r="21" spans="1:11" s="3" customFormat="1" x14ac:dyDescent="0.25">
      <c r="A21" s="2" t="s">
        <v>47</v>
      </c>
      <c r="B21">
        <v>12101.53</v>
      </c>
      <c r="C21">
        <v>10067.370000000001</v>
      </c>
      <c r="D21">
        <v>10971.66</v>
      </c>
      <c r="E21">
        <v>11694.54</v>
      </c>
      <c r="F21">
        <v>11541.51</v>
      </c>
      <c r="G21">
        <v>8273.17</v>
      </c>
      <c r="H21">
        <v>9427.3799999999992</v>
      </c>
      <c r="I21">
        <v>11765.97</v>
      </c>
      <c r="J21">
        <v>17446</v>
      </c>
      <c r="K21">
        <v>18813</v>
      </c>
    </row>
    <row r="22" spans="1:11" s="3" customFormat="1" x14ac:dyDescent="0.25">
      <c r="A22" s="2" t="s">
        <v>48</v>
      </c>
      <c r="B22">
        <v>28880.89</v>
      </c>
      <c r="C22">
        <v>28332.89</v>
      </c>
      <c r="D22">
        <v>30300.09</v>
      </c>
      <c r="E22">
        <v>33243.870000000003</v>
      </c>
      <c r="F22">
        <v>30438.6</v>
      </c>
      <c r="G22">
        <v>27648.48</v>
      </c>
      <c r="H22">
        <v>30808.52</v>
      </c>
      <c r="I22">
        <v>33654.699999999997</v>
      </c>
      <c r="J22">
        <v>41990</v>
      </c>
      <c r="K22">
        <v>47767</v>
      </c>
    </row>
    <row r="23" spans="1:11" s="3" customFormat="1" x14ac:dyDescent="0.25">
      <c r="A23" s="2" t="s">
        <v>49</v>
      </c>
      <c r="B23">
        <v>21991.9</v>
      </c>
      <c r="C23">
        <v>30039.38</v>
      </c>
      <c r="D23">
        <v>31004.58</v>
      </c>
      <c r="E23">
        <v>32719.8</v>
      </c>
      <c r="F23">
        <v>29248.32</v>
      </c>
      <c r="G23">
        <v>23015.79</v>
      </c>
      <c r="H23">
        <v>29205.4</v>
      </c>
      <c r="I23">
        <v>34839.19</v>
      </c>
      <c r="J23">
        <v>42765</v>
      </c>
      <c r="K23">
        <v>47099</v>
      </c>
    </row>
    <row r="24" spans="1:11" s="3" customFormat="1" x14ac:dyDescent="0.25">
      <c r="A24" s="2" t="s">
        <v>50</v>
      </c>
      <c r="B24">
        <v>7149.38</v>
      </c>
      <c r="C24">
        <v>4610.2</v>
      </c>
      <c r="D24">
        <v>658.39</v>
      </c>
      <c r="E24">
        <v>1708.74</v>
      </c>
      <c r="F24">
        <v>3456.51</v>
      </c>
      <c r="G24">
        <v>-834.51</v>
      </c>
      <c r="H24">
        <v>1228.1199999999999</v>
      </c>
      <c r="I24">
        <v>4908.34</v>
      </c>
      <c r="J24">
        <v>-953</v>
      </c>
      <c r="K24">
        <v>-3429</v>
      </c>
    </row>
    <row r="25" spans="1:11" s="3" customFormat="1" x14ac:dyDescent="0.25">
      <c r="A25" s="3" t="s">
        <v>4</v>
      </c>
      <c r="B25">
        <v>-2669.62</v>
      </c>
      <c r="C25">
        <v>1869.1</v>
      </c>
      <c r="D25">
        <v>5932.73</v>
      </c>
      <c r="E25">
        <v>-26686.25</v>
      </c>
      <c r="F25">
        <v>101.71</v>
      </c>
      <c r="G25">
        <v>-11117.83</v>
      </c>
      <c r="H25">
        <v>2424.0500000000002</v>
      </c>
      <c r="I25">
        <v>6663.97</v>
      </c>
      <c r="J25">
        <v>4792</v>
      </c>
      <c r="K25">
        <v>11774</v>
      </c>
    </row>
    <row r="26" spans="1:11" s="3" customFormat="1" x14ac:dyDescent="0.25">
      <c r="A26" s="3" t="s">
        <v>5</v>
      </c>
      <c r="B26">
        <v>16710.78</v>
      </c>
      <c r="C26">
        <v>17904.990000000002</v>
      </c>
      <c r="D26">
        <v>21553.59</v>
      </c>
      <c r="E26">
        <v>23590.63</v>
      </c>
      <c r="F26">
        <v>21425.43</v>
      </c>
      <c r="G26">
        <v>23546.71</v>
      </c>
      <c r="H26">
        <v>24835.69</v>
      </c>
      <c r="I26">
        <v>24860.36</v>
      </c>
      <c r="J26">
        <v>27239</v>
      </c>
      <c r="K26">
        <v>23256</v>
      </c>
    </row>
    <row r="27" spans="1:11" s="3" customFormat="1" x14ac:dyDescent="0.25">
      <c r="A27" s="3" t="s">
        <v>6</v>
      </c>
      <c r="B27">
        <v>4889.08</v>
      </c>
      <c r="C27">
        <v>4238.01</v>
      </c>
      <c r="D27">
        <v>4681.79</v>
      </c>
      <c r="E27">
        <v>5758.6</v>
      </c>
      <c r="F27">
        <v>7243.33</v>
      </c>
      <c r="G27">
        <v>8097.17</v>
      </c>
      <c r="H27">
        <v>9311.86</v>
      </c>
      <c r="I27">
        <v>10225.48</v>
      </c>
      <c r="J27">
        <v>7594</v>
      </c>
      <c r="K27">
        <v>5083</v>
      </c>
    </row>
    <row r="28" spans="1:11" s="3" customFormat="1" x14ac:dyDescent="0.25">
      <c r="A28" s="3" t="s">
        <v>7</v>
      </c>
      <c r="B28">
        <v>14125.77</v>
      </c>
      <c r="C28">
        <v>9314.7900000000009</v>
      </c>
      <c r="D28">
        <v>11155.03</v>
      </c>
      <c r="E28">
        <v>-31371.15</v>
      </c>
      <c r="F28">
        <v>-10579.98</v>
      </c>
      <c r="G28">
        <v>-10474.280000000001</v>
      </c>
      <c r="H28">
        <v>-7003.41</v>
      </c>
      <c r="I28">
        <v>3393.93</v>
      </c>
      <c r="J28">
        <v>27783</v>
      </c>
      <c r="K28">
        <v>38651</v>
      </c>
    </row>
    <row r="29" spans="1:11" s="3" customFormat="1" x14ac:dyDescent="0.25">
      <c r="A29" s="3" t="s">
        <v>8</v>
      </c>
      <c r="B29">
        <v>3025.05</v>
      </c>
      <c r="C29">
        <v>3251.23</v>
      </c>
      <c r="D29">
        <v>4341.93</v>
      </c>
      <c r="E29">
        <v>-2437.4499999999998</v>
      </c>
      <c r="F29">
        <v>395.25</v>
      </c>
      <c r="G29">
        <v>2541.86</v>
      </c>
      <c r="H29">
        <v>4231.29</v>
      </c>
      <c r="I29">
        <v>704.06</v>
      </c>
      <c r="J29">
        <v>-4024</v>
      </c>
      <c r="K29">
        <v>10502</v>
      </c>
    </row>
    <row r="30" spans="1:11" s="3" customFormat="1" x14ac:dyDescent="0.25">
      <c r="A30" s="3" t="s">
        <v>9</v>
      </c>
      <c r="B30">
        <v>11579.31</v>
      </c>
      <c r="C30">
        <v>7454.36</v>
      </c>
      <c r="D30">
        <v>8988.91</v>
      </c>
      <c r="E30">
        <v>-28826.23</v>
      </c>
      <c r="F30">
        <v>-12070.85</v>
      </c>
      <c r="G30">
        <v>-13451.39</v>
      </c>
      <c r="H30">
        <v>-11441.47</v>
      </c>
      <c r="I30">
        <v>2414.29</v>
      </c>
      <c r="J30">
        <v>31399</v>
      </c>
      <c r="K30">
        <v>27830</v>
      </c>
    </row>
    <row r="31" spans="1:11" s="3" customFormat="1" x14ac:dyDescent="0.25">
      <c r="A31" s="3" t="s">
        <v>34</v>
      </c>
      <c r="B31">
        <v>67.92</v>
      </c>
      <c r="I31">
        <v>766.02</v>
      </c>
      <c r="J31">
        <v>2301</v>
      </c>
      <c r="K31">
        <v>2208</v>
      </c>
    </row>
    <row r="32" spans="1:11" s="3" customFormat="1" x14ac:dyDescent="0.25"/>
    <row r="33" spans="1:11" x14ac:dyDescent="0.25">
      <c r="A33" s="3"/>
    </row>
    <row r="34" spans="1:11" x14ac:dyDescent="0.25">
      <c r="A34" s="3"/>
    </row>
    <row r="35" spans="1:11" x14ac:dyDescent="0.25">
      <c r="A35" s="3"/>
    </row>
    <row r="36" spans="1:11" x14ac:dyDescent="0.25">
      <c r="A36" s="3"/>
    </row>
    <row r="37" spans="1:11" x14ac:dyDescent="0.25">
      <c r="A37" s="3"/>
    </row>
    <row r="38" spans="1:11" x14ac:dyDescent="0.25">
      <c r="A38" s="3"/>
    </row>
    <row r="39" spans="1:11" x14ac:dyDescent="0.25">
      <c r="A39" s="3"/>
    </row>
    <row r="40" spans="1:11" x14ac:dyDescent="0.25">
      <c r="A40" s="1" t="s">
        <v>24</v>
      </c>
    </row>
    <row r="41" spans="1:11" s="6" customFormat="1" x14ac:dyDescent="0.25">
      <c r="A41" s="5" t="s">
        <v>23</v>
      </c>
      <c r="B41" s="4">
        <v>44926</v>
      </c>
      <c r="C41" s="4">
        <v>45016</v>
      </c>
      <c r="D41" s="4">
        <v>45107</v>
      </c>
      <c r="E41" s="4">
        <v>45199</v>
      </c>
      <c r="F41" s="4">
        <v>45291</v>
      </c>
      <c r="G41" s="4">
        <v>45382</v>
      </c>
      <c r="H41" s="4">
        <v>45473</v>
      </c>
      <c r="I41" s="4">
        <v>45565</v>
      </c>
      <c r="J41" s="4">
        <v>45657</v>
      </c>
      <c r="K41" s="4">
        <v>45747</v>
      </c>
    </row>
    <row r="42" spans="1:11" s="3" customFormat="1" x14ac:dyDescent="0.25">
      <c r="A42" s="3" t="s">
        <v>1</v>
      </c>
      <c r="B42">
        <v>88488.59</v>
      </c>
      <c r="C42">
        <v>105932.35</v>
      </c>
      <c r="D42">
        <v>102236</v>
      </c>
      <c r="E42">
        <v>105129</v>
      </c>
      <c r="F42">
        <v>110577</v>
      </c>
      <c r="G42">
        <v>119033</v>
      </c>
      <c r="H42">
        <v>108048</v>
      </c>
      <c r="I42">
        <v>101450</v>
      </c>
      <c r="J42">
        <v>112608</v>
      </c>
      <c r="K42">
        <v>119503</v>
      </c>
    </row>
    <row r="43" spans="1:11" s="3" customFormat="1" x14ac:dyDescent="0.25">
      <c r="A43" s="3" t="s">
        <v>2</v>
      </c>
      <c r="B43">
        <v>77668.350000000006</v>
      </c>
      <c r="C43">
        <v>92817.95</v>
      </c>
      <c r="D43">
        <v>89019</v>
      </c>
      <c r="E43">
        <v>91362</v>
      </c>
      <c r="F43">
        <v>95159</v>
      </c>
      <c r="G43">
        <v>102348</v>
      </c>
      <c r="H43">
        <v>92263</v>
      </c>
      <c r="I43">
        <v>89291</v>
      </c>
      <c r="J43">
        <v>100185</v>
      </c>
      <c r="K43">
        <v>102685</v>
      </c>
    </row>
    <row r="44" spans="1:11" s="3" customFormat="1" x14ac:dyDescent="0.25">
      <c r="A44" s="3" t="s">
        <v>4</v>
      </c>
      <c r="B44">
        <v>1129.98</v>
      </c>
      <c r="C44">
        <v>1452.86</v>
      </c>
      <c r="D44">
        <v>895</v>
      </c>
      <c r="E44">
        <v>1557</v>
      </c>
      <c r="F44">
        <v>1604</v>
      </c>
      <c r="G44">
        <v>1412</v>
      </c>
      <c r="H44">
        <v>1747</v>
      </c>
      <c r="I44">
        <v>1647</v>
      </c>
      <c r="J44">
        <v>1700</v>
      </c>
      <c r="K44">
        <v>1057</v>
      </c>
    </row>
    <row r="45" spans="1:11" s="3" customFormat="1" x14ac:dyDescent="0.25">
      <c r="A45" s="3" t="s">
        <v>5</v>
      </c>
      <c r="B45">
        <v>6071.78</v>
      </c>
      <c r="C45">
        <v>7050.2</v>
      </c>
      <c r="D45">
        <v>6633</v>
      </c>
      <c r="E45">
        <v>6637</v>
      </c>
      <c r="F45">
        <v>6850</v>
      </c>
      <c r="G45">
        <v>7143</v>
      </c>
      <c r="H45">
        <v>6574</v>
      </c>
      <c r="I45">
        <v>6005</v>
      </c>
      <c r="J45">
        <v>5399</v>
      </c>
      <c r="K45">
        <v>5295</v>
      </c>
    </row>
    <row r="46" spans="1:11" s="3" customFormat="1" x14ac:dyDescent="0.25">
      <c r="A46" s="3" t="s">
        <v>6</v>
      </c>
      <c r="B46">
        <v>2675.83</v>
      </c>
      <c r="C46">
        <v>2641.67</v>
      </c>
      <c r="D46">
        <v>2615</v>
      </c>
      <c r="E46">
        <v>2652</v>
      </c>
      <c r="F46">
        <v>2485</v>
      </c>
      <c r="G46">
        <v>1645</v>
      </c>
      <c r="H46">
        <v>2088</v>
      </c>
      <c r="I46">
        <v>2034</v>
      </c>
      <c r="J46">
        <v>1119</v>
      </c>
      <c r="K46">
        <v>1076</v>
      </c>
    </row>
    <row r="47" spans="1:11" s="3" customFormat="1" x14ac:dyDescent="0.25">
      <c r="A47" s="3" t="s">
        <v>7</v>
      </c>
      <c r="B47">
        <v>3202.61</v>
      </c>
      <c r="C47">
        <v>4875.3900000000003</v>
      </c>
      <c r="D47">
        <v>4864</v>
      </c>
      <c r="E47">
        <v>6035</v>
      </c>
      <c r="F47">
        <v>7687</v>
      </c>
      <c r="G47">
        <v>9309</v>
      </c>
      <c r="H47">
        <v>8870</v>
      </c>
      <c r="I47">
        <v>5767</v>
      </c>
      <c r="J47">
        <v>7605</v>
      </c>
      <c r="K47">
        <v>11504</v>
      </c>
    </row>
    <row r="48" spans="1:11" s="3" customFormat="1" x14ac:dyDescent="0.25">
      <c r="A48" s="3" t="s">
        <v>8</v>
      </c>
      <c r="B48">
        <v>262.83</v>
      </c>
      <c r="C48">
        <v>-620.65</v>
      </c>
      <c r="D48">
        <v>1563</v>
      </c>
      <c r="E48">
        <v>2203</v>
      </c>
      <c r="F48">
        <v>542</v>
      </c>
      <c r="G48">
        <v>-8219</v>
      </c>
      <c r="H48">
        <v>3178</v>
      </c>
      <c r="I48">
        <v>2317</v>
      </c>
      <c r="J48">
        <v>2120</v>
      </c>
      <c r="K48">
        <v>2948</v>
      </c>
    </row>
    <row r="49" spans="1:11" s="3" customFormat="1" x14ac:dyDescent="0.25">
      <c r="A49" s="3" t="s">
        <v>9</v>
      </c>
      <c r="B49">
        <v>2957.71</v>
      </c>
      <c r="C49">
        <v>5407.79</v>
      </c>
      <c r="D49">
        <v>3203</v>
      </c>
      <c r="E49">
        <v>3764</v>
      </c>
      <c r="F49">
        <v>7025</v>
      </c>
      <c r="G49">
        <v>17407</v>
      </c>
      <c r="H49">
        <v>5566</v>
      </c>
      <c r="I49">
        <v>3343</v>
      </c>
      <c r="J49">
        <v>5406</v>
      </c>
      <c r="K49">
        <v>8470</v>
      </c>
    </row>
    <row r="50" spans="1:11" x14ac:dyDescent="0.25">
      <c r="A50" s="3" t="s">
        <v>3</v>
      </c>
      <c r="B50">
        <v>10820.24</v>
      </c>
      <c r="C50">
        <v>13114.4</v>
      </c>
      <c r="D50">
        <v>13217</v>
      </c>
      <c r="E50">
        <v>13767</v>
      </c>
      <c r="F50">
        <v>15418</v>
      </c>
      <c r="G50">
        <v>16685</v>
      </c>
      <c r="H50">
        <v>15785</v>
      </c>
      <c r="I50">
        <v>12159</v>
      </c>
      <c r="J50">
        <v>12423</v>
      </c>
      <c r="K50">
        <v>16818</v>
      </c>
    </row>
    <row r="51" spans="1:11" x14ac:dyDescent="0.25">
      <c r="A51" s="3"/>
    </row>
    <row r="52" spans="1:11" x14ac:dyDescent="0.25">
      <c r="A52" s="3"/>
    </row>
    <row r="53" spans="1:11" x14ac:dyDescent="0.25">
      <c r="A53" s="3"/>
    </row>
    <row r="54" spans="1:11" x14ac:dyDescent="0.25">
      <c r="A54" s="3"/>
    </row>
    <row r="55" spans="1:11" x14ac:dyDescent="0.25">
      <c r="A55" s="1" t="s">
        <v>25</v>
      </c>
    </row>
    <row r="56" spans="1:11" s="6" customFormat="1" x14ac:dyDescent="0.25">
      <c r="A56" s="5" t="s">
        <v>23</v>
      </c>
      <c r="B56" s="4">
        <v>42460</v>
      </c>
      <c r="C56" s="4">
        <v>42825</v>
      </c>
      <c r="D56" s="4">
        <v>43190</v>
      </c>
      <c r="E56" s="4">
        <v>43555</v>
      </c>
      <c r="F56" s="4">
        <v>43921</v>
      </c>
      <c r="G56" s="4">
        <v>44286</v>
      </c>
      <c r="H56" s="4">
        <v>44651</v>
      </c>
      <c r="I56" s="4">
        <v>45016</v>
      </c>
      <c r="J56" s="4">
        <v>45382</v>
      </c>
      <c r="K56" s="4">
        <v>45747</v>
      </c>
    </row>
    <row r="57" spans="1:11" x14ac:dyDescent="0.25">
      <c r="A57" s="3" t="s">
        <v>10</v>
      </c>
      <c r="B57">
        <v>679.18</v>
      </c>
      <c r="C57">
        <v>679.22</v>
      </c>
      <c r="D57">
        <v>679.22</v>
      </c>
      <c r="E57">
        <v>679.22</v>
      </c>
      <c r="F57">
        <v>719.54</v>
      </c>
      <c r="G57">
        <v>765.81</v>
      </c>
      <c r="H57">
        <v>765.88</v>
      </c>
      <c r="I57">
        <v>766.02</v>
      </c>
      <c r="J57">
        <v>767</v>
      </c>
      <c r="K57">
        <v>736</v>
      </c>
    </row>
    <row r="58" spans="1:11" x14ac:dyDescent="0.25">
      <c r="A58" s="3" t="s">
        <v>11</v>
      </c>
      <c r="B58">
        <v>78273.23</v>
      </c>
      <c r="C58">
        <v>57382.67</v>
      </c>
      <c r="D58">
        <v>94748.69</v>
      </c>
      <c r="E58">
        <v>59500.34</v>
      </c>
      <c r="F58">
        <v>62358.99</v>
      </c>
      <c r="G58">
        <v>54480.91</v>
      </c>
      <c r="H58">
        <v>43795.360000000001</v>
      </c>
      <c r="I58">
        <v>44555.77</v>
      </c>
      <c r="J58">
        <v>84151</v>
      </c>
      <c r="K58">
        <v>115408</v>
      </c>
    </row>
    <row r="59" spans="1:11" x14ac:dyDescent="0.25">
      <c r="A59" s="3" t="s">
        <v>35</v>
      </c>
      <c r="B59">
        <v>69359.960000000006</v>
      </c>
      <c r="C59">
        <v>78603.98</v>
      </c>
      <c r="D59">
        <v>88950.47</v>
      </c>
      <c r="E59">
        <v>106175.34</v>
      </c>
      <c r="F59">
        <v>124787.64</v>
      </c>
      <c r="G59">
        <v>142130.57</v>
      </c>
      <c r="H59">
        <v>146449.03</v>
      </c>
      <c r="I59">
        <v>134113.44</v>
      </c>
      <c r="J59">
        <v>107264</v>
      </c>
      <c r="K59">
        <v>71540</v>
      </c>
    </row>
    <row r="60" spans="1:11" x14ac:dyDescent="0.25">
      <c r="A60" s="3" t="s">
        <v>36</v>
      </c>
      <c r="B60">
        <v>114871.75</v>
      </c>
      <c r="C60">
        <v>135914.49</v>
      </c>
      <c r="D60">
        <v>142813.43</v>
      </c>
      <c r="E60">
        <v>139348.59</v>
      </c>
      <c r="F60">
        <v>132313.22</v>
      </c>
      <c r="G60">
        <v>144192.62</v>
      </c>
      <c r="H60">
        <v>138051.22</v>
      </c>
      <c r="I60">
        <v>155239.20000000001</v>
      </c>
      <c r="J60">
        <v>177339</v>
      </c>
      <c r="K60">
        <v>189289</v>
      </c>
    </row>
    <row r="61" spans="1:11" s="1" customFormat="1" x14ac:dyDescent="0.25">
      <c r="A61" s="1" t="s">
        <v>12</v>
      </c>
      <c r="B61">
        <v>263184.12</v>
      </c>
      <c r="C61">
        <v>272580.36</v>
      </c>
      <c r="D61">
        <v>327191.81</v>
      </c>
      <c r="E61">
        <v>305703.49</v>
      </c>
      <c r="F61">
        <v>320179.39</v>
      </c>
      <c r="G61">
        <v>341569.91</v>
      </c>
      <c r="H61">
        <v>329061.49</v>
      </c>
      <c r="I61">
        <v>334674.43</v>
      </c>
      <c r="J61">
        <v>369521</v>
      </c>
      <c r="K61">
        <v>376973</v>
      </c>
    </row>
    <row r="62" spans="1:11" x14ac:dyDescent="0.25">
      <c r="A62" s="3" t="s">
        <v>13</v>
      </c>
      <c r="B62">
        <v>107231.76</v>
      </c>
      <c r="C62">
        <v>95944.08</v>
      </c>
      <c r="D62">
        <v>121413.86</v>
      </c>
      <c r="E62">
        <v>111234.47</v>
      </c>
      <c r="F62">
        <v>127107.14</v>
      </c>
      <c r="G62">
        <v>138707.60999999999</v>
      </c>
      <c r="H62">
        <v>138855.45000000001</v>
      </c>
      <c r="I62">
        <v>132079.76</v>
      </c>
      <c r="J62">
        <v>121285</v>
      </c>
      <c r="K62">
        <v>115697</v>
      </c>
    </row>
    <row r="63" spans="1:11" x14ac:dyDescent="0.25">
      <c r="A63" s="3" t="s">
        <v>14</v>
      </c>
      <c r="B63">
        <v>25918.94</v>
      </c>
      <c r="C63">
        <v>33698.839999999997</v>
      </c>
      <c r="D63">
        <v>40033.5</v>
      </c>
      <c r="E63">
        <v>31883.84</v>
      </c>
      <c r="F63">
        <v>35622.29</v>
      </c>
      <c r="G63">
        <v>20963.93</v>
      </c>
      <c r="H63">
        <v>10251.09</v>
      </c>
      <c r="I63">
        <v>14274.5</v>
      </c>
      <c r="J63">
        <v>35698</v>
      </c>
      <c r="K63">
        <v>65806</v>
      </c>
    </row>
    <row r="64" spans="1:11" x14ac:dyDescent="0.25">
      <c r="A64" s="3" t="s">
        <v>15</v>
      </c>
      <c r="B64">
        <v>23767.02</v>
      </c>
      <c r="C64">
        <v>20337.919999999998</v>
      </c>
      <c r="D64">
        <v>20812.75</v>
      </c>
      <c r="E64">
        <v>15770.72</v>
      </c>
      <c r="F64">
        <v>16308.48</v>
      </c>
      <c r="G64">
        <v>24620.28</v>
      </c>
      <c r="H64">
        <v>29379.53</v>
      </c>
      <c r="I64">
        <v>26379.16</v>
      </c>
      <c r="J64">
        <v>22971</v>
      </c>
      <c r="K64">
        <v>35656</v>
      </c>
    </row>
    <row r="65" spans="1:11" x14ac:dyDescent="0.25">
      <c r="A65" s="3" t="s">
        <v>37</v>
      </c>
      <c r="B65">
        <v>106266.4</v>
      </c>
      <c r="C65">
        <v>122599.52</v>
      </c>
      <c r="D65">
        <v>144931.70000000001</v>
      </c>
      <c r="E65">
        <v>146814.46</v>
      </c>
      <c r="F65">
        <v>141141.48000000001</v>
      </c>
      <c r="G65">
        <v>157278.09</v>
      </c>
      <c r="H65">
        <v>150575.42000000001</v>
      </c>
      <c r="I65">
        <v>161941.01</v>
      </c>
      <c r="J65">
        <v>189567</v>
      </c>
      <c r="K65">
        <v>159814</v>
      </c>
    </row>
    <row r="66" spans="1:11" s="1" customFormat="1" x14ac:dyDescent="0.25">
      <c r="A66" s="1" t="s">
        <v>12</v>
      </c>
      <c r="B66">
        <v>263184.12</v>
      </c>
      <c r="C66">
        <v>272580.36</v>
      </c>
      <c r="D66">
        <v>327191.81</v>
      </c>
      <c r="E66">
        <v>305703.49</v>
      </c>
      <c r="F66">
        <v>320179.39</v>
      </c>
      <c r="G66">
        <v>341569.91</v>
      </c>
      <c r="H66">
        <v>329061.49</v>
      </c>
      <c r="I66">
        <v>334674.43</v>
      </c>
      <c r="J66">
        <v>369521</v>
      </c>
      <c r="K66">
        <v>376973</v>
      </c>
    </row>
    <row r="67" spans="1:11" s="3" customFormat="1" x14ac:dyDescent="0.25">
      <c r="A67" s="3" t="s">
        <v>42</v>
      </c>
      <c r="B67">
        <v>13570.91</v>
      </c>
      <c r="C67">
        <v>14075.55</v>
      </c>
      <c r="D67">
        <v>19893.3</v>
      </c>
      <c r="E67">
        <v>18996.169999999998</v>
      </c>
      <c r="F67">
        <v>11172.69</v>
      </c>
      <c r="G67">
        <v>12679.08</v>
      </c>
      <c r="H67">
        <v>12442.12</v>
      </c>
      <c r="I67">
        <v>15737.97</v>
      </c>
      <c r="J67">
        <v>16952</v>
      </c>
      <c r="K67">
        <v>13248</v>
      </c>
    </row>
    <row r="68" spans="1:11" x14ac:dyDescent="0.25">
      <c r="A68" s="3" t="s">
        <v>29</v>
      </c>
      <c r="B68">
        <v>32655.73</v>
      </c>
      <c r="C68">
        <v>35085.31</v>
      </c>
      <c r="D68">
        <v>42137.63</v>
      </c>
      <c r="E68">
        <v>39013.730000000003</v>
      </c>
      <c r="F68">
        <v>37456.879999999997</v>
      </c>
      <c r="G68">
        <v>36088.589999999997</v>
      </c>
      <c r="H68">
        <v>35240.339999999997</v>
      </c>
      <c r="I68">
        <v>40755.39</v>
      </c>
      <c r="J68">
        <v>47788</v>
      </c>
      <c r="K68">
        <v>47269</v>
      </c>
    </row>
    <row r="69" spans="1:11" x14ac:dyDescent="0.25">
      <c r="A69" s="2" t="s">
        <v>51</v>
      </c>
      <c r="B69">
        <v>30460.400000000001</v>
      </c>
      <c r="C69">
        <v>36077.879999999997</v>
      </c>
      <c r="D69">
        <v>34613.910000000003</v>
      </c>
      <c r="E69">
        <v>32648.82</v>
      </c>
      <c r="F69">
        <v>33726.97</v>
      </c>
      <c r="G69">
        <v>46792.46</v>
      </c>
      <c r="H69">
        <v>40669.19</v>
      </c>
      <c r="I69">
        <v>37015.56</v>
      </c>
      <c r="J69">
        <v>45807</v>
      </c>
      <c r="K69">
        <v>40834</v>
      </c>
    </row>
    <row r="70" spans="1:11" x14ac:dyDescent="0.25">
      <c r="A70" s="2" t="s">
        <v>38</v>
      </c>
      <c r="B70">
        <v>3395930306</v>
      </c>
      <c r="C70">
        <v>3396100719</v>
      </c>
      <c r="D70">
        <v>3396100719</v>
      </c>
      <c r="E70">
        <v>3396100719</v>
      </c>
      <c r="F70">
        <v>3597726185</v>
      </c>
      <c r="G70">
        <v>3829060661</v>
      </c>
      <c r="H70">
        <v>3829414903</v>
      </c>
      <c r="I70">
        <v>3830097221</v>
      </c>
      <c r="J70">
        <v>3832491897</v>
      </c>
      <c r="K70">
        <v>3681348742</v>
      </c>
    </row>
    <row r="71" spans="1:11" x14ac:dyDescent="0.25">
      <c r="A71" s="2" t="s">
        <v>39</v>
      </c>
    </row>
    <row r="72" spans="1:11" x14ac:dyDescent="0.25">
      <c r="A72" s="2" t="s">
        <v>52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25">
      <c r="A74" s="3"/>
    </row>
    <row r="75" spans="1:11" x14ac:dyDescent="0.25">
      <c r="A75" s="3"/>
    </row>
    <row r="76" spans="1:11" x14ac:dyDescent="0.25">
      <c r="A76" s="3"/>
    </row>
    <row r="77" spans="1:11" x14ac:dyDescent="0.25">
      <c r="A77" s="3"/>
    </row>
    <row r="78" spans="1:11" x14ac:dyDescent="0.25">
      <c r="A78" s="3"/>
    </row>
    <row r="79" spans="1:11" x14ac:dyDescent="0.25">
      <c r="A79" s="3"/>
    </row>
    <row r="80" spans="1:11" x14ac:dyDescent="0.25">
      <c r="A80" s="1" t="s">
        <v>26</v>
      </c>
    </row>
    <row r="81" spans="1:11" s="6" customFormat="1" x14ac:dyDescent="0.25">
      <c r="A81" s="5" t="s">
        <v>23</v>
      </c>
      <c r="B81" s="4">
        <v>42460</v>
      </c>
      <c r="C81" s="4">
        <v>42825</v>
      </c>
      <c r="D81" s="4">
        <v>43190</v>
      </c>
      <c r="E81" s="4">
        <v>43555</v>
      </c>
      <c r="F81" s="4">
        <v>43921</v>
      </c>
      <c r="G81" s="4">
        <v>44286</v>
      </c>
      <c r="H81" s="4">
        <v>44651</v>
      </c>
      <c r="I81" s="4">
        <v>45016</v>
      </c>
      <c r="J81" s="4">
        <v>45382</v>
      </c>
      <c r="K81" s="4">
        <v>45747</v>
      </c>
    </row>
    <row r="82" spans="1:11" s="1" customFormat="1" x14ac:dyDescent="0.25">
      <c r="A82" s="3" t="s">
        <v>17</v>
      </c>
      <c r="B82">
        <v>37899.54</v>
      </c>
      <c r="C82">
        <v>30199.25</v>
      </c>
      <c r="D82">
        <v>23857.42</v>
      </c>
      <c r="E82">
        <v>18890.75</v>
      </c>
      <c r="F82">
        <v>26632.94</v>
      </c>
      <c r="G82">
        <v>29000.51</v>
      </c>
      <c r="H82">
        <v>14282.83</v>
      </c>
      <c r="I82">
        <v>35388.01</v>
      </c>
      <c r="J82">
        <v>67915</v>
      </c>
      <c r="K82">
        <v>63102</v>
      </c>
    </row>
    <row r="83" spans="1:11" s="3" customFormat="1" x14ac:dyDescent="0.25">
      <c r="A83" s="3" t="s">
        <v>18</v>
      </c>
      <c r="B83">
        <v>-36693.9</v>
      </c>
      <c r="C83">
        <v>-39571.4</v>
      </c>
      <c r="D83">
        <v>-25139.14</v>
      </c>
      <c r="E83">
        <v>-20878.07</v>
      </c>
      <c r="F83">
        <v>-33114.550000000003</v>
      </c>
      <c r="G83">
        <v>-25672.5</v>
      </c>
      <c r="H83">
        <v>-4443.66</v>
      </c>
      <c r="I83">
        <v>-15417.17</v>
      </c>
      <c r="J83">
        <v>-22781</v>
      </c>
      <c r="K83">
        <v>-49982</v>
      </c>
    </row>
    <row r="84" spans="1:11" s="3" customFormat="1" x14ac:dyDescent="0.25">
      <c r="A84" s="3" t="s">
        <v>19</v>
      </c>
      <c r="B84">
        <v>-3795.12</v>
      </c>
      <c r="C84">
        <v>6205.3</v>
      </c>
      <c r="D84">
        <v>2011.71</v>
      </c>
      <c r="E84">
        <v>8830.3700000000008</v>
      </c>
      <c r="F84">
        <v>3389.61</v>
      </c>
      <c r="G84">
        <v>9904.2000000000007</v>
      </c>
      <c r="H84">
        <v>-3380.17</v>
      </c>
      <c r="I84">
        <v>-26242.9</v>
      </c>
      <c r="J84">
        <v>-37006</v>
      </c>
      <c r="K84">
        <v>-18786</v>
      </c>
    </row>
    <row r="85" spans="1:11" s="1" customFormat="1" x14ac:dyDescent="0.25">
      <c r="A85" s="3" t="s">
        <v>20</v>
      </c>
      <c r="B85">
        <v>-2589.48</v>
      </c>
      <c r="C85">
        <v>-3166.85</v>
      </c>
      <c r="D85">
        <v>729.99</v>
      </c>
      <c r="E85">
        <v>6843.05</v>
      </c>
      <c r="F85">
        <v>-3092</v>
      </c>
      <c r="G85">
        <v>13232.21</v>
      </c>
      <c r="H85">
        <v>6459</v>
      </c>
      <c r="I85">
        <v>-6272.06</v>
      </c>
      <c r="J85">
        <v>8128</v>
      </c>
      <c r="K85">
        <v>-5666</v>
      </c>
    </row>
    <row r="86" spans="1:11" x14ac:dyDescent="0.25">
      <c r="A86" s="3"/>
    </row>
    <row r="87" spans="1:11" x14ac:dyDescent="0.25">
      <c r="A87" s="3"/>
    </row>
    <row r="88" spans="1:11" x14ac:dyDescent="0.25">
      <c r="A88" s="3"/>
    </row>
    <row r="89" spans="1:11" x14ac:dyDescent="0.25">
      <c r="A89" s="3"/>
    </row>
    <row r="90" spans="1:11" s="1" customFormat="1" x14ac:dyDescent="0.25">
      <c r="A90" s="1" t="s">
        <v>41</v>
      </c>
      <c r="B90">
        <v>386.6</v>
      </c>
      <c r="C90">
        <v>465.85</v>
      </c>
      <c r="D90">
        <v>326.85000000000002</v>
      </c>
      <c r="E90">
        <v>174.25</v>
      </c>
      <c r="F90">
        <v>71.05</v>
      </c>
      <c r="G90">
        <v>301.8</v>
      </c>
      <c r="H90">
        <v>433.75</v>
      </c>
      <c r="I90">
        <v>420.8</v>
      </c>
      <c r="J90">
        <v>992.8</v>
      </c>
      <c r="K90">
        <v>674.45</v>
      </c>
    </row>
    <row r="92" spans="1:11" s="1" customFormat="1" x14ac:dyDescent="0.25">
      <c r="A92" s="1" t="s">
        <v>40</v>
      </c>
    </row>
    <row r="93" spans="1:11" x14ac:dyDescent="0.25">
      <c r="A93" s="2" t="s">
        <v>53</v>
      </c>
      <c r="B93" s="7">
        <v>288.72000000000003</v>
      </c>
      <c r="C93" s="7">
        <v>288.73</v>
      </c>
      <c r="D93" s="7">
        <v>288.73</v>
      </c>
      <c r="E93" s="7">
        <v>288.73</v>
      </c>
      <c r="F93" s="7">
        <v>308.89999999999998</v>
      </c>
      <c r="G93" s="7">
        <v>332.03</v>
      </c>
      <c r="H93" s="7">
        <v>332.07</v>
      </c>
      <c r="I93" s="7">
        <v>332.13</v>
      </c>
      <c r="J93" s="7">
        <v>332.37</v>
      </c>
      <c r="K93" s="7">
        <v>368.13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1C3C-2F83-43DE-A9FE-9B4377AEA78F}">
  <sheetPr codeName="Sheet8"/>
  <dimension ref="B2:N31"/>
  <sheetViews>
    <sheetView workbookViewId="0">
      <selection activeCell="L4" sqref="L4"/>
    </sheetView>
  </sheetViews>
  <sheetFormatPr defaultRowHeight="15" x14ac:dyDescent="0.25"/>
  <cols>
    <col min="2" max="2" width="28" bestFit="1" customWidth="1"/>
    <col min="3" max="5" width="7.28515625" bestFit="1" customWidth="1"/>
    <col min="6" max="6" width="7.140625" bestFit="1" customWidth="1"/>
    <col min="7" max="14" width="7.28515625" bestFit="1" customWidth="1"/>
  </cols>
  <sheetData>
    <row r="2" spans="2:14" x14ac:dyDescent="0.25">
      <c r="C2" s="9">
        <v>41699</v>
      </c>
      <c r="D2" s="9">
        <v>42064</v>
      </c>
      <c r="E2" s="9">
        <v>42430</v>
      </c>
      <c r="F2" s="9">
        <v>42795</v>
      </c>
      <c r="G2" s="9">
        <v>43160</v>
      </c>
      <c r="H2" s="9">
        <v>43525</v>
      </c>
      <c r="I2" s="9">
        <v>43891</v>
      </c>
      <c r="J2" s="9">
        <v>44256</v>
      </c>
      <c r="K2" s="9">
        <v>44621</v>
      </c>
      <c r="L2" s="9">
        <v>44986</v>
      </c>
      <c r="M2" s="9">
        <v>45352</v>
      </c>
      <c r="N2" s="9">
        <v>45717</v>
      </c>
    </row>
    <row r="3" spans="2:14" x14ac:dyDescent="0.25">
      <c r="B3" t="s">
        <v>89</v>
      </c>
      <c r="C3" s="33">
        <v>13146</v>
      </c>
      <c r="D3" s="33">
        <v>11880</v>
      </c>
      <c r="E3" s="33">
        <v>11455</v>
      </c>
      <c r="F3" s="33">
        <v>10824</v>
      </c>
      <c r="G3" s="33">
        <v>8023</v>
      </c>
      <c r="H3" s="33">
        <v>25336</v>
      </c>
      <c r="I3" s="33">
        <v>20169</v>
      </c>
      <c r="J3" s="33">
        <v>44327</v>
      </c>
      <c r="K3" s="33">
        <v>44381</v>
      </c>
      <c r="L3" s="33">
        <v>21683</v>
      </c>
      <c r="M3" s="33">
        <v>20301</v>
      </c>
      <c r="N3" s="33">
        <v>23512</v>
      </c>
    </row>
    <row r="4" spans="2:14" x14ac:dyDescent="0.25">
      <c r="B4" t="s">
        <v>90</v>
      </c>
      <c r="C4" s="33">
        <v>17507</v>
      </c>
      <c r="D4" s="33">
        <v>13955</v>
      </c>
      <c r="E4" s="33">
        <v>6824</v>
      </c>
      <c r="F4" s="33">
        <v>17581</v>
      </c>
      <c r="G4" s="33">
        <v>20187</v>
      </c>
      <c r="H4" s="33">
        <v>27840</v>
      </c>
      <c r="I4" s="33">
        <v>18078</v>
      </c>
      <c r="J4" s="33">
        <v>28540</v>
      </c>
      <c r="K4" s="33">
        <v>65900</v>
      </c>
      <c r="L4" s="33">
        <v>30908</v>
      </c>
      <c r="M4" s="33">
        <v>22237</v>
      </c>
      <c r="N4" s="33">
        <v>23929</v>
      </c>
    </row>
    <row r="5" spans="2:14" x14ac:dyDescent="0.25">
      <c r="B5" t="s">
        <v>42</v>
      </c>
      <c r="C5" s="33">
        <v>-1483</v>
      </c>
      <c r="D5" s="33">
        <v>1442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2:14" x14ac:dyDescent="0.25">
      <c r="B6" t="s">
        <v>29</v>
      </c>
      <c r="C6">
        <v>389</v>
      </c>
      <c r="D6">
        <v>-485</v>
      </c>
      <c r="E6" s="33">
        <v>5618</v>
      </c>
      <c r="F6" s="33">
        <v>-8243</v>
      </c>
      <c r="G6" s="33">
        <v>-1595</v>
      </c>
      <c r="H6" s="33">
        <v>-1069</v>
      </c>
      <c r="I6" s="33">
        <v>1562</v>
      </c>
      <c r="J6">
        <v>46</v>
      </c>
      <c r="K6" s="33">
        <v>-16917</v>
      </c>
      <c r="L6" s="33">
        <v>-4031</v>
      </c>
      <c r="M6" s="33">
        <v>5566</v>
      </c>
      <c r="N6" s="33">
        <v>4776</v>
      </c>
    </row>
    <row r="7" spans="2:14" x14ac:dyDescent="0.25">
      <c r="B7" t="s">
        <v>91</v>
      </c>
      <c r="C7">
        <v>-255</v>
      </c>
      <c r="D7">
        <v>-605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2:14" x14ac:dyDescent="0.25">
      <c r="B8" t="s">
        <v>92</v>
      </c>
      <c r="C8">
        <v>0</v>
      </c>
      <c r="D8">
        <v>0</v>
      </c>
      <c r="E8">
        <v>548</v>
      </c>
      <c r="F8" s="33">
        <v>3329</v>
      </c>
      <c r="G8" s="33">
        <v>-7680</v>
      </c>
      <c r="H8" s="33">
        <v>3659</v>
      </c>
      <c r="I8" s="33">
        <v>2634</v>
      </c>
      <c r="J8" s="33">
        <v>16446</v>
      </c>
      <c r="K8" s="33">
        <v>7299</v>
      </c>
      <c r="L8">
        <v>325</v>
      </c>
      <c r="M8" s="33">
        <v>-2182</v>
      </c>
      <c r="N8" s="33">
        <v>-2569</v>
      </c>
    </row>
    <row r="9" spans="2:14" x14ac:dyDescent="0.25">
      <c r="B9" t="s">
        <v>93</v>
      </c>
      <c r="C9" s="33">
        <v>-1349</v>
      </c>
      <c r="D9">
        <v>351</v>
      </c>
      <c r="E9" s="33">
        <v>6166</v>
      </c>
      <c r="F9" s="33">
        <v>-4914</v>
      </c>
      <c r="G9" s="33">
        <v>-9276</v>
      </c>
      <c r="H9" s="33">
        <v>2591</v>
      </c>
      <c r="I9" s="33">
        <v>4196</v>
      </c>
      <c r="J9" s="33">
        <v>16491</v>
      </c>
      <c r="K9" s="33">
        <v>-9618</v>
      </c>
      <c r="L9" s="33">
        <v>-3706</v>
      </c>
      <c r="M9" s="33">
        <v>3384</v>
      </c>
      <c r="N9" s="33">
        <v>2207</v>
      </c>
    </row>
    <row r="10" spans="2:14" x14ac:dyDescent="0.25">
      <c r="B10" t="s">
        <v>94</v>
      </c>
      <c r="C10" s="33">
        <v>-3013</v>
      </c>
      <c r="D10" s="33">
        <v>-2427</v>
      </c>
      <c r="E10" s="33">
        <v>-1534</v>
      </c>
      <c r="F10" s="33">
        <v>-1843</v>
      </c>
      <c r="G10" s="33">
        <v>-2888</v>
      </c>
      <c r="H10" s="33">
        <v>-5094</v>
      </c>
      <c r="I10" s="33">
        <v>-2106</v>
      </c>
      <c r="J10">
        <v>-704</v>
      </c>
      <c r="K10" s="33">
        <v>-11902</v>
      </c>
      <c r="L10" s="33">
        <v>-5519</v>
      </c>
      <c r="M10" s="33">
        <v>-5320</v>
      </c>
      <c r="N10" s="33">
        <v>-2624</v>
      </c>
    </row>
    <row r="11" spans="2:14" x14ac:dyDescent="0.25">
      <c r="B11" t="s">
        <v>95</v>
      </c>
      <c r="C11" s="33">
        <v>-15378</v>
      </c>
      <c r="D11" s="33">
        <v>-9021</v>
      </c>
      <c r="E11" s="33">
        <v>-8794</v>
      </c>
      <c r="F11" s="33">
        <v>-9490</v>
      </c>
      <c r="G11" s="33">
        <v>-11730</v>
      </c>
      <c r="H11" s="33">
        <v>-29176</v>
      </c>
      <c r="I11" s="33">
        <v>-14012</v>
      </c>
      <c r="J11" s="33">
        <v>-9437</v>
      </c>
      <c r="K11" s="33">
        <v>-10905</v>
      </c>
      <c r="L11" s="33">
        <v>-18179</v>
      </c>
      <c r="M11" s="33">
        <v>-14253</v>
      </c>
      <c r="N11" s="33">
        <v>-14173</v>
      </c>
    </row>
    <row r="12" spans="2:14" x14ac:dyDescent="0.25">
      <c r="B12" t="s">
        <v>96</v>
      </c>
      <c r="C12" s="33">
        <v>-16420</v>
      </c>
      <c r="D12" s="33">
        <v>-13492</v>
      </c>
      <c r="E12" s="33">
        <v>-10163</v>
      </c>
      <c r="F12" s="33">
        <v>-7716</v>
      </c>
      <c r="G12" s="33">
        <v>-7478</v>
      </c>
      <c r="H12" s="33">
        <v>-9091</v>
      </c>
      <c r="I12" s="33">
        <v>-10398</v>
      </c>
      <c r="J12" s="33">
        <v>-6979</v>
      </c>
      <c r="K12" s="33">
        <v>-10522</v>
      </c>
      <c r="L12" s="33">
        <v>-14142</v>
      </c>
      <c r="M12" s="33">
        <v>-18207</v>
      </c>
      <c r="N12" s="33">
        <v>-15671</v>
      </c>
    </row>
    <row r="13" spans="2:14" x14ac:dyDescent="0.25">
      <c r="B13" t="s">
        <v>97</v>
      </c>
      <c r="C13">
        <v>295</v>
      </c>
      <c r="D13" s="33">
        <v>1444</v>
      </c>
      <c r="E13">
        <v>231</v>
      </c>
      <c r="F13">
        <v>289</v>
      </c>
      <c r="G13">
        <v>179</v>
      </c>
      <c r="H13">
        <v>467</v>
      </c>
      <c r="I13">
        <v>386</v>
      </c>
      <c r="J13">
        <v>445</v>
      </c>
      <c r="K13">
        <v>569</v>
      </c>
      <c r="L13">
        <v>328</v>
      </c>
      <c r="M13">
        <v>475</v>
      </c>
      <c r="N13" s="33">
        <v>1264</v>
      </c>
    </row>
    <row r="14" spans="2:14" x14ac:dyDescent="0.25">
      <c r="B14" t="s">
        <v>98</v>
      </c>
      <c r="C14">
        <v>-612</v>
      </c>
      <c r="D14" s="33">
        <v>1531</v>
      </c>
      <c r="E14" s="33">
        <v>-3796</v>
      </c>
      <c r="F14">
        <v>-861</v>
      </c>
      <c r="G14" s="33">
        <v>-8641</v>
      </c>
      <c r="H14">
        <v>-490</v>
      </c>
      <c r="I14">
        <v>-828</v>
      </c>
      <c r="J14" s="33">
        <v>-3631</v>
      </c>
      <c r="K14" s="33">
        <v>-1153</v>
      </c>
      <c r="L14">
        <v>-326</v>
      </c>
      <c r="M14">
        <v>-4</v>
      </c>
      <c r="N14">
        <v>-393</v>
      </c>
    </row>
    <row r="15" spans="2:14" x14ac:dyDescent="0.25">
      <c r="B15" t="s">
        <v>99</v>
      </c>
      <c r="C15">
        <v>0</v>
      </c>
      <c r="D15">
        <v>262</v>
      </c>
      <c r="E15" s="33">
        <v>4275</v>
      </c>
      <c r="F15">
        <v>91</v>
      </c>
      <c r="G15" s="33">
        <v>3899</v>
      </c>
      <c r="H15" s="33">
        <v>13556</v>
      </c>
      <c r="I15">
        <v>121</v>
      </c>
      <c r="J15">
        <v>0</v>
      </c>
      <c r="K15">
        <v>63</v>
      </c>
      <c r="L15" s="33">
        <v>5191</v>
      </c>
      <c r="M15" s="33">
        <v>3171</v>
      </c>
      <c r="N15">
        <v>554</v>
      </c>
    </row>
    <row r="16" spans="2:14" x14ac:dyDescent="0.25">
      <c r="B16" t="s">
        <v>100</v>
      </c>
      <c r="C16">
        <v>265</v>
      </c>
      <c r="D16">
        <v>211</v>
      </c>
      <c r="E16">
        <v>133</v>
      </c>
      <c r="F16">
        <v>140</v>
      </c>
      <c r="G16">
        <v>254</v>
      </c>
      <c r="H16">
        <v>175</v>
      </c>
      <c r="I16">
        <v>203</v>
      </c>
      <c r="J16">
        <v>266</v>
      </c>
      <c r="K16">
        <v>137</v>
      </c>
      <c r="L16">
        <v>248</v>
      </c>
      <c r="M16">
        <v>333</v>
      </c>
      <c r="N16">
        <v>242</v>
      </c>
    </row>
    <row r="17" spans="2:14" x14ac:dyDescent="0.25">
      <c r="B17" t="s">
        <v>101</v>
      </c>
      <c r="C17">
        <v>87</v>
      </c>
      <c r="D17">
        <v>127</v>
      </c>
      <c r="E17">
        <v>108</v>
      </c>
      <c r="F17">
        <v>85</v>
      </c>
      <c r="G17">
        <v>111</v>
      </c>
      <c r="H17">
        <v>148</v>
      </c>
      <c r="I17">
        <v>103</v>
      </c>
      <c r="J17">
        <v>135</v>
      </c>
      <c r="K17">
        <v>162</v>
      </c>
      <c r="L17">
        <v>317</v>
      </c>
      <c r="M17">
        <v>336</v>
      </c>
      <c r="N17">
        <v>294</v>
      </c>
    </row>
    <row r="18" spans="2:14" x14ac:dyDescent="0.25">
      <c r="B18" t="s">
        <v>102</v>
      </c>
      <c r="C18">
        <v>59</v>
      </c>
      <c r="D18" s="33">
        <v>1301</v>
      </c>
      <c r="E18">
        <v>0</v>
      </c>
      <c r="F18">
        <v>0</v>
      </c>
      <c r="G18">
        <v>34</v>
      </c>
      <c r="H18">
        <v>156</v>
      </c>
      <c r="I18">
        <v>378</v>
      </c>
      <c r="J18">
        <v>90</v>
      </c>
      <c r="K18" s="33">
        <v>1208</v>
      </c>
      <c r="L18">
        <v>166</v>
      </c>
      <c r="M18">
        <v>123</v>
      </c>
      <c r="N18">
        <v>28</v>
      </c>
    </row>
    <row r="19" spans="2:14" x14ac:dyDescent="0.25">
      <c r="B19" t="s">
        <v>103</v>
      </c>
      <c r="C19">
        <v>0</v>
      </c>
      <c r="D19">
        <v>-108</v>
      </c>
      <c r="E19">
        <v>-78</v>
      </c>
      <c r="F19" s="33">
        <v>-1081</v>
      </c>
      <c r="G19">
        <v>-255</v>
      </c>
      <c r="H19" s="33">
        <v>-34569</v>
      </c>
      <c r="I19" s="33">
        <v>-4433</v>
      </c>
      <c r="J19">
        <v>0</v>
      </c>
      <c r="K19">
        <v>-53</v>
      </c>
      <c r="L19" s="33">
        <v>-10569</v>
      </c>
      <c r="M19">
        <v>0</v>
      </c>
      <c r="N19">
        <v>-6</v>
      </c>
    </row>
    <row r="20" spans="2:14" x14ac:dyDescent="0.25">
      <c r="B20" t="s">
        <v>104</v>
      </c>
      <c r="C20">
        <v>-96</v>
      </c>
      <c r="D20">
        <v>277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2:14" x14ac:dyDescent="0.25">
      <c r="B21" t="s">
        <v>105</v>
      </c>
      <c r="C21" s="33">
        <v>1044</v>
      </c>
      <c r="D21">
        <v>-573</v>
      </c>
      <c r="E21">
        <v>496</v>
      </c>
      <c r="F21">
        <v>-437</v>
      </c>
      <c r="G21">
        <v>166</v>
      </c>
      <c r="H21">
        <v>471</v>
      </c>
      <c r="I21">
        <v>456</v>
      </c>
      <c r="J21">
        <v>236</v>
      </c>
      <c r="K21" s="33">
        <v>-1315</v>
      </c>
      <c r="L21">
        <v>609</v>
      </c>
      <c r="M21">
        <v>-481</v>
      </c>
      <c r="N21">
        <v>-485</v>
      </c>
    </row>
    <row r="22" spans="2:14" x14ac:dyDescent="0.25">
      <c r="B22" t="s">
        <v>106</v>
      </c>
      <c r="C22" s="33">
        <v>1015</v>
      </c>
      <c r="D22" s="33">
        <v>-2617</v>
      </c>
      <c r="E22" s="33">
        <v>-4729</v>
      </c>
      <c r="F22" s="33">
        <v>-2579</v>
      </c>
      <c r="G22" s="33">
        <v>6640</v>
      </c>
      <c r="H22">
        <v>-673</v>
      </c>
      <c r="I22" s="33">
        <v>-1695</v>
      </c>
      <c r="J22" s="33">
        <v>-37090</v>
      </c>
      <c r="K22" s="33">
        <v>-23401</v>
      </c>
      <c r="L22" s="33">
        <v>-6981</v>
      </c>
      <c r="M22" s="33">
        <v>-11097</v>
      </c>
      <c r="N22" s="33">
        <v>-7002</v>
      </c>
    </row>
    <row r="23" spans="2:14" x14ac:dyDescent="0.25">
      <c r="B23" t="s">
        <v>107</v>
      </c>
      <c r="C23">
        <v>11</v>
      </c>
      <c r="D23">
        <v>13</v>
      </c>
      <c r="E23">
        <v>0</v>
      </c>
      <c r="F23">
        <v>652</v>
      </c>
      <c r="G23" s="33">
        <v>9087</v>
      </c>
      <c r="H23">
        <v>0</v>
      </c>
      <c r="I23">
        <v>188</v>
      </c>
      <c r="J23" s="33">
        <v>3239</v>
      </c>
      <c r="K23">
        <v>326</v>
      </c>
      <c r="L23">
        <v>1</v>
      </c>
      <c r="M23">
        <v>0</v>
      </c>
      <c r="N23">
        <v>0</v>
      </c>
    </row>
    <row r="24" spans="2:14" x14ac:dyDescent="0.25">
      <c r="B24" t="s">
        <v>108</v>
      </c>
      <c r="C24">
        <v>0</v>
      </c>
      <c r="D24">
        <v>0</v>
      </c>
      <c r="E24">
        <v>0</v>
      </c>
      <c r="F24">
        <v>0</v>
      </c>
      <c r="G24">
        <v>0</v>
      </c>
      <c r="H24" s="33">
        <v>33344</v>
      </c>
      <c r="I24" s="33">
        <v>16574</v>
      </c>
      <c r="J24" s="33">
        <v>9801</v>
      </c>
      <c r="K24" s="33">
        <v>12439</v>
      </c>
      <c r="L24" s="33">
        <v>16769</v>
      </c>
      <c r="M24" s="33">
        <v>14120</v>
      </c>
      <c r="N24" s="33">
        <v>23893</v>
      </c>
    </row>
    <row r="25" spans="2:14" x14ac:dyDescent="0.25">
      <c r="B25" t="s">
        <v>109</v>
      </c>
      <c r="C25">
        <v>0</v>
      </c>
      <c r="D25">
        <v>0</v>
      </c>
      <c r="E25">
        <v>0</v>
      </c>
      <c r="F25">
        <v>0</v>
      </c>
      <c r="G25">
        <v>0</v>
      </c>
      <c r="H25" s="33">
        <v>-25077</v>
      </c>
      <c r="I25" s="33">
        <v>-7937</v>
      </c>
      <c r="J25" s="33">
        <v>-39177</v>
      </c>
      <c r="K25" s="33">
        <v>-26360</v>
      </c>
      <c r="L25" s="33">
        <v>-10226</v>
      </c>
      <c r="M25" s="33">
        <v>-11908</v>
      </c>
      <c r="N25" s="33">
        <v>-17597</v>
      </c>
    </row>
    <row r="26" spans="2:14" x14ac:dyDescent="0.25">
      <c r="B26" t="s">
        <v>110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-30</v>
      </c>
    </row>
    <row r="27" spans="2:14" x14ac:dyDescent="0.25">
      <c r="B27" t="s">
        <v>111</v>
      </c>
      <c r="C27" s="33">
        <v>-3676</v>
      </c>
      <c r="D27" s="33">
        <v>-5428</v>
      </c>
      <c r="E27" s="33">
        <v>-5483</v>
      </c>
      <c r="F27" s="33">
        <v>-4733</v>
      </c>
      <c r="G27" s="33">
        <v>-5146</v>
      </c>
      <c r="H27" s="33">
        <v>-6901</v>
      </c>
      <c r="I27" s="33">
        <v>-7419</v>
      </c>
      <c r="J27" s="33">
        <v>-6804</v>
      </c>
      <c r="K27" s="33">
        <v>-4687</v>
      </c>
      <c r="L27" s="33">
        <v>-6120</v>
      </c>
      <c r="M27" s="33">
        <v>-8145</v>
      </c>
      <c r="N27" s="33">
        <v>-8119</v>
      </c>
    </row>
    <row r="28" spans="2:14" x14ac:dyDescent="0.25">
      <c r="B28" t="s">
        <v>112</v>
      </c>
      <c r="C28">
        <v>-787</v>
      </c>
      <c r="D28">
        <v>-983</v>
      </c>
      <c r="E28">
        <v>-788</v>
      </c>
      <c r="F28">
        <v>-791</v>
      </c>
      <c r="G28">
        <v>-982</v>
      </c>
      <c r="H28" s="33">
        <v>-1186</v>
      </c>
      <c r="I28" s="33">
        <v>-1507</v>
      </c>
      <c r="J28" s="33">
        <v>-1151</v>
      </c>
      <c r="K28" s="33">
        <v>-3020</v>
      </c>
      <c r="L28" s="33">
        <v>-6293</v>
      </c>
      <c r="M28" s="33">
        <v>-4429</v>
      </c>
      <c r="N28" s="33">
        <v>-4490</v>
      </c>
    </row>
    <row r="29" spans="2:14" x14ac:dyDescent="0.25">
      <c r="B29" t="s">
        <v>113</v>
      </c>
      <c r="C29">
        <v>0</v>
      </c>
      <c r="D29">
        <v>0</v>
      </c>
      <c r="E29">
        <v>-200</v>
      </c>
      <c r="F29">
        <v>-208</v>
      </c>
      <c r="G29">
        <v>-211</v>
      </c>
      <c r="H29">
        <v>-276</v>
      </c>
      <c r="I29" s="33">
        <v>-1029</v>
      </c>
      <c r="J29" s="33">
        <v>-1284</v>
      </c>
      <c r="K29" s="33">
        <v>-1310</v>
      </c>
      <c r="L29" s="33">
        <v>-1114</v>
      </c>
      <c r="M29" s="33">
        <v>-1140</v>
      </c>
      <c r="N29" s="33">
        <v>-1943</v>
      </c>
    </row>
    <row r="30" spans="2:14" x14ac:dyDescent="0.25">
      <c r="B30" t="s">
        <v>114</v>
      </c>
      <c r="C30" s="33">
        <v>5466</v>
      </c>
      <c r="D30" s="33">
        <v>3781</v>
      </c>
      <c r="E30" s="33">
        <v>1743</v>
      </c>
      <c r="F30" s="33">
        <v>2501</v>
      </c>
      <c r="G30" s="33">
        <v>3892</v>
      </c>
      <c r="H30">
        <v>-576</v>
      </c>
      <c r="I30">
        <v>-564</v>
      </c>
      <c r="J30" s="33">
        <v>-1714</v>
      </c>
      <c r="K30">
        <v>-789</v>
      </c>
      <c r="L30">
        <v>2</v>
      </c>
      <c r="M30">
        <v>404</v>
      </c>
      <c r="N30" s="33">
        <v>1283</v>
      </c>
    </row>
    <row r="31" spans="2:14" x14ac:dyDescent="0.25">
      <c r="B31" t="s">
        <v>20</v>
      </c>
      <c r="C31" s="33">
        <v>-1218</v>
      </c>
      <c r="D31">
        <v>241</v>
      </c>
      <c r="E31" s="33">
        <v>-2068</v>
      </c>
      <c r="F31" s="33">
        <v>-1245</v>
      </c>
      <c r="G31" s="33">
        <v>2933</v>
      </c>
      <c r="H31" s="33">
        <v>-4513</v>
      </c>
      <c r="I31" s="33">
        <v>4462</v>
      </c>
      <c r="J31" s="33">
        <v>-2200</v>
      </c>
      <c r="K31" s="33">
        <v>10075</v>
      </c>
      <c r="L31" s="33">
        <v>-3477</v>
      </c>
      <c r="M31" s="33">
        <v>-5049</v>
      </c>
      <c r="N31" s="33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Financials&gt;</vt:lpstr>
      <vt:lpstr>HistoricalFS</vt:lpstr>
      <vt:lpstr>Ratio Analysis</vt:lpstr>
      <vt:lpstr> Forecasting Practice</vt:lpstr>
      <vt:lpstr>Forecasting</vt:lpstr>
      <vt:lpstr>Data&gt;</vt:lpstr>
      <vt:lpstr>Data Sheet</vt:lpstr>
      <vt:lpstr>Cashflow Data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saiapurba mohanty</cp:lastModifiedBy>
  <cp:lastPrinted>2012-12-06T18:14:13Z</cp:lastPrinted>
  <dcterms:created xsi:type="dcterms:W3CDTF">2012-08-17T09:55:37Z</dcterms:created>
  <dcterms:modified xsi:type="dcterms:W3CDTF">2025-06-26T09:02:54Z</dcterms:modified>
</cp:coreProperties>
</file>